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/>
  <mc:AlternateContent xmlns:mc="http://schemas.openxmlformats.org/markup-compatibility/2006">
    <mc:Choice Requires="x15">
      <x15ac:absPath xmlns:x15ac="http://schemas.microsoft.com/office/spreadsheetml/2010/11/ac" url="/Users/luvsai/Software Development/finalyearP/DataResources/Student/"/>
    </mc:Choice>
  </mc:AlternateContent>
  <xr:revisionPtr revIDLastSave="0" documentId="13_ncr:1_{7883E17F-31A9-FB40-AFCA-EF79CF783BE4}" xr6:coauthVersionLast="47" xr6:coauthVersionMax="47" xr10:uidLastSave="{00000000-0000-0000-0000-000000000000}"/>
  <bookViews>
    <workbookView xWindow="0" yWindow="760" windowWidth="34560" windowHeight="19840" firstSheet="1" activeTab="4" xr2:uid="{00000000-000D-0000-FFFF-FFFF00000000}"/>
  </bookViews>
  <sheets>
    <sheet name="MasterData" sheetId="2" state="hidden" r:id="rId1"/>
    <sheet name="STUDENT ACTIVITY DASHBOARD" sheetId="1" r:id="rId2"/>
    <sheet name="S1 Student Journal Pub" sheetId="3" r:id="rId3"/>
    <sheet name="S2 Student Conference Publicati" sheetId="4" r:id="rId4"/>
    <sheet name="S3 Student Internships" sheetId="5" r:id="rId5"/>
    <sheet name="S4 Student Certifications" sheetId="6" r:id="rId6"/>
    <sheet name="S5 Student WorkshopsConf attend" sheetId="7" r:id="rId7"/>
    <sheet name="S6 Student NPTEL" sheetId="8" r:id="rId8"/>
    <sheet name="S7 Student Workshops Organized" sheetId="9" r:id="rId9"/>
    <sheet name="S8 Student Events Organized" sheetId="10" r:id="rId10"/>
    <sheet name="S9 Student Guest Lectures Organ" sheetId="11" r:id="rId11"/>
    <sheet name="S10 Student Prof. Body" sheetId="12" r:id="rId12"/>
    <sheet name="S11 Student Awards" sheetId="13" r:id="rId13"/>
    <sheet name="S12 Student capabilities enhanc" sheetId="14" r:id="rId14"/>
    <sheet name="S13 Students Higher Edu." sheetId="15" r:id="rId15"/>
    <sheet name="S14 Students Competitive Exams" sheetId="16" r:id="rId16"/>
    <sheet name="S15 Students Industry Visit" sheetId="17" r:id="rId17"/>
    <sheet name="S16 Students Social Service Pro" sheetId="18" r:id="rId18"/>
    <sheet name="S17 Students Leadership &amp; Volun" sheetId="19" r:id="rId19"/>
    <sheet name="S18 Students Placements" sheetId="20" r:id="rId20"/>
  </sheets>
  <externalReferences>
    <externalReference r:id="rId21"/>
  </externalReferences>
  <definedNames>
    <definedName name="Z_B7E71E30_8C1B_44F2_8CCD_898BEED9B302_.wvu.FilterData" localSheetId="0" hidden="1">MasterData!$A$1:$HA$1334</definedName>
    <definedName name="Z_B7E71E30_8C1B_44F2_8CCD_898BEED9B302_.wvu.FilterData" localSheetId="4" hidden="1">'S3 Student Internships'!$A$1:$X$187</definedName>
    <definedName name="Z_B7E71E30_8C1B_44F2_8CCD_898BEED9B302_.wvu.FilterData" localSheetId="7" hidden="1">'S6 Student NPTEL'!$A$1:$X$113</definedName>
  </definedNames>
  <calcPr calcId="191029"/>
  <customWorkbookViews>
    <customWorkbookView name="Filter 1" guid="{B7E71E30-8C1B-44F2-8CCD-898BEED9B302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48" i="20" l="1"/>
  <c r="I48" i="20"/>
  <c r="H48" i="20"/>
  <c r="G48" i="20"/>
  <c r="F48" i="20"/>
  <c r="E48" i="20"/>
  <c r="D48" i="20"/>
  <c r="C48" i="20"/>
  <c r="B48" i="20"/>
  <c r="A48" i="20"/>
  <c r="K47" i="20"/>
  <c r="I47" i="20"/>
  <c r="H47" i="20"/>
  <c r="G47" i="20"/>
  <c r="F47" i="20"/>
  <c r="E47" i="20"/>
  <c r="D47" i="20"/>
  <c r="C47" i="20"/>
  <c r="B47" i="20"/>
  <c r="A47" i="20"/>
  <c r="K46" i="20"/>
  <c r="I46" i="20"/>
  <c r="H46" i="20"/>
  <c r="G46" i="20"/>
  <c r="F46" i="20"/>
  <c r="E46" i="20"/>
  <c r="D46" i="20"/>
  <c r="C46" i="20"/>
  <c r="B46" i="20"/>
  <c r="A46" i="20"/>
  <c r="K45" i="20"/>
  <c r="J45" i="20"/>
  <c r="I45" i="20"/>
  <c r="H45" i="20"/>
  <c r="G45" i="20"/>
  <c r="F45" i="20"/>
  <c r="E45" i="20"/>
  <c r="D45" i="20"/>
  <c r="C45" i="20"/>
  <c r="B45" i="20"/>
  <c r="A45" i="20"/>
  <c r="K44" i="20"/>
  <c r="I44" i="20"/>
  <c r="H44" i="20"/>
  <c r="G44" i="20"/>
  <c r="F44" i="20"/>
  <c r="E44" i="20"/>
  <c r="D44" i="20"/>
  <c r="C44" i="20"/>
  <c r="B44" i="20"/>
  <c r="A44" i="20"/>
  <c r="K43" i="20"/>
  <c r="J43" i="20"/>
  <c r="I43" i="20"/>
  <c r="H43" i="20"/>
  <c r="G43" i="20"/>
  <c r="F43" i="20"/>
  <c r="E43" i="20"/>
  <c r="D43" i="20"/>
  <c r="C43" i="20"/>
  <c r="B43" i="20"/>
  <c r="A43" i="20"/>
  <c r="K42" i="20"/>
  <c r="J42" i="20"/>
  <c r="I42" i="20"/>
  <c r="H42" i="20"/>
  <c r="G42" i="20"/>
  <c r="F42" i="20"/>
  <c r="E42" i="20"/>
  <c r="D42" i="20"/>
  <c r="C42" i="20"/>
  <c r="B42" i="20"/>
  <c r="A42" i="20"/>
  <c r="K41" i="20"/>
  <c r="J41" i="20"/>
  <c r="I41" i="20"/>
  <c r="H41" i="20"/>
  <c r="G41" i="20"/>
  <c r="F41" i="20"/>
  <c r="E41" i="20"/>
  <c r="D41" i="20"/>
  <c r="C41" i="20"/>
  <c r="B41" i="20"/>
  <c r="A41" i="20"/>
  <c r="K40" i="20"/>
  <c r="J40" i="20"/>
  <c r="I40" i="20"/>
  <c r="H40" i="20"/>
  <c r="G40" i="20"/>
  <c r="F40" i="20"/>
  <c r="E40" i="20"/>
  <c r="D40" i="20"/>
  <c r="C40" i="20"/>
  <c r="B40" i="20"/>
  <c r="A40" i="20"/>
  <c r="K39" i="20"/>
  <c r="J39" i="20"/>
  <c r="I39" i="20"/>
  <c r="H39" i="20"/>
  <c r="G39" i="20"/>
  <c r="F39" i="20"/>
  <c r="E39" i="20"/>
  <c r="D39" i="20"/>
  <c r="C39" i="20"/>
  <c r="B39" i="20"/>
  <c r="A39" i="20"/>
  <c r="K38" i="20"/>
  <c r="I38" i="20"/>
  <c r="H38" i="20"/>
  <c r="G38" i="20"/>
  <c r="F38" i="20"/>
  <c r="E38" i="20"/>
  <c r="D38" i="20"/>
  <c r="C38" i="20"/>
  <c r="B38" i="20"/>
  <c r="A38" i="20"/>
  <c r="K37" i="20"/>
  <c r="J37" i="20"/>
  <c r="I37" i="20"/>
  <c r="H37" i="20"/>
  <c r="G37" i="20"/>
  <c r="F37" i="20"/>
  <c r="E37" i="20"/>
  <c r="D37" i="20"/>
  <c r="C37" i="20"/>
  <c r="B37" i="20"/>
  <c r="A37" i="20"/>
  <c r="K36" i="20"/>
  <c r="I36" i="20"/>
  <c r="H36" i="20"/>
  <c r="G36" i="20"/>
  <c r="F36" i="20"/>
  <c r="E36" i="20"/>
  <c r="D36" i="20"/>
  <c r="C36" i="20"/>
  <c r="B36" i="20"/>
  <c r="A36" i="20"/>
  <c r="K35" i="20"/>
  <c r="I35" i="20"/>
  <c r="H35" i="20"/>
  <c r="G35" i="20"/>
  <c r="F35" i="20"/>
  <c r="E35" i="20"/>
  <c r="D35" i="20"/>
  <c r="C35" i="20"/>
  <c r="B35" i="20"/>
  <c r="A35" i="20"/>
  <c r="K34" i="20"/>
  <c r="I34" i="20"/>
  <c r="H34" i="20"/>
  <c r="G34" i="20"/>
  <c r="F34" i="20"/>
  <c r="E34" i="20"/>
  <c r="D34" i="20"/>
  <c r="C34" i="20"/>
  <c r="B34" i="20"/>
  <c r="A34" i="20"/>
  <c r="K33" i="20"/>
  <c r="J33" i="20"/>
  <c r="I33" i="20"/>
  <c r="H33" i="20"/>
  <c r="G33" i="20"/>
  <c r="F33" i="20"/>
  <c r="E33" i="20"/>
  <c r="D33" i="20"/>
  <c r="C33" i="20"/>
  <c r="B33" i="20"/>
  <c r="A33" i="20"/>
  <c r="K32" i="20"/>
  <c r="I32" i="20"/>
  <c r="H32" i="20"/>
  <c r="G32" i="20"/>
  <c r="F32" i="20"/>
  <c r="E32" i="20"/>
  <c r="D32" i="20"/>
  <c r="C32" i="20"/>
  <c r="B32" i="20"/>
  <c r="A32" i="20"/>
  <c r="K31" i="20"/>
  <c r="J31" i="20"/>
  <c r="I31" i="20"/>
  <c r="H31" i="20"/>
  <c r="G31" i="20"/>
  <c r="F31" i="20"/>
  <c r="E31" i="20"/>
  <c r="D31" i="20"/>
  <c r="C31" i="20"/>
  <c r="B31" i="20"/>
  <c r="A31" i="20"/>
  <c r="K30" i="20"/>
  <c r="J30" i="20"/>
  <c r="I30" i="20"/>
  <c r="H30" i="20"/>
  <c r="G30" i="20"/>
  <c r="F30" i="20"/>
  <c r="E30" i="20"/>
  <c r="D30" i="20"/>
  <c r="C30" i="20"/>
  <c r="B30" i="20"/>
  <c r="A30" i="20"/>
  <c r="K29" i="20"/>
  <c r="I29" i="20"/>
  <c r="H29" i="20"/>
  <c r="G29" i="20"/>
  <c r="F29" i="20"/>
  <c r="E29" i="20"/>
  <c r="D29" i="20"/>
  <c r="C29" i="20"/>
  <c r="B29" i="20"/>
  <c r="A29" i="20"/>
  <c r="K28" i="20"/>
  <c r="I28" i="20"/>
  <c r="H28" i="20"/>
  <c r="G28" i="20"/>
  <c r="F28" i="20"/>
  <c r="E28" i="20"/>
  <c r="D28" i="20"/>
  <c r="C28" i="20"/>
  <c r="B28" i="20"/>
  <c r="A28" i="20"/>
  <c r="K27" i="20"/>
  <c r="I27" i="20"/>
  <c r="H27" i="20"/>
  <c r="G27" i="20"/>
  <c r="F27" i="20"/>
  <c r="E27" i="20"/>
  <c r="D27" i="20"/>
  <c r="C27" i="20"/>
  <c r="B27" i="20"/>
  <c r="A27" i="20"/>
  <c r="K26" i="20"/>
  <c r="I26" i="20"/>
  <c r="H26" i="20"/>
  <c r="G26" i="20"/>
  <c r="F26" i="20"/>
  <c r="E26" i="20"/>
  <c r="D26" i="20"/>
  <c r="C26" i="20"/>
  <c r="B26" i="20"/>
  <c r="A26" i="20"/>
  <c r="K25" i="20"/>
  <c r="J25" i="20"/>
  <c r="I25" i="20"/>
  <c r="H25" i="20"/>
  <c r="G25" i="20"/>
  <c r="F25" i="20"/>
  <c r="E25" i="20"/>
  <c r="D25" i="20"/>
  <c r="C25" i="20"/>
  <c r="B25" i="20"/>
  <c r="A25" i="20"/>
  <c r="K24" i="20"/>
  <c r="I24" i="20"/>
  <c r="H24" i="20"/>
  <c r="G24" i="20"/>
  <c r="F24" i="20"/>
  <c r="E24" i="20"/>
  <c r="D24" i="20"/>
  <c r="C24" i="20"/>
  <c r="B24" i="20"/>
  <c r="A24" i="20"/>
  <c r="K23" i="20"/>
  <c r="I23" i="20"/>
  <c r="H23" i="20"/>
  <c r="G23" i="20"/>
  <c r="F23" i="20"/>
  <c r="E23" i="20"/>
  <c r="D23" i="20"/>
  <c r="C23" i="20"/>
  <c r="B23" i="20"/>
  <c r="A23" i="20"/>
  <c r="K22" i="20"/>
  <c r="J22" i="20"/>
  <c r="I22" i="20"/>
  <c r="H22" i="20"/>
  <c r="G22" i="20"/>
  <c r="F22" i="20"/>
  <c r="E22" i="20"/>
  <c r="D22" i="20"/>
  <c r="C22" i="20"/>
  <c r="B22" i="20"/>
  <c r="A22" i="20"/>
  <c r="K21" i="20"/>
  <c r="J21" i="20"/>
  <c r="I21" i="20"/>
  <c r="H21" i="20"/>
  <c r="G21" i="20"/>
  <c r="F21" i="20"/>
  <c r="E21" i="20"/>
  <c r="D21" i="20"/>
  <c r="C21" i="20"/>
  <c r="B21" i="20"/>
  <c r="A21" i="20"/>
  <c r="K20" i="20"/>
  <c r="J20" i="20"/>
  <c r="I20" i="20"/>
  <c r="H20" i="20"/>
  <c r="G20" i="20"/>
  <c r="F20" i="20"/>
  <c r="E20" i="20"/>
  <c r="D20" i="20"/>
  <c r="C20" i="20"/>
  <c r="B20" i="20"/>
  <c r="A20" i="20"/>
  <c r="K19" i="20"/>
  <c r="I19" i="20"/>
  <c r="H19" i="20"/>
  <c r="G19" i="20"/>
  <c r="F19" i="20"/>
  <c r="E19" i="20"/>
  <c r="D19" i="20"/>
  <c r="C19" i="20"/>
  <c r="B19" i="20"/>
  <c r="A19" i="20"/>
  <c r="K18" i="20"/>
  <c r="I18" i="20"/>
  <c r="H18" i="20"/>
  <c r="G18" i="20"/>
  <c r="F18" i="20"/>
  <c r="E18" i="20"/>
  <c r="D18" i="20"/>
  <c r="C18" i="20"/>
  <c r="B18" i="20"/>
  <c r="A18" i="20"/>
  <c r="K17" i="20"/>
  <c r="I17" i="20"/>
  <c r="H17" i="20"/>
  <c r="G17" i="20"/>
  <c r="F17" i="20"/>
  <c r="E17" i="20"/>
  <c r="D17" i="20"/>
  <c r="C17" i="20"/>
  <c r="B17" i="20"/>
  <c r="A17" i="20"/>
  <c r="K16" i="20"/>
  <c r="J16" i="20"/>
  <c r="I16" i="20"/>
  <c r="H16" i="20"/>
  <c r="G16" i="20"/>
  <c r="F16" i="20"/>
  <c r="E16" i="20"/>
  <c r="D16" i="20"/>
  <c r="C16" i="20"/>
  <c r="B16" i="20"/>
  <c r="A16" i="20"/>
  <c r="K15" i="20"/>
  <c r="J15" i="20"/>
  <c r="I15" i="20"/>
  <c r="H15" i="20"/>
  <c r="G15" i="20"/>
  <c r="F15" i="20"/>
  <c r="E15" i="20"/>
  <c r="D15" i="20"/>
  <c r="C15" i="20"/>
  <c r="B15" i="20"/>
  <c r="A15" i="20"/>
  <c r="K14" i="20"/>
  <c r="J14" i="20"/>
  <c r="I14" i="20"/>
  <c r="H14" i="20"/>
  <c r="G14" i="20"/>
  <c r="F14" i="20"/>
  <c r="E14" i="20"/>
  <c r="D14" i="20"/>
  <c r="C14" i="20"/>
  <c r="B14" i="20"/>
  <c r="A14" i="20"/>
  <c r="K13" i="20"/>
  <c r="J13" i="20"/>
  <c r="I13" i="20"/>
  <c r="H13" i="20"/>
  <c r="G13" i="20"/>
  <c r="F13" i="20"/>
  <c r="E13" i="20"/>
  <c r="D13" i="20"/>
  <c r="C13" i="20"/>
  <c r="B13" i="20"/>
  <c r="A13" i="20"/>
  <c r="K12" i="20"/>
  <c r="J12" i="20"/>
  <c r="I12" i="20"/>
  <c r="H12" i="20"/>
  <c r="G12" i="20"/>
  <c r="F12" i="20"/>
  <c r="E12" i="20"/>
  <c r="D12" i="20"/>
  <c r="C12" i="20"/>
  <c r="B12" i="20"/>
  <c r="A12" i="20"/>
  <c r="K11" i="20"/>
  <c r="J11" i="20"/>
  <c r="I11" i="20"/>
  <c r="H11" i="20"/>
  <c r="G11" i="20"/>
  <c r="F11" i="20"/>
  <c r="E11" i="20"/>
  <c r="D11" i="20"/>
  <c r="C11" i="20"/>
  <c r="B11" i="20"/>
  <c r="A11" i="20"/>
  <c r="K10" i="20"/>
  <c r="J10" i="20"/>
  <c r="I10" i="20"/>
  <c r="H10" i="20"/>
  <c r="G10" i="20"/>
  <c r="F10" i="20"/>
  <c r="E10" i="20"/>
  <c r="D10" i="20"/>
  <c r="C10" i="20"/>
  <c r="B10" i="20"/>
  <c r="A10" i="20"/>
  <c r="K9" i="20"/>
  <c r="I9" i="20"/>
  <c r="H9" i="20"/>
  <c r="G9" i="20"/>
  <c r="F9" i="20"/>
  <c r="E9" i="20"/>
  <c r="D9" i="20"/>
  <c r="C9" i="20"/>
  <c r="B9" i="20"/>
  <c r="A9" i="20"/>
  <c r="K8" i="20"/>
  <c r="J8" i="20"/>
  <c r="I8" i="20"/>
  <c r="H8" i="20"/>
  <c r="G8" i="20"/>
  <c r="F8" i="20"/>
  <c r="E8" i="20"/>
  <c r="D8" i="20"/>
  <c r="C8" i="20"/>
  <c r="B8" i="20"/>
  <c r="A8" i="20"/>
  <c r="K7" i="20"/>
  <c r="I7" i="20"/>
  <c r="H7" i="20"/>
  <c r="G7" i="20"/>
  <c r="F7" i="20"/>
  <c r="E7" i="20"/>
  <c r="D7" i="20"/>
  <c r="C7" i="20"/>
  <c r="B7" i="20"/>
  <c r="A7" i="20"/>
  <c r="K6" i="20"/>
  <c r="I6" i="20"/>
  <c r="H6" i="20"/>
  <c r="G6" i="20"/>
  <c r="F6" i="20"/>
  <c r="E6" i="20"/>
  <c r="D6" i="20"/>
  <c r="C6" i="20"/>
  <c r="B6" i="20"/>
  <c r="A6" i="20"/>
  <c r="K5" i="20"/>
  <c r="J5" i="20"/>
  <c r="I5" i="20"/>
  <c r="H5" i="20"/>
  <c r="G5" i="20"/>
  <c r="F5" i="20"/>
  <c r="E5" i="20"/>
  <c r="D5" i="20"/>
  <c r="C5" i="20"/>
  <c r="B5" i="20"/>
  <c r="A5" i="20"/>
  <c r="K4" i="20"/>
  <c r="J4" i="20"/>
  <c r="I4" i="20"/>
  <c r="H4" i="20"/>
  <c r="G4" i="20"/>
  <c r="F4" i="20"/>
  <c r="E4" i="20"/>
  <c r="D4" i="20"/>
  <c r="C4" i="20"/>
  <c r="B4" i="20"/>
  <c r="A4" i="20"/>
  <c r="K3" i="20"/>
  <c r="I3" i="20"/>
  <c r="H3" i="20"/>
  <c r="G3" i="20"/>
  <c r="F3" i="20"/>
  <c r="E3" i="20"/>
  <c r="D3" i="20"/>
  <c r="C3" i="20"/>
  <c r="B3" i="20"/>
  <c r="A3" i="20"/>
  <c r="K2" i="20"/>
  <c r="I2" i="20"/>
  <c r="H2" i="20"/>
  <c r="G2" i="20"/>
  <c r="F2" i="20"/>
  <c r="E2" i="20"/>
  <c r="D2" i="20"/>
  <c r="C2" i="20"/>
  <c r="B2" i="20"/>
  <c r="A2" i="20"/>
  <c r="I5" i="19"/>
  <c r="H5" i="19"/>
  <c r="G5" i="19"/>
  <c r="F5" i="19"/>
  <c r="E5" i="19"/>
  <c r="D5" i="19"/>
  <c r="C5" i="19"/>
  <c r="B5" i="19"/>
  <c r="A5" i="19"/>
  <c r="J4" i="19"/>
  <c r="I4" i="19"/>
  <c r="H4" i="19"/>
  <c r="G4" i="19"/>
  <c r="F4" i="19"/>
  <c r="E4" i="19"/>
  <c r="D4" i="19"/>
  <c r="C4" i="19"/>
  <c r="B4" i="19"/>
  <c r="A4" i="19"/>
  <c r="I3" i="19"/>
  <c r="H3" i="19"/>
  <c r="G3" i="19"/>
  <c r="F3" i="19"/>
  <c r="E3" i="19"/>
  <c r="D3" i="19"/>
  <c r="C3" i="19"/>
  <c r="B3" i="19"/>
  <c r="A3" i="19"/>
  <c r="J2" i="19"/>
  <c r="I2" i="19"/>
  <c r="H2" i="19"/>
  <c r="G2" i="19"/>
  <c r="F2" i="19"/>
  <c r="E2" i="19"/>
  <c r="D2" i="19"/>
  <c r="C2" i="19"/>
  <c r="B2" i="19"/>
  <c r="A2" i="19"/>
  <c r="J6" i="18"/>
  <c r="I6" i="18"/>
  <c r="H6" i="18"/>
  <c r="G6" i="18"/>
  <c r="F6" i="18"/>
  <c r="E6" i="18"/>
  <c r="D6" i="18"/>
  <c r="C6" i="18"/>
  <c r="B6" i="18"/>
  <c r="A6" i="18"/>
  <c r="J5" i="18"/>
  <c r="I5" i="18"/>
  <c r="H5" i="18"/>
  <c r="G5" i="18"/>
  <c r="F5" i="18"/>
  <c r="E5" i="18"/>
  <c r="D5" i="18"/>
  <c r="C5" i="18"/>
  <c r="B5" i="18"/>
  <c r="A5" i="18"/>
  <c r="J4" i="18"/>
  <c r="I4" i="18"/>
  <c r="H4" i="18"/>
  <c r="G4" i="18"/>
  <c r="F4" i="18"/>
  <c r="E4" i="18"/>
  <c r="D4" i="18"/>
  <c r="C4" i="18"/>
  <c r="B4" i="18"/>
  <c r="A4" i="18"/>
  <c r="J3" i="18"/>
  <c r="I3" i="18"/>
  <c r="H3" i="18"/>
  <c r="G3" i="18"/>
  <c r="F3" i="18"/>
  <c r="E3" i="18"/>
  <c r="D3" i="18"/>
  <c r="C3" i="18"/>
  <c r="B3" i="18"/>
  <c r="A3" i="18"/>
  <c r="J2" i="18"/>
  <c r="I2" i="18"/>
  <c r="H2" i="18"/>
  <c r="G2" i="18"/>
  <c r="F2" i="18"/>
  <c r="E2" i="18"/>
  <c r="D2" i="18"/>
  <c r="C2" i="18"/>
  <c r="B2" i="18"/>
  <c r="A2" i="18"/>
  <c r="A2" i="17"/>
  <c r="I8" i="16"/>
  <c r="H8" i="16"/>
  <c r="G8" i="16"/>
  <c r="F8" i="16"/>
  <c r="E8" i="16"/>
  <c r="D8" i="16"/>
  <c r="C8" i="16"/>
  <c r="B8" i="16"/>
  <c r="A8" i="16"/>
  <c r="I7" i="16"/>
  <c r="H7" i="16"/>
  <c r="G7" i="16"/>
  <c r="F7" i="16"/>
  <c r="E7" i="16"/>
  <c r="D7" i="16"/>
  <c r="C7" i="16"/>
  <c r="B7" i="16"/>
  <c r="A7" i="16"/>
  <c r="I6" i="16"/>
  <c r="H6" i="16"/>
  <c r="G6" i="16"/>
  <c r="F6" i="16"/>
  <c r="E6" i="16"/>
  <c r="D6" i="16"/>
  <c r="C6" i="16"/>
  <c r="B6" i="16"/>
  <c r="A6" i="16"/>
  <c r="I5" i="16"/>
  <c r="H5" i="16"/>
  <c r="G5" i="16"/>
  <c r="F5" i="16"/>
  <c r="E5" i="16"/>
  <c r="D5" i="16"/>
  <c r="C5" i="16"/>
  <c r="B5" i="16"/>
  <c r="A5" i="16"/>
  <c r="I4" i="16"/>
  <c r="H4" i="16"/>
  <c r="G4" i="16"/>
  <c r="F4" i="16"/>
  <c r="E4" i="16"/>
  <c r="D4" i="16"/>
  <c r="C4" i="16"/>
  <c r="B4" i="16"/>
  <c r="A4" i="16"/>
  <c r="I3" i="16"/>
  <c r="H3" i="16"/>
  <c r="G3" i="16"/>
  <c r="F3" i="16"/>
  <c r="E3" i="16"/>
  <c r="D3" i="16"/>
  <c r="C3" i="16"/>
  <c r="B3" i="16"/>
  <c r="A3" i="16"/>
  <c r="I2" i="16"/>
  <c r="H2" i="16"/>
  <c r="G2" i="16"/>
  <c r="F2" i="16"/>
  <c r="E2" i="16"/>
  <c r="D2" i="16"/>
  <c r="C2" i="16"/>
  <c r="B2" i="16"/>
  <c r="A2" i="16"/>
  <c r="I5" i="15"/>
  <c r="H5" i="15"/>
  <c r="G5" i="15"/>
  <c r="F5" i="15"/>
  <c r="E5" i="15"/>
  <c r="D5" i="15"/>
  <c r="C5" i="15"/>
  <c r="B5" i="15"/>
  <c r="A5" i="15"/>
  <c r="I4" i="15"/>
  <c r="H4" i="15"/>
  <c r="G4" i="15"/>
  <c r="F4" i="15"/>
  <c r="E4" i="15"/>
  <c r="D4" i="15"/>
  <c r="C4" i="15"/>
  <c r="B4" i="15"/>
  <c r="A4" i="15"/>
  <c r="I3" i="15"/>
  <c r="H3" i="15"/>
  <c r="G3" i="15"/>
  <c r="F3" i="15"/>
  <c r="E3" i="15"/>
  <c r="D3" i="15"/>
  <c r="C3" i="15"/>
  <c r="B3" i="15"/>
  <c r="A3" i="15"/>
  <c r="I2" i="15"/>
  <c r="H2" i="15"/>
  <c r="G2" i="15"/>
  <c r="F2" i="15"/>
  <c r="E2" i="15"/>
  <c r="D2" i="15"/>
  <c r="C2" i="15"/>
  <c r="B2" i="15"/>
  <c r="A2" i="15"/>
  <c r="A2" i="14"/>
  <c r="K63" i="13"/>
  <c r="J63" i="13"/>
  <c r="I63" i="13"/>
  <c r="H63" i="13"/>
  <c r="G63" i="13"/>
  <c r="F63" i="13"/>
  <c r="E63" i="13"/>
  <c r="D63" i="13"/>
  <c r="C63" i="13"/>
  <c r="B63" i="13"/>
  <c r="A63" i="13"/>
  <c r="K62" i="13"/>
  <c r="J62" i="13"/>
  <c r="I62" i="13"/>
  <c r="H62" i="13"/>
  <c r="G62" i="13"/>
  <c r="F62" i="13"/>
  <c r="E62" i="13"/>
  <c r="D62" i="13"/>
  <c r="C62" i="13"/>
  <c r="B62" i="13"/>
  <c r="A62" i="13"/>
  <c r="K61" i="13"/>
  <c r="J61" i="13"/>
  <c r="I61" i="13"/>
  <c r="H61" i="13"/>
  <c r="G61" i="13"/>
  <c r="F61" i="13"/>
  <c r="E61" i="13"/>
  <c r="D61" i="13"/>
  <c r="C61" i="13"/>
  <c r="B61" i="13"/>
  <c r="A61" i="13"/>
  <c r="K60" i="13"/>
  <c r="J60" i="13"/>
  <c r="I60" i="13"/>
  <c r="H60" i="13"/>
  <c r="G60" i="13"/>
  <c r="F60" i="13"/>
  <c r="E60" i="13"/>
  <c r="D60" i="13"/>
  <c r="C60" i="13"/>
  <c r="B60" i="13"/>
  <c r="A60" i="13"/>
  <c r="K59" i="13"/>
  <c r="J59" i="13"/>
  <c r="I59" i="13"/>
  <c r="H59" i="13"/>
  <c r="G59" i="13"/>
  <c r="F59" i="13"/>
  <c r="E59" i="13"/>
  <c r="D59" i="13"/>
  <c r="C59" i="13"/>
  <c r="B59" i="13"/>
  <c r="A59" i="13"/>
  <c r="K58" i="13"/>
  <c r="J58" i="13"/>
  <c r="I58" i="13"/>
  <c r="H58" i="13"/>
  <c r="G58" i="13"/>
  <c r="F58" i="13"/>
  <c r="E58" i="13"/>
  <c r="D58" i="13"/>
  <c r="C58" i="13"/>
  <c r="B58" i="13"/>
  <c r="A58" i="13"/>
  <c r="K57" i="13"/>
  <c r="J57" i="13"/>
  <c r="I57" i="13"/>
  <c r="H57" i="13"/>
  <c r="G57" i="13"/>
  <c r="F57" i="13"/>
  <c r="E57" i="13"/>
  <c r="D57" i="13"/>
  <c r="C57" i="13"/>
  <c r="B57" i="13"/>
  <c r="A57" i="13"/>
  <c r="K56" i="13"/>
  <c r="J56" i="13"/>
  <c r="I56" i="13"/>
  <c r="H56" i="13"/>
  <c r="G56" i="13"/>
  <c r="F56" i="13"/>
  <c r="E56" i="13"/>
  <c r="D56" i="13"/>
  <c r="C56" i="13"/>
  <c r="B56" i="13"/>
  <c r="A56" i="13"/>
  <c r="K55" i="13"/>
  <c r="J55" i="13"/>
  <c r="I55" i="13"/>
  <c r="H55" i="13"/>
  <c r="G55" i="13"/>
  <c r="F55" i="13"/>
  <c r="E55" i="13"/>
  <c r="D55" i="13"/>
  <c r="C55" i="13"/>
  <c r="B55" i="13"/>
  <c r="A55" i="13"/>
  <c r="K54" i="13"/>
  <c r="J54" i="13"/>
  <c r="I54" i="13"/>
  <c r="H54" i="13"/>
  <c r="G54" i="13"/>
  <c r="F54" i="13"/>
  <c r="E54" i="13"/>
  <c r="D54" i="13"/>
  <c r="C54" i="13"/>
  <c r="B54" i="13"/>
  <c r="A54" i="13"/>
  <c r="K53" i="13"/>
  <c r="J53" i="13"/>
  <c r="I53" i="13"/>
  <c r="H53" i="13"/>
  <c r="G53" i="13"/>
  <c r="F53" i="13"/>
  <c r="E53" i="13"/>
  <c r="D53" i="13"/>
  <c r="C53" i="13"/>
  <c r="B53" i="13"/>
  <c r="A53" i="13"/>
  <c r="K52" i="13"/>
  <c r="J52" i="13"/>
  <c r="I52" i="13"/>
  <c r="H52" i="13"/>
  <c r="G52" i="13"/>
  <c r="F52" i="13"/>
  <c r="E52" i="13"/>
  <c r="D52" i="13"/>
  <c r="C52" i="13"/>
  <c r="B52" i="13"/>
  <c r="A52" i="13"/>
  <c r="K51" i="13"/>
  <c r="J51" i="13"/>
  <c r="I51" i="13"/>
  <c r="H51" i="13"/>
  <c r="G51" i="13"/>
  <c r="F51" i="13"/>
  <c r="E51" i="13"/>
  <c r="D51" i="13"/>
  <c r="C51" i="13"/>
  <c r="B51" i="13"/>
  <c r="A51" i="13"/>
  <c r="K50" i="13"/>
  <c r="J50" i="13"/>
  <c r="I50" i="13"/>
  <c r="H50" i="13"/>
  <c r="G50" i="13"/>
  <c r="F50" i="13"/>
  <c r="E50" i="13"/>
  <c r="D50" i="13"/>
  <c r="C50" i="13"/>
  <c r="B50" i="13"/>
  <c r="A50" i="13"/>
  <c r="K49" i="13"/>
  <c r="J49" i="13"/>
  <c r="I49" i="13"/>
  <c r="H49" i="13"/>
  <c r="G49" i="13"/>
  <c r="F49" i="13"/>
  <c r="E49" i="13"/>
  <c r="D49" i="13"/>
  <c r="C49" i="13"/>
  <c r="B49" i="13"/>
  <c r="A49" i="13"/>
  <c r="K48" i="13"/>
  <c r="J48" i="13"/>
  <c r="I48" i="13"/>
  <c r="H48" i="13"/>
  <c r="G48" i="13"/>
  <c r="F48" i="13"/>
  <c r="E48" i="13"/>
  <c r="D48" i="13"/>
  <c r="C48" i="13"/>
  <c r="B48" i="13"/>
  <c r="A48" i="13"/>
  <c r="K47" i="13"/>
  <c r="J47" i="13"/>
  <c r="I47" i="13"/>
  <c r="H47" i="13"/>
  <c r="G47" i="13"/>
  <c r="F47" i="13"/>
  <c r="E47" i="13"/>
  <c r="D47" i="13"/>
  <c r="C47" i="13"/>
  <c r="B47" i="13"/>
  <c r="A47" i="13"/>
  <c r="K46" i="13"/>
  <c r="J46" i="13"/>
  <c r="I46" i="13"/>
  <c r="H46" i="13"/>
  <c r="G46" i="13"/>
  <c r="F46" i="13"/>
  <c r="E46" i="13"/>
  <c r="D46" i="13"/>
  <c r="C46" i="13"/>
  <c r="B46" i="13"/>
  <c r="A46" i="13"/>
  <c r="K45" i="13"/>
  <c r="J45" i="13"/>
  <c r="I45" i="13"/>
  <c r="H45" i="13"/>
  <c r="G45" i="13"/>
  <c r="F45" i="13"/>
  <c r="E45" i="13"/>
  <c r="D45" i="13"/>
  <c r="C45" i="13"/>
  <c r="B45" i="13"/>
  <c r="A45" i="13"/>
  <c r="K44" i="13"/>
  <c r="J44" i="13"/>
  <c r="I44" i="13"/>
  <c r="H44" i="13"/>
  <c r="G44" i="13"/>
  <c r="F44" i="13"/>
  <c r="E44" i="13"/>
  <c r="D44" i="13"/>
  <c r="C44" i="13"/>
  <c r="B44" i="13"/>
  <c r="A44" i="13"/>
  <c r="K43" i="13"/>
  <c r="J43" i="13"/>
  <c r="I43" i="13"/>
  <c r="H43" i="13"/>
  <c r="G43" i="13"/>
  <c r="F43" i="13"/>
  <c r="E43" i="13"/>
  <c r="D43" i="13"/>
  <c r="C43" i="13"/>
  <c r="B43" i="13"/>
  <c r="A43" i="13"/>
  <c r="K42" i="13"/>
  <c r="J42" i="13"/>
  <c r="I42" i="13"/>
  <c r="H42" i="13"/>
  <c r="G42" i="13"/>
  <c r="F42" i="13"/>
  <c r="E42" i="13"/>
  <c r="D42" i="13"/>
  <c r="C42" i="13"/>
  <c r="B42" i="13"/>
  <c r="A42" i="13"/>
  <c r="K41" i="13"/>
  <c r="J41" i="13"/>
  <c r="I41" i="13"/>
  <c r="H41" i="13"/>
  <c r="G41" i="13"/>
  <c r="F41" i="13"/>
  <c r="E41" i="13"/>
  <c r="D41" i="13"/>
  <c r="C41" i="13"/>
  <c r="B41" i="13"/>
  <c r="A41" i="13"/>
  <c r="K40" i="13"/>
  <c r="J40" i="13"/>
  <c r="I40" i="13"/>
  <c r="H40" i="13"/>
  <c r="G40" i="13"/>
  <c r="F40" i="13"/>
  <c r="E40" i="13"/>
  <c r="D40" i="13"/>
  <c r="C40" i="13"/>
  <c r="B40" i="13"/>
  <c r="A40" i="13"/>
  <c r="K39" i="13"/>
  <c r="J39" i="13"/>
  <c r="I39" i="13"/>
  <c r="H39" i="13"/>
  <c r="G39" i="13"/>
  <c r="F39" i="13"/>
  <c r="E39" i="13"/>
  <c r="D39" i="13"/>
  <c r="C39" i="13"/>
  <c r="B39" i="13"/>
  <c r="A39" i="13"/>
  <c r="K38" i="13"/>
  <c r="J38" i="13"/>
  <c r="I38" i="13"/>
  <c r="H38" i="13"/>
  <c r="G38" i="13"/>
  <c r="F38" i="13"/>
  <c r="E38" i="13"/>
  <c r="D38" i="13"/>
  <c r="C38" i="13"/>
  <c r="B38" i="13"/>
  <c r="A38" i="13"/>
  <c r="K37" i="13"/>
  <c r="J37" i="13"/>
  <c r="I37" i="13"/>
  <c r="H37" i="13"/>
  <c r="G37" i="13"/>
  <c r="F37" i="13"/>
  <c r="E37" i="13"/>
  <c r="D37" i="13"/>
  <c r="C37" i="13"/>
  <c r="B37" i="13"/>
  <c r="A37" i="13"/>
  <c r="K36" i="13"/>
  <c r="J36" i="13"/>
  <c r="I36" i="13"/>
  <c r="H36" i="13"/>
  <c r="G36" i="13"/>
  <c r="F36" i="13"/>
  <c r="E36" i="13"/>
  <c r="D36" i="13"/>
  <c r="C36" i="13"/>
  <c r="B36" i="13"/>
  <c r="A36" i="13"/>
  <c r="K35" i="13"/>
  <c r="J35" i="13"/>
  <c r="I35" i="13"/>
  <c r="H35" i="13"/>
  <c r="G35" i="13"/>
  <c r="F35" i="13"/>
  <c r="E35" i="13"/>
  <c r="D35" i="13"/>
  <c r="C35" i="13"/>
  <c r="B35" i="13"/>
  <c r="A35" i="13"/>
  <c r="K34" i="13"/>
  <c r="J34" i="13"/>
  <c r="I34" i="13"/>
  <c r="H34" i="13"/>
  <c r="G34" i="13"/>
  <c r="F34" i="13"/>
  <c r="E34" i="13"/>
  <c r="D34" i="13"/>
  <c r="C34" i="13"/>
  <c r="B34" i="13"/>
  <c r="A34" i="13"/>
  <c r="K33" i="13"/>
  <c r="J33" i="13"/>
  <c r="I33" i="13"/>
  <c r="H33" i="13"/>
  <c r="G33" i="13"/>
  <c r="F33" i="13"/>
  <c r="E33" i="13"/>
  <c r="D33" i="13"/>
  <c r="C33" i="13"/>
  <c r="B33" i="13"/>
  <c r="A33" i="13"/>
  <c r="K32" i="13"/>
  <c r="J32" i="13"/>
  <c r="I32" i="13"/>
  <c r="H32" i="13"/>
  <c r="G32" i="13"/>
  <c r="F32" i="13"/>
  <c r="E32" i="13"/>
  <c r="D32" i="13"/>
  <c r="C32" i="13"/>
  <c r="B32" i="13"/>
  <c r="A32" i="13"/>
  <c r="K31" i="13"/>
  <c r="J31" i="13"/>
  <c r="I31" i="13"/>
  <c r="H31" i="13"/>
  <c r="G31" i="13"/>
  <c r="F31" i="13"/>
  <c r="E31" i="13"/>
  <c r="D31" i="13"/>
  <c r="C31" i="13"/>
  <c r="B31" i="13"/>
  <c r="A31" i="13"/>
  <c r="K30" i="13"/>
  <c r="J30" i="13"/>
  <c r="I30" i="13"/>
  <c r="H30" i="13"/>
  <c r="G30" i="13"/>
  <c r="F30" i="13"/>
  <c r="E30" i="13"/>
  <c r="D30" i="13"/>
  <c r="C30" i="13"/>
  <c r="B30" i="13"/>
  <c r="A30" i="13"/>
  <c r="K29" i="13"/>
  <c r="J29" i="13"/>
  <c r="I29" i="13"/>
  <c r="H29" i="13"/>
  <c r="G29" i="13"/>
  <c r="F29" i="13"/>
  <c r="E29" i="13"/>
  <c r="D29" i="13"/>
  <c r="C29" i="13"/>
  <c r="B29" i="13"/>
  <c r="A29" i="13"/>
  <c r="K28" i="13"/>
  <c r="J28" i="13"/>
  <c r="I28" i="13"/>
  <c r="H28" i="13"/>
  <c r="G28" i="13"/>
  <c r="F28" i="13"/>
  <c r="E28" i="13"/>
  <c r="D28" i="13"/>
  <c r="C28" i="13"/>
  <c r="B28" i="13"/>
  <c r="A28" i="13"/>
  <c r="K27" i="13"/>
  <c r="J27" i="13"/>
  <c r="I27" i="13"/>
  <c r="H27" i="13"/>
  <c r="G27" i="13"/>
  <c r="F27" i="13"/>
  <c r="E27" i="13"/>
  <c r="D27" i="13"/>
  <c r="C27" i="13"/>
  <c r="B27" i="13"/>
  <c r="A27" i="13"/>
  <c r="K26" i="13"/>
  <c r="J26" i="13"/>
  <c r="I26" i="13"/>
  <c r="H26" i="13"/>
  <c r="G26" i="13"/>
  <c r="F26" i="13"/>
  <c r="E26" i="13"/>
  <c r="D26" i="13"/>
  <c r="C26" i="13"/>
  <c r="B26" i="13"/>
  <c r="A26" i="13"/>
  <c r="K25" i="13"/>
  <c r="J25" i="13"/>
  <c r="I25" i="13"/>
  <c r="H25" i="13"/>
  <c r="G25" i="13"/>
  <c r="F25" i="13"/>
  <c r="E25" i="13"/>
  <c r="D25" i="13"/>
  <c r="C25" i="13"/>
  <c r="B25" i="13"/>
  <c r="A25" i="13"/>
  <c r="K24" i="13"/>
  <c r="J24" i="13"/>
  <c r="I24" i="13"/>
  <c r="H24" i="13"/>
  <c r="G24" i="13"/>
  <c r="F24" i="13"/>
  <c r="E24" i="13"/>
  <c r="D24" i="13"/>
  <c r="C24" i="13"/>
  <c r="B24" i="13"/>
  <c r="A24" i="13"/>
  <c r="K23" i="13"/>
  <c r="J23" i="13"/>
  <c r="I23" i="13"/>
  <c r="H23" i="13"/>
  <c r="G23" i="13"/>
  <c r="F23" i="13"/>
  <c r="E23" i="13"/>
  <c r="D23" i="13"/>
  <c r="C23" i="13"/>
  <c r="B23" i="13"/>
  <c r="A23" i="13"/>
  <c r="K22" i="13"/>
  <c r="J22" i="13"/>
  <c r="I22" i="13"/>
  <c r="H22" i="13"/>
  <c r="G22" i="13"/>
  <c r="F22" i="13"/>
  <c r="E22" i="13"/>
  <c r="D22" i="13"/>
  <c r="C22" i="13"/>
  <c r="B22" i="13"/>
  <c r="A22" i="13"/>
  <c r="K21" i="13"/>
  <c r="J21" i="13"/>
  <c r="I21" i="13"/>
  <c r="H21" i="13"/>
  <c r="G21" i="13"/>
  <c r="F21" i="13"/>
  <c r="E21" i="13"/>
  <c r="D21" i="13"/>
  <c r="C21" i="13"/>
  <c r="B21" i="13"/>
  <c r="A21" i="13"/>
  <c r="K20" i="13"/>
  <c r="J20" i="13"/>
  <c r="I20" i="13"/>
  <c r="H20" i="13"/>
  <c r="G20" i="13"/>
  <c r="F20" i="13"/>
  <c r="E20" i="13"/>
  <c r="D20" i="13"/>
  <c r="C20" i="13"/>
  <c r="B20" i="13"/>
  <c r="A20" i="13"/>
  <c r="K19" i="13"/>
  <c r="J19" i="13"/>
  <c r="I19" i="13"/>
  <c r="H19" i="13"/>
  <c r="G19" i="13"/>
  <c r="F19" i="13"/>
  <c r="E19" i="13"/>
  <c r="D19" i="13"/>
  <c r="C19" i="13"/>
  <c r="B19" i="13"/>
  <c r="A19" i="13"/>
  <c r="K18" i="13"/>
  <c r="J18" i="13"/>
  <c r="I18" i="13"/>
  <c r="H18" i="13"/>
  <c r="G18" i="13"/>
  <c r="F18" i="13"/>
  <c r="E18" i="13"/>
  <c r="D18" i="13"/>
  <c r="C18" i="13"/>
  <c r="B18" i="13"/>
  <c r="A18" i="13"/>
  <c r="K17" i="13"/>
  <c r="J17" i="13"/>
  <c r="I17" i="13"/>
  <c r="H17" i="13"/>
  <c r="G17" i="13"/>
  <c r="F17" i="13"/>
  <c r="E17" i="13"/>
  <c r="D17" i="13"/>
  <c r="C17" i="13"/>
  <c r="B17" i="13"/>
  <c r="A17" i="13"/>
  <c r="K16" i="13"/>
  <c r="J16" i="13"/>
  <c r="I16" i="13"/>
  <c r="H16" i="13"/>
  <c r="G16" i="13"/>
  <c r="F16" i="13"/>
  <c r="E16" i="13"/>
  <c r="D16" i="13"/>
  <c r="C16" i="13"/>
  <c r="B16" i="13"/>
  <c r="A16" i="13"/>
  <c r="K15" i="13"/>
  <c r="J15" i="13"/>
  <c r="I15" i="13"/>
  <c r="H15" i="13"/>
  <c r="G15" i="13"/>
  <c r="F15" i="13"/>
  <c r="E15" i="13"/>
  <c r="D15" i="13"/>
  <c r="C15" i="13"/>
  <c r="B15" i="13"/>
  <c r="A15" i="13"/>
  <c r="K14" i="13"/>
  <c r="J14" i="13"/>
  <c r="I14" i="13"/>
  <c r="H14" i="13"/>
  <c r="G14" i="13"/>
  <c r="F14" i="13"/>
  <c r="E14" i="13"/>
  <c r="D14" i="13"/>
  <c r="C14" i="13"/>
  <c r="B14" i="13"/>
  <c r="A14" i="13"/>
  <c r="K13" i="13"/>
  <c r="J13" i="13"/>
  <c r="I13" i="13"/>
  <c r="H13" i="13"/>
  <c r="G13" i="13"/>
  <c r="F13" i="13"/>
  <c r="E13" i="13"/>
  <c r="D13" i="13"/>
  <c r="C13" i="13"/>
  <c r="B13" i="13"/>
  <c r="A13" i="13"/>
  <c r="K12" i="13"/>
  <c r="J12" i="13"/>
  <c r="I12" i="13"/>
  <c r="H12" i="13"/>
  <c r="G12" i="13"/>
  <c r="F12" i="13"/>
  <c r="E12" i="13"/>
  <c r="D12" i="13"/>
  <c r="C12" i="13"/>
  <c r="B12" i="13"/>
  <c r="A12" i="13"/>
  <c r="K11" i="13"/>
  <c r="J11" i="13"/>
  <c r="I11" i="13"/>
  <c r="H11" i="13"/>
  <c r="G11" i="13"/>
  <c r="F11" i="13"/>
  <c r="E11" i="13"/>
  <c r="D11" i="13"/>
  <c r="C11" i="13"/>
  <c r="B11" i="13"/>
  <c r="A11" i="13"/>
  <c r="K10" i="13"/>
  <c r="J10" i="13"/>
  <c r="I10" i="13"/>
  <c r="H10" i="13"/>
  <c r="G10" i="13"/>
  <c r="F10" i="13"/>
  <c r="E10" i="13"/>
  <c r="D10" i="13"/>
  <c r="C10" i="13"/>
  <c r="B10" i="13"/>
  <c r="A10" i="13"/>
  <c r="K9" i="13"/>
  <c r="J9" i="13"/>
  <c r="I9" i="13"/>
  <c r="H9" i="13"/>
  <c r="G9" i="13"/>
  <c r="F9" i="13"/>
  <c r="E9" i="13"/>
  <c r="D9" i="13"/>
  <c r="C9" i="13"/>
  <c r="B9" i="13"/>
  <c r="A9" i="13"/>
  <c r="K8" i="13"/>
  <c r="J8" i="13"/>
  <c r="I8" i="13"/>
  <c r="H8" i="13"/>
  <c r="G8" i="13"/>
  <c r="F8" i="13"/>
  <c r="E8" i="13"/>
  <c r="D8" i="13"/>
  <c r="C8" i="13"/>
  <c r="B8" i="13"/>
  <c r="A8" i="13"/>
  <c r="K7" i="13"/>
  <c r="J7" i="13"/>
  <c r="I7" i="13"/>
  <c r="H7" i="13"/>
  <c r="G7" i="13"/>
  <c r="F7" i="13"/>
  <c r="E7" i="13"/>
  <c r="D7" i="13"/>
  <c r="C7" i="13"/>
  <c r="B7" i="13"/>
  <c r="A7" i="13"/>
  <c r="K6" i="13"/>
  <c r="J6" i="13"/>
  <c r="I6" i="13"/>
  <c r="H6" i="13"/>
  <c r="G6" i="13"/>
  <c r="F6" i="13"/>
  <c r="E6" i="13"/>
  <c r="D6" i="13"/>
  <c r="C6" i="13"/>
  <c r="B6" i="13"/>
  <c r="A6" i="13"/>
  <c r="K5" i="13"/>
  <c r="J5" i="13"/>
  <c r="I5" i="13"/>
  <c r="H5" i="13"/>
  <c r="G5" i="13"/>
  <c r="F5" i="13"/>
  <c r="E5" i="13"/>
  <c r="D5" i="13"/>
  <c r="C5" i="13"/>
  <c r="B5" i="13"/>
  <c r="A5" i="13"/>
  <c r="K4" i="13"/>
  <c r="J4" i="13"/>
  <c r="I4" i="13"/>
  <c r="H4" i="13"/>
  <c r="G4" i="13"/>
  <c r="F4" i="13"/>
  <c r="E4" i="13"/>
  <c r="D4" i="13"/>
  <c r="C4" i="13"/>
  <c r="B4" i="13"/>
  <c r="A4" i="13"/>
  <c r="K3" i="13"/>
  <c r="J3" i="13"/>
  <c r="I3" i="13"/>
  <c r="H3" i="13"/>
  <c r="G3" i="13"/>
  <c r="F3" i="13"/>
  <c r="E3" i="13"/>
  <c r="D3" i="13"/>
  <c r="C3" i="13"/>
  <c r="B3" i="13"/>
  <c r="A3" i="13"/>
  <c r="J2" i="13"/>
  <c r="I2" i="13"/>
  <c r="H2" i="13"/>
  <c r="G2" i="13"/>
  <c r="F2" i="13"/>
  <c r="E2" i="13"/>
  <c r="D2" i="13"/>
  <c r="C2" i="13"/>
  <c r="B2" i="13"/>
  <c r="A2" i="13"/>
  <c r="N4" i="12"/>
  <c r="M4" i="12"/>
  <c r="L4" i="12"/>
  <c r="K4" i="12"/>
  <c r="J4" i="12"/>
  <c r="I4" i="12"/>
  <c r="H4" i="12"/>
  <c r="G4" i="12"/>
  <c r="F4" i="12"/>
  <c r="E4" i="12"/>
  <c r="D4" i="12"/>
  <c r="C4" i="12"/>
  <c r="B4" i="12"/>
  <c r="A4" i="12"/>
  <c r="N3" i="12"/>
  <c r="M3" i="12"/>
  <c r="L3" i="12"/>
  <c r="K3" i="12"/>
  <c r="J3" i="12"/>
  <c r="I3" i="12"/>
  <c r="H3" i="12"/>
  <c r="G3" i="12"/>
  <c r="F3" i="12"/>
  <c r="E3" i="12"/>
  <c r="D3" i="12"/>
  <c r="C3" i="12"/>
  <c r="B3" i="12"/>
  <c r="A3" i="12"/>
  <c r="N2" i="12"/>
  <c r="M2" i="12"/>
  <c r="L2" i="12"/>
  <c r="K2" i="12"/>
  <c r="J2" i="12"/>
  <c r="I2" i="12"/>
  <c r="H2" i="12"/>
  <c r="G2" i="12"/>
  <c r="F2" i="12"/>
  <c r="E2" i="12"/>
  <c r="D2" i="12"/>
  <c r="C2" i="12"/>
  <c r="B2" i="12"/>
  <c r="A2" i="12"/>
  <c r="M2" i="11"/>
  <c r="L2" i="11"/>
  <c r="K2" i="11"/>
  <c r="J2" i="11"/>
  <c r="I2" i="11"/>
  <c r="H2" i="11"/>
  <c r="G2" i="11"/>
  <c r="F2" i="11"/>
  <c r="E2" i="11"/>
  <c r="D2" i="11"/>
  <c r="C2" i="11"/>
  <c r="B2" i="11"/>
  <c r="A2" i="11"/>
  <c r="O12" i="10"/>
  <c r="N12" i="10"/>
  <c r="M12" i="10"/>
  <c r="L12" i="10"/>
  <c r="K12" i="10"/>
  <c r="G12" i="10"/>
  <c r="F12" i="10"/>
  <c r="E12" i="10"/>
  <c r="D12" i="10"/>
  <c r="C12" i="10"/>
  <c r="B12" i="10"/>
  <c r="A12" i="10"/>
  <c r="O11" i="10"/>
  <c r="N11" i="10"/>
  <c r="M11" i="10"/>
  <c r="L11" i="10"/>
  <c r="K11" i="10"/>
  <c r="G11" i="10"/>
  <c r="F11" i="10"/>
  <c r="E11" i="10"/>
  <c r="D11" i="10"/>
  <c r="C11" i="10"/>
  <c r="B11" i="10"/>
  <c r="A11" i="10"/>
  <c r="O10" i="10"/>
  <c r="N10" i="10"/>
  <c r="M10" i="10"/>
  <c r="L10" i="10"/>
  <c r="K10" i="10"/>
  <c r="G10" i="10"/>
  <c r="F10" i="10"/>
  <c r="E10" i="10"/>
  <c r="D10" i="10"/>
  <c r="C10" i="10"/>
  <c r="B10" i="10"/>
  <c r="A10" i="10"/>
  <c r="O9" i="10"/>
  <c r="N9" i="10"/>
  <c r="M9" i="10"/>
  <c r="L9" i="10"/>
  <c r="K9" i="10"/>
  <c r="G9" i="10"/>
  <c r="F9" i="10"/>
  <c r="E9" i="10"/>
  <c r="D9" i="10"/>
  <c r="C9" i="10"/>
  <c r="B9" i="10"/>
  <c r="A9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B8" i="10"/>
  <c r="A8" i="10"/>
  <c r="N7" i="10"/>
  <c r="M7" i="10"/>
  <c r="L7" i="10"/>
  <c r="K7" i="10"/>
  <c r="H7" i="10"/>
  <c r="G7" i="10"/>
  <c r="F7" i="10"/>
  <c r="E7" i="10"/>
  <c r="D7" i="10"/>
  <c r="C7" i="10"/>
  <c r="B7" i="10"/>
  <c r="A7" i="10"/>
  <c r="N6" i="10"/>
  <c r="M6" i="10"/>
  <c r="L6" i="10"/>
  <c r="K6" i="10"/>
  <c r="J6" i="10"/>
  <c r="I6" i="10"/>
  <c r="H6" i="10"/>
  <c r="G6" i="10"/>
  <c r="F6" i="10"/>
  <c r="E6" i="10"/>
  <c r="D6" i="10"/>
  <c r="C6" i="10"/>
  <c r="B6" i="10"/>
  <c r="A6" i="10"/>
  <c r="N5" i="10"/>
  <c r="M5" i="10"/>
  <c r="L5" i="10"/>
  <c r="K5" i="10"/>
  <c r="J5" i="10"/>
  <c r="I5" i="10"/>
  <c r="H5" i="10"/>
  <c r="G5" i="10"/>
  <c r="F5" i="10"/>
  <c r="E5" i="10"/>
  <c r="D5" i="10"/>
  <c r="C5" i="10"/>
  <c r="B5" i="10"/>
  <c r="A5" i="10"/>
  <c r="N4" i="10"/>
  <c r="M4" i="10"/>
  <c r="L4" i="10"/>
  <c r="K4" i="10"/>
  <c r="H4" i="10"/>
  <c r="G4" i="10"/>
  <c r="F4" i="10"/>
  <c r="E4" i="10"/>
  <c r="D4" i="10"/>
  <c r="C4" i="10"/>
  <c r="B4" i="10"/>
  <c r="A4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A3" i="10"/>
  <c r="N2" i="10"/>
  <c r="M2" i="10"/>
  <c r="L2" i="10"/>
  <c r="K2" i="10"/>
  <c r="J2" i="10"/>
  <c r="I2" i="10"/>
  <c r="H2" i="10"/>
  <c r="G2" i="10"/>
  <c r="F2" i="10"/>
  <c r="E2" i="10"/>
  <c r="D2" i="10"/>
  <c r="C2" i="10"/>
  <c r="B2" i="10"/>
  <c r="A2" i="10"/>
  <c r="A2" i="9"/>
  <c r="N23" i="8"/>
  <c r="M23" i="8"/>
  <c r="L23" i="8"/>
  <c r="K23" i="8"/>
  <c r="J23" i="8"/>
  <c r="I23" i="8"/>
  <c r="H23" i="8"/>
  <c r="G23" i="8"/>
  <c r="F23" i="8"/>
  <c r="E23" i="8"/>
  <c r="D23" i="8"/>
  <c r="C23" i="8"/>
  <c r="B23" i="8"/>
  <c r="A23" i="8"/>
  <c r="N22" i="8"/>
  <c r="M22" i="8"/>
  <c r="L22" i="8"/>
  <c r="K22" i="8"/>
  <c r="J22" i="8"/>
  <c r="I22" i="8"/>
  <c r="H22" i="8"/>
  <c r="G22" i="8"/>
  <c r="F22" i="8"/>
  <c r="E22" i="8"/>
  <c r="D22" i="8"/>
  <c r="C22" i="8"/>
  <c r="B22" i="8"/>
  <c r="A22" i="8"/>
  <c r="N21" i="8"/>
  <c r="M21" i="8"/>
  <c r="L21" i="8"/>
  <c r="K21" i="8"/>
  <c r="J21" i="8"/>
  <c r="I21" i="8"/>
  <c r="H21" i="8"/>
  <c r="G21" i="8"/>
  <c r="F21" i="8"/>
  <c r="E21" i="8"/>
  <c r="D21" i="8"/>
  <c r="C21" i="8"/>
  <c r="B21" i="8"/>
  <c r="A21" i="8"/>
  <c r="N20" i="8"/>
  <c r="M20" i="8"/>
  <c r="L20" i="8"/>
  <c r="K20" i="8"/>
  <c r="J20" i="8"/>
  <c r="I20" i="8"/>
  <c r="H20" i="8"/>
  <c r="G20" i="8"/>
  <c r="F20" i="8"/>
  <c r="E20" i="8"/>
  <c r="D20" i="8"/>
  <c r="C20" i="8"/>
  <c r="B20" i="8"/>
  <c r="A20" i="8"/>
  <c r="N19" i="8"/>
  <c r="M19" i="8"/>
  <c r="L19" i="8"/>
  <c r="K19" i="8"/>
  <c r="J19" i="8"/>
  <c r="I19" i="8"/>
  <c r="H19" i="8"/>
  <c r="G19" i="8"/>
  <c r="F19" i="8"/>
  <c r="E19" i="8"/>
  <c r="D19" i="8"/>
  <c r="C19" i="8"/>
  <c r="B19" i="8"/>
  <c r="A19" i="8"/>
  <c r="N18" i="8"/>
  <c r="M18" i="8"/>
  <c r="L18" i="8"/>
  <c r="K18" i="8"/>
  <c r="J18" i="8"/>
  <c r="I18" i="8"/>
  <c r="H18" i="8"/>
  <c r="G18" i="8"/>
  <c r="F18" i="8"/>
  <c r="E18" i="8"/>
  <c r="D18" i="8"/>
  <c r="C18" i="8"/>
  <c r="B18" i="8"/>
  <c r="A18" i="8"/>
  <c r="N17" i="8"/>
  <c r="M17" i="8"/>
  <c r="L17" i="8"/>
  <c r="K17" i="8"/>
  <c r="J17" i="8"/>
  <c r="I17" i="8"/>
  <c r="H17" i="8"/>
  <c r="G17" i="8"/>
  <c r="F17" i="8"/>
  <c r="E17" i="8"/>
  <c r="D17" i="8"/>
  <c r="C17" i="8"/>
  <c r="B17" i="8"/>
  <c r="A17" i="8"/>
  <c r="N16" i="8"/>
  <c r="M16" i="8"/>
  <c r="L16" i="8"/>
  <c r="K16" i="8"/>
  <c r="J16" i="8"/>
  <c r="I16" i="8"/>
  <c r="H16" i="8"/>
  <c r="G16" i="8"/>
  <c r="F16" i="8"/>
  <c r="E16" i="8"/>
  <c r="D16" i="8"/>
  <c r="C16" i="8"/>
  <c r="B16" i="8"/>
  <c r="A16" i="8"/>
  <c r="N15" i="8"/>
  <c r="M15" i="8"/>
  <c r="L15" i="8"/>
  <c r="K15" i="8"/>
  <c r="J15" i="8"/>
  <c r="I15" i="8"/>
  <c r="H15" i="8"/>
  <c r="G15" i="8"/>
  <c r="F15" i="8"/>
  <c r="E15" i="8"/>
  <c r="D15" i="8"/>
  <c r="C15" i="8"/>
  <c r="B15" i="8"/>
  <c r="A15" i="8"/>
  <c r="N14" i="8"/>
  <c r="M14" i="8"/>
  <c r="L14" i="8"/>
  <c r="K14" i="8"/>
  <c r="J14" i="8"/>
  <c r="I14" i="8"/>
  <c r="H14" i="8"/>
  <c r="G14" i="8"/>
  <c r="F14" i="8"/>
  <c r="E14" i="8"/>
  <c r="D14" i="8"/>
  <c r="C14" i="8"/>
  <c r="B14" i="8"/>
  <c r="A14" i="8"/>
  <c r="N13" i="8"/>
  <c r="M13" i="8"/>
  <c r="L13" i="8"/>
  <c r="K13" i="8"/>
  <c r="J13" i="8"/>
  <c r="I13" i="8"/>
  <c r="H13" i="8"/>
  <c r="G13" i="8"/>
  <c r="F13" i="8"/>
  <c r="E13" i="8"/>
  <c r="D13" i="8"/>
  <c r="C13" i="8"/>
  <c r="B13" i="8"/>
  <c r="A13" i="8"/>
  <c r="N12" i="8"/>
  <c r="M12" i="8"/>
  <c r="L12" i="8"/>
  <c r="K12" i="8"/>
  <c r="J12" i="8"/>
  <c r="I12" i="8"/>
  <c r="H12" i="8"/>
  <c r="G12" i="8"/>
  <c r="F12" i="8"/>
  <c r="E12" i="8"/>
  <c r="D12" i="8"/>
  <c r="C12" i="8"/>
  <c r="B12" i="8"/>
  <c r="A12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A11" i="8"/>
  <c r="N10" i="8"/>
  <c r="M10" i="8"/>
  <c r="L10" i="8"/>
  <c r="K10" i="8"/>
  <c r="J10" i="8"/>
  <c r="I10" i="8"/>
  <c r="H10" i="8"/>
  <c r="G10" i="8"/>
  <c r="F10" i="8"/>
  <c r="E10" i="8"/>
  <c r="D10" i="8"/>
  <c r="C10" i="8"/>
  <c r="B10" i="8"/>
  <c r="A10" i="8"/>
  <c r="N9" i="8"/>
  <c r="M9" i="8"/>
  <c r="L9" i="8"/>
  <c r="K9" i="8"/>
  <c r="J9" i="8"/>
  <c r="I9" i="8"/>
  <c r="H9" i="8"/>
  <c r="G9" i="8"/>
  <c r="F9" i="8"/>
  <c r="E9" i="8"/>
  <c r="D9" i="8"/>
  <c r="C9" i="8"/>
  <c r="B9" i="8"/>
  <c r="A9" i="8"/>
  <c r="N8" i="8"/>
  <c r="M8" i="8"/>
  <c r="L8" i="8"/>
  <c r="K8" i="8"/>
  <c r="J8" i="8"/>
  <c r="I8" i="8"/>
  <c r="H8" i="8"/>
  <c r="G8" i="8"/>
  <c r="F8" i="8"/>
  <c r="E8" i="8"/>
  <c r="D8" i="8"/>
  <c r="C8" i="8"/>
  <c r="B8" i="8"/>
  <c r="A8" i="8"/>
  <c r="N7" i="8"/>
  <c r="M7" i="8"/>
  <c r="L7" i="8"/>
  <c r="K7" i="8"/>
  <c r="J7" i="8"/>
  <c r="I7" i="8"/>
  <c r="H7" i="8"/>
  <c r="G7" i="8"/>
  <c r="F7" i="8"/>
  <c r="E7" i="8"/>
  <c r="D7" i="8"/>
  <c r="C7" i="8"/>
  <c r="B7" i="8"/>
  <c r="A7" i="8"/>
  <c r="N6" i="8"/>
  <c r="M6" i="8"/>
  <c r="L6" i="8"/>
  <c r="K6" i="8"/>
  <c r="J6" i="8"/>
  <c r="I6" i="8"/>
  <c r="H6" i="8"/>
  <c r="G6" i="8"/>
  <c r="F6" i="8"/>
  <c r="E6" i="8"/>
  <c r="D6" i="8"/>
  <c r="C6" i="8"/>
  <c r="B6" i="8"/>
  <c r="A6" i="8"/>
  <c r="N5" i="8"/>
  <c r="M5" i="8"/>
  <c r="L5" i="8"/>
  <c r="K5" i="8"/>
  <c r="J5" i="8"/>
  <c r="I5" i="8"/>
  <c r="H5" i="8"/>
  <c r="G5" i="8"/>
  <c r="F5" i="8"/>
  <c r="E5" i="8"/>
  <c r="D5" i="8"/>
  <c r="C5" i="8"/>
  <c r="B5" i="8"/>
  <c r="A5" i="8"/>
  <c r="N4" i="8"/>
  <c r="M4" i="8"/>
  <c r="L4" i="8"/>
  <c r="K4" i="8"/>
  <c r="J4" i="8"/>
  <c r="I4" i="8"/>
  <c r="H4" i="8"/>
  <c r="G4" i="8"/>
  <c r="F4" i="8"/>
  <c r="E4" i="8"/>
  <c r="D4" i="8"/>
  <c r="C4" i="8"/>
  <c r="B4" i="8"/>
  <c r="A4" i="8"/>
  <c r="N3" i="8"/>
  <c r="M3" i="8"/>
  <c r="L3" i="8"/>
  <c r="K3" i="8"/>
  <c r="J3" i="8"/>
  <c r="I3" i="8"/>
  <c r="H3" i="8"/>
  <c r="G3" i="8"/>
  <c r="F3" i="8"/>
  <c r="E3" i="8"/>
  <c r="D3" i="8"/>
  <c r="C3" i="8"/>
  <c r="B3" i="8"/>
  <c r="A3" i="8"/>
  <c r="N2" i="8"/>
  <c r="M2" i="8"/>
  <c r="L2" i="8"/>
  <c r="K2" i="8"/>
  <c r="J2" i="8"/>
  <c r="I2" i="8"/>
  <c r="H2" i="8"/>
  <c r="G2" i="8"/>
  <c r="F2" i="8"/>
  <c r="E2" i="8"/>
  <c r="D2" i="8"/>
  <c r="C2" i="8"/>
  <c r="B2" i="8"/>
  <c r="A2" i="8"/>
  <c r="R119" i="7"/>
  <c r="Q119" i="7"/>
  <c r="P119" i="7"/>
  <c r="O119" i="7"/>
  <c r="N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R118" i="7"/>
  <c r="Q118" i="7"/>
  <c r="P118" i="7"/>
  <c r="O118" i="7"/>
  <c r="N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R117" i="7"/>
  <c r="Q117" i="7"/>
  <c r="P117" i="7"/>
  <c r="O117" i="7"/>
  <c r="N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116" i="7"/>
  <c r="A116" i="7"/>
  <c r="R115" i="7"/>
  <c r="Q115" i="7"/>
  <c r="P115" i="7"/>
  <c r="O115" i="7"/>
  <c r="N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R114" i="7"/>
  <c r="Q114" i="7"/>
  <c r="P114" i="7"/>
  <c r="O114" i="7"/>
  <c r="N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R113" i="7"/>
  <c r="Q113" i="7"/>
  <c r="P113" i="7"/>
  <c r="O113" i="7"/>
  <c r="N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R110" i="7"/>
  <c r="Q110" i="7"/>
  <c r="P110" i="7"/>
  <c r="O110" i="7"/>
  <c r="N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R106" i="7"/>
  <c r="Q106" i="7"/>
  <c r="P106" i="7"/>
  <c r="O106" i="7"/>
  <c r="N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R101" i="7"/>
  <c r="Q101" i="7"/>
  <c r="P101" i="7"/>
  <c r="O101" i="7"/>
  <c r="N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R100" i="7"/>
  <c r="Q100" i="7"/>
  <c r="P100" i="7"/>
  <c r="O100" i="7"/>
  <c r="N100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R96" i="7"/>
  <c r="Q96" i="7"/>
  <c r="P96" i="7"/>
  <c r="O96" i="7"/>
  <c r="N96" i="7"/>
  <c r="L96" i="7"/>
  <c r="K96" i="7"/>
  <c r="J96" i="7"/>
  <c r="I96" i="7"/>
  <c r="H96" i="7"/>
  <c r="G96" i="7"/>
  <c r="F96" i="7"/>
  <c r="E96" i="7"/>
  <c r="D96" i="7"/>
  <c r="C96" i="7"/>
  <c r="B96" i="7"/>
  <c r="A96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95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R93" i="7"/>
  <c r="Q93" i="7"/>
  <c r="P93" i="7"/>
  <c r="O93" i="7"/>
  <c r="N93" i="7"/>
  <c r="L93" i="7"/>
  <c r="K93" i="7"/>
  <c r="J93" i="7"/>
  <c r="I93" i="7"/>
  <c r="H93" i="7"/>
  <c r="G93" i="7"/>
  <c r="F93" i="7"/>
  <c r="E93" i="7"/>
  <c r="D93" i="7"/>
  <c r="C93" i="7"/>
  <c r="B93" i="7"/>
  <c r="A93" i="7"/>
  <c r="R92" i="7"/>
  <c r="Q92" i="7"/>
  <c r="P92" i="7"/>
  <c r="O92" i="7"/>
  <c r="N92" i="7"/>
  <c r="L92" i="7"/>
  <c r="K92" i="7"/>
  <c r="J92" i="7"/>
  <c r="I92" i="7"/>
  <c r="H92" i="7"/>
  <c r="G92" i="7"/>
  <c r="F92" i="7"/>
  <c r="E92" i="7"/>
  <c r="D92" i="7"/>
  <c r="C92" i="7"/>
  <c r="B92" i="7"/>
  <c r="A92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91" i="7"/>
  <c r="R90" i="7"/>
  <c r="Q90" i="7"/>
  <c r="P90" i="7"/>
  <c r="O90" i="7"/>
  <c r="N90" i="7"/>
  <c r="L90" i="7"/>
  <c r="K90" i="7"/>
  <c r="J90" i="7"/>
  <c r="I90" i="7"/>
  <c r="H90" i="7"/>
  <c r="G90" i="7"/>
  <c r="F90" i="7"/>
  <c r="E90" i="7"/>
  <c r="D90" i="7"/>
  <c r="C90" i="7"/>
  <c r="B90" i="7"/>
  <c r="A90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88" i="7"/>
  <c r="R87" i="7"/>
  <c r="Q87" i="7"/>
  <c r="P87" i="7"/>
  <c r="O87" i="7"/>
  <c r="N87" i="7"/>
  <c r="L87" i="7"/>
  <c r="K87" i="7"/>
  <c r="J87" i="7"/>
  <c r="I87" i="7"/>
  <c r="H87" i="7"/>
  <c r="G87" i="7"/>
  <c r="F87" i="7"/>
  <c r="E87" i="7"/>
  <c r="D87" i="7"/>
  <c r="C87" i="7"/>
  <c r="B87" i="7"/>
  <c r="A87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R85" i="7"/>
  <c r="Q85" i="7"/>
  <c r="P85" i="7"/>
  <c r="O85" i="7"/>
  <c r="N85" i="7"/>
  <c r="L85" i="7"/>
  <c r="K85" i="7"/>
  <c r="J85" i="7"/>
  <c r="I85" i="7"/>
  <c r="H85" i="7"/>
  <c r="G85" i="7"/>
  <c r="F85" i="7"/>
  <c r="E85" i="7"/>
  <c r="D85" i="7"/>
  <c r="C85" i="7"/>
  <c r="B85" i="7"/>
  <c r="A85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R77" i="7"/>
  <c r="Q77" i="7"/>
  <c r="P77" i="7"/>
  <c r="O77" i="7"/>
  <c r="N77" i="7"/>
  <c r="L77" i="7"/>
  <c r="K77" i="7"/>
  <c r="J77" i="7"/>
  <c r="I77" i="7"/>
  <c r="H77" i="7"/>
  <c r="G77" i="7"/>
  <c r="F77" i="7"/>
  <c r="E77" i="7"/>
  <c r="D77" i="7"/>
  <c r="C77" i="7"/>
  <c r="B77" i="7"/>
  <c r="A77" i="7"/>
  <c r="R76" i="7"/>
  <c r="Q76" i="7"/>
  <c r="P76" i="7"/>
  <c r="O76" i="7"/>
  <c r="N76" i="7"/>
  <c r="L76" i="7"/>
  <c r="K76" i="7"/>
  <c r="J76" i="7"/>
  <c r="I76" i="7"/>
  <c r="H76" i="7"/>
  <c r="G76" i="7"/>
  <c r="F76" i="7"/>
  <c r="E76" i="7"/>
  <c r="D76" i="7"/>
  <c r="C76" i="7"/>
  <c r="B76" i="7"/>
  <c r="A76" i="7"/>
  <c r="R75" i="7"/>
  <c r="Q75" i="7"/>
  <c r="P75" i="7"/>
  <c r="O75" i="7"/>
  <c r="N75" i="7"/>
  <c r="L75" i="7"/>
  <c r="K75" i="7"/>
  <c r="J75" i="7"/>
  <c r="I75" i="7"/>
  <c r="H75" i="7"/>
  <c r="G75" i="7"/>
  <c r="F75" i="7"/>
  <c r="E75" i="7"/>
  <c r="D75" i="7"/>
  <c r="C75" i="7"/>
  <c r="B75" i="7"/>
  <c r="A75" i="7"/>
  <c r="R74" i="7"/>
  <c r="Q74" i="7"/>
  <c r="P74" i="7"/>
  <c r="O74" i="7"/>
  <c r="N74" i="7"/>
  <c r="L74" i="7"/>
  <c r="K74" i="7"/>
  <c r="J74" i="7"/>
  <c r="I74" i="7"/>
  <c r="H74" i="7"/>
  <c r="G74" i="7"/>
  <c r="F74" i="7"/>
  <c r="E74" i="7"/>
  <c r="D74" i="7"/>
  <c r="C74" i="7"/>
  <c r="B74" i="7"/>
  <c r="A74" i="7"/>
  <c r="R73" i="7"/>
  <c r="Q73" i="7"/>
  <c r="P73" i="7"/>
  <c r="O73" i="7"/>
  <c r="N73" i="7"/>
  <c r="L73" i="7"/>
  <c r="K73" i="7"/>
  <c r="J73" i="7"/>
  <c r="I73" i="7"/>
  <c r="H73" i="7"/>
  <c r="G73" i="7"/>
  <c r="F73" i="7"/>
  <c r="E73" i="7"/>
  <c r="D73" i="7"/>
  <c r="C73" i="7"/>
  <c r="B73" i="7"/>
  <c r="A73" i="7"/>
  <c r="R72" i="7"/>
  <c r="Q72" i="7"/>
  <c r="P72" i="7"/>
  <c r="O72" i="7"/>
  <c r="N72" i="7"/>
  <c r="L72" i="7"/>
  <c r="K72" i="7"/>
  <c r="J72" i="7"/>
  <c r="I72" i="7"/>
  <c r="H72" i="7"/>
  <c r="G72" i="7"/>
  <c r="F72" i="7"/>
  <c r="E72" i="7"/>
  <c r="D72" i="7"/>
  <c r="C72" i="7"/>
  <c r="B72" i="7"/>
  <c r="A72" i="7"/>
  <c r="R71" i="7"/>
  <c r="Q71" i="7"/>
  <c r="P71" i="7"/>
  <c r="O71" i="7"/>
  <c r="N71" i="7"/>
  <c r="L71" i="7"/>
  <c r="K71" i="7"/>
  <c r="J71" i="7"/>
  <c r="I71" i="7"/>
  <c r="H71" i="7"/>
  <c r="G71" i="7"/>
  <c r="F71" i="7"/>
  <c r="E71" i="7"/>
  <c r="D71" i="7"/>
  <c r="C71" i="7"/>
  <c r="B71" i="7"/>
  <c r="A71" i="7"/>
  <c r="R70" i="7"/>
  <c r="Q70" i="7"/>
  <c r="P70" i="7"/>
  <c r="O70" i="7"/>
  <c r="N70" i="7"/>
  <c r="L70" i="7"/>
  <c r="K70" i="7"/>
  <c r="J70" i="7"/>
  <c r="I70" i="7"/>
  <c r="H70" i="7"/>
  <c r="G70" i="7"/>
  <c r="F70" i="7"/>
  <c r="E70" i="7"/>
  <c r="D70" i="7"/>
  <c r="C70" i="7"/>
  <c r="B70" i="7"/>
  <c r="A70" i="7"/>
  <c r="R69" i="7"/>
  <c r="Q69" i="7"/>
  <c r="P69" i="7"/>
  <c r="O69" i="7"/>
  <c r="N69" i="7"/>
  <c r="L69" i="7"/>
  <c r="K69" i="7"/>
  <c r="J69" i="7"/>
  <c r="I69" i="7"/>
  <c r="H69" i="7"/>
  <c r="G69" i="7"/>
  <c r="F69" i="7"/>
  <c r="E69" i="7"/>
  <c r="D69" i="7"/>
  <c r="C69" i="7"/>
  <c r="B69" i="7"/>
  <c r="A69" i="7"/>
  <c r="R68" i="7"/>
  <c r="Q68" i="7"/>
  <c r="P68" i="7"/>
  <c r="O68" i="7"/>
  <c r="N68" i="7"/>
  <c r="L68" i="7"/>
  <c r="K68" i="7"/>
  <c r="J68" i="7"/>
  <c r="I68" i="7"/>
  <c r="H68" i="7"/>
  <c r="G68" i="7"/>
  <c r="F68" i="7"/>
  <c r="E68" i="7"/>
  <c r="D68" i="7"/>
  <c r="C68" i="7"/>
  <c r="B68" i="7"/>
  <c r="A68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R65" i="7"/>
  <c r="Q65" i="7"/>
  <c r="P65" i="7"/>
  <c r="O65" i="7"/>
  <c r="N65" i="7"/>
  <c r="L65" i="7"/>
  <c r="K65" i="7"/>
  <c r="J65" i="7"/>
  <c r="I65" i="7"/>
  <c r="H65" i="7"/>
  <c r="G65" i="7"/>
  <c r="F65" i="7"/>
  <c r="E65" i="7"/>
  <c r="D65" i="7"/>
  <c r="C65" i="7"/>
  <c r="B65" i="7"/>
  <c r="A65" i="7"/>
  <c r="R64" i="7"/>
  <c r="Q64" i="7"/>
  <c r="P64" i="7"/>
  <c r="O64" i="7"/>
  <c r="N64" i="7"/>
  <c r="L64" i="7"/>
  <c r="K64" i="7"/>
  <c r="J64" i="7"/>
  <c r="I64" i="7"/>
  <c r="H64" i="7"/>
  <c r="G64" i="7"/>
  <c r="F64" i="7"/>
  <c r="E64" i="7"/>
  <c r="D64" i="7"/>
  <c r="C64" i="7"/>
  <c r="B64" i="7"/>
  <c r="A64" i="7"/>
  <c r="R63" i="7"/>
  <c r="Q63" i="7"/>
  <c r="P63" i="7"/>
  <c r="O63" i="7"/>
  <c r="N63" i="7"/>
  <c r="L63" i="7"/>
  <c r="K63" i="7"/>
  <c r="J63" i="7"/>
  <c r="I63" i="7"/>
  <c r="H63" i="7"/>
  <c r="G63" i="7"/>
  <c r="F63" i="7"/>
  <c r="E63" i="7"/>
  <c r="D63" i="7"/>
  <c r="C63" i="7"/>
  <c r="B63" i="7"/>
  <c r="A63" i="7"/>
  <c r="R62" i="7"/>
  <c r="Q62" i="7"/>
  <c r="P62" i="7"/>
  <c r="O62" i="7"/>
  <c r="N62" i="7"/>
  <c r="L62" i="7"/>
  <c r="K62" i="7"/>
  <c r="J62" i="7"/>
  <c r="I62" i="7"/>
  <c r="H62" i="7"/>
  <c r="G62" i="7"/>
  <c r="F62" i="7"/>
  <c r="E62" i="7"/>
  <c r="D62" i="7"/>
  <c r="C62" i="7"/>
  <c r="B62" i="7"/>
  <c r="A62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R60" i="7"/>
  <c r="Q60" i="7"/>
  <c r="P60" i="7"/>
  <c r="O60" i="7"/>
  <c r="N60" i="7"/>
  <c r="L60" i="7"/>
  <c r="K60" i="7"/>
  <c r="J60" i="7"/>
  <c r="I60" i="7"/>
  <c r="H60" i="7"/>
  <c r="G60" i="7"/>
  <c r="F60" i="7"/>
  <c r="E60" i="7"/>
  <c r="D60" i="7"/>
  <c r="C60" i="7"/>
  <c r="B60" i="7"/>
  <c r="A60" i="7"/>
  <c r="R59" i="7"/>
  <c r="Q59" i="7"/>
  <c r="P59" i="7"/>
  <c r="O59" i="7"/>
  <c r="N59" i="7"/>
  <c r="L59" i="7"/>
  <c r="K59" i="7"/>
  <c r="J59" i="7"/>
  <c r="I59" i="7"/>
  <c r="H59" i="7"/>
  <c r="G59" i="7"/>
  <c r="F59" i="7"/>
  <c r="E59" i="7"/>
  <c r="D59" i="7"/>
  <c r="C59" i="7"/>
  <c r="B59" i="7"/>
  <c r="A59" i="7"/>
  <c r="R58" i="7"/>
  <c r="Q58" i="7"/>
  <c r="P58" i="7"/>
  <c r="O58" i="7"/>
  <c r="N58" i="7"/>
  <c r="L58" i="7"/>
  <c r="K58" i="7"/>
  <c r="J58" i="7"/>
  <c r="I58" i="7"/>
  <c r="H58" i="7"/>
  <c r="G58" i="7"/>
  <c r="F58" i="7"/>
  <c r="E58" i="7"/>
  <c r="D58" i="7"/>
  <c r="C58" i="7"/>
  <c r="B58" i="7"/>
  <c r="A58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R56" i="7"/>
  <c r="Q56" i="7"/>
  <c r="P56" i="7"/>
  <c r="O56" i="7"/>
  <c r="N56" i="7"/>
  <c r="L56" i="7"/>
  <c r="K56" i="7"/>
  <c r="J56" i="7"/>
  <c r="I56" i="7"/>
  <c r="H56" i="7"/>
  <c r="G56" i="7"/>
  <c r="F56" i="7"/>
  <c r="E56" i="7"/>
  <c r="D56" i="7"/>
  <c r="C56" i="7"/>
  <c r="B56" i="7"/>
  <c r="A56" i="7"/>
  <c r="R55" i="7"/>
  <c r="Q55" i="7"/>
  <c r="P55" i="7"/>
  <c r="O55" i="7"/>
  <c r="N55" i="7"/>
  <c r="L55" i="7"/>
  <c r="K55" i="7"/>
  <c r="J55" i="7"/>
  <c r="I55" i="7"/>
  <c r="H55" i="7"/>
  <c r="G55" i="7"/>
  <c r="F55" i="7"/>
  <c r="E55" i="7"/>
  <c r="D55" i="7"/>
  <c r="C55" i="7"/>
  <c r="B55" i="7"/>
  <c r="A55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R52" i="7"/>
  <c r="Q52" i="7"/>
  <c r="P52" i="7"/>
  <c r="O52" i="7"/>
  <c r="N52" i="7"/>
  <c r="L52" i="7"/>
  <c r="K52" i="7"/>
  <c r="J52" i="7"/>
  <c r="I52" i="7"/>
  <c r="H52" i="7"/>
  <c r="G52" i="7"/>
  <c r="F52" i="7"/>
  <c r="E52" i="7"/>
  <c r="D52" i="7"/>
  <c r="C52" i="7"/>
  <c r="B52" i="7"/>
  <c r="A52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R47" i="7"/>
  <c r="Q47" i="7"/>
  <c r="P47" i="7"/>
  <c r="O47" i="7"/>
  <c r="N47" i="7"/>
  <c r="L47" i="7"/>
  <c r="K47" i="7"/>
  <c r="J47" i="7"/>
  <c r="I47" i="7"/>
  <c r="H47" i="7"/>
  <c r="G47" i="7"/>
  <c r="F47" i="7"/>
  <c r="E47" i="7"/>
  <c r="D47" i="7"/>
  <c r="C47" i="7"/>
  <c r="B47" i="7"/>
  <c r="A47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43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R41" i="7"/>
  <c r="Q41" i="7"/>
  <c r="P41" i="7"/>
  <c r="O41" i="7"/>
  <c r="N41" i="7"/>
  <c r="L41" i="7"/>
  <c r="K41" i="7"/>
  <c r="J41" i="7"/>
  <c r="I41" i="7"/>
  <c r="H41" i="7"/>
  <c r="G41" i="7"/>
  <c r="F41" i="7"/>
  <c r="E41" i="7"/>
  <c r="D41" i="7"/>
  <c r="C41" i="7"/>
  <c r="B41" i="7"/>
  <c r="A41" i="7"/>
  <c r="R40" i="7"/>
  <c r="Q40" i="7"/>
  <c r="P40" i="7"/>
  <c r="O40" i="7"/>
  <c r="N40" i="7"/>
  <c r="L40" i="7"/>
  <c r="K40" i="7"/>
  <c r="J40" i="7"/>
  <c r="I40" i="7"/>
  <c r="H40" i="7"/>
  <c r="G40" i="7"/>
  <c r="F40" i="7"/>
  <c r="E40" i="7"/>
  <c r="D40" i="7"/>
  <c r="C40" i="7"/>
  <c r="B40" i="7"/>
  <c r="A40" i="7"/>
  <c r="R39" i="7"/>
  <c r="Q39" i="7"/>
  <c r="P39" i="7"/>
  <c r="O39" i="7"/>
  <c r="N39" i="7"/>
  <c r="L39" i="7"/>
  <c r="K39" i="7"/>
  <c r="J39" i="7"/>
  <c r="I39" i="7"/>
  <c r="H39" i="7"/>
  <c r="G39" i="7"/>
  <c r="F39" i="7"/>
  <c r="E39" i="7"/>
  <c r="D39" i="7"/>
  <c r="C39" i="7"/>
  <c r="B39" i="7"/>
  <c r="A39" i="7"/>
  <c r="R38" i="7"/>
  <c r="Q38" i="7"/>
  <c r="P38" i="7"/>
  <c r="O38" i="7"/>
  <c r="N38" i="7"/>
  <c r="L38" i="7"/>
  <c r="K38" i="7"/>
  <c r="J38" i="7"/>
  <c r="I38" i="7"/>
  <c r="H38" i="7"/>
  <c r="G38" i="7"/>
  <c r="F38" i="7"/>
  <c r="E38" i="7"/>
  <c r="D38" i="7"/>
  <c r="C38" i="7"/>
  <c r="B38" i="7"/>
  <c r="A38" i="7"/>
  <c r="R37" i="7"/>
  <c r="Q37" i="7"/>
  <c r="P37" i="7"/>
  <c r="O37" i="7"/>
  <c r="N37" i="7"/>
  <c r="L37" i="7"/>
  <c r="K37" i="7"/>
  <c r="J37" i="7"/>
  <c r="I37" i="7"/>
  <c r="H37" i="7"/>
  <c r="G37" i="7"/>
  <c r="F37" i="7"/>
  <c r="E37" i="7"/>
  <c r="D37" i="7"/>
  <c r="C37" i="7"/>
  <c r="B37" i="7"/>
  <c r="A37" i="7"/>
  <c r="R36" i="7"/>
  <c r="Q36" i="7"/>
  <c r="P36" i="7"/>
  <c r="O36" i="7"/>
  <c r="N36" i="7"/>
  <c r="L36" i="7"/>
  <c r="K36" i="7"/>
  <c r="J36" i="7"/>
  <c r="I36" i="7"/>
  <c r="H36" i="7"/>
  <c r="G36" i="7"/>
  <c r="F36" i="7"/>
  <c r="E36" i="7"/>
  <c r="D36" i="7"/>
  <c r="C36" i="7"/>
  <c r="B36" i="7"/>
  <c r="A36" i="7"/>
  <c r="R35" i="7"/>
  <c r="Q35" i="7"/>
  <c r="P35" i="7"/>
  <c r="O35" i="7"/>
  <c r="N35" i="7"/>
  <c r="L35" i="7"/>
  <c r="K35" i="7"/>
  <c r="J35" i="7"/>
  <c r="I35" i="7"/>
  <c r="H35" i="7"/>
  <c r="G35" i="7"/>
  <c r="F35" i="7"/>
  <c r="E35" i="7"/>
  <c r="D35" i="7"/>
  <c r="C35" i="7"/>
  <c r="B35" i="7"/>
  <c r="A35" i="7"/>
  <c r="R34" i="7"/>
  <c r="Q34" i="7"/>
  <c r="P34" i="7"/>
  <c r="O34" i="7"/>
  <c r="N34" i="7"/>
  <c r="L34" i="7"/>
  <c r="K34" i="7"/>
  <c r="J34" i="7"/>
  <c r="I34" i="7"/>
  <c r="H34" i="7"/>
  <c r="G34" i="7"/>
  <c r="F34" i="7"/>
  <c r="E34" i="7"/>
  <c r="D34" i="7"/>
  <c r="C34" i="7"/>
  <c r="B34" i="7"/>
  <c r="A34" i="7"/>
  <c r="R33" i="7"/>
  <c r="Q33" i="7"/>
  <c r="P33" i="7"/>
  <c r="O33" i="7"/>
  <c r="N33" i="7"/>
  <c r="L33" i="7"/>
  <c r="K33" i="7"/>
  <c r="J33" i="7"/>
  <c r="I33" i="7"/>
  <c r="H33" i="7"/>
  <c r="G33" i="7"/>
  <c r="F33" i="7"/>
  <c r="E33" i="7"/>
  <c r="D33" i="7"/>
  <c r="C33" i="7"/>
  <c r="B33" i="7"/>
  <c r="A33" i="7"/>
  <c r="R32" i="7"/>
  <c r="Q32" i="7"/>
  <c r="P32" i="7"/>
  <c r="O32" i="7"/>
  <c r="N32" i="7"/>
  <c r="L32" i="7"/>
  <c r="K32" i="7"/>
  <c r="J32" i="7"/>
  <c r="I32" i="7"/>
  <c r="H32" i="7"/>
  <c r="G32" i="7"/>
  <c r="F32" i="7"/>
  <c r="E32" i="7"/>
  <c r="D32" i="7"/>
  <c r="C32" i="7"/>
  <c r="B32" i="7"/>
  <c r="A32" i="7"/>
  <c r="R31" i="7"/>
  <c r="Q31" i="7"/>
  <c r="P31" i="7"/>
  <c r="O31" i="7"/>
  <c r="N31" i="7"/>
  <c r="L31" i="7"/>
  <c r="K31" i="7"/>
  <c r="J31" i="7"/>
  <c r="I31" i="7"/>
  <c r="H31" i="7"/>
  <c r="G31" i="7"/>
  <c r="F31" i="7"/>
  <c r="E31" i="7"/>
  <c r="D31" i="7"/>
  <c r="C31" i="7"/>
  <c r="B31" i="7"/>
  <c r="A31" i="7"/>
  <c r="R30" i="7"/>
  <c r="Q30" i="7"/>
  <c r="P30" i="7"/>
  <c r="O30" i="7"/>
  <c r="N30" i="7"/>
  <c r="L30" i="7"/>
  <c r="K30" i="7"/>
  <c r="J30" i="7"/>
  <c r="I30" i="7"/>
  <c r="H30" i="7"/>
  <c r="G30" i="7"/>
  <c r="F30" i="7"/>
  <c r="E30" i="7"/>
  <c r="D30" i="7"/>
  <c r="C30" i="7"/>
  <c r="B30" i="7"/>
  <c r="A30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R27" i="7"/>
  <c r="Q27" i="7"/>
  <c r="P27" i="7"/>
  <c r="O27" i="7"/>
  <c r="N27" i="7"/>
  <c r="L27" i="7"/>
  <c r="K27" i="7"/>
  <c r="J27" i="7"/>
  <c r="I27" i="7"/>
  <c r="H27" i="7"/>
  <c r="G27" i="7"/>
  <c r="F27" i="7"/>
  <c r="E27" i="7"/>
  <c r="D27" i="7"/>
  <c r="C27" i="7"/>
  <c r="B27" i="7"/>
  <c r="A27" i="7"/>
  <c r="R26" i="7"/>
  <c r="Q26" i="7"/>
  <c r="P26" i="7"/>
  <c r="O26" i="7"/>
  <c r="N26" i="7"/>
  <c r="L26" i="7"/>
  <c r="K26" i="7"/>
  <c r="J26" i="7"/>
  <c r="I26" i="7"/>
  <c r="H26" i="7"/>
  <c r="G26" i="7"/>
  <c r="F26" i="7"/>
  <c r="E26" i="7"/>
  <c r="D26" i="7"/>
  <c r="C26" i="7"/>
  <c r="B26" i="7"/>
  <c r="A26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R22" i="7"/>
  <c r="Q22" i="7"/>
  <c r="P22" i="7"/>
  <c r="O22" i="7"/>
  <c r="N22" i="7"/>
  <c r="L22" i="7"/>
  <c r="K22" i="7"/>
  <c r="J22" i="7"/>
  <c r="I22" i="7"/>
  <c r="H22" i="7"/>
  <c r="G22" i="7"/>
  <c r="F22" i="7"/>
  <c r="E22" i="7"/>
  <c r="D22" i="7"/>
  <c r="C22" i="7"/>
  <c r="B22" i="7"/>
  <c r="A22" i="7"/>
  <c r="R21" i="7"/>
  <c r="Q21" i="7"/>
  <c r="P21" i="7"/>
  <c r="O21" i="7"/>
  <c r="N21" i="7"/>
  <c r="L21" i="7"/>
  <c r="K21" i="7"/>
  <c r="J21" i="7"/>
  <c r="I21" i="7"/>
  <c r="H21" i="7"/>
  <c r="G21" i="7"/>
  <c r="F21" i="7"/>
  <c r="E21" i="7"/>
  <c r="D21" i="7"/>
  <c r="C21" i="7"/>
  <c r="B21" i="7"/>
  <c r="A21" i="7"/>
  <c r="R20" i="7"/>
  <c r="Q20" i="7"/>
  <c r="P20" i="7"/>
  <c r="O20" i="7"/>
  <c r="N20" i="7"/>
  <c r="L20" i="7"/>
  <c r="K20" i="7"/>
  <c r="J20" i="7"/>
  <c r="I20" i="7"/>
  <c r="H20" i="7"/>
  <c r="G20" i="7"/>
  <c r="F20" i="7"/>
  <c r="E20" i="7"/>
  <c r="D20" i="7"/>
  <c r="C20" i="7"/>
  <c r="B20" i="7"/>
  <c r="A20" i="7"/>
  <c r="R19" i="7"/>
  <c r="Q19" i="7"/>
  <c r="P19" i="7"/>
  <c r="O19" i="7"/>
  <c r="N19" i="7"/>
  <c r="L19" i="7"/>
  <c r="K19" i="7"/>
  <c r="J19" i="7"/>
  <c r="I19" i="7"/>
  <c r="H19" i="7"/>
  <c r="G19" i="7"/>
  <c r="F19" i="7"/>
  <c r="E19" i="7"/>
  <c r="D19" i="7"/>
  <c r="C19" i="7"/>
  <c r="B19" i="7"/>
  <c r="A19" i="7"/>
  <c r="R18" i="7"/>
  <c r="Q18" i="7"/>
  <c r="P18" i="7"/>
  <c r="O18" i="7"/>
  <c r="N18" i="7"/>
  <c r="L18" i="7"/>
  <c r="K18" i="7"/>
  <c r="J18" i="7"/>
  <c r="I18" i="7"/>
  <c r="H18" i="7"/>
  <c r="G18" i="7"/>
  <c r="F18" i="7"/>
  <c r="E18" i="7"/>
  <c r="D18" i="7"/>
  <c r="C18" i="7"/>
  <c r="B18" i="7"/>
  <c r="A18" i="7"/>
  <c r="R17" i="7"/>
  <c r="Q17" i="7"/>
  <c r="P17" i="7"/>
  <c r="O17" i="7"/>
  <c r="N17" i="7"/>
  <c r="L17" i="7"/>
  <c r="K17" i="7"/>
  <c r="J17" i="7"/>
  <c r="I17" i="7"/>
  <c r="H17" i="7"/>
  <c r="G17" i="7"/>
  <c r="F17" i="7"/>
  <c r="E17" i="7"/>
  <c r="D17" i="7"/>
  <c r="C17" i="7"/>
  <c r="B17" i="7"/>
  <c r="A17" i="7"/>
  <c r="R16" i="7"/>
  <c r="Q16" i="7"/>
  <c r="P16" i="7"/>
  <c r="O16" i="7"/>
  <c r="N16" i="7"/>
  <c r="L16" i="7"/>
  <c r="K16" i="7"/>
  <c r="J16" i="7"/>
  <c r="I16" i="7"/>
  <c r="H16" i="7"/>
  <c r="G16" i="7"/>
  <c r="F16" i="7"/>
  <c r="E16" i="7"/>
  <c r="D16" i="7"/>
  <c r="C16" i="7"/>
  <c r="B16" i="7"/>
  <c r="A16" i="7"/>
  <c r="R15" i="7"/>
  <c r="Q15" i="7"/>
  <c r="P15" i="7"/>
  <c r="O15" i="7"/>
  <c r="N15" i="7"/>
  <c r="L15" i="7"/>
  <c r="K15" i="7"/>
  <c r="J15" i="7"/>
  <c r="I15" i="7"/>
  <c r="H15" i="7"/>
  <c r="G15" i="7"/>
  <c r="F15" i="7"/>
  <c r="E15" i="7"/>
  <c r="D15" i="7"/>
  <c r="C15" i="7"/>
  <c r="B15" i="7"/>
  <c r="A15" i="7"/>
  <c r="R14" i="7"/>
  <c r="Q14" i="7"/>
  <c r="P14" i="7"/>
  <c r="O14" i="7"/>
  <c r="N14" i="7"/>
  <c r="L14" i="7"/>
  <c r="K14" i="7"/>
  <c r="J14" i="7"/>
  <c r="I14" i="7"/>
  <c r="H14" i="7"/>
  <c r="G14" i="7"/>
  <c r="F14" i="7"/>
  <c r="E14" i="7"/>
  <c r="D14" i="7"/>
  <c r="C14" i="7"/>
  <c r="B14" i="7"/>
  <c r="A14" i="7"/>
  <c r="R13" i="7"/>
  <c r="Q13" i="7"/>
  <c r="P13" i="7"/>
  <c r="O13" i="7"/>
  <c r="N13" i="7"/>
  <c r="L13" i="7"/>
  <c r="K13" i="7"/>
  <c r="J13" i="7"/>
  <c r="I13" i="7"/>
  <c r="H13" i="7"/>
  <c r="G13" i="7"/>
  <c r="F13" i="7"/>
  <c r="E13" i="7"/>
  <c r="D13" i="7"/>
  <c r="C13" i="7"/>
  <c r="B13" i="7"/>
  <c r="A13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Q10" i="7"/>
  <c r="P10" i="7"/>
  <c r="O10" i="7"/>
  <c r="N10" i="7"/>
  <c r="L10" i="7"/>
  <c r="K10" i="7"/>
  <c r="J10" i="7"/>
  <c r="I10" i="7"/>
  <c r="H10" i="7"/>
  <c r="G10" i="7"/>
  <c r="F10" i="7"/>
  <c r="E10" i="7"/>
  <c r="D10" i="7"/>
  <c r="C10" i="7"/>
  <c r="B10" i="7"/>
  <c r="A10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B8" i="7"/>
  <c r="A8" i="7"/>
  <c r="Q7" i="7"/>
  <c r="P7" i="7"/>
  <c r="O7" i="7"/>
  <c r="N7" i="7"/>
  <c r="L7" i="7"/>
  <c r="K7" i="7"/>
  <c r="J7" i="7"/>
  <c r="I7" i="7"/>
  <c r="H7" i="7"/>
  <c r="G7" i="7"/>
  <c r="F7" i="7"/>
  <c r="E7" i="7"/>
  <c r="D7" i="7"/>
  <c r="C7" i="7"/>
  <c r="B7" i="7"/>
  <c r="A7" i="7"/>
  <c r="Q6" i="7"/>
  <c r="P6" i="7"/>
  <c r="O6" i="7"/>
  <c r="N6" i="7"/>
  <c r="L6" i="7"/>
  <c r="K6" i="7"/>
  <c r="J6" i="7"/>
  <c r="I6" i="7"/>
  <c r="H6" i="7"/>
  <c r="G6" i="7"/>
  <c r="F6" i="7"/>
  <c r="E6" i="7"/>
  <c r="D6" i="7"/>
  <c r="C6" i="7"/>
  <c r="B6" i="7"/>
  <c r="A6" i="7"/>
  <c r="Q5" i="7"/>
  <c r="P5" i="7"/>
  <c r="O5" i="7"/>
  <c r="N5" i="7"/>
  <c r="L5" i="7"/>
  <c r="K5" i="7"/>
  <c r="J5" i="7"/>
  <c r="I5" i="7"/>
  <c r="H5" i="7"/>
  <c r="G5" i="7"/>
  <c r="F5" i="7"/>
  <c r="E5" i="7"/>
  <c r="D5" i="7"/>
  <c r="C5" i="7"/>
  <c r="B5" i="7"/>
  <c r="A5" i="7"/>
  <c r="Q4" i="7"/>
  <c r="P4" i="7"/>
  <c r="O4" i="7"/>
  <c r="N4" i="7"/>
  <c r="L4" i="7"/>
  <c r="K4" i="7"/>
  <c r="J4" i="7"/>
  <c r="I4" i="7"/>
  <c r="H4" i="7"/>
  <c r="G4" i="7"/>
  <c r="F4" i="7"/>
  <c r="E4" i="7"/>
  <c r="D4" i="7"/>
  <c r="C4" i="7"/>
  <c r="B4" i="7"/>
  <c r="A4" i="7"/>
  <c r="Q3" i="7"/>
  <c r="P3" i="7"/>
  <c r="O3" i="7"/>
  <c r="N3" i="7"/>
  <c r="L3" i="7"/>
  <c r="K3" i="7"/>
  <c r="J3" i="7"/>
  <c r="I3" i="7"/>
  <c r="H3" i="7"/>
  <c r="G3" i="7"/>
  <c r="F3" i="7"/>
  <c r="E3" i="7"/>
  <c r="D3" i="7"/>
  <c r="C3" i="7"/>
  <c r="B3" i="7"/>
  <c r="A3" i="7"/>
  <c r="Q2" i="7"/>
  <c r="P2" i="7"/>
  <c r="O2" i="7"/>
  <c r="N2" i="7"/>
  <c r="L2" i="7"/>
  <c r="K2" i="7"/>
  <c r="J2" i="7"/>
  <c r="I2" i="7"/>
  <c r="H2" i="7"/>
  <c r="G2" i="7"/>
  <c r="F2" i="7"/>
  <c r="E2" i="7"/>
  <c r="D2" i="7"/>
  <c r="C2" i="7"/>
  <c r="B2" i="7"/>
  <c r="A2" i="7"/>
  <c r="O763" i="6"/>
  <c r="N763" i="6"/>
  <c r="M763" i="6"/>
  <c r="K763" i="6"/>
  <c r="I763" i="6"/>
  <c r="G763" i="6"/>
  <c r="F763" i="6"/>
  <c r="E763" i="6"/>
  <c r="D763" i="6"/>
  <c r="C763" i="6"/>
  <c r="B763" i="6"/>
  <c r="A763" i="6"/>
  <c r="O762" i="6"/>
  <c r="N762" i="6"/>
  <c r="M762" i="6"/>
  <c r="K762" i="6"/>
  <c r="I762" i="6"/>
  <c r="G762" i="6"/>
  <c r="F762" i="6"/>
  <c r="E762" i="6"/>
  <c r="D762" i="6"/>
  <c r="C762" i="6"/>
  <c r="B762" i="6"/>
  <c r="A762" i="6"/>
  <c r="O761" i="6"/>
  <c r="N761" i="6"/>
  <c r="M761" i="6"/>
  <c r="K761" i="6"/>
  <c r="I761" i="6"/>
  <c r="G761" i="6"/>
  <c r="F761" i="6"/>
  <c r="E761" i="6"/>
  <c r="D761" i="6"/>
  <c r="C761" i="6"/>
  <c r="B761" i="6"/>
  <c r="A761" i="6"/>
  <c r="O760" i="6"/>
  <c r="N760" i="6"/>
  <c r="M760" i="6"/>
  <c r="K760" i="6"/>
  <c r="I760" i="6"/>
  <c r="G760" i="6"/>
  <c r="F760" i="6"/>
  <c r="E760" i="6"/>
  <c r="D760" i="6"/>
  <c r="C760" i="6"/>
  <c r="B760" i="6"/>
  <c r="A760" i="6"/>
  <c r="O759" i="6"/>
  <c r="N759" i="6"/>
  <c r="M759" i="6"/>
  <c r="K759" i="6"/>
  <c r="I759" i="6"/>
  <c r="G759" i="6"/>
  <c r="F759" i="6"/>
  <c r="E759" i="6"/>
  <c r="D759" i="6"/>
  <c r="C759" i="6"/>
  <c r="B759" i="6"/>
  <c r="A759" i="6"/>
  <c r="O758" i="6"/>
  <c r="N758" i="6"/>
  <c r="M758" i="6"/>
  <c r="K758" i="6"/>
  <c r="I758" i="6"/>
  <c r="G758" i="6"/>
  <c r="F758" i="6"/>
  <c r="E758" i="6"/>
  <c r="D758" i="6"/>
  <c r="C758" i="6"/>
  <c r="B758" i="6"/>
  <c r="A758" i="6"/>
  <c r="O757" i="6"/>
  <c r="N757" i="6"/>
  <c r="M757" i="6"/>
  <c r="K757" i="6"/>
  <c r="I757" i="6"/>
  <c r="G757" i="6"/>
  <c r="F757" i="6"/>
  <c r="E757" i="6"/>
  <c r="D757" i="6"/>
  <c r="C757" i="6"/>
  <c r="B757" i="6"/>
  <c r="A757" i="6"/>
  <c r="O756" i="6"/>
  <c r="N756" i="6"/>
  <c r="M756" i="6"/>
  <c r="K756" i="6"/>
  <c r="I756" i="6"/>
  <c r="G756" i="6"/>
  <c r="F756" i="6"/>
  <c r="E756" i="6"/>
  <c r="D756" i="6"/>
  <c r="C756" i="6"/>
  <c r="B756" i="6"/>
  <c r="A756" i="6"/>
  <c r="O755" i="6"/>
  <c r="N755" i="6"/>
  <c r="M755" i="6"/>
  <c r="K755" i="6"/>
  <c r="I755" i="6"/>
  <c r="G755" i="6"/>
  <c r="F755" i="6"/>
  <c r="E755" i="6"/>
  <c r="D755" i="6"/>
  <c r="C755" i="6"/>
  <c r="B755" i="6"/>
  <c r="A755" i="6"/>
  <c r="O754" i="6"/>
  <c r="N754" i="6"/>
  <c r="M754" i="6"/>
  <c r="K754" i="6"/>
  <c r="I754" i="6"/>
  <c r="G754" i="6"/>
  <c r="F754" i="6"/>
  <c r="E754" i="6"/>
  <c r="D754" i="6"/>
  <c r="C754" i="6"/>
  <c r="B754" i="6"/>
  <c r="A754" i="6"/>
  <c r="O753" i="6"/>
  <c r="N753" i="6"/>
  <c r="M753" i="6"/>
  <c r="K753" i="6"/>
  <c r="I753" i="6"/>
  <c r="G753" i="6"/>
  <c r="F753" i="6"/>
  <c r="E753" i="6"/>
  <c r="D753" i="6"/>
  <c r="C753" i="6"/>
  <c r="B753" i="6"/>
  <c r="A753" i="6"/>
  <c r="O752" i="6"/>
  <c r="N752" i="6"/>
  <c r="M752" i="6"/>
  <c r="K752" i="6"/>
  <c r="I752" i="6"/>
  <c r="G752" i="6"/>
  <c r="F752" i="6"/>
  <c r="E752" i="6"/>
  <c r="D752" i="6"/>
  <c r="C752" i="6"/>
  <c r="B752" i="6"/>
  <c r="A752" i="6"/>
  <c r="O751" i="6"/>
  <c r="N751" i="6"/>
  <c r="M751" i="6"/>
  <c r="K751" i="6"/>
  <c r="I751" i="6"/>
  <c r="G751" i="6"/>
  <c r="F751" i="6"/>
  <c r="E751" i="6"/>
  <c r="D751" i="6"/>
  <c r="C751" i="6"/>
  <c r="B751" i="6"/>
  <c r="A751" i="6"/>
  <c r="O750" i="6"/>
  <c r="N750" i="6"/>
  <c r="M750" i="6"/>
  <c r="K750" i="6"/>
  <c r="I750" i="6"/>
  <c r="G750" i="6"/>
  <c r="F750" i="6"/>
  <c r="E750" i="6"/>
  <c r="D750" i="6"/>
  <c r="C750" i="6"/>
  <c r="B750" i="6"/>
  <c r="A750" i="6"/>
  <c r="O749" i="6"/>
  <c r="N749" i="6"/>
  <c r="M749" i="6"/>
  <c r="K749" i="6"/>
  <c r="I749" i="6"/>
  <c r="G749" i="6"/>
  <c r="F749" i="6"/>
  <c r="E749" i="6"/>
  <c r="D749" i="6"/>
  <c r="C749" i="6"/>
  <c r="B749" i="6"/>
  <c r="A749" i="6"/>
  <c r="O748" i="6"/>
  <c r="N748" i="6"/>
  <c r="M748" i="6"/>
  <c r="K748" i="6"/>
  <c r="I748" i="6"/>
  <c r="G748" i="6"/>
  <c r="F748" i="6"/>
  <c r="E748" i="6"/>
  <c r="D748" i="6"/>
  <c r="C748" i="6"/>
  <c r="B748" i="6"/>
  <c r="A748" i="6"/>
  <c r="O747" i="6"/>
  <c r="N747" i="6"/>
  <c r="M747" i="6"/>
  <c r="K747" i="6"/>
  <c r="I747" i="6"/>
  <c r="G747" i="6"/>
  <c r="F747" i="6"/>
  <c r="E747" i="6"/>
  <c r="D747" i="6"/>
  <c r="C747" i="6"/>
  <c r="B747" i="6"/>
  <c r="A747" i="6"/>
  <c r="O746" i="6"/>
  <c r="N746" i="6"/>
  <c r="M746" i="6"/>
  <c r="K746" i="6"/>
  <c r="I746" i="6"/>
  <c r="G746" i="6"/>
  <c r="F746" i="6"/>
  <c r="E746" i="6"/>
  <c r="D746" i="6"/>
  <c r="C746" i="6"/>
  <c r="B746" i="6"/>
  <c r="A746" i="6"/>
  <c r="O745" i="6"/>
  <c r="N745" i="6"/>
  <c r="M745" i="6"/>
  <c r="K745" i="6"/>
  <c r="I745" i="6"/>
  <c r="G745" i="6"/>
  <c r="F745" i="6"/>
  <c r="E745" i="6"/>
  <c r="D745" i="6"/>
  <c r="C745" i="6"/>
  <c r="B745" i="6"/>
  <c r="A745" i="6"/>
  <c r="O744" i="6"/>
  <c r="N744" i="6"/>
  <c r="M744" i="6"/>
  <c r="K744" i="6"/>
  <c r="I744" i="6"/>
  <c r="G744" i="6"/>
  <c r="F744" i="6"/>
  <c r="E744" i="6"/>
  <c r="D744" i="6"/>
  <c r="C744" i="6"/>
  <c r="B744" i="6"/>
  <c r="A744" i="6"/>
  <c r="O743" i="6"/>
  <c r="N743" i="6"/>
  <c r="M743" i="6"/>
  <c r="K743" i="6"/>
  <c r="I743" i="6"/>
  <c r="G743" i="6"/>
  <c r="F743" i="6"/>
  <c r="E743" i="6"/>
  <c r="D743" i="6"/>
  <c r="C743" i="6"/>
  <c r="B743" i="6"/>
  <c r="A743" i="6"/>
  <c r="O742" i="6"/>
  <c r="N742" i="6"/>
  <c r="M742" i="6"/>
  <c r="K742" i="6"/>
  <c r="I742" i="6"/>
  <c r="G742" i="6"/>
  <c r="F742" i="6"/>
  <c r="E742" i="6"/>
  <c r="D742" i="6"/>
  <c r="C742" i="6"/>
  <c r="B742" i="6"/>
  <c r="A742" i="6"/>
  <c r="O741" i="6"/>
  <c r="N741" i="6"/>
  <c r="M741" i="6"/>
  <c r="K741" i="6"/>
  <c r="I741" i="6"/>
  <c r="G741" i="6"/>
  <c r="F741" i="6"/>
  <c r="E741" i="6"/>
  <c r="D741" i="6"/>
  <c r="C741" i="6"/>
  <c r="B741" i="6"/>
  <c r="A741" i="6"/>
  <c r="O740" i="6"/>
  <c r="N740" i="6"/>
  <c r="M740" i="6"/>
  <c r="K740" i="6"/>
  <c r="I740" i="6"/>
  <c r="G740" i="6"/>
  <c r="F740" i="6"/>
  <c r="E740" i="6"/>
  <c r="D740" i="6"/>
  <c r="C740" i="6"/>
  <c r="B740" i="6"/>
  <c r="A740" i="6"/>
  <c r="O739" i="6"/>
  <c r="N739" i="6"/>
  <c r="M739" i="6"/>
  <c r="K739" i="6"/>
  <c r="I739" i="6"/>
  <c r="G739" i="6"/>
  <c r="F739" i="6"/>
  <c r="E739" i="6"/>
  <c r="D739" i="6"/>
  <c r="C739" i="6"/>
  <c r="B739" i="6"/>
  <c r="A739" i="6"/>
  <c r="O738" i="6"/>
  <c r="N738" i="6"/>
  <c r="M738" i="6"/>
  <c r="K738" i="6"/>
  <c r="I738" i="6"/>
  <c r="G738" i="6"/>
  <c r="F738" i="6"/>
  <c r="E738" i="6"/>
  <c r="D738" i="6"/>
  <c r="C738" i="6"/>
  <c r="B738" i="6"/>
  <c r="A738" i="6"/>
  <c r="O737" i="6"/>
  <c r="N737" i="6"/>
  <c r="M737" i="6"/>
  <c r="K737" i="6"/>
  <c r="I737" i="6"/>
  <c r="G737" i="6"/>
  <c r="F737" i="6"/>
  <c r="E737" i="6"/>
  <c r="D737" i="6"/>
  <c r="C737" i="6"/>
  <c r="B737" i="6"/>
  <c r="A737" i="6"/>
  <c r="O736" i="6"/>
  <c r="N736" i="6"/>
  <c r="M736" i="6"/>
  <c r="K736" i="6"/>
  <c r="I736" i="6"/>
  <c r="G736" i="6"/>
  <c r="F736" i="6"/>
  <c r="E736" i="6"/>
  <c r="D736" i="6"/>
  <c r="C736" i="6"/>
  <c r="B736" i="6"/>
  <c r="A736" i="6"/>
  <c r="O735" i="6"/>
  <c r="N735" i="6"/>
  <c r="M735" i="6"/>
  <c r="K735" i="6"/>
  <c r="I735" i="6"/>
  <c r="G735" i="6"/>
  <c r="F735" i="6"/>
  <c r="E735" i="6"/>
  <c r="D735" i="6"/>
  <c r="C735" i="6"/>
  <c r="B735" i="6"/>
  <c r="A735" i="6"/>
  <c r="O734" i="6"/>
  <c r="N734" i="6"/>
  <c r="M734" i="6"/>
  <c r="K734" i="6"/>
  <c r="I734" i="6"/>
  <c r="G734" i="6"/>
  <c r="F734" i="6"/>
  <c r="E734" i="6"/>
  <c r="D734" i="6"/>
  <c r="C734" i="6"/>
  <c r="B734" i="6"/>
  <c r="A734" i="6"/>
  <c r="O733" i="6"/>
  <c r="N733" i="6"/>
  <c r="M733" i="6"/>
  <c r="K733" i="6"/>
  <c r="I733" i="6"/>
  <c r="G733" i="6"/>
  <c r="F733" i="6"/>
  <c r="E733" i="6"/>
  <c r="D733" i="6"/>
  <c r="C733" i="6"/>
  <c r="B733" i="6"/>
  <c r="A733" i="6"/>
  <c r="O732" i="6"/>
  <c r="N732" i="6"/>
  <c r="M732" i="6"/>
  <c r="K732" i="6"/>
  <c r="I732" i="6"/>
  <c r="G732" i="6"/>
  <c r="F732" i="6"/>
  <c r="E732" i="6"/>
  <c r="D732" i="6"/>
  <c r="C732" i="6"/>
  <c r="B732" i="6"/>
  <c r="A732" i="6"/>
  <c r="O731" i="6"/>
  <c r="N731" i="6"/>
  <c r="M731" i="6"/>
  <c r="K731" i="6"/>
  <c r="I731" i="6"/>
  <c r="G731" i="6"/>
  <c r="F731" i="6"/>
  <c r="E731" i="6"/>
  <c r="D731" i="6"/>
  <c r="C731" i="6"/>
  <c r="B731" i="6"/>
  <c r="A731" i="6"/>
  <c r="O730" i="6"/>
  <c r="N730" i="6"/>
  <c r="M730" i="6"/>
  <c r="K730" i="6"/>
  <c r="I730" i="6"/>
  <c r="G730" i="6"/>
  <c r="F730" i="6"/>
  <c r="E730" i="6"/>
  <c r="D730" i="6"/>
  <c r="C730" i="6"/>
  <c r="B730" i="6"/>
  <c r="A730" i="6"/>
  <c r="O729" i="6"/>
  <c r="N729" i="6"/>
  <c r="M729" i="6"/>
  <c r="K729" i="6"/>
  <c r="I729" i="6"/>
  <c r="G729" i="6"/>
  <c r="F729" i="6"/>
  <c r="E729" i="6"/>
  <c r="D729" i="6"/>
  <c r="C729" i="6"/>
  <c r="B729" i="6"/>
  <c r="A729" i="6"/>
  <c r="O728" i="6"/>
  <c r="N728" i="6"/>
  <c r="M728" i="6"/>
  <c r="K728" i="6"/>
  <c r="I728" i="6"/>
  <c r="G728" i="6"/>
  <c r="F728" i="6"/>
  <c r="E728" i="6"/>
  <c r="D728" i="6"/>
  <c r="C728" i="6"/>
  <c r="B728" i="6"/>
  <c r="A728" i="6"/>
  <c r="O727" i="6"/>
  <c r="N727" i="6"/>
  <c r="M727" i="6"/>
  <c r="K727" i="6"/>
  <c r="I727" i="6"/>
  <c r="G727" i="6"/>
  <c r="F727" i="6"/>
  <c r="E727" i="6"/>
  <c r="D727" i="6"/>
  <c r="C727" i="6"/>
  <c r="B727" i="6"/>
  <c r="A727" i="6"/>
  <c r="O726" i="6"/>
  <c r="N726" i="6"/>
  <c r="M726" i="6"/>
  <c r="K726" i="6"/>
  <c r="I726" i="6"/>
  <c r="G726" i="6"/>
  <c r="F726" i="6"/>
  <c r="E726" i="6"/>
  <c r="D726" i="6"/>
  <c r="C726" i="6"/>
  <c r="B726" i="6"/>
  <c r="A726" i="6"/>
  <c r="O725" i="6"/>
  <c r="N725" i="6"/>
  <c r="M725" i="6"/>
  <c r="K725" i="6"/>
  <c r="I725" i="6"/>
  <c r="G725" i="6"/>
  <c r="F725" i="6"/>
  <c r="E725" i="6"/>
  <c r="D725" i="6"/>
  <c r="C725" i="6"/>
  <c r="B725" i="6"/>
  <c r="A725" i="6"/>
  <c r="O724" i="6"/>
  <c r="N724" i="6"/>
  <c r="M724" i="6"/>
  <c r="K724" i="6"/>
  <c r="I724" i="6"/>
  <c r="G724" i="6"/>
  <c r="F724" i="6"/>
  <c r="E724" i="6"/>
  <c r="D724" i="6"/>
  <c r="C724" i="6"/>
  <c r="B724" i="6"/>
  <c r="A724" i="6"/>
  <c r="O723" i="6"/>
  <c r="N723" i="6"/>
  <c r="M723" i="6"/>
  <c r="K723" i="6"/>
  <c r="I723" i="6"/>
  <c r="G723" i="6"/>
  <c r="F723" i="6"/>
  <c r="E723" i="6"/>
  <c r="D723" i="6"/>
  <c r="C723" i="6"/>
  <c r="B723" i="6"/>
  <c r="A723" i="6"/>
  <c r="O722" i="6"/>
  <c r="N722" i="6"/>
  <c r="M722" i="6"/>
  <c r="K722" i="6"/>
  <c r="I722" i="6"/>
  <c r="G722" i="6"/>
  <c r="F722" i="6"/>
  <c r="E722" i="6"/>
  <c r="D722" i="6"/>
  <c r="C722" i="6"/>
  <c r="B722" i="6"/>
  <c r="A722" i="6"/>
  <c r="O721" i="6"/>
  <c r="N721" i="6"/>
  <c r="M721" i="6"/>
  <c r="K721" i="6"/>
  <c r="I721" i="6"/>
  <c r="G721" i="6"/>
  <c r="F721" i="6"/>
  <c r="E721" i="6"/>
  <c r="D721" i="6"/>
  <c r="C721" i="6"/>
  <c r="B721" i="6"/>
  <c r="A721" i="6"/>
  <c r="O720" i="6"/>
  <c r="N720" i="6"/>
  <c r="M720" i="6"/>
  <c r="K720" i="6"/>
  <c r="I720" i="6"/>
  <c r="G720" i="6"/>
  <c r="F720" i="6"/>
  <c r="E720" i="6"/>
  <c r="D720" i="6"/>
  <c r="C720" i="6"/>
  <c r="B720" i="6"/>
  <c r="A720" i="6"/>
  <c r="O719" i="6"/>
  <c r="N719" i="6"/>
  <c r="M719" i="6"/>
  <c r="K719" i="6"/>
  <c r="I719" i="6"/>
  <c r="G719" i="6"/>
  <c r="F719" i="6"/>
  <c r="E719" i="6"/>
  <c r="D719" i="6"/>
  <c r="C719" i="6"/>
  <c r="B719" i="6"/>
  <c r="A719" i="6"/>
  <c r="O718" i="6"/>
  <c r="N718" i="6"/>
  <c r="M718" i="6"/>
  <c r="K718" i="6"/>
  <c r="I718" i="6"/>
  <c r="G718" i="6"/>
  <c r="F718" i="6"/>
  <c r="E718" i="6"/>
  <c r="D718" i="6"/>
  <c r="C718" i="6"/>
  <c r="B718" i="6"/>
  <c r="A718" i="6"/>
  <c r="O717" i="6"/>
  <c r="N717" i="6"/>
  <c r="M717" i="6"/>
  <c r="K717" i="6"/>
  <c r="I717" i="6"/>
  <c r="G717" i="6"/>
  <c r="F717" i="6"/>
  <c r="E717" i="6"/>
  <c r="D717" i="6"/>
  <c r="C717" i="6"/>
  <c r="B717" i="6"/>
  <c r="A717" i="6"/>
  <c r="O716" i="6"/>
  <c r="N716" i="6"/>
  <c r="M716" i="6"/>
  <c r="K716" i="6"/>
  <c r="I716" i="6"/>
  <c r="G716" i="6"/>
  <c r="F716" i="6"/>
  <c r="E716" i="6"/>
  <c r="D716" i="6"/>
  <c r="C716" i="6"/>
  <c r="B716" i="6"/>
  <c r="A716" i="6"/>
  <c r="O715" i="6"/>
  <c r="N715" i="6"/>
  <c r="M715" i="6"/>
  <c r="K715" i="6"/>
  <c r="I715" i="6"/>
  <c r="G715" i="6"/>
  <c r="F715" i="6"/>
  <c r="E715" i="6"/>
  <c r="D715" i="6"/>
  <c r="C715" i="6"/>
  <c r="B715" i="6"/>
  <c r="A715" i="6"/>
  <c r="O714" i="6"/>
  <c r="N714" i="6"/>
  <c r="M714" i="6"/>
  <c r="K714" i="6"/>
  <c r="I714" i="6"/>
  <c r="G714" i="6"/>
  <c r="F714" i="6"/>
  <c r="E714" i="6"/>
  <c r="D714" i="6"/>
  <c r="C714" i="6"/>
  <c r="B714" i="6"/>
  <c r="A714" i="6"/>
  <c r="O713" i="6"/>
  <c r="N713" i="6"/>
  <c r="M713" i="6"/>
  <c r="K713" i="6"/>
  <c r="I713" i="6"/>
  <c r="G713" i="6"/>
  <c r="F713" i="6"/>
  <c r="E713" i="6"/>
  <c r="D713" i="6"/>
  <c r="C713" i="6"/>
  <c r="B713" i="6"/>
  <c r="A713" i="6"/>
  <c r="O712" i="6"/>
  <c r="N712" i="6"/>
  <c r="M712" i="6"/>
  <c r="K712" i="6"/>
  <c r="I712" i="6"/>
  <c r="G712" i="6"/>
  <c r="F712" i="6"/>
  <c r="E712" i="6"/>
  <c r="D712" i="6"/>
  <c r="C712" i="6"/>
  <c r="B712" i="6"/>
  <c r="A712" i="6"/>
  <c r="O711" i="6"/>
  <c r="N711" i="6"/>
  <c r="M711" i="6"/>
  <c r="K711" i="6"/>
  <c r="I711" i="6"/>
  <c r="G711" i="6"/>
  <c r="F711" i="6"/>
  <c r="E711" i="6"/>
  <c r="D711" i="6"/>
  <c r="C711" i="6"/>
  <c r="B711" i="6"/>
  <c r="A711" i="6"/>
  <c r="O710" i="6"/>
  <c r="N710" i="6"/>
  <c r="M710" i="6"/>
  <c r="K710" i="6"/>
  <c r="I710" i="6"/>
  <c r="G710" i="6"/>
  <c r="F710" i="6"/>
  <c r="E710" i="6"/>
  <c r="D710" i="6"/>
  <c r="C710" i="6"/>
  <c r="B710" i="6"/>
  <c r="A710" i="6"/>
  <c r="O709" i="6"/>
  <c r="N709" i="6"/>
  <c r="M709" i="6"/>
  <c r="K709" i="6"/>
  <c r="I709" i="6"/>
  <c r="G709" i="6"/>
  <c r="F709" i="6"/>
  <c r="E709" i="6"/>
  <c r="D709" i="6"/>
  <c r="C709" i="6"/>
  <c r="B709" i="6"/>
  <c r="A709" i="6"/>
  <c r="O708" i="6"/>
  <c r="N708" i="6"/>
  <c r="M708" i="6"/>
  <c r="K708" i="6"/>
  <c r="I708" i="6"/>
  <c r="G708" i="6"/>
  <c r="F708" i="6"/>
  <c r="E708" i="6"/>
  <c r="D708" i="6"/>
  <c r="C708" i="6"/>
  <c r="B708" i="6"/>
  <c r="A708" i="6"/>
  <c r="O707" i="6"/>
  <c r="N707" i="6"/>
  <c r="M707" i="6"/>
  <c r="K707" i="6"/>
  <c r="I707" i="6"/>
  <c r="G707" i="6"/>
  <c r="F707" i="6"/>
  <c r="E707" i="6"/>
  <c r="D707" i="6"/>
  <c r="C707" i="6"/>
  <c r="B707" i="6"/>
  <c r="A707" i="6"/>
  <c r="O706" i="6"/>
  <c r="N706" i="6"/>
  <c r="M706" i="6"/>
  <c r="K706" i="6"/>
  <c r="I706" i="6"/>
  <c r="G706" i="6"/>
  <c r="F706" i="6"/>
  <c r="E706" i="6"/>
  <c r="D706" i="6"/>
  <c r="C706" i="6"/>
  <c r="B706" i="6"/>
  <c r="A706" i="6"/>
  <c r="O705" i="6"/>
  <c r="N705" i="6"/>
  <c r="M705" i="6"/>
  <c r="K705" i="6"/>
  <c r="I705" i="6"/>
  <c r="G705" i="6"/>
  <c r="F705" i="6"/>
  <c r="E705" i="6"/>
  <c r="D705" i="6"/>
  <c r="C705" i="6"/>
  <c r="B705" i="6"/>
  <c r="A705" i="6"/>
  <c r="O704" i="6"/>
  <c r="N704" i="6"/>
  <c r="M704" i="6"/>
  <c r="K704" i="6"/>
  <c r="I704" i="6"/>
  <c r="G704" i="6"/>
  <c r="F704" i="6"/>
  <c r="E704" i="6"/>
  <c r="D704" i="6"/>
  <c r="C704" i="6"/>
  <c r="B704" i="6"/>
  <c r="A704" i="6"/>
  <c r="O703" i="6"/>
  <c r="N703" i="6"/>
  <c r="M703" i="6"/>
  <c r="K703" i="6"/>
  <c r="I703" i="6"/>
  <c r="G703" i="6"/>
  <c r="F703" i="6"/>
  <c r="E703" i="6"/>
  <c r="D703" i="6"/>
  <c r="C703" i="6"/>
  <c r="B703" i="6"/>
  <c r="A703" i="6"/>
  <c r="O702" i="6"/>
  <c r="N702" i="6"/>
  <c r="M702" i="6"/>
  <c r="K702" i="6"/>
  <c r="I702" i="6"/>
  <c r="G702" i="6"/>
  <c r="F702" i="6"/>
  <c r="E702" i="6"/>
  <c r="D702" i="6"/>
  <c r="C702" i="6"/>
  <c r="B702" i="6"/>
  <c r="A702" i="6"/>
  <c r="O701" i="6"/>
  <c r="N701" i="6"/>
  <c r="M701" i="6"/>
  <c r="K701" i="6"/>
  <c r="I701" i="6"/>
  <c r="G701" i="6"/>
  <c r="F701" i="6"/>
  <c r="E701" i="6"/>
  <c r="D701" i="6"/>
  <c r="C701" i="6"/>
  <c r="B701" i="6"/>
  <c r="A701" i="6"/>
  <c r="O700" i="6"/>
  <c r="N700" i="6"/>
  <c r="M700" i="6"/>
  <c r="K700" i="6"/>
  <c r="I700" i="6"/>
  <c r="G700" i="6"/>
  <c r="F700" i="6"/>
  <c r="E700" i="6"/>
  <c r="D700" i="6"/>
  <c r="C700" i="6"/>
  <c r="B700" i="6"/>
  <c r="A700" i="6"/>
  <c r="O699" i="6"/>
  <c r="N699" i="6"/>
  <c r="M699" i="6"/>
  <c r="K699" i="6"/>
  <c r="I699" i="6"/>
  <c r="G699" i="6"/>
  <c r="F699" i="6"/>
  <c r="E699" i="6"/>
  <c r="D699" i="6"/>
  <c r="C699" i="6"/>
  <c r="B699" i="6"/>
  <c r="A699" i="6"/>
  <c r="O698" i="6"/>
  <c r="N698" i="6"/>
  <c r="M698" i="6"/>
  <c r="K698" i="6"/>
  <c r="I698" i="6"/>
  <c r="G698" i="6"/>
  <c r="F698" i="6"/>
  <c r="E698" i="6"/>
  <c r="D698" i="6"/>
  <c r="C698" i="6"/>
  <c r="B698" i="6"/>
  <c r="A698" i="6"/>
  <c r="O697" i="6"/>
  <c r="N697" i="6"/>
  <c r="M697" i="6"/>
  <c r="K697" i="6"/>
  <c r="I697" i="6"/>
  <c r="G697" i="6"/>
  <c r="F697" i="6"/>
  <c r="E697" i="6"/>
  <c r="D697" i="6"/>
  <c r="C697" i="6"/>
  <c r="B697" i="6"/>
  <c r="A697" i="6"/>
  <c r="O696" i="6"/>
  <c r="N696" i="6"/>
  <c r="M696" i="6"/>
  <c r="K696" i="6"/>
  <c r="I696" i="6"/>
  <c r="G696" i="6"/>
  <c r="F696" i="6"/>
  <c r="E696" i="6"/>
  <c r="D696" i="6"/>
  <c r="C696" i="6"/>
  <c r="B696" i="6"/>
  <c r="A696" i="6"/>
  <c r="O695" i="6"/>
  <c r="N695" i="6"/>
  <c r="M695" i="6"/>
  <c r="K695" i="6"/>
  <c r="I695" i="6"/>
  <c r="G695" i="6"/>
  <c r="F695" i="6"/>
  <c r="E695" i="6"/>
  <c r="D695" i="6"/>
  <c r="C695" i="6"/>
  <c r="B695" i="6"/>
  <c r="A695" i="6"/>
  <c r="O694" i="6"/>
  <c r="N694" i="6"/>
  <c r="M694" i="6"/>
  <c r="K694" i="6"/>
  <c r="I694" i="6"/>
  <c r="G694" i="6"/>
  <c r="F694" i="6"/>
  <c r="E694" i="6"/>
  <c r="D694" i="6"/>
  <c r="C694" i="6"/>
  <c r="B694" i="6"/>
  <c r="A694" i="6"/>
  <c r="O693" i="6"/>
  <c r="N693" i="6"/>
  <c r="M693" i="6"/>
  <c r="K693" i="6"/>
  <c r="I693" i="6"/>
  <c r="G693" i="6"/>
  <c r="F693" i="6"/>
  <c r="E693" i="6"/>
  <c r="D693" i="6"/>
  <c r="C693" i="6"/>
  <c r="B693" i="6"/>
  <c r="A693" i="6"/>
  <c r="O692" i="6"/>
  <c r="N692" i="6"/>
  <c r="M692" i="6"/>
  <c r="K692" i="6"/>
  <c r="I692" i="6"/>
  <c r="G692" i="6"/>
  <c r="F692" i="6"/>
  <c r="E692" i="6"/>
  <c r="D692" i="6"/>
  <c r="C692" i="6"/>
  <c r="B692" i="6"/>
  <c r="A692" i="6"/>
  <c r="O691" i="6"/>
  <c r="N691" i="6"/>
  <c r="M691" i="6"/>
  <c r="K691" i="6"/>
  <c r="I691" i="6"/>
  <c r="G691" i="6"/>
  <c r="F691" i="6"/>
  <c r="E691" i="6"/>
  <c r="D691" i="6"/>
  <c r="C691" i="6"/>
  <c r="B691" i="6"/>
  <c r="A691" i="6"/>
  <c r="O690" i="6"/>
  <c r="N690" i="6"/>
  <c r="M690" i="6"/>
  <c r="K690" i="6"/>
  <c r="I690" i="6"/>
  <c r="G690" i="6"/>
  <c r="F690" i="6"/>
  <c r="E690" i="6"/>
  <c r="D690" i="6"/>
  <c r="C690" i="6"/>
  <c r="B690" i="6"/>
  <c r="A690" i="6"/>
  <c r="O689" i="6"/>
  <c r="N689" i="6"/>
  <c r="M689" i="6"/>
  <c r="K689" i="6"/>
  <c r="I689" i="6"/>
  <c r="G689" i="6"/>
  <c r="F689" i="6"/>
  <c r="E689" i="6"/>
  <c r="D689" i="6"/>
  <c r="C689" i="6"/>
  <c r="B689" i="6"/>
  <c r="A689" i="6"/>
  <c r="O688" i="6"/>
  <c r="N688" i="6"/>
  <c r="M688" i="6"/>
  <c r="K688" i="6"/>
  <c r="I688" i="6"/>
  <c r="G688" i="6"/>
  <c r="F688" i="6"/>
  <c r="E688" i="6"/>
  <c r="D688" i="6"/>
  <c r="C688" i="6"/>
  <c r="B688" i="6"/>
  <c r="A688" i="6"/>
  <c r="O687" i="6"/>
  <c r="N687" i="6"/>
  <c r="M687" i="6"/>
  <c r="K687" i="6"/>
  <c r="I687" i="6"/>
  <c r="G687" i="6"/>
  <c r="F687" i="6"/>
  <c r="E687" i="6"/>
  <c r="D687" i="6"/>
  <c r="C687" i="6"/>
  <c r="B687" i="6"/>
  <c r="A687" i="6"/>
  <c r="O686" i="6"/>
  <c r="N686" i="6"/>
  <c r="M686" i="6"/>
  <c r="K686" i="6"/>
  <c r="I686" i="6"/>
  <c r="G686" i="6"/>
  <c r="F686" i="6"/>
  <c r="E686" i="6"/>
  <c r="D686" i="6"/>
  <c r="C686" i="6"/>
  <c r="B686" i="6"/>
  <c r="A686" i="6"/>
  <c r="O685" i="6"/>
  <c r="N685" i="6"/>
  <c r="M685" i="6"/>
  <c r="K685" i="6"/>
  <c r="I685" i="6"/>
  <c r="G685" i="6"/>
  <c r="F685" i="6"/>
  <c r="E685" i="6"/>
  <c r="D685" i="6"/>
  <c r="C685" i="6"/>
  <c r="B685" i="6"/>
  <c r="A685" i="6"/>
  <c r="O684" i="6"/>
  <c r="N684" i="6"/>
  <c r="M684" i="6"/>
  <c r="K684" i="6"/>
  <c r="I684" i="6"/>
  <c r="G684" i="6"/>
  <c r="F684" i="6"/>
  <c r="E684" i="6"/>
  <c r="D684" i="6"/>
  <c r="C684" i="6"/>
  <c r="B684" i="6"/>
  <c r="A684" i="6"/>
  <c r="O683" i="6"/>
  <c r="N683" i="6"/>
  <c r="M683" i="6"/>
  <c r="K683" i="6"/>
  <c r="I683" i="6"/>
  <c r="G683" i="6"/>
  <c r="F683" i="6"/>
  <c r="E683" i="6"/>
  <c r="D683" i="6"/>
  <c r="C683" i="6"/>
  <c r="B683" i="6"/>
  <c r="A683" i="6"/>
  <c r="O682" i="6"/>
  <c r="N682" i="6"/>
  <c r="M682" i="6"/>
  <c r="K682" i="6"/>
  <c r="I682" i="6"/>
  <c r="G682" i="6"/>
  <c r="F682" i="6"/>
  <c r="E682" i="6"/>
  <c r="D682" i="6"/>
  <c r="C682" i="6"/>
  <c r="B682" i="6"/>
  <c r="A682" i="6"/>
  <c r="O681" i="6"/>
  <c r="N681" i="6"/>
  <c r="M681" i="6"/>
  <c r="K681" i="6"/>
  <c r="I681" i="6"/>
  <c r="G681" i="6"/>
  <c r="F681" i="6"/>
  <c r="E681" i="6"/>
  <c r="D681" i="6"/>
  <c r="C681" i="6"/>
  <c r="B681" i="6"/>
  <c r="A681" i="6"/>
  <c r="O680" i="6"/>
  <c r="N680" i="6"/>
  <c r="M680" i="6"/>
  <c r="K680" i="6"/>
  <c r="I680" i="6"/>
  <c r="G680" i="6"/>
  <c r="F680" i="6"/>
  <c r="E680" i="6"/>
  <c r="D680" i="6"/>
  <c r="C680" i="6"/>
  <c r="B680" i="6"/>
  <c r="A680" i="6"/>
  <c r="O679" i="6"/>
  <c r="N679" i="6"/>
  <c r="M679" i="6"/>
  <c r="K679" i="6"/>
  <c r="I679" i="6"/>
  <c r="G679" i="6"/>
  <c r="F679" i="6"/>
  <c r="E679" i="6"/>
  <c r="D679" i="6"/>
  <c r="C679" i="6"/>
  <c r="B679" i="6"/>
  <c r="A679" i="6"/>
  <c r="O678" i="6"/>
  <c r="N678" i="6"/>
  <c r="M678" i="6"/>
  <c r="K678" i="6"/>
  <c r="I678" i="6"/>
  <c r="G678" i="6"/>
  <c r="F678" i="6"/>
  <c r="E678" i="6"/>
  <c r="D678" i="6"/>
  <c r="C678" i="6"/>
  <c r="B678" i="6"/>
  <c r="A678" i="6"/>
  <c r="O677" i="6"/>
  <c r="N677" i="6"/>
  <c r="M677" i="6"/>
  <c r="K677" i="6"/>
  <c r="I677" i="6"/>
  <c r="G677" i="6"/>
  <c r="F677" i="6"/>
  <c r="E677" i="6"/>
  <c r="D677" i="6"/>
  <c r="C677" i="6"/>
  <c r="B677" i="6"/>
  <c r="A677" i="6"/>
  <c r="O676" i="6"/>
  <c r="N676" i="6"/>
  <c r="M676" i="6"/>
  <c r="K676" i="6"/>
  <c r="I676" i="6"/>
  <c r="G676" i="6"/>
  <c r="F676" i="6"/>
  <c r="E676" i="6"/>
  <c r="D676" i="6"/>
  <c r="C676" i="6"/>
  <c r="B676" i="6"/>
  <c r="A676" i="6"/>
  <c r="N675" i="6"/>
  <c r="M675" i="6"/>
  <c r="K675" i="6"/>
  <c r="I675" i="6"/>
  <c r="G675" i="6"/>
  <c r="F675" i="6"/>
  <c r="E675" i="6"/>
  <c r="D675" i="6"/>
  <c r="C675" i="6"/>
  <c r="B675" i="6"/>
  <c r="A675" i="6"/>
  <c r="O674" i="6"/>
  <c r="N674" i="6"/>
  <c r="M674" i="6"/>
  <c r="L674" i="6"/>
  <c r="K674" i="6"/>
  <c r="J674" i="6"/>
  <c r="H674" i="6"/>
  <c r="G674" i="6"/>
  <c r="F674" i="6"/>
  <c r="E674" i="6"/>
  <c r="D674" i="6"/>
  <c r="C674" i="6"/>
  <c r="B674" i="6"/>
  <c r="A674" i="6"/>
  <c r="O673" i="6"/>
  <c r="N673" i="6"/>
  <c r="M673" i="6"/>
  <c r="L673" i="6"/>
  <c r="K673" i="6"/>
  <c r="J673" i="6"/>
  <c r="H673" i="6"/>
  <c r="G673" i="6"/>
  <c r="F673" i="6"/>
  <c r="E673" i="6"/>
  <c r="D673" i="6"/>
  <c r="C673" i="6"/>
  <c r="B673" i="6"/>
  <c r="A673" i="6"/>
  <c r="O672" i="6"/>
  <c r="N672" i="6"/>
  <c r="M672" i="6"/>
  <c r="L672" i="6"/>
  <c r="K672" i="6"/>
  <c r="J672" i="6"/>
  <c r="H672" i="6"/>
  <c r="G672" i="6"/>
  <c r="F672" i="6"/>
  <c r="E672" i="6"/>
  <c r="D672" i="6"/>
  <c r="C672" i="6"/>
  <c r="B672" i="6"/>
  <c r="A672" i="6"/>
  <c r="O671" i="6"/>
  <c r="N671" i="6"/>
  <c r="M671" i="6"/>
  <c r="L671" i="6"/>
  <c r="K671" i="6"/>
  <c r="J671" i="6"/>
  <c r="H671" i="6"/>
  <c r="G671" i="6"/>
  <c r="F671" i="6"/>
  <c r="E671" i="6"/>
  <c r="D671" i="6"/>
  <c r="C671" i="6"/>
  <c r="B671" i="6"/>
  <c r="A671" i="6"/>
  <c r="O670" i="6"/>
  <c r="N670" i="6"/>
  <c r="M670" i="6"/>
  <c r="L670" i="6"/>
  <c r="K670" i="6"/>
  <c r="J670" i="6"/>
  <c r="I670" i="6"/>
  <c r="H670" i="6"/>
  <c r="G670" i="6"/>
  <c r="F670" i="6"/>
  <c r="E670" i="6"/>
  <c r="D670" i="6"/>
  <c r="C670" i="6"/>
  <c r="B670" i="6"/>
  <c r="A670" i="6"/>
  <c r="O669" i="6"/>
  <c r="N669" i="6"/>
  <c r="M669" i="6"/>
  <c r="L669" i="6"/>
  <c r="K669" i="6"/>
  <c r="J669" i="6"/>
  <c r="I669" i="6"/>
  <c r="H669" i="6"/>
  <c r="G669" i="6"/>
  <c r="F669" i="6"/>
  <c r="E669" i="6"/>
  <c r="D669" i="6"/>
  <c r="C669" i="6"/>
  <c r="B669" i="6"/>
  <c r="A669" i="6"/>
  <c r="O668" i="6"/>
  <c r="N668" i="6"/>
  <c r="M668" i="6"/>
  <c r="L668" i="6"/>
  <c r="K668" i="6"/>
  <c r="J668" i="6"/>
  <c r="I668" i="6"/>
  <c r="H668" i="6"/>
  <c r="G668" i="6"/>
  <c r="F668" i="6"/>
  <c r="E668" i="6"/>
  <c r="D668" i="6"/>
  <c r="C668" i="6"/>
  <c r="B668" i="6"/>
  <c r="A668" i="6"/>
  <c r="O667" i="6"/>
  <c r="N667" i="6"/>
  <c r="M667" i="6"/>
  <c r="L667" i="6"/>
  <c r="K667" i="6"/>
  <c r="J667" i="6"/>
  <c r="I667" i="6"/>
  <c r="H667" i="6"/>
  <c r="G667" i="6"/>
  <c r="F667" i="6"/>
  <c r="E667" i="6"/>
  <c r="D667" i="6"/>
  <c r="C667" i="6"/>
  <c r="B667" i="6"/>
  <c r="A667" i="6"/>
  <c r="O666" i="6"/>
  <c r="N666" i="6"/>
  <c r="M666" i="6"/>
  <c r="L666" i="6"/>
  <c r="K666" i="6"/>
  <c r="J666" i="6"/>
  <c r="I666" i="6"/>
  <c r="H666" i="6"/>
  <c r="G666" i="6"/>
  <c r="F666" i="6"/>
  <c r="E666" i="6"/>
  <c r="D666" i="6"/>
  <c r="C666" i="6"/>
  <c r="B666" i="6"/>
  <c r="A666" i="6"/>
  <c r="O665" i="6"/>
  <c r="N665" i="6"/>
  <c r="M665" i="6"/>
  <c r="L665" i="6"/>
  <c r="K665" i="6"/>
  <c r="J665" i="6"/>
  <c r="I665" i="6"/>
  <c r="H665" i="6"/>
  <c r="G665" i="6"/>
  <c r="F665" i="6"/>
  <c r="E665" i="6"/>
  <c r="D665" i="6"/>
  <c r="C665" i="6"/>
  <c r="B665" i="6"/>
  <c r="A665" i="6"/>
  <c r="O664" i="6"/>
  <c r="N664" i="6"/>
  <c r="M664" i="6"/>
  <c r="L664" i="6"/>
  <c r="K664" i="6"/>
  <c r="J664" i="6"/>
  <c r="I664" i="6"/>
  <c r="H664" i="6"/>
  <c r="G664" i="6"/>
  <c r="F664" i="6"/>
  <c r="E664" i="6"/>
  <c r="D664" i="6"/>
  <c r="C664" i="6"/>
  <c r="B664" i="6"/>
  <c r="A664" i="6"/>
  <c r="O663" i="6"/>
  <c r="N663" i="6"/>
  <c r="M663" i="6"/>
  <c r="L663" i="6"/>
  <c r="K663" i="6"/>
  <c r="J663" i="6"/>
  <c r="I663" i="6"/>
  <c r="H663" i="6"/>
  <c r="G663" i="6"/>
  <c r="F663" i="6"/>
  <c r="E663" i="6"/>
  <c r="D663" i="6"/>
  <c r="C663" i="6"/>
  <c r="B663" i="6"/>
  <c r="A663" i="6"/>
  <c r="O662" i="6"/>
  <c r="N662" i="6"/>
  <c r="M662" i="6"/>
  <c r="L662" i="6"/>
  <c r="K662" i="6"/>
  <c r="J662" i="6"/>
  <c r="I662" i="6"/>
  <c r="H662" i="6"/>
  <c r="G662" i="6"/>
  <c r="F662" i="6"/>
  <c r="E662" i="6"/>
  <c r="D662" i="6"/>
  <c r="C662" i="6"/>
  <c r="B662" i="6"/>
  <c r="A662" i="6"/>
  <c r="O661" i="6"/>
  <c r="N661" i="6"/>
  <c r="M661" i="6"/>
  <c r="L661" i="6"/>
  <c r="K661" i="6"/>
  <c r="J661" i="6"/>
  <c r="I661" i="6"/>
  <c r="H661" i="6"/>
  <c r="G661" i="6"/>
  <c r="F661" i="6"/>
  <c r="E661" i="6"/>
  <c r="D661" i="6"/>
  <c r="C661" i="6"/>
  <c r="B661" i="6"/>
  <c r="A661" i="6"/>
  <c r="O660" i="6"/>
  <c r="N660" i="6"/>
  <c r="M660" i="6"/>
  <c r="L660" i="6"/>
  <c r="K660" i="6"/>
  <c r="J660" i="6"/>
  <c r="I660" i="6"/>
  <c r="H660" i="6"/>
  <c r="G660" i="6"/>
  <c r="F660" i="6"/>
  <c r="E660" i="6"/>
  <c r="D660" i="6"/>
  <c r="C660" i="6"/>
  <c r="B660" i="6"/>
  <c r="A660" i="6"/>
  <c r="O659" i="6"/>
  <c r="N659" i="6"/>
  <c r="M659" i="6"/>
  <c r="L659" i="6"/>
  <c r="K659" i="6"/>
  <c r="J659" i="6"/>
  <c r="I659" i="6"/>
  <c r="H659" i="6"/>
  <c r="G659" i="6"/>
  <c r="F659" i="6"/>
  <c r="E659" i="6"/>
  <c r="D659" i="6"/>
  <c r="C659" i="6"/>
  <c r="B659" i="6"/>
  <c r="A659" i="6"/>
  <c r="O658" i="6"/>
  <c r="N658" i="6"/>
  <c r="M658" i="6"/>
  <c r="L658" i="6"/>
  <c r="K658" i="6"/>
  <c r="J658" i="6"/>
  <c r="I658" i="6"/>
  <c r="H658" i="6"/>
  <c r="G658" i="6"/>
  <c r="F658" i="6"/>
  <c r="E658" i="6"/>
  <c r="D658" i="6"/>
  <c r="C658" i="6"/>
  <c r="B658" i="6"/>
  <c r="A658" i="6"/>
  <c r="O657" i="6"/>
  <c r="N657" i="6"/>
  <c r="M657" i="6"/>
  <c r="L657" i="6"/>
  <c r="K657" i="6"/>
  <c r="J657" i="6"/>
  <c r="I657" i="6"/>
  <c r="H657" i="6"/>
  <c r="G657" i="6"/>
  <c r="F657" i="6"/>
  <c r="E657" i="6"/>
  <c r="D657" i="6"/>
  <c r="C657" i="6"/>
  <c r="B657" i="6"/>
  <c r="A657" i="6"/>
  <c r="O656" i="6"/>
  <c r="N656" i="6"/>
  <c r="M656" i="6"/>
  <c r="L656" i="6"/>
  <c r="K656" i="6"/>
  <c r="J656" i="6"/>
  <c r="I656" i="6"/>
  <c r="H656" i="6"/>
  <c r="G656" i="6"/>
  <c r="F656" i="6"/>
  <c r="E656" i="6"/>
  <c r="D656" i="6"/>
  <c r="C656" i="6"/>
  <c r="B656" i="6"/>
  <c r="A656" i="6"/>
  <c r="O655" i="6"/>
  <c r="N655" i="6"/>
  <c r="M655" i="6"/>
  <c r="L655" i="6"/>
  <c r="K655" i="6"/>
  <c r="J655" i="6"/>
  <c r="I655" i="6"/>
  <c r="H655" i="6"/>
  <c r="G655" i="6"/>
  <c r="F655" i="6"/>
  <c r="E655" i="6"/>
  <c r="D655" i="6"/>
  <c r="C655" i="6"/>
  <c r="B655" i="6"/>
  <c r="A655" i="6"/>
  <c r="O654" i="6"/>
  <c r="N654" i="6"/>
  <c r="M654" i="6"/>
  <c r="L654" i="6"/>
  <c r="K654" i="6"/>
  <c r="J654" i="6"/>
  <c r="I654" i="6"/>
  <c r="H654" i="6"/>
  <c r="G654" i="6"/>
  <c r="F654" i="6"/>
  <c r="E654" i="6"/>
  <c r="D654" i="6"/>
  <c r="C654" i="6"/>
  <c r="B654" i="6"/>
  <c r="A654" i="6"/>
  <c r="O653" i="6"/>
  <c r="N653" i="6"/>
  <c r="M653" i="6"/>
  <c r="L653" i="6"/>
  <c r="K653" i="6"/>
  <c r="J653" i="6"/>
  <c r="I653" i="6"/>
  <c r="H653" i="6"/>
  <c r="G653" i="6"/>
  <c r="F653" i="6"/>
  <c r="E653" i="6"/>
  <c r="D653" i="6"/>
  <c r="C653" i="6"/>
  <c r="B653" i="6"/>
  <c r="A653" i="6"/>
  <c r="O652" i="6"/>
  <c r="N652" i="6"/>
  <c r="M652" i="6"/>
  <c r="L652" i="6"/>
  <c r="K652" i="6"/>
  <c r="J652" i="6"/>
  <c r="I652" i="6"/>
  <c r="H652" i="6"/>
  <c r="G652" i="6"/>
  <c r="F652" i="6"/>
  <c r="E652" i="6"/>
  <c r="D652" i="6"/>
  <c r="C652" i="6"/>
  <c r="B652" i="6"/>
  <c r="A652" i="6"/>
  <c r="O651" i="6"/>
  <c r="N651" i="6"/>
  <c r="M651" i="6"/>
  <c r="L651" i="6"/>
  <c r="K651" i="6"/>
  <c r="J651" i="6"/>
  <c r="I651" i="6"/>
  <c r="H651" i="6"/>
  <c r="G651" i="6"/>
  <c r="F651" i="6"/>
  <c r="E651" i="6"/>
  <c r="D651" i="6"/>
  <c r="C651" i="6"/>
  <c r="B651" i="6"/>
  <c r="A651" i="6"/>
  <c r="O650" i="6"/>
  <c r="N650" i="6"/>
  <c r="M650" i="6"/>
  <c r="L650" i="6"/>
  <c r="K650" i="6"/>
  <c r="J650" i="6"/>
  <c r="I650" i="6"/>
  <c r="H650" i="6"/>
  <c r="G650" i="6"/>
  <c r="F650" i="6"/>
  <c r="E650" i="6"/>
  <c r="D650" i="6"/>
  <c r="C650" i="6"/>
  <c r="B650" i="6"/>
  <c r="A650" i="6"/>
  <c r="O649" i="6"/>
  <c r="N649" i="6"/>
  <c r="M649" i="6"/>
  <c r="L649" i="6"/>
  <c r="K649" i="6"/>
  <c r="J649" i="6"/>
  <c r="I649" i="6"/>
  <c r="H649" i="6"/>
  <c r="G649" i="6"/>
  <c r="F649" i="6"/>
  <c r="E649" i="6"/>
  <c r="D649" i="6"/>
  <c r="C649" i="6"/>
  <c r="B649" i="6"/>
  <c r="A649" i="6"/>
  <c r="O648" i="6"/>
  <c r="N648" i="6"/>
  <c r="M648" i="6"/>
  <c r="L648" i="6"/>
  <c r="K648" i="6"/>
  <c r="J648" i="6"/>
  <c r="I648" i="6"/>
  <c r="H648" i="6"/>
  <c r="G648" i="6"/>
  <c r="F648" i="6"/>
  <c r="E648" i="6"/>
  <c r="D648" i="6"/>
  <c r="C648" i="6"/>
  <c r="B648" i="6"/>
  <c r="A648" i="6"/>
  <c r="O647" i="6"/>
  <c r="N647" i="6"/>
  <c r="M647" i="6"/>
  <c r="L647" i="6"/>
  <c r="K647" i="6"/>
  <c r="J647" i="6"/>
  <c r="I647" i="6"/>
  <c r="H647" i="6"/>
  <c r="G647" i="6"/>
  <c r="F647" i="6"/>
  <c r="E647" i="6"/>
  <c r="D647" i="6"/>
  <c r="C647" i="6"/>
  <c r="B647" i="6"/>
  <c r="A647" i="6"/>
  <c r="O646" i="6"/>
  <c r="N646" i="6"/>
  <c r="M646" i="6"/>
  <c r="L646" i="6"/>
  <c r="K646" i="6"/>
  <c r="J646" i="6"/>
  <c r="I646" i="6"/>
  <c r="H646" i="6"/>
  <c r="G646" i="6"/>
  <c r="F646" i="6"/>
  <c r="E646" i="6"/>
  <c r="D646" i="6"/>
  <c r="C646" i="6"/>
  <c r="B646" i="6"/>
  <c r="A646" i="6"/>
  <c r="O645" i="6"/>
  <c r="N645" i="6"/>
  <c r="M645" i="6"/>
  <c r="L645" i="6"/>
  <c r="K645" i="6"/>
  <c r="J645" i="6"/>
  <c r="I645" i="6"/>
  <c r="H645" i="6"/>
  <c r="G645" i="6"/>
  <c r="F645" i="6"/>
  <c r="E645" i="6"/>
  <c r="D645" i="6"/>
  <c r="C645" i="6"/>
  <c r="B645" i="6"/>
  <c r="A645" i="6"/>
  <c r="O644" i="6"/>
  <c r="N644" i="6"/>
  <c r="M644" i="6"/>
  <c r="L644" i="6"/>
  <c r="K644" i="6"/>
  <c r="J644" i="6"/>
  <c r="I644" i="6"/>
  <c r="H644" i="6"/>
  <c r="G644" i="6"/>
  <c r="F644" i="6"/>
  <c r="E644" i="6"/>
  <c r="D644" i="6"/>
  <c r="C644" i="6"/>
  <c r="B644" i="6"/>
  <c r="A644" i="6"/>
  <c r="O643" i="6"/>
  <c r="N643" i="6"/>
  <c r="M643" i="6"/>
  <c r="L643" i="6"/>
  <c r="K643" i="6"/>
  <c r="J643" i="6"/>
  <c r="I643" i="6"/>
  <c r="H643" i="6"/>
  <c r="G643" i="6"/>
  <c r="F643" i="6"/>
  <c r="E643" i="6"/>
  <c r="D643" i="6"/>
  <c r="C643" i="6"/>
  <c r="B643" i="6"/>
  <c r="A643" i="6"/>
  <c r="O642" i="6"/>
  <c r="N642" i="6"/>
  <c r="M642" i="6"/>
  <c r="L642" i="6"/>
  <c r="K642" i="6"/>
  <c r="J642" i="6"/>
  <c r="I642" i="6"/>
  <c r="H642" i="6"/>
  <c r="G642" i="6"/>
  <c r="F642" i="6"/>
  <c r="E642" i="6"/>
  <c r="D642" i="6"/>
  <c r="C642" i="6"/>
  <c r="B642" i="6"/>
  <c r="A642" i="6"/>
  <c r="O641" i="6"/>
  <c r="N641" i="6"/>
  <c r="M641" i="6"/>
  <c r="L641" i="6"/>
  <c r="K641" i="6"/>
  <c r="J641" i="6"/>
  <c r="I641" i="6"/>
  <c r="H641" i="6"/>
  <c r="G641" i="6"/>
  <c r="F641" i="6"/>
  <c r="E641" i="6"/>
  <c r="D641" i="6"/>
  <c r="C641" i="6"/>
  <c r="B641" i="6"/>
  <c r="A641" i="6"/>
  <c r="O640" i="6"/>
  <c r="N640" i="6"/>
  <c r="M640" i="6"/>
  <c r="L640" i="6"/>
  <c r="K640" i="6"/>
  <c r="J640" i="6"/>
  <c r="I640" i="6"/>
  <c r="H640" i="6"/>
  <c r="G640" i="6"/>
  <c r="F640" i="6"/>
  <c r="E640" i="6"/>
  <c r="D640" i="6"/>
  <c r="C640" i="6"/>
  <c r="B640" i="6"/>
  <c r="A640" i="6"/>
  <c r="O639" i="6"/>
  <c r="N639" i="6"/>
  <c r="M639" i="6"/>
  <c r="L639" i="6"/>
  <c r="K639" i="6"/>
  <c r="J639" i="6"/>
  <c r="I639" i="6"/>
  <c r="H639" i="6"/>
  <c r="G639" i="6"/>
  <c r="F639" i="6"/>
  <c r="E639" i="6"/>
  <c r="D639" i="6"/>
  <c r="C639" i="6"/>
  <c r="B639" i="6"/>
  <c r="A639" i="6"/>
  <c r="O638" i="6"/>
  <c r="N638" i="6"/>
  <c r="M638" i="6"/>
  <c r="L638" i="6"/>
  <c r="K638" i="6"/>
  <c r="J638" i="6"/>
  <c r="I638" i="6"/>
  <c r="H638" i="6"/>
  <c r="G638" i="6"/>
  <c r="F638" i="6"/>
  <c r="E638" i="6"/>
  <c r="D638" i="6"/>
  <c r="C638" i="6"/>
  <c r="B638" i="6"/>
  <c r="A638" i="6"/>
  <c r="O637" i="6"/>
  <c r="N637" i="6"/>
  <c r="M637" i="6"/>
  <c r="L637" i="6"/>
  <c r="K637" i="6"/>
  <c r="J637" i="6"/>
  <c r="I637" i="6"/>
  <c r="H637" i="6"/>
  <c r="G637" i="6"/>
  <c r="F637" i="6"/>
  <c r="E637" i="6"/>
  <c r="D637" i="6"/>
  <c r="C637" i="6"/>
  <c r="B637" i="6"/>
  <c r="A637" i="6"/>
  <c r="O636" i="6"/>
  <c r="N636" i="6"/>
  <c r="M636" i="6"/>
  <c r="L636" i="6"/>
  <c r="K636" i="6"/>
  <c r="J636" i="6"/>
  <c r="I636" i="6"/>
  <c r="H636" i="6"/>
  <c r="G636" i="6"/>
  <c r="F636" i="6"/>
  <c r="E636" i="6"/>
  <c r="D636" i="6"/>
  <c r="C636" i="6"/>
  <c r="B636" i="6"/>
  <c r="A636" i="6"/>
  <c r="O635" i="6"/>
  <c r="N635" i="6"/>
  <c r="M635" i="6"/>
  <c r="L635" i="6"/>
  <c r="K635" i="6"/>
  <c r="J635" i="6"/>
  <c r="I635" i="6"/>
  <c r="H635" i="6"/>
  <c r="G635" i="6"/>
  <c r="F635" i="6"/>
  <c r="E635" i="6"/>
  <c r="D635" i="6"/>
  <c r="C635" i="6"/>
  <c r="B635" i="6"/>
  <c r="A635" i="6"/>
  <c r="O634" i="6"/>
  <c r="N634" i="6"/>
  <c r="M634" i="6"/>
  <c r="L634" i="6"/>
  <c r="K634" i="6"/>
  <c r="J634" i="6"/>
  <c r="H634" i="6"/>
  <c r="G634" i="6"/>
  <c r="F634" i="6"/>
  <c r="E634" i="6"/>
  <c r="D634" i="6"/>
  <c r="C634" i="6"/>
  <c r="B634" i="6"/>
  <c r="A634" i="6"/>
  <c r="O633" i="6"/>
  <c r="N633" i="6"/>
  <c r="M633" i="6"/>
  <c r="L633" i="6"/>
  <c r="K633" i="6"/>
  <c r="J633" i="6"/>
  <c r="H633" i="6"/>
  <c r="G633" i="6"/>
  <c r="F633" i="6"/>
  <c r="E633" i="6"/>
  <c r="D633" i="6"/>
  <c r="C633" i="6"/>
  <c r="B633" i="6"/>
  <c r="A633" i="6"/>
  <c r="O632" i="6"/>
  <c r="N632" i="6"/>
  <c r="M632" i="6"/>
  <c r="L632" i="6"/>
  <c r="K632" i="6"/>
  <c r="J632" i="6"/>
  <c r="H632" i="6"/>
  <c r="G632" i="6"/>
  <c r="F632" i="6"/>
  <c r="E632" i="6"/>
  <c r="D632" i="6"/>
  <c r="C632" i="6"/>
  <c r="B632" i="6"/>
  <c r="A632" i="6"/>
  <c r="O631" i="6"/>
  <c r="N631" i="6"/>
  <c r="M631" i="6"/>
  <c r="L631" i="6"/>
  <c r="K631" i="6"/>
  <c r="J631" i="6"/>
  <c r="I631" i="6"/>
  <c r="H631" i="6"/>
  <c r="G631" i="6"/>
  <c r="F631" i="6"/>
  <c r="E631" i="6"/>
  <c r="D631" i="6"/>
  <c r="C631" i="6"/>
  <c r="B631" i="6"/>
  <c r="A631" i="6"/>
  <c r="O630" i="6"/>
  <c r="N630" i="6"/>
  <c r="M630" i="6"/>
  <c r="L630" i="6"/>
  <c r="K630" i="6"/>
  <c r="J630" i="6"/>
  <c r="I630" i="6"/>
  <c r="H630" i="6"/>
  <c r="G630" i="6"/>
  <c r="F630" i="6"/>
  <c r="E630" i="6"/>
  <c r="D630" i="6"/>
  <c r="C630" i="6"/>
  <c r="B630" i="6"/>
  <c r="A630" i="6"/>
  <c r="O629" i="6"/>
  <c r="N629" i="6"/>
  <c r="M629" i="6"/>
  <c r="L629" i="6"/>
  <c r="K629" i="6"/>
  <c r="J629" i="6"/>
  <c r="I629" i="6"/>
  <c r="H629" i="6"/>
  <c r="G629" i="6"/>
  <c r="F629" i="6"/>
  <c r="E629" i="6"/>
  <c r="D629" i="6"/>
  <c r="C629" i="6"/>
  <c r="B629" i="6"/>
  <c r="A629" i="6"/>
  <c r="O628" i="6"/>
  <c r="N628" i="6"/>
  <c r="M628" i="6"/>
  <c r="L628" i="6"/>
  <c r="K628" i="6"/>
  <c r="J628" i="6"/>
  <c r="I628" i="6"/>
  <c r="H628" i="6"/>
  <c r="G628" i="6"/>
  <c r="F628" i="6"/>
  <c r="E628" i="6"/>
  <c r="D628" i="6"/>
  <c r="C628" i="6"/>
  <c r="B628" i="6"/>
  <c r="A628" i="6"/>
  <c r="O627" i="6"/>
  <c r="N627" i="6"/>
  <c r="M627" i="6"/>
  <c r="L627" i="6"/>
  <c r="K627" i="6"/>
  <c r="J627" i="6"/>
  <c r="I627" i="6"/>
  <c r="H627" i="6"/>
  <c r="G627" i="6"/>
  <c r="F627" i="6"/>
  <c r="E627" i="6"/>
  <c r="D627" i="6"/>
  <c r="C627" i="6"/>
  <c r="B627" i="6"/>
  <c r="A627" i="6"/>
  <c r="O626" i="6"/>
  <c r="N626" i="6"/>
  <c r="M626" i="6"/>
  <c r="L626" i="6"/>
  <c r="K626" i="6"/>
  <c r="J626" i="6"/>
  <c r="I626" i="6"/>
  <c r="H626" i="6"/>
  <c r="G626" i="6"/>
  <c r="F626" i="6"/>
  <c r="E626" i="6"/>
  <c r="D626" i="6"/>
  <c r="C626" i="6"/>
  <c r="B626" i="6"/>
  <c r="A626" i="6"/>
  <c r="O625" i="6"/>
  <c r="N625" i="6"/>
  <c r="M625" i="6"/>
  <c r="L625" i="6"/>
  <c r="K625" i="6"/>
  <c r="J625" i="6"/>
  <c r="I625" i="6"/>
  <c r="H625" i="6"/>
  <c r="G625" i="6"/>
  <c r="F625" i="6"/>
  <c r="E625" i="6"/>
  <c r="D625" i="6"/>
  <c r="C625" i="6"/>
  <c r="B625" i="6"/>
  <c r="A625" i="6"/>
  <c r="O624" i="6"/>
  <c r="N624" i="6"/>
  <c r="M624" i="6"/>
  <c r="L624" i="6"/>
  <c r="K624" i="6"/>
  <c r="J624" i="6"/>
  <c r="I624" i="6"/>
  <c r="H624" i="6"/>
  <c r="G624" i="6"/>
  <c r="F624" i="6"/>
  <c r="E624" i="6"/>
  <c r="D624" i="6"/>
  <c r="C624" i="6"/>
  <c r="B624" i="6"/>
  <c r="A624" i="6"/>
  <c r="O623" i="6"/>
  <c r="N623" i="6"/>
  <c r="M623" i="6"/>
  <c r="L623" i="6"/>
  <c r="K623" i="6"/>
  <c r="J623" i="6"/>
  <c r="H623" i="6"/>
  <c r="G623" i="6"/>
  <c r="F623" i="6"/>
  <c r="E623" i="6"/>
  <c r="D623" i="6"/>
  <c r="C623" i="6"/>
  <c r="B623" i="6"/>
  <c r="A623" i="6"/>
  <c r="O622" i="6"/>
  <c r="N622" i="6"/>
  <c r="M622" i="6"/>
  <c r="L622" i="6"/>
  <c r="K622" i="6"/>
  <c r="J622" i="6"/>
  <c r="I622" i="6"/>
  <c r="H622" i="6"/>
  <c r="G622" i="6"/>
  <c r="F622" i="6"/>
  <c r="E622" i="6"/>
  <c r="D622" i="6"/>
  <c r="C622" i="6"/>
  <c r="B622" i="6"/>
  <c r="A622" i="6"/>
  <c r="O621" i="6"/>
  <c r="N621" i="6"/>
  <c r="M621" i="6"/>
  <c r="L621" i="6"/>
  <c r="K621" i="6"/>
  <c r="J621" i="6"/>
  <c r="I621" i="6"/>
  <c r="H621" i="6"/>
  <c r="G621" i="6"/>
  <c r="F621" i="6"/>
  <c r="E621" i="6"/>
  <c r="D621" i="6"/>
  <c r="C621" i="6"/>
  <c r="B621" i="6"/>
  <c r="A621" i="6"/>
  <c r="O620" i="6"/>
  <c r="N620" i="6"/>
  <c r="M620" i="6"/>
  <c r="L620" i="6"/>
  <c r="K620" i="6"/>
  <c r="J620" i="6"/>
  <c r="I620" i="6"/>
  <c r="H620" i="6"/>
  <c r="G620" i="6"/>
  <c r="F620" i="6"/>
  <c r="E620" i="6"/>
  <c r="D620" i="6"/>
  <c r="C620" i="6"/>
  <c r="B620" i="6"/>
  <c r="A620" i="6"/>
  <c r="O619" i="6"/>
  <c r="N619" i="6"/>
  <c r="M619" i="6"/>
  <c r="L619" i="6"/>
  <c r="K619" i="6"/>
  <c r="J619" i="6"/>
  <c r="I619" i="6"/>
  <c r="H619" i="6"/>
  <c r="G619" i="6"/>
  <c r="F619" i="6"/>
  <c r="E619" i="6"/>
  <c r="D619" i="6"/>
  <c r="C619" i="6"/>
  <c r="B619" i="6"/>
  <c r="A619" i="6"/>
  <c r="O618" i="6"/>
  <c r="N618" i="6"/>
  <c r="M618" i="6"/>
  <c r="L618" i="6"/>
  <c r="K618" i="6"/>
  <c r="J618" i="6"/>
  <c r="I618" i="6"/>
  <c r="H618" i="6"/>
  <c r="G618" i="6"/>
  <c r="F618" i="6"/>
  <c r="E618" i="6"/>
  <c r="D618" i="6"/>
  <c r="C618" i="6"/>
  <c r="B618" i="6"/>
  <c r="A618" i="6"/>
  <c r="O617" i="6"/>
  <c r="N617" i="6"/>
  <c r="M617" i="6"/>
  <c r="L617" i="6"/>
  <c r="K617" i="6"/>
  <c r="J617" i="6"/>
  <c r="H617" i="6"/>
  <c r="G617" i="6"/>
  <c r="F617" i="6"/>
  <c r="E617" i="6"/>
  <c r="D617" i="6"/>
  <c r="C617" i="6"/>
  <c r="B617" i="6"/>
  <c r="A617" i="6"/>
  <c r="O616" i="6"/>
  <c r="N616" i="6"/>
  <c r="M616" i="6"/>
  <c r="L616" i="6"/>
  <c r="K616" i="6"/>
  <c r="J616" i="6"/>
  <c r="I616" i="6"/>
  <c r="H616" i="6"/>
  <c r="G616" i="6"/>
  <c r="F616" i="6"/>
  <c r="E616" i="6"/>
  <c r="D616" i="6"/>
  <c r="C616" i="6"/>
  <c r="B616" i="6"/>
  <c r="A616" i="6"/>
  <c r="O615" i="6"/>
  <c r="N615" i="6"/>
  <c r="M615" i="6"/>
  <c r="L615" i="6"/>
  <c r="K615" i="6"/>
  <c r="J615" i="6"/>
  <c r="I615" i="6"/>
  <c r="H615" i="6"/>
  <c r="G615" i="6"/>
  <c r="F615" i="6"/>
  <c r="E615" i="6"/>
  <c r="D615" i="6"/>
  <c r="C615" i="6"/>
  <c r="B615" i="6"/>
  <c r="A615" i="6"/>
  <c r="O614" i="6"/>
  <c r="N614" i="6"/>
  <c r="M614" i="6"/>
  <c r="L614" i="6"/>
  <c r="K614" i="6"/>
  <c r="J614" i="6"/>
  <c r="I614" i="6"/>
  <c r="H614" i="6"/>
  <c r="G614" i="6"/>
  <c r="F614" i="6"/>
  <c r="E614" i="6"/>
  <c r="D614" i="6"/>
  <c r="C614" i="6"/>
  <c r="B614" i="6"/>
  <c r="A614" i="6"/>
  <c r="O613" i="6"/>
  <c r="N613" i="6"/>
  <c r="M613" i="6"/>
  <c r="L613" i="6"/>
  <c r="K613" i="6"/>
  <c r="J613" i="6"/>
  <c r="H613" i="6"/>
  <c r="G613" i="6"/>
  <c r="F613" i="6"/>
  <c r="E613" i="6"/>
  <c r="D613" i="6"/>
  <c r="C613" i="6"/>
  <c r="B613" i="6"/>
  <c r="A613" i="6"/>
  <c r="O612" i="6"/>
  <c r="N612" i="6"/>
  <c r="M612" i="6"/>
  <c r="L612" i="6"/>
  <c r="K612" i="6"/>
  <c r="J612" i="6"/>
  <c r="I612" i="6"/>
  <c r="H612" i="6"/>
  <c r="G612" i="6"/>
  <c r="F612" i="6"/>
  <c r="E612" i="6"/>
  <c r="D612" i="6"/>
  <c r="C612" i="6"/>
  <c r="B612" i="6"/>
  <c r="A612" i="6"/>
  <c r="O611" i="6"/>
  <c r="N611" i="6"/>
  <c r="M611" i="6"/>
  <c r="L611" i="6"/>
  <c r="K611" i="6"/>
  <c r="J611" i="6"/>
  <c r="I611" i="6"/>
  <c r="H611" i="6"/>
  <c r="G611" i="6"/>
  <c r="F611" i="6"/>
  <c r="E611" i="6"/>
  <c r="D611" i="6"/>
  <c r="C611" i="6"/>
  <c r="B611" i="6"/>
  <c r="A611" i="6"/>
  <c r="O610" i="6"/>
  <c r="N610" i="6"/>
  <c r="M610" i="6"/>
  <c r="L610" i="6"/>
  <c r="K610" i="6"/>
  <c r="J610" i="6"/>
  <c r="I610" i="6"/>
  <c r="H610" i="6"/>
  <c r="G610" i="6"/>
  <c r="F610" i="6"/>
  <c r="E610" i="6"/>
  <c r="D610" i="6"/>
  <c r="C610" i="6"/>
  <c r="B610" i="6"/>
  <c r="A610" i="6"/>
  <c r="O609" i="6"/>
  <c r="N609" i="6"/>
  <c r="M609" i="6"/>
  <c r="L609" i="6"/>
  <c r="K609" i="6"/>
  <c r="J609" i="6"/>
  <c r="I609" i="6"/>
  <c r="H609" i="6"/>
  <c r="G609" i="6"/>
  <c r="F609" i="6"/>
  <c r="E609" i="6"/>
  <c r="D609" i="6"/>
  <c r="C609" i="6"/>
  <c r="B609" i="6"/>
  <c r="A609" i="6"/>
  <c r="O608" i="6"/>
  <c r="N608" i="6"/>
  <c r="M608" i="6"/>
  <c r="L608" i="6"/>
  <c r="K608" i="6"/>
  <c r="J608" i="6"/>
  <c r="H608" i="6"/>
  <c r="G608" i="6"/>
  <c r="F608" i="6"/>
  <c r="E608" i="6"/>
  <c r="D608" i="6"/>
  <c r="C608" i="6"/>
  <c r="B608" i="6"/>
  <c r="A608" i="6"/>
  <c r="O607" i="6"/>
  <c r="N607" i="6"/>
  <c r="M607" i="6"/>
  <c r="L607" i="6"/>
  <c r="K607" i="6"/>
  <c r="J607" i="6"/>
  <c r="H607" i="6"/>
  <c r="G607" i="6"/>
  <c r="F607" i="6"/>
  <c r="E607" i="6"/>
  <c r="D607" i="6"/>
  <c r="C607" i="6"/>
  <c r="B607" i="6"/>
  <c r="A607" i="6"/>
  <c r="O606" i="6"/>
  <c r="N606" i="6"/>
  <c r="M606" i="6"/>
  <c r="L606" i="6"/>
  <c r="K606" i="6"/>
  <c r="J606" i="6"/>
  <c r="H606" i="6"/>
  <c r="G606" i="6"/>
  <c r="F606" i="6"/>
  <c r="E606" i="6"/>
  <c r="D606" i="6"/>
  <c r="C606" i="6"/>
  <c r="B606" i="6"/>
  <c r="A606" i="6"/>
  <c r="O605" i="6"/>
  <c r="N605" i="6"/>
  <c r="M605" i="6"/>
  <c r="L605" i="6"/>
  <c r="K605" i="6"/>
  <c r="J605" i="6"/>
  <c r="H605" i="6"/>
  <c r="G605" i="6"/>
  <c r="F605" i="6"/>
  <c r="E605" i="6"/>
  <c r="D605" i="6"/>
  <c r="C605" i="6"/>
  <c r="B605" i="6"/>
  <c r="A605" i="6"/>
  <c r="O604" i="6"/>
  <c r="N604" i="6"/>
  <c r="M604" i="6"/>
  <c r="L604" i="6"/>
  <c r="K604" i="6"/>
  <c r="J604" i="6"/>
  <c r="H604" i="6"/>
  <c r="G604" i="6"/>
  <c r="F604" i="6"/>
  <c r="E604" i="6"/>
  <c r="D604" i="6"/>
  <c r="C604" i="6"/>
  <c r="B604" i="6"/>
  <c r="A604" i="6"/>
  <c r="O603" i="6"/>
  <c r="N603" i="6"/>
  <c r="M603" i="6"/>
  <c r="L603" i="6"/>
  <c r="K603" i="6"/>
  <c r="J603" i="6"/>
  <c r="H603" i="6"/>
  <c r="G603" i="6"/>
  <c r="F603" i="6"/>
  <c r="E603" i="6"/>
  <c r="D603" i="6"/>
  <c r="C603" i="6"/>
  <c r="B603" i="6"/>
  <c r="A603" i="6"/>
  <c r="O602" i="6"/>
  <c r="N602" i="6"/>
  <c r="M602" i="6"/>
  <c r="L602" i="6"/>
  <c r="K602" i="6"/>
  <c r="J602" i="6"/>
  <c r="H602" i="6"/>
  <c r="G602" i="6"/>
  <c r="F602" i="6"/>
  <c r="E602" i="6"/>
  <c r="D602" i="6"/>
  <c r="C602" i="6"/>
  <c r="B602" i="6"/>
  <c r="A602" i="6"/>
  <c r="O601" i="6"/>
  <c r="N601" i="6"/>
  <c r="M601" i="6"/>
  <c r="L601" i="6"/>
  <c r="K601" i="6"/>
  <c r="J601" i="6"/>
  <c r="I601" i="6"/>
  <c r="H601" i="6"/>
  <c r="G601" i="6"/>
  <c r="F601" i="6"/>
  <c r="E601" i="6"/>
  <c r="D601" i="6"/>
  <c r="C601" i="6"/>
  <c r="B601" i="6"/>
  <c r="A601" i="6"/>
  <c r="O600" i="6"/>
  <c r="N600" i="6"/>
  <c r="M600" i="6"/>
  <c r="L600" i="6"/>
  <c r="K600" i="6"/>
  <c r="J600" i="6"/>
  <c r="I600" i="6"/>
  <c r="H600" i="6"/>
  <c r="G600" i="6"/>
  <c r="F600" i="6"/>
  <c r="E600" i="6"/>
  <c r="D600" i="6"/>
  <c r="C600" i="6"/>
  <c r="B600" i="6"/>
  <c r="A600" i="6"/>
  <c r="O599" i="6"/>
  <c r="N599" i="6"/>
  <c r="M599" i="6"/>
  <c r="L599" i="6"/>
  <c r="K599" i="6"/>
  <c r="J599" i="6"/>
  <c r="H599" i="6"/>
  <c r="G599" i="6"/>
  <c r="F599" i="6"/>
  <c r="E599" i="6"/>
  <c r="D599" i="6"/>
  <c r="C599" i="6"/>
  <c r="B599" i="6"/>
  <c r="A599" i="6"/>
  <c r="O598" i="6"/>
  <c r="N598" i="6"/>
  <c r="M598" i="6"/>
  <c r="L598" i="6"/>
  <c r="K598" i="6"/>
  <c r="J598" i="6"/>
  <c r="I598" i="6"/>
  <c r="H598" i="6"/>
  <c r="G598" i="6"/>
  <c r="F598" i="6"/>
  <c r="E598" i="6"/>
  <c r="D598" i="6"/>
  <c r="C598" i="6"/>
  <c r="B598" i="6"/>
  <c r="A598" i="6"/>
  <c r="O597" i="6"/>
  <c r="N597" i="6"/>
  <c r="M597" i="6"/>
  <c r="L597" i="6"/>
  <c r="K597" i="6"/>
  <c r="J597" i="6"/>
  <c r="H597" i="6"/>
  <c r="G597" i="6"/>
  <c r="F597" i="6"/>
  <c r="E597" i="6"/>
  <c r="D597" i="6"/>
  <c r="C597" i="6"/>
  <c r="B597" i="6"/>
  <c r="A597" i="6"/>
  <c r="O596" i="6"/>
  <c r="N596" i="6"/>
  <c r="M596" i="6"/>
  <c r="L596" i="6"/>
  <c r="K596" i="6"/>
  <c r="J596" i="6"/>
  <c r="H596" i="6"/>
  <c r="G596" i="6"/>
  <c r="F596" i="6"/>
  <c r="E596" i="6"/>
  <c r="D596" i="6"/>
  <c r="C596" i="6"/>
  <c r="B596" i="6"/>
  <c r="A596" i="6"/>
  <c r="O595" i="6"/>
  <c r="N595" i="6"/>
  <c r="M595" i="6"/>
  <c r="L595" i="6"/>
  <c r="K595" i="6"/>
  <c r="J595" i="6"/>
  <c r="I595" i="6"/>
  <c r="H595" i="6"/>
  <c r="G595" i="6"/>
  <c r="F595" i="6"/>
  <c r="E595" i="6"/>
  <c r="D595" i="6"/>
  <c r="C595" i="6"/>
  <c r="B595" i="6"/>
  <c r="A595" i="6"/>
  <c r="O594" i="6"/>
  <c r="N594" i="6"/>
  <c r="M594" i="6"/>
  <c r="L594" i="6"/>
  <c r="K594" i="6"/>
  <c r="J594" i="6"/>
  <c r="I594" i="6"/>
  <c r="H594" i="6"/>
  <c r="G594" i="6"/>
  <c r="F594" i="6"/>
  <c r="E594" i="6"/>
  <c r="D594" i="6"/>
  <c r="C594" i="6"/>
  <c r="B594" i="6"/>
  <c r="A594" i="6"/>
  <c r="O593" i="6"/>
  <c r="N593" i="6"/>
  <c r="M593" i="6"/>
  <c r="L593" i="6"/>
  <c r="K593" i="6"/>
  <c r="J593" i="6"/>
  <c r="I593" i="6"/>
  <c r="H593" i="6"/>
  <c r="G593" i="6"/>
  <c r="F593" i="6"/>
  <c r="E593" i="6"/>
  <c r="D593" i="6"/>
  <c r="C593" i="6"/>
  <c r="B593" i="6"/>
  <c r="A593" i="6"/>
  <c r="O592" i="6"/>
  <c r="N592" i="6"/>
  <c r="M592" i="6"/>
  <c r="L592" i="6"/>
  <c r="K592" i="6"/>
  <c r="J592" i="6"/>
  <c r="I592" i="6"/>
  <c r="H592" i="6"/>
  <c r="G592" i="6"/>
  <c r="F592" i="6"/>
  <c r="E592" i="6"/>
  <c r="D592" i="6"/>
  <c r="C592" i="6"/>
  <c r="B592" i="6"/>
  <c r="A592" i="6"/>
  <c r="O591" i="6"/>
  <c r="N591" i="6"/>
  <c r="M591" i="6"/>
  <c r="L591" i="6"/>
  <c r="K591" i="6"/>
  <c r="J591" i="6"/>
  <c r="I591" i="6"/>
  <c r="H591" i="6"/>
  <c r="G591" i="6"/>
  <c r="F591" i="6"/>
  <c r="E591" i="6"/>
  <c r="D591" i="6"/>
  <c r="C591" i="6"/>
  <c r="B591" i="6"/>
  <c r="A591" i="6"/>
  <c r="O590" i="6"/>
  <c r="N590" i="6"/>
  <c r="M590" i="6"/>
  <c r="L590" i="6"/>
  <c r="K590" i="6"/>
  <c r="J590" i="6"/>
  <c r="I590" i="6"/>
  <c r="H590" i="6"/>
  <c r="G590" i="6"/>
  <c r="F590" i="6"/>
  <c r="E590" i="6"/>
  <c r="D590" i="6"/>
  <c r="C590" i="6"/>
  <c r="B590" i="6"/>
  <c r="A590" i="6"/>
  <c r="O589" i="6"/>
  <c r="N589" i="6"/>
  <c r="M589" i="6"/>
  <c r="L589" i="6"/>
  <c r="K589" i="6"/>
  <c r="J589" i="6"/>
  <c r="I589" i="6"/>
  <c r="H589" i="6"/>
  <c r="G589" i="6"/>
  <c r="F589" i="6"/>
  <c r="E589" i="6"/>
  <c r="D589" i="6"/>
  <c r="C589" i="6"/>
  <c r="B589" i="6"/>
  <c r="A589" i="6"/>
  <c r="O588" i="6"/>
  <c r="N588" i="6"/>
  <c r="M588" i="6"/>
  <c r="L588" i="6"/>
  <c r="K588" i="6"/>
  <c r="J588" i="6"/>
  <c r="I588" i="6"/>
  <c r="H588" i="6"/>
  <c r="G588" i="6"/>
  <c r="F588" i="6"/>
  <c r="E588" i="6"/>
  <c r="D588" i="6"/>
  <c r="C588" i="6"/>
  <c r="B588" i="6"/>
  <c r="A588" i="6"/>
  <c r="O587" i="6"/>
  <c r="N587" i="6"/>
  <c r="M587" i="6"/>
  <c r="L587" i="6"/>
  <c r="K587" i="6"/>
  <c r="J587" i="6"/>
  <c r="I587" i="6"/>
  <c r="H587" i="6"/>
  <c r="G587" i="6"/>
  <c r="F587" i="6"/>
  <c r="E587" i="6"/>
  <c r="D587" i="6"/>
  <c r="C587" i="6"/>
  <c r="B587" i="6"/>
  <c r="A587" i="6"/>
  <c r="O586" i="6"/>
  <c r="N586" i="6"/>
  <c r="M586" i="6"/>
  <c r="L586" i="6"/>
  <c r="K586" i="6"/>
  <c r="J586" i="6"/>
  <c r="I586" i="6"/>
  <c r="H586" i="6"/>
  <c r="G586" i="6"/>
  <c r="F586" i="6"/>
  <c r="E586" i="6"/>
  <c r="D586" i="6"/>
  <c r="C586" i="6"/>
  <c r="B586" i="6"/>
  <c r="A586" i="6"/>
  <c r="O585" i="6"/>
  <c r="N585" i="6"/>
  <c r="M585" i="6"/>
  <c r="L585" i="6"/>
  <c r="K585" i="6"/>
  <c r="J585" i="6"/>
  <c r="I585" i="6"/>
  <c r="H585" i="6"/>
  <c r="G585" i="6"/>
  <c r="F585" i="6"/>
  <c r="E585" i="6"/>
  <c r="D585" i="6"/>
  <c r="C585" i="6"/>
  <c r="B585" i="6"/>
  <c r="A585" i="6"/>
  <c r="O584" i="6"/>
  <c r="N584" i="6"/>
  <c r="M584" i="6"/>
  <c r="L584" i="6"/>
  <c r="K584" i="6"/>
  <c r="J584" i="6"/>
  <c r="I584" i="6"/>
  <c r="H584" i="6"/>
  <c r="G584" i="6"/>
  <c r="F584" i="6"/>
  <c r="E584" i="6"/>
  <c r="D584" i="6"/>
  <c r="C584" i="6"/>
  <c r="B584" i="6"/>
  <c r="A584" i="6"/>
  <c r="O583" i="6"/>
  <c r="N583" i="6"/>
  <c r="M583" i="6"/>
  <c r="L583" i="6"/>
  <c r="K583" i="6"/>
  <c r="J583" i="6"/>
  <c r="I583" i="6"/>
  <c r="H583" i="6"/>
  <c r="G583" i="6"/>
  <c r="F583" i="6"/>
  <c r="E583" i="6"/>
  <c r="D583" i="6"/>
  <c r="C583" i="6"/>
  <c r="B583" i="6"/>
  <c r="A583" i="6"/>
  <c r="O582" i="6"/>
  <c r="N582" i="6"/>
  <c r="M582" i="6"/>
  <c r="L582" i="6"/>
  <c r="K582" i="6"/>
  <c r="J582" i="6"/>
  <c r="I582" i="6"/>
  <c r="H582" i="6"/>
  <c r="G582" i="6"/>
  <c r="F582" i="6"/>
  <c r="E582" i="6"/>
  <c r="D582" i="6"/>
  <c r="C582" i="6"/>
  <c r="B582" i="6"/>
  <c r="A582" i="6"/>
  <c r="O581" i="6"/>
  <c r="N581" i="6"/>
  <c r="M581" i="6"/>
  <c r="L581" i="6"/>
  <c r="K581" i="6"/>
  <c r="J581" i="6"/>
  <c r="I581" i="6"/>
  <c r="H581" i="6"/>
  <c r="G581" i="6"/>
  <c r="F581" i="6"/>
  <c r="E581" i="6"/>
  <c r="D581" i="6"/>
  <c r="C581" i="6"/>
  <c r="B581" i="6"/>
  <c r="A581" i="6"/>
  <c r="O580" i="6"/>
  <c r="N580" i="6"/>
  <c r="M580" i="6"/>
  <c r="L580" i="6"/>
  <c r="K580" i="6"/>
  <c r="J580" i="6"/>
  <c r="I580" i="6"/>
  <c r="H580" i="6"/>
  <c r="G580" i="6"/>
  <c r="F580" i="6"/>
  <c r="E580" i="6"/>
  <c r="D580" i="6"/>
  <c r="C580" i="6"/>
  <c r="B580" i="6"/>
  <c r="A580" i="6"/>
  <c r="O579" i="6"/>
  <c r="N579" i="6"/>
  <c r="M579" i="6"/>
  <c r="L579" i="6"/>
  <c r="K579" i="6"/>
  <c r="J579" i="6"/>
  <c r="I579" i="6"/>
  <c r="H579" i="6"/>
  <c r="G579" i="6"/>
  <c r="F579" i="6"/>
  <c r="E579" i="6"/>
  <c r="D579" i="6"/>
  <c r="C579" i="6"/>
  <c r="B579" i="6"/>
  <c r="A579" i="6"/>
  <c r="O578" i="6"/>
  <c r="N578" i="6"/>
  <c r="M578" i="6"/>
  <c r="L578" i="6"/>
  <c r="K578" i="6"/>
  <c r="J578" i="6"/>
  <c r="I578" i="6"/>
  <c r="H578" i="6"/>
  <c r="G578" i="6"/>
  <c r="F578" i="6"/>
  <c r="E578" i="6"/>
  <c r="D578" i="6"/>
  <c r="C578" i="6"/>
  <c r="B578" i="6"/>
  <c r="A578" i="6"/>
  <c r="O577" i="6"/>
  <c r="N577" i="6"/>
  <c r="M577" i="6"/>
  <c r="L577" i="6"/>
  <c r="K577" i="6"/>
  <c r="J577" i="6"/>
  <c r="I577" i="6"/>
  <c r="H577" i="6"/>
  <c r="G577" i="6"/>
  <c r="F577" i="6"/>
  <c r="E577" i="6"/>
  <c r="D577" i="6"/>
  <c r="C577" i="6"/>
  <c r="B577" i="6"/>
  <c r="A577" i="6"/>
  <c r="O576" i="6"/>
  <c r="N576" i="6"/>
  <c r="M576" i="6"/>
  <c r="L576" i="6"/>
  <c r="K576" i="6"/>
  <c r="J576" i="6"/>
  <c r="I576" i="6"/>
  <c r="H576" i="6"/>
  <c r="G576" i="6"/>
  <c r="F576" i="6"/>
  <c r="E576" i="6"/>
  <c r="D576" i="6"/>
  <c r="C576" i="6"/>
  <c r="B576" i="6"/>
  <c r="A576" i="6"/>
  <c r="O575" i="6"/>
  <c r="N575" i="6"/>
  <c r="M575" i="6"/>
  <c r="L575" i="6"/>
  <c r="K575" i="6"/>
  <c r="J575" i="6"/>
  <c r="I575" i="6"/>
  <c r="H575" i="6"/>
  <c r="G575" i="6"/>
  <c r="F575" i="6"/>
  <c r="E575" i="6"/>
  <c r="D575" i="6"/>
  <c r="C575" i="6"/>
  <c r="B575" i="6"/>
  <c r="A575" i="6"/>
  <c r="O574" i="6"/>
  <c r="N574" i="6"/>
  <c r="M574" i="6"/>
  <c r="L574" i="6"/>
  <c r="K574" i="6"/>
  <c r="J574" i="6"/>
  <c r="I574" i="6"/>
  <c r="H574" i="6"/>
  <c r="G574" i="6"/>
  <c r="F574" i="6"/>
  <c r="E574" i="6"/>
  <c r="D574" i="6"/>
  <c r="C574" i="6"/>
  <c r="B574" i="6"/>
  <c r="A574" i="6"/>
  <c r="O573" i="6"/>
  <c r="N573" i="6"/>
  <c r="M573" i="6"/>
  <c r="L573" i="6"/>
  <c r="K573" i="6"/>
  <c r="J573" i="6"/>
  <c r="I573" i="6"/>
  <c r="H573" i="6"/>
  <c r="G573" i="6"/>
  <c r="F573" i="6"/>
  <c r="E573" i="6"/>
  <c r="D573" i="6"/>
  <c r="C573" i="6"/>
  <c r="B573" i="6"/>
  <c r="A573" i="6"/>
  <c r="O572" i="6"/>
  <c r="N572" i="6"/>
  <c r="M572" i="6"/>
  <c r="L572" i="6"/>
  <c r="K572" i="6"/>
  <c r="J572" i="6"/>
  <c r="I572" i="6"/>
  <c r="H572" i="6"/>
  <c r="G572" i="6"/>
  <c r="F572" i="6"/>
  <c r="E572" i="6"/>
  <c r="D572" i="6"/>
  <c r="C572" i="6"/>
  <c r="B572" i="6"/>
  <c r="A572" i="6"/>
  <c r="O571" i="6"/>
  <c r="N571" i="6"/>
  <c r="M571" i="6"/>
  <c r="L571" i="6"/>
  <c r="K571" i="6"/>
  <c r="J571" i="6"/>
  <c r="H571" i="6"/>
  <c r="G571" i="6"/>
  <c r="F571" i="6"/>
  <c r="E571" i="6"/>
  <c r="D571" i="6"/>
  <c r="C571" i="6"/>
  <c r="B571" i="6"/>
  <c r="A571" i="6"/>
  <c r="O570" i="6"/>
  <c r="N570" i="6"/>
  <c r="M570" i="6"/>
  <c r="L570" i="6"/>
  <c r="K570" i="6"/>
  <c r="J570" i="6"/>
  <c r="I570" i="6"/>
  <c r="H570" i="6"/>
  <c r="G570" i="6"/>
  <c r="F570" i="6"/>
  <c r="E570" i="6"/>
  <c r="D570" i="6"/>
  <c r="C570" i="6"/>
  <c r="B570" i="6"/>
  <c r="A570" i="6"/>
  <c r="O569" i="6"/>
  <c r="N569" i="6"/>
  <c r="M569" i="6"/>
  <c r="L569" i="6"/>
  <c r="K569" i="6"/>
  <c r="J569" i="6"/>
  <c r="H569" i="6"/>
  <c r="G569" i="6"/>
  <c r="F569" i="6"/>
  <c r="E569" i="6"/>
  <c r="D569" i="6"/>
  <c r="C569" i="6"/>
  <c r="B569" i="6"/>
  <c r="A569" i="6"/>
  <c r="O568" i="6"/>
  <c r="N568" i="6"/>
  <c r="M568" i="6"/>
  <c r="L568" i="6"/>
  <c r="K568" i="6"/>
  <c r="J568" i="6"/>
  <c r="I568" i="6"/>
  <c r="H568" i="6"/>
  <c r="G568" i="6"/>
  <c r="F568" i="6"/>
  <c r="E568" i="6"/>
  <c r="D568" i="6"/>
  <c r="C568" i="6"/>
  <c r="B568" i="6"/>
  <c r="A568" i="6"/>
  <c r="O567" i="6"/>
  <c r="N567" i="6"/>
  <c r="M567" i="6"/>
  <c r="L567" i="6"/>
  <c r="K567" i="6"/>
  <c r="J567" i="6"/>
  <c r="I567" i="6"/>
  <c r="H567" i="6"/>
  <c r="G567" i="6"/>
  <c r="F567" i="6"/>
  <c r="E567" i="6"/>
  <c r="D567" i="6"/>
  <c r="C567" i="6"/>
  <c r="B567" i="6"/>
  <c r="A567" i="6"/>
  <c r="O566" i="6"/>
  <c r="N566" i="6"/>
  <c r="M566" i="6"/>
  <c r="L566" i="6"/>
  <c r="K566" i="6"/>
  <c r="J566" i="6"/>
  <c r="I566" i="6"/>
  <c r="H566" i="6"/>
  <c r="G566" i="6"/>
  <c r="F566" i="6"/>
  <c r="E566" i="6"/>
  <c r="D566" i="6"/>
  <c r="C566" i="6"/>
  <c r="B566" i="6"/>
  <c r="A566" i="6"/>
  <c r="O565" i="6"/>
  <c r="N565" i="6"/>
  <c r="M565" i="6"/>
  <c r="L565" i="6"/>
  <c r="K565" i="6"/>
  <c r="J565" i="6"/>
  <c r="H565" i="6"/>
  <c r="G565" i="6"/>
  <c r="F565" i="6"/>
  <c r="E565" i="6"/>
  <c r="D565" i="6"/>
  <c r="C565" i="6"/>
  <c r="B565" i="6"/>
  <c r="A565" i="6"/>
  <c r="O564" i="6"/>
  <c r="N564" i="6"/>
  <c r="M564" i="6"/>
  <c r="L564" i="6"/>
  <c r="K564" i="6"/>
  <c r="J564" i="6"/>
  <c r="H564" i="6"/>
  <c r="G564" i="6"/>
  <c r="F564" i="6"/>
  <c r="E564" i="6"/>
  <c r="D564" i="6"/>
  <c r="C564" i="6"/>
  <c r="B564" i="6"/>
  <c r="A564" i="6"/>
  <c r="O563" i="6"/>
  <c r="N563" i="6"/>
  <c r="M563" i="6"/>
  <c r="L563" i="6"/>
  <c r="K563" i="6"/>
  <c r="J563" i="6"/>
  <c r="H563" i="6"/>
  <c r="G563" i="6"/>
  <c r="F563" i="6"/>
  <c r="E563" i="6"/>
  <c r="D563" i="6"/>
  <c r="C563" i="6"/>
  <c r="B563" i="6"/>
  <c r="A563" i="6"/>
  <c r="O562" i="6"/>
  <c r="N562" i="6"/>
  <c r="M562" i="6"/>
  <c r="L562" i="6"/>
  <c r="K562" i="6"/>
  <c r="J562" i="6"/>
  <c r="H562" i="6"/>
  <c r="G562" i="6"/>
  <c r="F562" i="6"/>
  <c r="E562" i="6"/>
  <c r="D562" i="6"/>
  <c r="C562" i="6"/>
  <c r="B562" i="6"/>
  <c r="A562" i="6"/>
  <c r="O561" i="6"/>
  <c r="N561" i="6"/>
  <c r="M561" i="6"/>
  <c r="L561" i="6"/>
  <c r="K561" i="6"/>
  <c r="J561" i="6"/>
  <c r="H561" i="6"/>
  <c r="G561" i="6"/>
  <c r="F561" i="6"/>
  <c r="E561" i="6"/>
  <c r="D561" i="6"/>
  <c r="C561" i="6"/>
  <c r="B561" i="6"/>
  <c r="A561" i="6"/>
  <c r="O560" i="6"/>
  <c r="N560" i="6"/>
  <c r="M560" i="6"/>
  <c r="L560" i="6"/>
  <c r="K560" i="6"/>
  <c r="J560" i="6"/>
  <c r="H560" i="6"/>
  <c r="G560" i="6"/>
  <c r="F560" i="6"/>
  <c r="E560" i="6"/>
  <c r="D560" i="6"/>
  <c r="C560" i="6"/>
  <c r="B560" i="6"/>
  <c r="A560" i="6"/>
  <c r="O559" i="6"/>
  <c r="N559" i="6"/>
  <c r="M559" i="6"/>
  <c r="L559" i="6"/>
  <c r="K559" i="6"/>
  <c r="J559" i="6"/>
  <c r="I559" i="6"/>
  <c r="H559" i="6"/>
  <c r="G559" i="6"/>
  <c r="F559" i="6"/>
  <c r="E559" i="6"/>
  <c r="D559" i="6"/>
  <c r="C559" i="6"/>
  <c r="B559" i="6"/>
  <c r="A559" i="6"/>
  <c r="O558" i="6"/>
  <c r="N558" i="6"/>
  <c r="M558" i="6"/>
  <c r="L558" i="6"/>
  <c r="K558" i="6"/>
  <c r="J558" i="6"/>
  <c r="H558" i="6"/>
  <c r="G558" i="6"/>
  <c r="F558" i="6"/>
  <c r="E558" i="6"/>
  <c r="D558" i="6"/>
  <c r="C558" i="6"/>
  <c r="B558" i="6"/>
  <c r="A558" i="6"/>
  <c r="O557" i="6"/>
  <c r="N557" i="6"/>
  <c r="M557" i="6"/>
  <c r="L557" i="6"/>
  <c r="K557" i="6"/>
  <c r="J557" i="6"/>
  <c r="H557" i="6"/>
  <c r="G557" i="6"/>
  <c r="F557" i="6"/>
  <c r="E557" i="6"/>
  <c r="D557" i="6"/>
  <c r="C557" i="6"/>
  <c r="B557" i="6"/>
  <c r="A557" i="6"/>
  <c r="O556" i="6"/>
  <c r="N556" i="6"/>
  <c r="M556" i="6"/>
  <c r="L556" i="6"/>
  <c r="K556" i="6"/>
  <c r="J556" i="6"/>
  <c r="H556" i="6"/>
  <c r="G556" i="6"/>
  <c r="F556" i="6"/>
  <c r="E556" i="6"/>
  <c r="D556" i="6"/>
  <c r="C556" i="6"/>
  <c r="B556" i="6"/>
  <c r="A556" i="6"/>
  <c r="O555" i="6"/>
  <c r="N555" i="6"/>
  <c r="M555" i="6"/>
  <c r="L555" i="6"/>
  <c r="K555" i="6"/>
  <c r="J555" i="6"/>
  <c r="H555" i="6"/>
  <c r="G555" i="6"/>
  <c r="F555" i="6"/>
  <c r="E555" i="6"/>
  <c r="D555" i="6"/>
  <c r="C555" i="6"/>
  <c r="B555" i="6"/>
  <c r="A555" i="6"/>
  <c r="O554" i="6"/>
  <c r="N554" i="6"/>
  <c r="M554" i="6"/>
  <c r="L554" i="6"/>
  <c r="K554" i="6"/>
  <c r="J554" i="6"/>
  <c r="I554" i="6"/>
  <c r="H554" i="6"/>
  <c r="G554" i="6"/>
  <c r="F554" i="6"/>
  <c r="E554" i="6"/>
  <c r="D554" i="6"/>
  <c r="C554" i="6"/>
  <c r="B554" i="6"/>
  <c r="A554" i="6"/>
  <c r="O553" i="6"/>
  <c r="N553" i="6"/>
  <c r="M553" i="6"/>
  <c r="L553" i="6"/>
  <c r="K553" i="6"/>
  <c r="J553" i="6"/>
  <c r="I553" i="6"/>
  <c r="H553" i="6"/>
  <c r="G553" i="6"/>
  <c r="F553" i="6"/>
  <c r="E553" i="6"/>
  <c r="D553" i="6"/>
  <c r="C553" i="6"/>
  <c r="B553" i="6"/>
  <c r="A553" i="6"/>
  <c r="O552" i="6"/>
  <c r="N552" i="6"/>
  <c r="M552" i="6"/>
  <c r="L552" i="6"/>
  <c r="K552" i="6"/>
  <c r="J552" i="6"/>
  <c r="H552" i="6"/>
  <c r="G552" i="6"/>
  <c r="F552" i="6"/>
  <c r="E552" i="6"/>
  <c r="D552" i="6"/>
  <c r="C552" i="6"/>
  <c r="B552" i="6"/>
  <c r="A552" i="6"/>
  <c r="O551" i="6"/>
  <c r="N551" i="6"/>
  <c r="M551" i="6"/>
  <c r="L551" i="6"/>
  <c r="K551" i="6"/>
  <c r="J551" i="6"/>
  <c r="H551" i="6"/>
  <c r="G551" i="6"/>
  <c r="F551" i="6"/>
  <c r="E551" i="6"/>
  <c r="D551" i="6"/>
  <c r="C551" i="6"/>
  <c r="B551" i="6"/>
  <c r="A551" i="6"/>
  <c r="O550" i="6"/>
  <c r="N550" i="6"/>
  <c r="M550" i="6"/>
  <c r="L550" i="6"/>
  <c r="K550" i="6"/>
  <c r="J550" i="6"/>
  <c r="H550" i="6"/>
  <c r="G550" i="6"/>
  <c r="F550" i="6"/>
  <c r="E550" i="6"/>
  <c r="D550" i="6"/>
  <c r="C550" i="6"/>
  <c r="B550" i="6"/>
  <c r="A550" i="6"/>
  <c r="O549" i="6"/>
  <c r="N549" i="6"/>
  <c r="M549" i="6"/>
  <c r="L549" i="6"/>
  <c r="K549" i="6"/>
  <c r="J549" i="6"/>
  <c r="H549" i="6"/>
  <c r="G549" i="6"/>
  <c r="F549" i="6"/>
  <c r="E549" i="6"/>
  <c r="D549" i="6"/>
  <c r="C549" i="6"/>
  <c r="B549" i="6"/>
  <c r="A549" i="6"/>
  <c r="O548" i="6"/>
  <c r="N548" i="6"/>
  <c r="M548" i="6"/>
  <c r="L548" i="6"/>
  <c r="K548" i="6"/>
  <c r="J548" i="6"/>
  <c r="I548" i="6"/>
  <c r="H548" i="6"/>
  <c r="G548" i="6"/>
  <c r="F548" i="6"/>
  <c r="E548" i="6"/>
  <c r="D548" i="6"/>
  <c r="C548" i="6"/>
  <c r="B548" i="6"/>
  <c r="A548" i="6"/>
  <c r="O547" i="6"/>
  <c r="N547" i="6"/>
  <c r="M547" i="6"/>
  <c r="L547" i="6"/>
  <c r="K547" i="6"/>
  <c r="J547" i="6"/>
  <c r="H547" i="6"/>
  <c r="G547" i="6"/>
  <c r="F547" i="6"/>
  <c r="E547" i="6"/>
  <c r="D547" i="6"/>
  <c r="C547" i="6"/>
  <c r="B547" i="6"/>
  <c r="A547" i="6"/>
  <c r="O546" i="6"/>
  <c r="N546" i="6"/>
  <c r="M546" i="6"/>
  <c r="L546" i="6"/>
  <c r="K546" i="6"/>
  <c r="J546" i="6"/>
  <c r="I546" i="6"/>
  <c r="H546" i="6"/>
  <c r="G546" i="6"/>
  <c r="F546" i="6"/>
  <c r="E546" i="6"/>
  <c r="D546" i="6"/>
  <c r="C546" i="6"/>
  <c r="B546" i="6"/>
  <c r="A546" i="6"/>
  <c r="O545" i="6"/>
  <c r="N545" i="6"/>
  <c r="M545" i="6"/>
  <c r="L545" i="6"/>
  <c r="K545" i="6"/>
  <c r="J545" i="6"/>
  <c r="H545" i="6"/>
  <c r="G545" i="6"/>
  <c r="F545" i="6"/>
  <c r="E545" i="6"/>
  <c r="D545" i="6"/>
  <c r="C545" i="6"/>
  <c r="B545" i="6"/>
  <c r="A545" i="6"/>
  <c r="O544" i="6"/>
  <c r="N544" i="6"/>
  <c r="M544" i="6"/>
  <c r="L544" i="6"/>
  <c r="K544" i="6"/>
  <c r="J544" i="6"/>
  <c r="I544" i="6"/>
  <c r="H544" i="6"/>
  <c r="G544" i="6"/>
  <c r="F544" i="6"/>
  <c r="E544" i="6"/>
  <c r="D544" i="6"/>
  <c r="C544" i="6"/>
  <c r="B544" i="6"/>
  <c r="A544" i="6"/>
  <c r="O543" i="6"/>
  <c r="N543" i="6"/>
  <c r="M543" i="6"/>
  <c r="L543" i="6"/>
  <c r="K543" i="6"/>
  <c r="J543" i="6"/>
  <c r="I543" i="6"/>
  <c r="H543" i="6"/>
  <c r="G543" i="6"/>
  <c r="F543" i="6"/>
  <c r="E543" i="6"/>
  <c r="D543" i="6"/>
  <c r="C543" i="6"/>
  <c r="B543" i="6"/>
  <c r="A543" i="6"/>
  <c r="O542" i="6"/>
  <c r="N542" i="6"/>
  <c r="M542" i="6"/>
  <c r="L542" i="6"/>
  <c r="K542" i="6"/>
  <c r="J542" i="6"/>
  <c r="I542" i="6"/>
  <c r="H542" i="6"/>
  <c r="G542" i="6"/>
  <c r="F542" i="6"/>
  <c r="E542" i="6"/>
  <c r="D542" i="6"/>
  <c r="C542" i="6"/>
  <c r="B542" i="6"/>
  <c r="A542" i="6"/>
  <c r="O541" i="6"/>
  <c r="N541" i="6"/>
  <c r="M541" i="6"/>
  <c r="L541" i="6"/>
  <c r="K541" i="6"/>
  <c r="J541" i="6"/>
  <c r="I541" i="6"/>
  <c r="H541" i="6"/>
  <c r="G541" i="6"/>
  <c r="F541" i="6"/>
  <c r="E541" i="6"/>
  <c r="D541" i="6"/>
  <c r="C541" i="6"/>
  <c r="B541" i="6"/>
  <c r="A541" i="6"/>
  <c r="O540" i="6"/>
  <c r="N540" i="6"/>
  <c r="M540" i="6"/>
  <c r="L540" i="6"/>
  <c r="K540" i="6"/>
  <c r="J540" i="6"/>
  <c r="I540" i="6"/>
  <c r="H540" i="6"/>
  <c r="G540" i="6"/>
  <c r="F540" i="6"/>
  <c r="E540" i="6"/>
  <c r="D540" i="6"/>
  <c r="C540" i="6"/>
  <c r="B540" i="6"/>
  <c r="A540" i="6"/>
  <c r="O539" i="6"/>
  <c r="N539" i="6"/>
  <c r="M539" i="6"/>
  <c r="L539" i="6"/>
  <c r="K539" i="6"/>
  <c r="J539" i="6"/>
  <c r="I539" i="6"/>
  <c r="H539" i="6"/>
  <c r="G539" i="6"/>
  <c r="F539" i="6"/>
  <c r="E539" i="6"/>
  <c r="D539" i="6"/>
  <c r="C539" i="6"/>
  <c r="B539" i="6"/>
  <c r="A539" i="6"/>
  <c r="O538" i="6"/>
  <c r="N538" i="6"/>
  <c r="M538" i="6"/>
  <c r="L538" i="6"/>
  <c r="K538" i="6"/>
  <c r="J538" i="6"/>
  <c r="I538" i="6"/>
  <c r="H538" i="6"/>
  <c r="G538" i="6"/>
  <c r="F538" i="6"/>
  <c r="E538" i="6"/>
  <c r="D538" i="6"/>
  <c r="C538" i="6"/>
  <c r="B538" i="6"/>
  <c r="A538" i="6"/>
  <c r="O537" i="6"/>
  <c r="N537" i="6"/>
  <c r="M537" i="6"/>
  <c r="L537" i="6"/>
  <c r="K537" i="6"/>
  <c r="J537" i="6"/>
  <c r="I537" i="6"/>
  <c r="H537" i="6"/>
  <c r="G537" i="6"/>
  <c r="F537" i="6"/>
  <c r="E537" i="6"/>
  <c r="D537" i="6"/>
  <c r="C537" i="6"/>
  <c r="B537" i="6"/>
  <c r="A537" i="6"/>
  <c r="O536" i="6"/>
  <c r="N536" i="6"/>
  <c r="M536" i="6"/>
  <c r="L536" i="6"/>
  <c r="K536" i="6"/>
  <c r="J536" i="6"/>
  <c r="I536" i="6"/>
  <c r="H536" i="6"/>
  <c r="G536" i="6"/>
  <c r="F536" i="6"/>
  <c r="E536" i="6"/>
  <c r="D536" i="6"/>
  <c r="C536" i="6"/>
  <c r="B536" i="6"/>
  <c r="A536" i="6"/>
  <c r="O535" i="6"/>
  <c r="N535" i="6"/>
  <c r="M535" i="6"/>
  <c r="L535" i="6"/>
  <c r="K535" i="6"/>
  <c r="J535" i="6"/>
  <c r="I535" i="6"/>
  <c r="H535" i="6"/>
  <c r="G535" i="6"/>
  <c r="F535" i="6"/>
  <c r="E535" i="6"/>
  <c r="D535" i="6"/>
  <c r="C535" i="6"/>
  <c r="B535" i="6"/>
  <c r="A535" i="6"/>
  <c r="O534" i="6"/>
  <c r="N534" i="6"/>
  <c r="M534" i="6"/>
  <c r="L534" i="6"/>
  <c r="K534" i="6"/>
  <c r="J534" i="6"/>
  <c r="I534" i="6"/>
  <c r="H534" i="6"/>
  <c r="G534" i="6"/>
  <c r="F534" i="6"/>
  <c r="E534" i="6"/>
  <c r="D534" i="6"/>
  <c r="C534" i="6"/>
  <c r="B534" i="6"/>
  <c r="A534" i="6"/>
  <c r="O533" i="6"/>
  <c r="N533" i="6"/>
  <c r="M533" i="6"/>
  <c r="L533" i="6"/>
  <c r="K533" i="6"/>
  <c r="J533" i="6"/>
  <c r="I533" i="6"/>
  <c r="H533" i="6"/>
  <c r="G533" i="6"/>
  <c r="F533" i="6"/>
  <c r="E533" i="6"/>
  <c r="D533" i="6"/>
  <c r="C533" i="6"/>
  <c r="B533" i="6"/>
  <c r="A533" i="6"/>
  <c r="O532" i="6"/>
  <c r="N532" i="6"/>
  <c r="M532" i="6"/>
  <c r="L532" i="6"/>
  <c r="K532" i="6"/>
  <c r="J532" i="6"/>
  <c r="I532" i="6"/>
  <c r="H532" i="6"/>
  <c r="G532" i="6"/>
  <c r="F532" i="6"/>
  <c r="E532" i="6"/>
  <c r="D532" i="6"/>
  <c r="C532" i="6"/>
  <c r="B532" i="6"/>
  <c r="A532" i="6"/>
  <c r="O531" i="6"/>
  <c r="N531" i="6"/>
  <c r="M531" i="6"/>
  <c r="L531" i="6"/>
  <c r="K531" i="6"/>
  <c r="J531" i="6"/>
  <c r="I531" i="6"/>
  <c r="H531" i="6"/>
  <c r="G531" i="6"/>
  <c r="F531" i="6"/>
  <c r="E531" i="6"/>
  <c r="D531" i="6"/>
  <c r="C531" i="6"/>
  <c r="B531" i="6"/>
  <c r="A531" i="6"/>
  <c r="O530" i="6"/>
  <c r="N530" i="6"/>
  <c r="M530" i="6"/>
  <c r="L530" i="6"/>
  <c r="K530" i="6"/>
  <c r="J530" i="6"/>
  <c r="I530" i="6"/>
  <c r="H530" i="6"/>
  <c r="G530" i="6"/>
  <c r="F530" i="6"/>
  <c r="E530" i="6"/>
  <c r="D530" i="6"/>
  <c r="C530" i="6"/>
  <c r="B530" i="6"/>
  <c r="A530" i="6"/>
  <c r="O529" i="6"/>
  <c r="N529" i="6"/>
  <c r="M529" i="6"/>
  <c r="L529" i="6"/>
  <c r="K529" i="6"/>
  <c r="J529" i="6"/>
  <c r="I529" i="6"/>
  <c r="H529" i="6"/>
  <c r="G529" i="6"/>
  <c r="F529" i="6"/>
  <c r="E529" i="6"/>
  <c r="D529" i="6"/>
  <c r="C529" i="6"/>
  <c r="B529" i="6"/>
  <c r="A529" i="6"/>
  <c r="O528" i="6"/>
  <c r="N528" i="6"/>
  <c r="M528" i="6"/>
  <c r="L528" i="6"/>
  <c r="K528" i="6"/>
  <c r="J528" i="6"/>
  <c r="I528" i="6"/>
  <c r="H528" i="6"/>
  <c r="G528" i="6"/>
  <c r="F528" i="6"/>
  <c r="E528" i="6"/>
  <c r="D528" i="6"/>
  <c r="C528" i="6"/>
  <c r="B528" i="6"/>
  <c r="A528" i="6"/>
  <c r="O527" i="6"/>
  <c r="N527" i="6"/>
  <c r="M527" i="6"/>
  <c r="L527" i="6"/>
  <c r="K527" i="6"/>
  <c r="J527" i="6"/>
  <c r="I527" i="6"/>
  <c r="H527" i="6"/>
  <c r="G527" i="6"/>
  <c r="F527" i="6"/>
  <c r="E527" i="6"/>
  <c r="D527" i="6"/>
  <c r="C527" i="6"/>
  <c r="B527" i="6"/>
  <c r="A527" i="6"/>
  <c r="O526" i="6"/>
  <c r="N526" i="6"/>
  <c r="M526" i="6"/>
  <c r="L526" i="6"/>
  <c r="K526" i="6"/>
  <c r="J526" i="6"/>
  <c r="I526" i="6"/>
  <c r="H526" i="6"/>
  <c r="G526" i="6"/>
  <c r="F526" i="6"/>
  <c r="E526" i="6"/>
  <c r="D526" i="6"/>
  <c r="C526" i="6"/>
  <c r="B526" i="6"/>
  <c r="A526" i="6"/>
  <c r="O525" i="6"/>
  <c r="N525" i="6"/>
  <c r="M525" i="6"/>
  <c r="L525" i="6"/>
  <c r="K525" i="6"/>
  <c r="J525" i="6"/>
  <c r="I525" i="6"/>
  <c r="H525" i="6"/>
  <c r="G525" i="6"/>
  <c r="F525" i="6"/>
  <c r="E525" i="6"/>
  <c r="D525" i="6"/>
  <c r="C525" i="6"/>
  <c r="B525" i="6"/>
  <c r="A525" i="6"/>
  <c r="O524" i="6"/>
  <c r="N524" i="6"/>
  <c r="M524" i="6"/>
  <c r="L524" i="6"/>
  <c r="K524" i="6"/>
  <c r="J524" i="6"/>
  <c r="I524" i="6"/>
  <c r="H524" i="6"/>
  <c r="G524" i="6"/>
  <c r="F524" i="6"/>
  <c r="E524" i="6"/>
  <c r="D524" i="6"/>
  <c r="C524" i="6"/>
  <c r="B524" i="6"/>
  <c r="A524" i="6"/>
  <c r="O523" i="6"/>
  <c r="N523" i="6"/>
  <c r="M523" i="6"/>
  <c r="L523" i="6"/>
  <c r="K523" i="6"/>
  <c r="J523" i="6"/>
  <c r="I523" i="6"/>
  <c r="H523" i="6"/>
  <c r="G523" i="6"/>
  <c r="F523" i="6"/>
  <c r="E523" i="6"/>
  <c r="D523" i="6"/>
  <c r="C523" i="6"/>
  <c r="B523" i="6"/>
  <c r="A523" i="6"/>
  <c r="O522" i="6"/>
  <c r="N522" i="6"/>
  <c r="M522" i="6"/>
  <c r="L522" i="6"/>
  <c r="K522" i="6"/>
  <c r="J522" i="6"/>
  <c r="I522" i="6"/>
  <c r="H522" i="6"/>
  <c r="G522" i="6"/>
  <c r="F522" i="6"/>
  <c r="E522" i="6"/>
  <c r="D522" i="6"/>
  <c r="C522" i="6"/>
  <c r="B522" i="6"/>
  <c r="A522" i="6"/>
  <c r="O521" i="6"/>
  <c r="N521" i="6"/>
  <c r="M521" i="6"/>
  <c r="L521" i="6"/>
  <c r="K521" i="6"/>
  <c r="J521" i="6"/>
  <c r="I521" i="6"/>
  <c r="H521" i="6"/>
  <c r="G521" i="6"/>
  <c r="F521" i="6"/>
  <c r="E521" i="6"/>
  <c r="D521" i="6"/>
  <c r="C521" i="6"/>
  <c r="B521" i="6"/>
  <c r="A521" i="6"/>
  <c r="O520" i="6"/>
  <c r="N520" i="6"/>
  <c r="M520" i="6"/>
  <c r="L520" i="6"/>
  <c r="K520" i="6"/>
  <c r="J520" i="6"/>
  <c r="I520" i="6"/>
  <c r="H520" i="6"/>
  <c r="G520" i="6"/>
  <c r="F520" i="6"/>
  <c r="E520" i="6"/>
  <c r="D520" i="6"/>
  <c r="C520" i="6"/>
  <c r="B520" i="6"/>
  <c r="A520" i="6"/>
  <c r="O519" i="6"/>
  <c r="N519" i="6"/>
  <c r="M519" i="6"/>
  <c r="L519" i="6"/>
  <c r="K519" i="6"/>
  <c r="J519" i="6"/>
  <c r="I519" i="6"/>
  <c r="H519" i="6"/>
  <c r="G519" i="6"/>
  <c r="F519" i="6"/>
  <c r="E519" i="6"/>
  <c r="D519" i="6"/>
  <c r="C519" i="6"/>
  <c r="B519" i="6"/>
  <c r="A519" i="6"/>
  <c r="O518" i="6"/>
  <c r="N518" i="6"/>
  <c r="M518" i="6"/>
  <c r="L518" i="6"/>
  <c r="K518" i="6"/>
  <c r="J518" i="6"/>
  <c r="I518" i="6"/>
  <c r="H518" i="6"/>
  <c r="G518" i="6"/>
  <c r="F518" i="6"/>
  <c r="E518" i="6"/>
  <c r="D518" i="6"/>
  <c r="C518" i="6"/>
  <c r="B518" i="6"/>
  <c r="A518" i="6"/>
  <c r="O517" i="6"/>
  <c r="N517" i="6"/>
  <c r="M517" i="6"/>
  <c r="L517" i="6"/>
  <c r="K517" i="6"/>
  <c r="J517" i="6"/>
  <c r="I517" i="6"/>
  <c r="H517" i="6"/>
  <c r="G517" i="6"/>
  <c r="F517" i="6"/>
  <c r="E517" i="6"/>
  <c r="D517" i="6"/>
  <c r="C517" i="6"/>
  <c r="B517" i="6"/>
  <c r="A517" i="6"/>
  <c r="O516" i="6"/>
  <c r="N516" i="6"/>
  <c r="M516" i="6"/>
  <c r="L516" i="6"/>
  <c r="K516" i="6"/>
  <c r="J516" i="6"/>
  <c r="H516" i="6"/>
  <c r="G516" i="6"/>
  <c r="F516" i="6"/>
  <c r="E516" i="6"/>
  <c r="D516" i="6"/>
  <c r="C516" i="6"/>
  <c r="B516" i="6"/>
  <c r="A516" i="6"/>
  <c r="O515" i="6"/>
  <c r="N515" i="6"/>
  <c r="M515" i="6"/>
  <c r="L515" i="6"/>
  <c r="K515" i="6"/>
  <c r="J515" i="6"/>
  <c r="I515" i="6"/>
  <c r="H515" i="6"/>
  <c r="G515" i="6"/>
  <c r="F515" i="6"/>
  <c r="E515" i="6"/>
  <c r="D515" i="6"/>
  <c r="C515" i="6"/>
  <c r="B515" i="6"/>
  <c r="A515" i="6"/>
  <c r="O514" i="6"/>
  <c r="N514" i="6"/>
  <c r="M514" i="6"/>
  <c r="L514" i="6"/>
  <c r="K514" i="6"/>
  <c r="J514" i="6"/>
  <c r="H514" i="6"/>
  <c r="G514" i="6"/>
  <c r="F514" i="6"/>
  <c r="E514" i="6"/>
  <c r="D514" i="6"/>
  <c r="C514" i="6"/>
  <c r="B514" i="6"/>
  <c r="A514" i="6"/>
  <c r="O513" i="6"/>
  <c r="N513" i="6"/>
  <c r="M513" i="6"/>
  <c r="L513" i="6"/>
  <c r="K513" i="6"/>
  <c r="J513" i="6"/>
  <c r="I513" i="6"/>
  <c r="H513" i="6"/>
  <c r="G513" i="6"/>
  <c r="F513" i="6"/>
  <c r="E513" i="6"/>
  <c r="D513" i="6"/>
  <c r="C513" i="6"/>
  <c r="B513" i="6"/>
  <c r="A513" i="6"/>
  <c r="O512" i="6"/>
  <c r="N512" i="6"/>
  <c r="M512" i="6"/>
  <c r="L512" i="6"/>
  <c r="K512" i="6"/>
  <c r="J512" i="6"/>
  <c r="I512" i="6"/>
  <c r="H512" i="6"/>
  <c r="G512" i="6"/>
  <c r="F512" i="6"/>
  <c r="E512" i="6"/>
  <c r="D512" i="6"/>
  <c r="C512" i="6"/>
  <c r="B512" i="6"/>
  <c r="A512" i="6"/>
  <c r="O511" i="6"/>
  <c r="N511" i="6"/>
  <c r="M511" i="6"/>
  <c r="L511" i="6"/>
  <c r="K511" i="6"/>
  <c r="J511" i="6"/>
  <c r="I511" i="6"/>
  <c r="H511" i="6"/>
  <c r="G511" i="6"/>
  <c r="F511" i="6"/>
  <c r="E511" i="6"/>
  <c r="D511" i="6"/>
  <c r="C511" i="6"/>
  <c r="B511" i="6"/>
  <c r="A511" i="6"/>
  <c r="O510" i="6"/>
  <c r="N510" i="6"/>
  <c r="M510" i="6"/>
  <c r="L510" i="6"/>
  <c r="K510" i="6"/>
  <c r="J510" i="6"/>
  <c r="I510" i="6"/>
  <c r="H510" i="6"/>
  <c r="G510" i="6"/>
  <c r="F510" i="6"/>
  <c r="E510" i="6"/>
  <c r="D510" i="6"/>
  <c r="C510" i="6"/>
  <c r="B510" i="6"/>
  <c r="A510" i="6"/>
  <c r="O509" i="6"/>
  <c r="N509" i="6"/>
  <c r="M509" i="6"/>
  <c r="L509" i="6"/>
  <c r="K509" i="6"/>
  <c r="J509" i="6"/>
  <c r="I509" i="6"/>
  <c r="H509" i="6"/>
  <c r="G509" i="6"/>
  <c r="F509" i="6"/>
  <c r="E509" i="6"/>
  <c r="D509" i="6"/>
  <c r="C509" i="6"/>
  <c r="B509" i="6"/>
  <c r="A509" i="6"/>
  <c r="O508" i="6"/>
  <c r="N508" i="6"/>
  <c r="M508" i="6"/>
  <c r="L508" i="6"/>
  <c r="K508" i="6"/>
  <c r="J508" i="6"/>
  <c r="I508" i="6"/>
  <c r="H508" i="6"/>
  <c r="G508" i="6"/>
  <c r="F508" i="6"/>
  <c r="E508" i="6"/>
  <c r="D508" i="6"/>
  <c r="C508" i="6"/>
  <c r="B508" i="6"/>
  <c r="A508" i="6"/>
  <c r="O507" i="6"/>
  <c r="N507" i="6"/>
  <c r="M507" i="6"/>
  <c r="L507" i="6"/>
  <c r="K507" i="6"/>
  <c r="J507" i="6"/>
  <c r="I507" i="6"/>
  <c r="H507" i="6"/>
  <c r="G507" i="6"/>
  <c r="F507" i="6"/>
  <c r="E507" i="6"/>
  <c r="D507" i="6"/>
  <c r="C507" i="6"/>
  <c r="B507" i="6"/>
  <c r="A507" i="6"/>
  <c r="O506" i="6"/>
  <c r="N506" i="6"/>
  <c r="M506" i="6"/>
  <c r="L506" i="6"/>
  <c r="K506" i="6"/>
  <c r="J506" i="6"/>
  <c r="I506" i="6"/>
  <c r="H506" i="6"/>
  <c r="G506" i="6"/>
  <c r="F506" i="6"/>
  <c r="E506" i="6"/>
  <c r="D506" i="6"/>
  <c r="C506" i="6"/>
  <c r="B506" i="6"/>
  <c r="A506" i="6"/>
  <c r="O505" i="6"/>
  <c r="N505" i="6"/>
  <c r="M505" i="6"/>
  <c r="L505" i="6"/>
  <c r="K505" i="6"/>
  <c r="J505" i="6"/>
  <c r="I505" i="6"/>
  <c r="H505" i="6"/>
  <c r="G505" i="6"/>
  <c r="F505" i="6"/>
  <c r="E505" i="6"/>
  <c r="D505" i="6"/>
  <c r="C505" i="6"/>
  <c r="B505" i="6"/>
  <c r="A505" i="6"/>
  <c r="O504" i="6"/>
  <c r="N504" i="6"/>
  <c r="M504" i="6"/>
  <c r="L504" i="6"/>
  <c r="K504" i="6"/>
  <c r="J504" i="6"/>
  <c r="I504" i="6"/>
  <c r="H504" i="6"/>
  <c r="G504" i="6"/>
  <c r="F504" i="6"/>
  <c r="E504" i="6"/>
  <c r="D504" i="6"/>
  <c r="C504" i="6"/>
  <c r="B504" i="6"/>
  <c r="A504" i="6"/>
  <c r="O503" i="6"/>
  <c r="N503" i="6"/>
  <c r="M503" i="6"/>
  <c r="L503" i="6"/>
  <c r="K503" i="6"/>
  <c r="J503" i="6"/>
  <c r="I503" i="6"/>
  <c r="H503" i="6"/>
  <c r="G503" i="6"/>
  <c r="F503" i="6"/>
  <c r="E503" i="6"/>
  <c r="D503" i="6"/>
  <c r="C503" i="6"/>
  <c r="B503" i="6"/>
  <c r="A503" i="6"/>
  <c r="O502" i="6"/>
  <c r="N502" i="6"/>
  <c r="M502" i="6"/>
  <c r="L502" i="6"/>
  <c r="K502" i="6"/>
  <c r="J502" i="6"/>
  <c r="I502" i="6"/>
  <c r="H502" i="6"/>
  <c r="G502" i="6"/>
  <c r="F502" i="6"/>
  <c r="E502" i="6"/>
  <c r="D502" i="6"/>
  <c r="C502" i="6"/>
  <c r="B502" i="6"/>
  <c r="A502" i="6"/>
  <c r="O501" i="6"/>
  <c r="N501" i="6"/>
  <c r="M501" i="6"/>
  <c r="L501" i="6"/>
  <c r="K501" i="6"/>
  <c r="J501" i="6"/>
  <c r="I501" i="6"/>
  <c r="H501" i="6"/>
  <c r="G501" i="6"/>
  <c r="F501" i="6"/>
  <c r="E501" i="6"/>
  <c r="D501" i="6"/>
  <c r="C501" i="6"/>
  <c r="B501" i="6"/>
  <c r="A501" i="6"/>
  <c r="O500" i="6"/>
  <c r="N500" i="6"/>
  <c r="M500" i="6"/>
  <c r="L500" i="6"/>
  <c r="K500" i="6"/>
  <c r="J500" i="6"/>
  <c r="I500" i="6"/>
  <c r="H500" i="6"/>
  <c r="G500" i="6"/>
  <c r="F500" i="6"/>
  <c r="E500" i="6"/>
  <c r="D500" i="6"/>
  <c r="C500" i="6"/>
  <c r="B500" i="6"/>
  <c r="A500" i="6"/>
  <c r="O499" i="6"/>
  <c r="N499" i="6"/>
  <c r="M499" i="6"/>
  <c r="L499" i="6"/>
  <c r="K499" i="6"/>
  <c r="J499" i="6"/>
  <c r="I499" i="6"/>
  <c r="H499" i="6"/>
  <c r="G499" i="6"/>
  <c r="F499" i="6"/>
  <c r="E499" i="6"/>
  <c r="D499" i="6"/>
  <c r="C499" i="6"/>
  <c r="B499" i="6"/>
  <c r="A499" i="6"/>
  <c r="O498" i="6"/>
  <c r="N498" i="6"/>
  <c r="M498" i="6"/>
  <c r="L498" i="6"/>
  <c r="K498" i="6"/>
  <c r="J498" i="6"/>
  <c r="I498" i="6"/>
  <c r="H498" i="6"/>
  <c r="G498" i="6"/>
  <c r="F498" i="6"/>
  <c r="E498" i="6"/>
  <c r="D498" i="6"/>
  <c r="C498" i="6"/>
  <c r="B498" i="6"/>
  <c r="A498" i="6"/>
  <c r="O497" i="6"/>
  <c r="N497" i="6"/>
  <c r="M497" i="6"/>
  <c r="L497" i="6"/>
  <c r="K497" i="6"/>
  <c r="J497" i="6"/>
  <c r="I497" i="6"/>
  <c r="H497" i="6"/>
  <c r="G497" i="6"/>
  <c r="F497" i="6"/>
  <c r="E497" i="6"/>
  <c r="D497" i="6"/>
  <c r="C497" i="6"/>
  <c r="B497" i="6"/>
  <c r="A497" i="6"/>
  <c r="O496" i="6"/>
  <c r="N496" i="6"/>
  <c r="M496" i="6"/>
  <c r="L496" i="6"/>
  <c r="K496" i="6"/>
  <c r="J496" i="6"/>
  <c r="I496" i="6"/>
  <c r="H496" i="6"/>
  <c r="G496" i="6"/>
  <c r="F496" i="6"/>
  <c r="E496" i="6"/>
  <c r="D496" i="6"/>
  <c r="C496" i="6"/>
  <c r="B496" i="6"/>
  <c r="A496" i="6"/>
  <c r="O495" i="6"/>
  <c r="N495" i="6"/>
  <c r="M495" i="6"/>
  <c r="L495" i="6"/>
  <c r="K495" i="6"/>
  <c r="J495" i="6"/>
  <c r="I495" i="6"/>
  <c r="H495" i="6"/>
  <c r="G495" i="6"/>
  <c r="F495" i="6"/>
  <c r="E495" i="6"/>
  <c r="D495" i="6"/>
  <c r="C495" i="6"/>
  <c r="B495" i="6"/>
  <c r="A495" i="6"/>
  <c r="O494" i="6"/>
  <c r="N494" i="6"/>
  <c r="M494" i="6"/>
  <c r="L494" i="6"/>
  <c r="K494" i="6"/>
  <c r="J494" i="6"/>
  <c r="I494" i="6"/>
  <c r="H494" i="6"/>
  <c r="G494" i="6"/>
  <c r="F494" i="6"/>
  <c r="E494" i="6"/>
  <c r="D494" i="6"/>
  <c r="C494" i="6"/>
  <c r="B494" i="6"/>
  <c r="A494" i="6"/>
  <c r="O493" i="6"/>
  <c r="N493" i="6"/>
  <c r="M493" i="6"/>
  <c r="L493" i="6"/>
  <c r="K493" i="6"/>
  <c r="J493" i="6"/>
  <c r="I493" i="6"/>
  <c r="H493" i="6"/>
  <c r="G493" i="6"/>
  <c r="F493" i="6"/>
  <c r="E493" i="6"/>
  <c r="D493" i="6"/>
  <c r="C493" i="6"/>
  <c r="B493" i="6"/>
  <c r="A493" i="6"/>
  <c r="O492" i="6"/>
  <c r="N492" i="6"/>
  <c r="M492" i="6"/>
  <c r="L492" i="6"/>
  <c r="K492" i="6"/>
  <c r="J492" i="6"/>
  <c r="H492" i="6"/>
  <c r="G492" i="6"/>
  <c r="F492" i="6"/>
  <c r="E492" i="6"/>
  <c r="D492" i="6"/>
  <c r="C492" i="6"/>
  <c r="B492" i="6"/>
  <c r="A492" i="6"/>
  <c r="O491" i="6"/>
  <c r="N491" i="6"/>
  <c r="M491" i="6"/>
  <c r="L491" i="6"/>
  <c r="K491" i="6"/>
  <c r="J491" i="6"/>
  <c r="H491" i="6"/>
  <c r="G491" i="6"/>
  <c r="F491" i="6"/>
  <c r="E491" i="6"/>
  <c r="D491" i="6"/>
  <c r="C491" i="6"/>
  <c r="B491" i="6"/>
  <c r="A491" i="6"/>
  <c r="O490" i="6"/>
  <c r="N490" i="6"/>
  <c r="M490" i="6"/>
  <c r="L490" i="6"/>
  <c r="K490" i="6"/>
  <c r="J490" i="6"/>
  <c r="H490" i="6"/>
  <c r="G490" i="6"/>
  <c r="F490" i="6"/>
  <c r="E490" i="6"/>
  <c r="D490" i="6"/>
  <c r="C490" i="6"/>
  <c r="B490" i="6"/>
  <c r="A490" i="6"/>
  <c r="O489" i="6"/>
  <c r="N489" i="6"/>
  <c r="M489" i="6"/>
  <c r="L489" i="6"/>
  <c r="K489" i="6"/>
  <c r="J489" i="6"/>
  <c r="H489" i="6"/>
  <c r="G489" i="6"/>
  <c r="F489" i="6"/>
  <c r="E489" i="6"/>
  <c r="D489" i="6"/>
  <c r="C489" i="6"/>
  <c r="B489" i="6"/>
  <c r="A489" i="6"/>
  <c r="O488" i="6"/>
  <c r="N488" i="6"/>
  <c r="M488" i="6"/>
  <c r="L488" i="6"/>
  <c r="K488" i="6"/>
  <c r="J488" i="6"/>
  <c r="H488" i="6"/>
  <c r="G488" i="6"/>
  <c r="F488" i="6"/>
  <c r="E488" i="6"/>
  <c r="D488" i="6"/>
  <c r="C488" i="6"/>
  <c r="B488" i="6"/>
  <c r="A488" i="6"/>
  <c r="O487" i="6"/>
  <c r="N487" i="6"/>
  <c r="M487" i="6"/>
  <c r="L487" i="6"/>
  <c r="K487" i="6"/>
  <c r="J487" i="6"/>
  <c r="H487" i="6"/>
  <c r="G487" i="6"/>
  <c r="F487" i="6"/>
  <c r="E487" i="6"/>
  <c r="D487" i="6"/>
  <c r="C487" i="6"/>
  <c r="B487" i="6"/>
  <c r="A487" i="6"/>
  <c r="O486" i="6"/>
  <c r="N486" i="6"/>
  <c r="M486" i="6"/>
  <c r="L486" i="6"/>
  <c r="K486" i="6"/>
  <c r="J486" i="6"/>
  <c r="I486" i="6"/>
  <c r="H486" i="6"/>
  <c r="G486" i="6"/>
  <c r="F486" i="6"/>
  <c r="E486" i="6"/>
  <c r="D486" i="6"/>
  <c r="C486" i="6"/>
  <c r="B486" i="6"/>
  <c r="A486" i="6"/>
  <c r="O485" i="6"/>
  <c r="N485" i="6"/>
  <c r="M485" i="6"/>
  <c r="L485" i="6"/>
  <c r="K485" i="6"/>
  <c r="J485" i="6"/>
  <c r="I485" i="6"/>
  <c r="H485" i="6"/>
  <c r="G485" i="6"/>
  <c r="F485" i="6"/>
  <c r="E485" i="6"/>
  <c r="D485" i="6"/>
  <c r="C485" i="6"/>
  <c r="B485" i="6"/>
  <c r="A485" i="6"/>
  <c r="O484" i="6"/>
  <c r="N484" i="6"/>
  <c r="M484" i="6"/>
  <c r="L484" i="6"/>
  <c r="K484" i="6"/>
  <c r="J484" i="6"/>
  <c r="I484" i="6"/>
  <c r="H484" i="6"/>
  <c r="G484" i="6"/>
  <c r="F484" i="6"/>
  <c r="E484" i="6"/>
  <c r="D484" i="6"/>
  <c r="C484" i="6"/>
  <c r="B484" i="6"/>
  <c r="A484" i="6"/>
  <c r="O483" i="6"/>
  <c r="N483" i="6"/>
  <c r="M483" i="6"/>
  <c r="L483" i="6"/>
  <c r="K483" i="6"/>
  <c r="J483" i="6"/>
  <c r="I483" i="6"/>
  <c r="H483" i="6"/>
  <c r="G483" i="6"/>
  <c r="F483" i="6"/>
  <c r="E483" i="6"/>
  <c r="D483" i="6"/>
  <c r="C483" i="6"/>
  <c r="B483" i="6"/>
  <c r="A483" i="6"/>
  <c r="O482" i="6"/>
  <c r="N482" i="6"/>
  <c r="M482" i="6"/>
  <c r="L482" i="6"/>
  <c r="K482" i="6"/>
  <c r="J482" i="6"/>
  <c r="I482" i="6"/>
  <c r="H482" i="6"/>
  <c r="G482" i="6"/>
  <c r="F482" i="6"/>
  <c r="E482" i="6"/>
  <c r="D482" i="6"/>
  <c r="C482" i="6"/>
  <c r="B482" i="6"/>
  <c r="A482" i="6"/>
  <c r="O481" i="6"/>
  <c r="N481" i="6"/>
  <c r="M481" i="6"/>
  <c r="L481" i="6"/>
  <c r="K481" i="6"/>
  <c r="J481" i="6"/>
  <c r="I481" i="6"/>
  <c r="H481" i="6"/>
  <c r="G481" i="6"/>
  <c r="F481" i="6"/>
  <c r="E481" i="6"/>
  <c r="D481" i="6"/>
  <c r="C481" i="6"/>
  <c r="B481" i="6"/>
  <c r="A481" i="6"/>
  <c r="O480" i="6"/>
  <c r="N480" i="6"/>
  <c r="M480" i="6"/>
  <c r="L480" i="6"/>
  <c r="K480" i="6"/>
  <c r="J480" i="6"/>
  <c r="I480" i="6"/>
  <c r="H480" i="6"/>
  <c r="G480" i="6"/>
  <c r="F480" i="6"/>
  <c r="E480" i="6"/>
  <c r="D480" i="6"/>
  <c r="C480" i="6"/>
  <c r="B480" i="6"/>
  <c r="A480" i="6"/>
  <c r="O479" i="6"/>
  <c r="N479" i="6"/>
  <c r="M479" i="6"/>
  <c r="L479" i="6"/>
  <c r="K479" i="6"/>
  <c r="J479" i="6"/>
  <c r="I479" i="6"/>
  <c r="H479" i="6"/>
  <c r="G479" i="6"/>
  <c r="F479" i="6"/>
  <c r="E479" i="6"/>
  <c r="D479" i="6"/>
  <c r="C479" i="6"/>
  <c r="B479" i="6"/>
  <c r="A479" i="6"/>
  <c r="O478" i="6"/>
  <c r="N478" i="6"/>
  <c r="M478" i="6"/>
  <c r="L478" i="6"/>
  <c r="K478" i="6"/>
  <c r="J478" i="6"/>
  <c r="I478" i="6"/>
  <c r="H478" i="6"/>
  <c r="G478" i="6"/>
  <c r="F478" i="6"/>
  <c r="E478" i="6"/>
  <c r="D478" i="6"/>
  <c r="C478" i="6"/>
  <c r="B478" i="6"/>
  <c r="A478" i="6"/>
  <c r="O477" i="6"/>
  <c r="N477" i="6"/>
  <c r="M477" i="6"/>
  <c r="L477" i="6"/>
  <c r="K477" i="6"/>
  <c r="J477" i="6"/>
  <c r="I477" i="6"/>
  <c r="H477" i="6"/>
  <c r="G477" i="6"/>
  <c r="F477" i="6"/>
  <c r="E477" i="6"/>
  <c r="D477" i="6"/>
  <c r="C477" i="6"/>
  <c r="B477" i="6"/>
  <c r="A477" i="6"/>
  <c r="O476" i="6"/>
  <c r="N476" i="6"/>
  <c r="M476" i="6"/>
  <c r="L476" i="6"/>
  <c r="K476" i="6"/>
  <c r="J476" i="6"/>
  <c r="I476" i="6"/>
  <c r="H476" i="6"/>
  <c r="G476" i="6"/>
  <c r="F476" i="6"/>
  <c r="E476" i="6"/>
  <c r="D476" i="6"/>
  <c r="C476" i="6"/>
  <c r="B476" i="6"/>
  <c r="A476" i="6"/>
  <c r="O475" i="6"/>
  <c r="N475" i="6"/>
  <c r="M475" i="6"/>
  <c r="L475" i="6"/>
  <c r="K475" i="6"/>
  <c r="J475" i="6"/>
  <c r="I475" i="6"/>
  <c r="H475" i="6"/>
  <c r="G475" i="6"/>
  <c r="F475" i="6"/>
  <c r="E475" i="6"/>
  <c r="D475" i="6"/>
  <c r="C475" i="6"/>
  <c r="B475" i="6"/>
  <c r="A475" i="6"/>
  <c r="O474" i="6"/>
  <c r="N474" i="6"/>
  <c r="M474" i="6"/>
  <c r="L474" i="6"/>
  <c r="K474" i="6"/>
  <c r="J474" i="6"/>
  <c r="H474" i="6"/>
  <c r="G474" i="6"/>
  <c r="F474" i="6"/>
  <c r="E474" i="6"/>
  <c r="D474" i="6"/>
  <c r="C474" i="6"/>
  <c r="B474" i="6"/>
  <c r="A474" i="6"/>
  <c r="O473" i="6"/>
  <c r="N473" i="6"/>
  <c r="M473" i="6"/>
  <c r="L473" i="6"/>
  <c r="K473" i="6"/>
  <c r="J473" i="6"/>
  <c r="H473" i="6"/>
  <c r="G473" i="6"/>
  <c r="F473" i="6"/>
  <c r="E473" i="6"/>
  <c r="D473" i="6"/>
  <c r="C473" i="6"/>
  <c r="B473" i="6"/>
  <c r="A473" i="6"/>
  <c r="O472" i="6"/>
  <c r="N472" i="6"/>
  <c r="M472" i="6"/>
  <c r="L472" i="6"/>
  <c r="K472" i="6"/>
  <c r="J472" i="6"/>
  <c r="H472" i="6"/>
  <c r="G472" i="6"/>
  <c r="F472" i="6"/>
  <c r="E472" i="6"/>
  <c r="D472" i="6"/>
  <c r="C472" i="6"/>
  <c r="B472" i="6"/>
  <c r="A472" i="6"/>
  <c r="O471" i="6"/>
  <c r="N471" i="6"/>
  <c r="M471" i="6"/>
  <c r="L471" i="6"/>
  <c r="K471" i="6"/>
  <c r="J471" i="6"/>
  <c r="H471" i="6"/>
  <c r="G471" i="6"/>
  <c r="F471" i="6"/>
  <c r="E471" i="6"/>
  <c r="D471" i="6"/>
  <c r="C471" i="6"/>
  <c r="B471" i="6"/>
  <c r="A471" i="6"/>
  <c r="O470" i="6"/>
  <c r="N470" i="6"/>
  <c r="M470" i="6"/>
  <c r="L470" i="6"/>
  <c r="K470" i="6"/>
  <c r="J470" i="6"/>
  <c r="H470" i="6"/>
  <c r="G470" i="6"/>
  <c r="F470" i="6"/>
  <c r="E470" i="6"/>
  <c r="D470" i="6"/>
  <c r="C470" i="6"/>
  <c r="B470" i="6"/>
  <c r="A470" i="6"/>
  <c r="O469" i="6"/>
  <c r="N469" i="6"/>
  <c r="M469" i="6"/>
  <c r="L469" i="6"/>
  <c r="K469" i="6"/>
  <c r="J469" i="6"/>
  <c r="I469" i="6"/>
  <c r="H469" i="6"/>
  <c r="G469" i="6"/>
  <c r="F469" i="6"/>
  <c r="E469" i="6"/>
  <c r="D469" i="6"/>
  <c r="C469" i="6"/>
  <c r="B469" i="6"/>
  <c r="A469" i="6"/>
  <c r="O468" i="6"/>
  <c r="N468" i="6"/>
  <c r="M468" i="6"/>
  <c r="L468" i="6"/>
  <c r="K468" i="6"/>
  <c r="J468" i="6"/>
  <c r="H468" i="6"/>
  <c r="G468" i="6"/>
  <c r="F468" i="6"/>
  <c r="E468" i="6"/>
  <c r="D468" i="6"/>
  <c r="C468" i="6"/>
  <c r="B468" i="6"/>
  <c r="A468" i="6"/>
  <c r="O467" i="6"/>
  <c r="N467" i="6"/>
  <c r="M467" i="6"/>
  <c r="L467" i="6"/>
  <c r="K467" i="6"/>
  <c r="J467" i="6"/>
  <c r="H467" i="6"/>
  <c r="G467" i="6"/>
  <c r="F467" i="6"/>
  <c r="E467" i="6"/>
  <c r="D467" i="6"/>
  <c r="C467" i="6"/>
  <c r="B467" i="6"/>
  <c r="A467" i="6"/>
  <c r="O466" i="6"/>
  <c r="N466" i="6"/>
  <c r="M466" i="6"/>
  <c r="L466" i="6"/>
  <c r="K466" i="6"/>
  <c r="J466" i="6"/>
  <c r="I466" i="6"/>
  <c r="H466" i="6"/>
  <c r="G466" i="6"/>
  <c r="F466" i="6"/>
  <c r="E466" i="6"/>
  <c r="D466" i="6"/>
  <c r="C466" i="6"/>
  <c r="B466" i="6"/>
  <c r="A466" i="6"/>
  <c r="O465" i="6"/>
  <c r="N465" i="6"/>
  <c r="M465" i="6"/>
  <c r="L465" i="6"/>
  <c r="K465" i="6"/>
  <c r="J465" i="6"/>
  <c r="I465" i="6"/>
  <c r="H465" i="6"/>
  <c r="G465" i="6"/>
  <c r="F465" i="6"/>
  <c r="E465" i="6"/>
  <c r="D465" i="6"/>
  <c r="C465" i="6"/>
  <c r="B465" i="6"/>
  <c r="A465" i="6"/>
  <c r="O464" i="6"/>
  <c r="N464" i="6"/>
  <c r="M464" i="6"/>
  <c r="L464" i="6"/>
  <c r="K464" i="6"/>
  <c r="J464" i="6"/>
  <c r="H464" i="6"/>
  <c r="G464" i="6"/>
  <c r="F464" i="6"/>
  <c r="E464" i="6"/>
  <c r="D464" i="6"/>
  <c r="C464" i="6"/>
  <c r="B464" i="6"/>
  <c r="A464" i="6"/>
  <c r="O463" i="6"/>
  <c r="N463" i="6"/>
  <c r="M463" i="6"/>
  <c r="L463" i="6"/>
  <c r="K463" i="6"/>
  <c r="J463" i="6"/>
  <c r="H463" i="6"/>
  <c r="G463" i="6"/>
  <c r="F463" i="6"/>
  <c r="E463" i="6"/>
  <c r="D463" i="6"/>
  <c r="C463" i="6"/>
  <c r="B463" i="6"/>
  <c r="A463" i="6"/>
  <c r="O462" i="6"/>
  <c r="N462" i="6"/>
  <c r="M462" i="6"/>
  <c r="L462" i="6"/>
  <c r="K462" i="6"/>
  <c r="J462" i="6"/>
  <c r="I462" i="6"/>
  <c r="H462" i="6"/>
  <c r="G462" i="6"/>
  <c r="F462" i="6"/>
  <c r="E462" i="6"/>
  <c r="D462" i="6"/>
  <c r="C462" i="6"/>
  <c r="B462" i="6"/>
  <c r="A462" i="6"/>
  <c r="O461" i="6"/>
  <c r="N461" i="6"/>
  <c r="M461" i="6"/>
  <c r="L461" i="6"/>
  <c r="K461" i="6"/>
  <c r="J461" i="6"/>
  <c r="H461" i="6"/>
  <c r="G461" i="6"/>
  <c r="F461" i="6"/>
  <c r="E461" i="6"/>
  <c r="D461" i="6"/>
  <c r="C461" i="6"/>
  <c r="B461" i="6"/>
  <c r="A461" i="6"/>
  <c r="O460" i="6"/>
  <c r="N460" i="6"/>
  <c r="M460" i="6"/>
  <c r="L460" i="6"/>
  <c r="K460" i="6"/>
  <c r="J460" i="6"/>
  <c r="H460" i="6"/>
  <c r="G460" i="6"/>
  <c r="F460" i="6"/>
  <c r="E460" i="6"/>
  <c r="D460" i="6"/>
  <c r="C460" i="6"/>
  <c r="B460" i="6"/>
  <c r="A460" i="6"/>
  <c r="O459" i="6"/>
  <c r="N459" i="6"/>
  <c r="M459" i="6"/>
  <c r="L459" i="6"/>
  <c r="K459" i="6"/>
  <c r="J459" i="6"/>
  <c r="H459" i="6"/>
  <c r="G459" i="6"/>
  <c r="F459" i="6"/>
  <c r="E459" i="6"/>
  <c r="D459" i="6"/>
  <c r="C459" i="6"/>
  <c r="B459" i="6"/>
  <c r="A459" i="6"/>
  <c r="O458" i="6"/>
  <c r="N458" i="6"/>
  <c r="M458" i="6"/>
  <c r="L458" i="6"/>
  <c r="K458" i="6"/>
  <c r="J458" i="6"/>
  <c r="I458" i="6"/>
  <c r="H458" i="6"/>
  <c r="G458" i="6"/>
  <c r="F458" i="6"/>
  <c r="E458" i="6"/>
  <c r="D458" i="6"/>
  <c r="C458" i="6"/>
  <c r="B458" i="6"/>
  <c r="A458" i="6"/>
  <c r="O457" i="6"/>
  <c r="N457" i="6"/>
  <c r="M457" i="6"/>
  <c r="L457" i="6"/>
  <c r="K457" i="6"/>
  <c r="J457" i="6"/>
  <c r="H457" i="6"/>
  <c r="G457" i="6"/>
  <c r="F457" i="6"/>
  <c r="E457" i="6"/>
  <c r="D457" i="6"/>
  <c r="C457" i="6"/>
  <c r="B457" i="6"/>
  <c r="A457" i="6"/>
  <c r="O456" i="6"/>
  <c r="N456" i="6"/>
  <c r="M456" i="6"/>
  <c r="L456" i="6"/>
  <c r="K456" i="6"/>
  <c r="J456" i="6"/>
  <c r="I456" i="6"/>
  <c r="H456" i="6"/>
  <c r="G456" i="6"/>
  <c r="F456" i="6"/>
  <c r="E456" i="6"/>
  <c r="D456" i="6"/>
  <c r="C456" i="6"/>
  <c r="B456" i="6"/>
  <c r="A456" i="6"/>
  <c r="O455" i="6"/>
  <c r="N455" i="6"/>
  <c r="M455" i="6"/>
  <c r="L455" i="6"/>
  <c r="K455" i="6"/>
  <c r="J455" i="6"/>
  <c r="I455" i="6"/>
  <c r="H455" i="6"/>
  <c r="G455" i="6"/>
  <c r="F455" i="6"/>
  <c r="E455" i="6"/>
  <c r="D455" i="6"/>
  <c r="C455" i="6"/>
  <c r="B455" i="6"/>
  <c r="A455" i="6"/>
  <c r="O454" i="6"/>
  <c r="N454" i="6"/>
  <c r="M454" i="6"/>
  <c r="L454" i="6"/>
  <c r="K454" i="6"/>
  <c r="J454" i="6"/>
  <c r="I454" i="6"/>
  <c r="H454" i="6"/>
  <c r="G454" i="6"/>
  <c r="F454" i="6"/>
  <c r="E454" i="6"/>
  <c r="D454" i="6"/>
  <c r="C454" i="6"/>
  <c r="B454" i="6"/>
  <c r="A454" i="6"/>
  <c r="O453" i="6"/>
  <c r="N453" i="6"/>
  <c r="M453" i="6"/>
  <c r="L453" i="6"/>
  <c r="K453" i="6"/>
  <c r="J453" i="6"/>
  <c r="I453" i="6"/>
  <c r="H453" i="6"/>
  <c r="G453" i="6"/>
  <c r="F453" i="6"/>
  <c r="E453" i="6"/>
  <c r="D453" i="6"/>
  <c r="C453" i="6"/>
  <c r="B453" i="6"/>
  <c r="A453" i="6"/>
  <c r="O452" i="6"/>
  <c r="N452" i="6"/>
  <c r="M452" i="6"/>
  <c r="L452" i="6"/>
  <c r="K452" i="6"/>
  <c r="J452" i="6"/>
  <c r="H452" i="6"/>
  <c r="G452" i="6"/>
  <c r="F452" i="6"/>
  <c r="E452" i="6"/>
  <c r="D452" i="6"/>
  <c r="C452" i="6"/>
  <c r="B452" i="6"/>
  <c r="A452" i="6"/>
  <c r="O451" i="6"/>
  <c r="N451" i="6"/>
  <c r="M451" i="6"/>
  <c r="L451" i="6"/>
  <c r="K451" i="6"/>
  <c r="J451" i="6"/>
  <c r="H451" i="6"/>
  <c r="G451" i="6"/>
  <c r="F451" i="6"/>
  <c r="E451" i="6"/>
  <c r="D451" i="6"/>
  <c r="C451" i="6"/>
  <c r="B451" i="6"/>
  <c r="A451" i="6"/>
  <c r="O450" i="6"/>
  <c r="N450" i="6"/>
  <c r="M450" i="6"/>
  <c r="L450" i="6"/>
  <c r="K450" i="6"/>
  <c r="J450" i="6"/>
  <c r="I450" i="6"/>
  <c r="H450" i="6"/>
  <c r="G450" i="6"/>
  <c r="F450" i="6"/>
  <c r="E450" i="6"/>
  <c r="D450" i="6"/>
  <c r="C450" i="6"/>
  <c r="B450" i="6"/>
  <c r="A450" i="6"/>
  <c r="O449" i="6"/>
  <c r="N449" i="6"/>
  <c r="M449" i="6"/>
  <c r="L449" i="6"/>
  <c r="K449" i="6"/>
  <c r="J449" i="6"/>
  <c r="I449" i="6"/>
  <c r="H449" i="6"/>
  <c r="G449" i="6"/>
  <c r="F449" i="6"/>
  <c r="E449" i="6"/>
  <c r="D449" i="6"/>
  <c r="C449" i="6"/>
  <c r="B449" i="6"/>
  <c r="A449" i="6"/>
  <c r="O448" i="6"/>
  <c r="N448" i="6"/>
  <c r="M448" i="6"/>
  <c r="L448" i="6"/>
  <c r="K448" i="6"/>
  <c r="J448" i="6"/>
  <c r="I448" i="6"/>
  <c r="H448" i="6"/>
  <c r="G448" i="6"/>
  <c r="F448" i="6"/>
  <c r="E448" i="6"/>
  <c r="D448" i="6"/>
  <c r="C448" i="6"/>
  <c r="B448" i="6"/>
  <c r="A448" i="6"/>
  <c r="O447" i="6"/>
  <c r="N447" i="6"/>
  <c r="M447" i="6"/>
  <c r="L447" i="6"/>
  <c r="K447" i="6"/>
  <c r="J447" i="6"/>
  <c r="I447" i="6"/>
  <c r="H447" i="6"/>
  <c r="G447" i="6"/>
  <c r="F447" i="6"/>
  <c r="E447" i="6"/>
  <c r="D447" i="6"/>
  <c r="C447" i="6"/>
  <c r="B447" i="6"/>
  <c r="A447" i="6"/>
  <c r="O446" i="6"/>
  <c r="N446" i="6"/>
  <c r="M446" i="6"/>
  <c r="L446" i="6"/>
  <c r="K446" i="6"/>
  <c r="J446" i="6"/>
  <c r="I446" i="6"/>
  <c r="H446" i="6"/>
  <c r="G446" i="6"/>
  <c r="F446" i="6"/>
  <c r="E446" i="6"/>
  <c r="D446" i="6"/>
  <c r="C446" i="6"/>
  <c r="B446" i="6"/>
  <c r="A446" i="6"/>
  <c r="O445" i="6"/>
  <c r="N445" i="6"/>
  <c r="M445" i="6"/>
  <c r="L445" i="6"/>
  <c r="K445" i="6"/>
  <c r="J445" i="6"/>
  <c r="I445" i="6"/>
  <c r="H445" i="6"/>
  <c r="G445" i="6"/>
  <c r="F445" i="6"/>
  <c r="E445" i="6"/>
  <c r="D445" i="6"/>
  <c r="C445" i="6"/>
  <c r="B445" i="6"/>
  <c r="A445" i="6"/>
  <c r="O444" i="6"/>
  <c r="N444" i="6"/>
  <c r="M444" i="6"/>
  <c r="L444" i="6"/>
  <c r="K444" i="6"/>
  <c r="J444" i="6"/>
  <c r="I444" i="6"/>
  <c r="H444" i="6"/>
  <c r="G444" i="6"/>
  <c r="F444" i="6"/>
  <c r="E444" i="6"/>
  <c r="D444" i="6"/>
  <c r="C444" i="6"/>
  <c r="B444" i="6"/>
  <c r="A444" i="6"/>
  <c r="O443" i="6"/>
  <c r="N443" i="6"/>
  <c r="M443" i="6"/>
  <c r="L443" i="6"/>
  <c r="K443" i="6"/>
  <c r="J443" i="6"/>
  <c r="I443" i="6"/>
  <c r="H443" i="6"/>
  <c r="G443" i="6"/>
  <c r="F443" i="6"/>
  <c r="E443" i="6"/>
  <c r="D443" i="6"/>
  <c r="C443" i="6"/>
  <c r="B443" i="6"/>
  <c r="A443" i="6"/>
  <c r="O442" i="6"/>
  <c r="N442" i="6"/>
  <c r="M442" i="6"/>
  <c r="L442" i="6"/>
  <c r="K442" i="6"/>
  <c r="J442" i="6"/>
  <c r="I442" i="6"/>
  <c r="H442" i="6"/>
  <c r="G442" i="6"/>
  <c r="F442" i="6"/>
  <c r="E442" i="6"/>
  <c r="D442" i="6"/>
  <c r="C442" i="6"/>
  <c r="B442" i="6"/>
  <c r="A442" i="6"/>
  <c r="O441" i="6"/>
  <c r="N441" i="6"/>
  <c r="M441" i="6"/>
  <c r="L441" i="6"/>
  <c r="K441" i="6"/>
  <c r="J441" i="6"/>
  <c r="I441" i="6"/>
  <c r="H441" i="6"/>
  <c r="G441" i="6"/>
  <c r="F441" i="6"/>
  <c r="E441" i="6"/>
  <c r="D441" i="6"/>
  <c r="C441" i="6"/>
  <c r="B441" i="6"/>
  <c r="A441" i="6"/>
  <c r="O440" i="6"/>
  <c r="N440" i="6"/>
  <c r="M440" i="6"/>
  <c r="L440" i="6"/>
  <c r="K440" i="6"/>
  <c r="J440" i="6"/>
  <c r="I440" i="6"/>
  <c r="H440" i="6"/>
  <c r="G440" i="6"/>
  <c r="F440" i="6"/>
  <c r="E440" i="6"/>
  <c r="D440" i="6"/>
  <c r="C440" i="6"/>
  <c r="B440" i="6"/>
  <c r="A440" i="6"/>
  <c r="O439" i="6"/>
  <c r="N439" i="6"/>
  <c r="M439" i="6"/>
  <c r="L439" i="6"/>
  <c r="K439" i="6"/>
  <c r="J439" i="6"/>
  <c r="I439" i="6"/>
  <c r="H439" i="6"/>
  <c r="G439" i="6"/>
  <c r="F439" i="6"/>
  <c r="E439" i="6"/>
  <c r="D439" i="6"/>
  <c r="C439" i="6"/>
  <c r="B439" i="6"/>
  <c r="A439" i="6"/>
  <c r="O438" i="6"/>
  <c r="N438" i="6"/>
  <c r="M438" i="6"/>
  <c r="L438" i="6"/>
  <c r="K438" i="6"/>
  <c r="J438" i="6"/>
  <c r="I438" i="6"/>
  <c r="H438" i="6"/>
  <c r="G438" i="6"/>
  <c r="F438" i="6"/>
  <c r="E438" i="6"/>
  <c r="D438" i="6"/>
  <c r="C438" i="6"/>
  <c r="B438" i="6"/>
  <c r="A438" i="6"/>
  <c r="O437" i="6"/>
  <c r="N437" i="6"/>
  <c r="M437" i="6"/>
  <c r="L437" i="6"/>
  <c r="K437" i="6"/>
  <c r="J437" i="6"/>
  <c r="I437" i="6"/>
  <c r="H437" i="6"/>
  <c r="G437" i="6"/>
  <c r="F437" i="6"/>
  <c r="E437" i="6"/>
  <c r="D437" i="6"/>
  <c r="C437" i="6"/>
  <c r="B437" i="6"/>
  <c r="A437" i="6"/>
  <c r="O436" i="6"/>
  <c r="N436" i="6"/>
  <c r="M436" i="6"/>
  <c r="L436" i="6"/>
  <c r="K436" i="6"/>
  <c r="J436" i="6"/>
  <c r="I436" i="6"/>
  <c r="H436" i="6"/>
  <c r="G436" i="6"/>
  <c r="F436" i="6"/>
  <c r="E436" i="6"/>
  <c r="D436" i="6"/>
  <c r="C436" i="6"/>
  <c r="B436" i="6"/>
  <c r="A436" i="6"/>
  <c r="O435" i="6"/>
  <c r="N435" i="6"/>
  <c r="M435" i="6"/>
  <c r="L435" i="6"/>
  <c r="K435" i="6"/>
  <c r="J435" i="6"/>
  <c r="I435" i="6"/>
  <c r="H435" i="6"/>
  <c r="G435" i="6"/>
  <c r="F435" i="6"/>
  <c r="E435" i="6"/>
  <c r="D435" i="6"/>
  <c r="C435" i="6"/>
  <c r="B435" i="6"/>
  <c r="A435" i="6"/>
  <c r="O434" i="6"/>
  <c r="N434" i="6"/>
  <c r="M434" i="6"/>
  <c r="L434" i="6"/>
  <c r="K434" i="6"/>
  <c r="J434" i="6"/>
  <c r="I434" i="6"/>
  <c r="H434" i="6"/>
  <c r="G434" i="6"/>
  <c r="F434" i="6"/>
  <c r="E434" i="6"/>
  <c r="D434" i="6"/>
  <c r="C434" i="6"/>
  <c r="B434" i="6"/>
  <c r="A434" i="6"/>
  <c r="O433" i="6"/>
  <c r="N433" i="6"/>
  <c r="M433" i="6"/>
  <c r="L433" i="6"/>
  <c r="K433" i="6"/>
  <c r="J433" i="6"/>
  <c r="I433" i="6"/>
  <c r="H433" i="6"/>
  <c r="G433" i="6"/>
  <c r="F433" i="6"/>
  <c r="E433" i="6"/>
  <c r="D433" i="6"/>
  <c r="C433" i="6"/>
  <c r="B433" i="6"/>
  <c r="A433" i="6"/>
  <c r="O432" i="6"/>
  <c r="N432" i="6"/>
  <c r="M432" i="6"/>
  <c r="L432" i="6"/>
  <c r="K432" i="6"/>
  <c r="J432" i="6"/>
  <c r="I432" i="6"/>
  <c r="H432" i="6"/>
  <c r="G432" i="6"/>
  <c r="F432" i="6"/>
  <c r="E432" i="6"/>
  <c r="D432" i="6"/>
  <c r="C432" i="6"/>
  <c r="B432" i="6"/>
  <c r="A432" i="6"/>
  <c r="O431" i="6"/>
  <c r="N431" i="6"/>
  <c r="M431" i="6"/>
  <c r="L431" i="6"/>
  <c r="K431" i="6"/>
  <c r="J431" i="6"/>
  <c r="I431" i="6"/>
  <c r="H431" i="6"/>
  <c r="G431" i="6"/>
  <c r="F431" i="6"/>
  <c r="E431" i="6"/>
  <c r="D431" i="6"/>
  <c r="C431" i="6"/>
  <c r="B431" i="6"/>
  <c r="A431" i="6"/>
  <c r="O430" i="6"/>
  <c r="N430" i="6"/>
  <c r="M430" i="6"/>
  <c r="L430" i="6"/>
  <c r="K430" i="6"/>
  <c r="J430" i="6"/>
  <c r="I430" i="6"/>
  <c r="H430" i="6"/>
  <c r="G430" i="6"/>
  <c r="F430" i="6"/>
  <c r="E430" i="6"/>
  <c r="D430" i="6"/>
  <c r="C430" i="6"/>
  <c r="B430" i="6"/>
  <c r="A430" i="6"/>
  <c r="O429" i="6"/>
  <c r="N429" i="6"/>
  <c r="M429" i="6"/>
  <c r="L429" i="6"/>
  <c r="K429" i="6"/>
  <c r="J429" i="6"/>
  <c r="I429" i="6"/>
  <c r="H429" i="6"/>
  <c r="G429" i="6"/>
  <c r="F429" i="6"/>
  <c r="E429" i="6"/>
  <c r="D429" i="6"/>
  <c r="C429" i="6"/>
  <c r="B429" i="6"/>
  <c r="A429" i="6"/>
  <c r="O428" i="6"/>
  <c r="N428" i="6"/>
  <c r="M428" i="6"/>
  <c r="L428" i="6"/>
  <c r="K428" i="6"/>
  <c r="J428" i="6"/>
  <c r="I428" i="6"/>
  <c r="H428" i="6"/>
  <c r="G428" i="6"/>
  <c r="F428" i="6"/>
  <c r="E428" i="6"/>
  <c r="D428" i="6"/>
  <c r="C428" i="6"/>
  <c r="B428" i="6"/>
  <c r="A428" i="6"/>
  <c r="O427" i="6"/>
  <c r="N427" i="6"/>
  <c r="M427" i="6"/>
  <c r="L427" i="6"/>
  <c r="K427" i="6"/>
  <c r="J427" i="6"/>
  <c r="I427" i="6"/>
  <c r="H427" i="6"/>
  <c r="G427" i="6"/>
  <c r="F427" i="6"/>
  <c r="E427" i="6"/>
  <c r="D427" i="6"/>
  <c r="C427" i="6"/>
  <c r="B427" i="6"/>
  <c r="A427" i="6"/>
  <c r="O426" i="6"/>
  <c r="N426" i="6"/>
  <c r="M426" i="6"/>
  <c r="L426" i="6"/>
  <c r="K426" i="6"/>
  <c r="J426" i="6"/>
  <c r="I426" i="6"/>
  <c r="H426" i="6"/>
  <c r="G426" i="6"/>
  <c r="F426" i="6"/>
  <c r="E426" i="6"/>
  <c r="D426" i="6"/>
  <c r="C426" i="6"/>
  <c r="B426" i="6"/>
  <c r="A426" i="6"/>
  <c r="O425" i="6"/>
  <c r="N425" i="6"/>
  <c r="M425" i="6"/>
  <c r="L425" i="6"/>
  <c r="K425" i="6"/>
  <c r="J425" i="6"/>
  <c r="I425" i="6"/>
  <c r="H425" i="6"/>
  <c r="G425" i="6"/>
  <c r="F425" i="6"/>
  <c r="E425" i="6"/>
  <c r="D425" i="6"/>
  <c r="C425" i="6"/>
  <c r="B425" i="6"/>
  <c r="A425" i="6"/>
  <c r="O424" i="6"/>
  <c r="N424" i="6"/>
  <c r="M424" i="6"/>
  <c r="L424" i="6"/>
  <c r="K424" i="6"/>
  <c r="J424" i="6"/>
  <c r="I424" i="6"/>
  <c r="H424" i="6"/>
  <c r="G424" i="6"/>
  <c r="F424" i="6"/>
  <c r="E424" i="6"/>
  <c r="D424" i="6"/>
  <c r="C424" i="6"/>
  <c r="B424" i="6"/>
  <c r="A424" i="6"/>
  <c r="O423" i="6"/>
  <c r="N423" i="6"/>
  <c r="M423" i="6"/>
  <c r="L423" i="6"/>
  <c r="K423" i="6"/>
  <c r="J423" i="6"/>
  <c r="I423" i="6"/>
  <c r="H423" i="6"/>
  <c r="G423" i="6"/>
  <c r="F423" i="6"/>
  <c r="E423" i="6"/>
  <c r="D423" i="6"/>
  <c r="C423" i="6"/>
  <c r="B423" i="6"/>
  <c r="A423" i="6"/>
  <c r="O422" i="6"/>
  <c r="N422" i="6"/>
  <c r="M422" i="6"/>
  <c r="L422" i="6"/>
  <c r="K422" i="6"/>
  <c r="J422" i="6"/>
  <c r="I422" i="6"/>
  <c r="H422" i="6"/>
  <c r="G422" i="6"/>
  <c r="F422" i="6"/>
  <c r="E422" i="6"/>
  <c r="D422" i="6"/>
  <c r="C422" i="6"/>
  <c r="B422" i="6"/>
  <c r="A422" i="6"/>
  <c r="O421" i="6"/>
  <c r="N421" i="6"/>
  <c r="M421" i="6"/>
  <c r="L421" i="6"/>
  <c r="K421" i="6"/>
  <c r="J421" i="6"/>
  <c r="I421" i="6"/>
  <c r="H421" i="6"/>
  <c r="G421" i="6"/>
  <c r="F421" i="6"/>
  <c r="E421" i="6"/>
  <c r="D421" i="6"/>
  <c r="C421" i="6"/>
  <c r="B421" i="6"/>
  <c r="A421" i="6"/>
  <c r="O420" i="6"/>
  <c r="N420" i="6"/>
  <c r="M420" i="6"/>
  <c r="L420" i="6"/>
  <c r="K420" i="6"/>
  <c r="J420" i="6"/>
  <c r="I420" i="6"/>
  <c r="H420" i="6"/>
  <c r="G420" i="6"/>
  <c r="F420" i="6"/>
  <c r="E420" i="6"/>
  <c r="D420" i="6"/>
  <c r="C420" i="6"/>
  <c r="B420" i="6"/>
  <c r="A420" i="6"/>
  <c r="O419" i="6"/>
  <c r="N419" i="6"/>
  <c r="M419" i="6"/>
  <c r="L419" i="6"/>
  <c r="K419" i="6"/>
  <c r="J419" i="6"/>
  <c r="I419" i="6"/>
  <c r="H419" i="6"/>
  <c r="G419" i="6"/>
  <c r="F419" i="6"/>
  <c r="E419" i="6"/>
  <c r="D419" i="6"/>
  <c r="C419" i="6"/>
  <c r="B419" i="6"/>
  <c r="A419" i="6"/>
  <c r="O418" i="6"/>
  <c r="N418" i="6"/>
  <c r="M418" i="6"/>
  <c r="L418" i="6"/>
  <c r="K418" i="6"/>
  <c r="J418" i="6"/>
  <c r="I418" i="6"/>
  <c r="H418" i="6"/>
  <c r="G418" i="6"/>
  <c r="F418" i="6"/>
  <c r="E418" i="6"/>
  <c r="D418" i="6"/>
  <c r="C418" i="6"/>
  <c r="B418" i="6"/>
  <c r="A418" i="6"/>
  <c r="O417" i="6"/>
  <c r="N417" i="6"/>
  <c r="M417" i="6"/>
  <c r="L417" i="6"/>
  <c r="K417" i="6"/>
  <c r="J417" i="6"/>
  <c r="I417" i="6"/>
  <c r="H417" i="6"/>
  <c r="G417" i="6"/>
  <c r="F417" i="6"/>
  <c r="E417" i="6"/>
  <c r="D417" i="6"/>
  <c r="C417" i="6"/>
  <c r="B417" i="6"/>
  <c r="A417" i="6"/>
  <c r="O416" i="6"/>
  <c r="N416" i="6"/>
  <c r="M416" i="6"/>
  <c r="L416" i="6"/>
  <c r="K416" i="6"/>
  <c r="J416" i="6"/>
  <c r="I416" i="6"/>
  <c r="H416" i="6"/>
  <c r="G416" i="6"/>
  <c r="F416" i="6"/>
  <c r="E416" i="6"/>
  <c r="D416" i="6"/>
  <c r="C416" i="6"/>
  <c r="B416" i="6"/>
  <c r="A416" i="6"/>
  <c r="O415" i="6"/>
  <c r="N415" i="6"/>
  <c r="M415" i="6"/>
  <c r="L415" i="6"/>
  <c r="K415" i="6"/>
  <c r="J415" i="6"/>
  <c r="I415" i="6"/>
  <c r="H415" i="6"/>
  <c r="G415" i="6"/>
  <c r="F415" i="6"/>
  <c r="E415" i="6"/>
  <c r="D415" i="6"/>
  <c r="C415" i="6"/>
  <c r="B415" i="6"/>
  <c r="A415" i="6"/>
  <c r="O414" i="6"/>
  <c r="N414" i="6"/>
  <c r="M414" i="6"/>
  <c r="L414" i="6"/>
  <c r="K414" i="6"/>
  <c r="J414" i="6"/>
  <c r="I414" i="6"/>
  <c r="H414" i="6"/>
  <c r="G414" i="6"/>
  <c r="F414" i="6"/>
  <c r="E414" i="6"/>
  <c r="D414" i="6"/>
  <c r="C414" i="6"/>
  <c r="B414" i="6"/>
  <c r="A414" i="6"/>
  <c r="O413" i="6"/>
  <c r="N413" i="6"/>
  <c r="M413" i="6"/>
  <c r="L413" i="6"/>
  <c r="K413" i="6"/>
  <c r="J413" i="6"/>
  <c r="I413" i="6"/>
  <c r="H413" i="6"/>
  <c r="G413" i="6"/>
  <c r="F413" i="6"/>
  <c r="E413" i="6"/>
  <c r="D413" i="6"/>
  <c r="C413" i="6"/>
  <c r="B413" i="6"/>
  <c r="A413" i="6"/>
  <c r="O412" i="6"/>
  <c r="N412" i="6"/>
  <c r="M412" i="6"/>
  <c r="L412" i="6"/>
  <c r="K412" i="6"/>
  <c r="J412" i="6"/>
  <c r="I412" i="6"/>
  <c r="H412" i="6"/>
  <c r="G412" i="6"/>
  <c r="F412" i="6"/>
  <c r="E412" i="6"/>
  <c r="D412" i="6"/>
  <c r="C412" i="6"/>
  <c r="B412" i="6"/>
  <c r="A412" i="6"/>
  <c r="O411" i="6"/>
  <c r="N411" i="6"/>
  <c r="M411" i="6"/>
  <c r="L411" i="6"/>
  <c r="K411" i="6"/>
  <c r="J411" i="6"/>
  <c r="I411" i="6"/>
  <c r="H411" i="6"/>
  <c r="G411" i="6"/>
  <c r="F411" i="6"/>
  <c r="E411" i="6"/>
  <c r="D411" i="6"/>
  <c r="C411" i="6"/>
  <c r="B411" i="6"/>
  <c r="A411" i="6"/>
  <c r="O410" i="6"/>
  <c r="N410" i="6"/>
  <c r="M410" i="6"/>
  <c r="L410" i="6"/>
  <c r="K410" i="6"/>
  <c r="J410" i="6"/>
  <c r="I410" i="6"/>
  <c r="H410" i="6"/>
  <c r="G410" i="6"/>
  <c r="F410" i="6"/>
  <c r="E410" i="6"/>
  <c r="D410" i="6"/>
  <c r="C410" i="6"/>
  <c r="B410" i="6"/>
  <c r="A410" i="6"/>
  <c r="O409" i="6"/>
  <c r="N409" i="6"/>
  <c r="M409" i="6"/>
  <c r="L409" i="6"/>
  <c r="K409" i="6"/>
  <c r="J409" i="6"/>
  <c r="I409" i="6"/>
  <c r="H409" i="6"/>
  <c r="G409" i="6"/>
  <c r="F409" i="6"/>
  <c r="E409" i="6"/>
  <c r="D409" i="6"/>
  <c r="C409" i="6"/>
  <c r="B409" i="6"/>
  <c r="A409" i="6"/>
  <c r="O408" i="6"/>
  <c r="N408" i="6"/>
  <c r="M408" i="6"/>
  <c r="L408" i="6"/>
  <c r="K408" i="6"/>
  <c r="J408" i="6"/>
  <c r="I408" i="6"/>
  <c r="H408" i="6"/>
  <c r="G408" i="6"/>
  <c r="F408" i="6"/>
  <c r="E408" i="6"/>
  <c r="D408" i="6"/>
  <c r="C408" i="6"/>
  <c r="B408" i="6"/>
  <c r="A408" i="6"/>
  <c r="O407" i="6"/>
  <c r="N407" i="6"/>
  <c r="M407" i="6"/>
  <c r="L407" i="6"/>
  <c r="K407" i="6"/>
  <c r="J407" i="6"/>
  <c r="I407" i="6"/>
  <c r="H407" i="6"/>
  <c r="G407" i="6"/>
  <c r="F407" i="6"/>
  <c r="E407" i="6"/>
  <c r="D407" i="6"/>
  <c r="C407" i="6"/>
  <c r="B407" i="6"/>
  <c r="A407" i="6"/>
  <c r="O406" i="6"/>
  <c r="N406" i="6"/>
  <c r="M406" i="6"/>
  <c r="L406" i="6"/>
  <c r="K406" i="6"/>
  <c r="J406" i="6"/>
  <c r="H406" i="6"/>
  <c r="G406" i="6"/>
  <c r="F406" i="6"/>
  <c r="E406" i="6"/>
  <c r="D406" i="6"/>
  <c r="C406" i="6"/>
  <c r="B406" i="6"/>
  <c r="A406" i="6"/>
  <c r="O405" i="6"/>
  <c r="N405" i="6"/>
  <c r="M405" i="6"/>
  <c r="L405" i="6"/>
  <c r="K405" i="6"/>
  <c r="J405" i="6"/>
  <c r="I405" i="6"/>
  <c r="H405" i="6"/>
  <c r="G405" i="6"/>
  <c r="F405" i="6"/>
  <c r="E405" i="6"/>
  <c r="D405" i="6"/>
  <c r="C405" i="6"/>
  <c r="B405" i="6"/>
  <c r="A405" i="6"/>
  <c r="O404" i="6"/>
  <c r="N404" i="6"/>
  <c r="M404" i="6"/>
  <c r="L404" i="6"/>
  <c r="K404" i="6"/>
  <c r="J404" i="6"/>
  <c r="I404" i="6"/>
  <c r="H404" i="6"/>
  <c r="G404" i="6"/>
  <c r="F404" i="6"/>
  <c r="E404" i="6"/>
  <c r="D404" i="6"/>
  <c r="C404" i="6"/>
  <c r="B404" i="6"/>
  <c r="A404" i="6"/>
  <c r="O403" i="6"/>
  <c r="N403" i="6"/>
  <c r="M403" i="6"/>
  <c r="L403" i="6"/>
  <c r="K403" i="6"/>
  <c r="J403" i="6"/>
  <c r="I403" i="6"/>
  <c r="H403" i="6"/>
  <c r="G403" i="6"/>
  <c r="F403" i="6"/>
  <c r="E403" i="6"/>
  <c r="D403" i="6"/>
  <c r="C403" i="6"/>
  <c r="B403" i="6"/>
  <c r="A403" i="6"/>
  <c r="O402" i="6"/>
  <c r="N402" i="6"/>
  <c r="M402" i="6"/>
  <c r="L402" i="6"/>
  <c r="K402" i="6"/>
  <c r="J402" i="6"/>
  <c r="I402" i="6"/>
  <c r="H402" i="6"/>
  <c r="G402" i="6"/>
  <c r="F402" i="6"/>
  <c r="E402" i="6"/>
  <c r="D402" i="6"/>
  <c r="C402" i="6"/>
  <c r="B402" i="6"/>
  <c r="A402" i="6"/>
  <c r="O401" i="6"/>
  <c r="N401" i="6"/>
  <c r="M401" i="6"/>
  <c r="L401" i="6"/>
  <c r="K401" i="6"/>
  <c r="J401" i="6"/>
  <c r="I401" i="6"/>
  <c r="H401" i="6"/>
  <c r="G401" i="6"/>
  <c r="F401" i="6"/>
  <c r="E401" i="6"/>
  <c r="D401" i="6"/>
  <c r="C401" i="6"/>
  <c r="B401" i="6"/>
  <c r="A401" i="6"/>
  <c r="O400" i="6"/>
  <c r="N400" i="6"/>
  <c r="M400" i="6"/>
  <c r="L400" i="6"/>
  <c r="K400" i="6"/>
  <c r="J400" i="6"/>
  <c r="I400" i="6"/>
  <c r="H400" i="6"/>
  <c r="G400" i="6"/>
  <c r="F400" i="6"/>
  <c r="E400" i="6"/>
  <c r="D400" i="6"/>
  <c r="C400" i="6"/>
  <c r="B400" i="6"/>
  <c r="A400" i="6"/>
  <c r="O399" i="6"/>
  <c r="N399" i="6"/>
  <c r="M399" i="6"/>
  <c r="L399" i="6"/>
  <c r="K399" i="6"/>
  <c r="J399" i="6"/>
  <c r="H399" i="6"/>
  <c r="G399" i="6"/>
  <c r="F399" i="6"/>
  <c r="E399" i="6"/>
  <c r="D399" i="6"/>
  <c r="C399" i="6"/>
  <c r="B399" i="6"/>
  <c r="A399" i="6"/>
  <c r="O398" i="6"/>
  <c r="N398" i="6"/>
  <c r="M398" i="6"/>
  <c r="L398" i="6"/>
  <c r="K398" i="6"/>
  <c r="J398" i="6"/>
  <c r="H398" i="6"/>
  <c r="G398" i="6"/>
  <c r="F398" i="6"/>
  <c r="E398" i="6"/>
  <c r="D398" i="6"/>
  <c r="C398" i="6"/>
  <c r="B398" i="6"/>
  <c r="A398" i="6"/>
  <c r="O397" i="6"/>
  <c r="N397" i="6"/>
  <c r="M397" i="6"/>
  <c r="L397" i="6"/>
  <c r="K397" i="6"/>
  <c r="J397" i="6"/>
  <c r="H397" i="6"/>
  <c r="G397" i="6"/>
  <c r="F397" i="6"/>
  <c r="E397" i="6"/>
  <c r="D397" i="6"/>
  <c r="C397" i="6"/>
  <c r="B397" i="6"/>
  <c r="A397" i="6"/>
  <c r="O396" i="6"/>
  <c r="N396" i="6"/>
  <c r="M396" i="6"/>
  <c r="L396" i="6"/>
  <c r="K396" i="6"/>
  <c r="J396" i="6"/>
  <c r="H396" i="6"/>
  <c r="G396" i="6"/>
  <c r="F396" i="6"/>
  <c r="E396" i="6"/>
  <c r="D396" i="6"/>
  <c r="C396" i="6"/>
  <c r="B396" i="6"/>
  <c r="A396" i="6"/>
  <c r="O395" i="6"/>
  <c r="N395" i="6"/>
  <c r="M395" i="6"/>
  <c r="L395" i="6"/>
  <c r="K395" i="6"/>
  <c r="J395" i="6"/>
  <c r="H395" i="6"/>
  <c r="G395" i="6"/>
  <c r="F395" i="6"/>
  <c r="E395" i="6"/>
  <c r="D395" i="6"/>
  <c r="C395" i="6"/>
  <c r="B395" i="6"/>
  <c r="A395" i="6"/>
  <c r="O394" i="6"/>
  <c r="N394" i="6"/>
  <c r="M394" i="6"/>
  <c r="L394" i="6"/>
  <c r="K394" i="6"/>
  <c r="J394" i="6"/>
  <c r="I394" i="6"/>
  <c r="H394" i="6"/>
  <c r="G394" i="6"/>
  <c r="F394" i="6"/>
  <c r="E394" i="6"/>
  <c r="D394" i="6"/>
  <c r="C394" i="6"/>
  <c r="B394" i="6"/>
  <c r="A394" i="6"/>
  <c r="O393" i="6"/>
  <c r="N393" i="6"/>
  <c r="M393" i="6"/>
  <c r="L393" i="6"/>
  <c r="K393" i="6"/>
  <c r="J393" i="6"/>
  <c r="I393" i="6"/>
  <c r="H393" i="6"/>
  <c r="G393" i="6"/>
  <c r="F393" i="6"/>
  <c r="E393" i="6"/>
  <c r="D393" i="6"/>
  <c r="C393" i="6"/>
  <c r="B393" i="6"/>
  <c r="A393" i="6"/>
  <c r="O392" i="6"/>
  <c r="N392" i="6"/>
  <c r="M392" i="6"/>
  <c r="L392" i="6"/>
  <c r="K392" i="6"/>
  <c r="J392" i="6"/>
  <c r="I392" i="6"/>
  <c r="H392" i="6"/>
  <c r="G392" i="6"/>
  <c r="F392" i="6"/>
  <c r="E392" i="6"/>
  <c r="D392" i="6"/>
  <c r="C392" i="6"/>
  <c r="B392" i="6"/>
  <c r="A392" i="6"/>
  <c r="O391" i="6"/>
  <c r="N391" i="6"/>
  <c r="M391" i="6"/>
  <c r="L391" i="6"/>
  <c r="K391" i="6"/>
  <c r="J391" i="6"/>
  <c r="I391" i="6"/>
  <c r="H391" i="6"/>
  <c r="G391" i="6"/>
  <c r="F391" i="6"/>
  <c r="E391" i="6"/>
  <c r="D391" i="6"/>
  <c r="C391" i="6"/>
  <c r="B391" i="6"/>
  <c r="A391" i="6"/>
  <c r="O390" i="6"/>
  <c r="N390" i="6"/>
  <c r="M390" i="6"/>
  <c r="L390" i="6"/>
  <c r="K390" i="6"/>
  <c r="J390" i="6"/>
  <c r="I390" i="6"/>
  <c r="H390" i="6"/>
  <c r="G390" i="6"/>
  <c r="F390" i="6"/>
  <c r="E390" i="6"/>
  <c r="D390" i="6"/>
  <c r="C390" i="6"/>
  <c r="B390" i="6"/>
  <c r="A390" i="6"/>
  <c r="O389" i="6"/>
  <c r="N389" i="6"/>
  <c r="M389" i="6"/>
  <c r="L389" i="6"/>
  <c r="K389" i="6"/>
  <c r="J389" i="6"/>
  <c r="I389" i="6"/>
  <c r="H389" i="6"/>
  <c r="G389" i="6"/>
  <c r="F389" i="6"/>
  <c r="E389" i="6"/>
  <c r="D389" i="6"/>
  <c r="C389" i="6"/>
  <c r="B389" i="6"/>
  <c r="A389" i="6"/>
  <c r="O388" i="6"/>
  <c r="N388" i="6"/>
  <c r="M388" i="6"/>
  <c r="L388" i="6"/>
  <c r="K388" i="6"/>
  <c r="J388" i="6"/>
  <c r="I388" i="6"/>
  <c r="H388" i="6"/>
  <c r="G388" i="6"/>
  <c r="F388" i="6"/>
  <c r="E388" i="6"/>
  <c r="D388" i="6"/>
  <c r="C388" i="6"/>
  <c r="B388" i="6"/>
  <c r="A388" i="6"/>
  <c r="O387" i="6"/>
  <c r="N387" i="6"/>
  <c r="M387" i="6"/>
  <c r="L387" i="6"/>
  <c r="K387" i="6"/>
  <c r="J387" i="6"/>
  <c r="I387" i="6"/>
  <c r="H387" i="6"/>
  <c r="G387" i="6"/>
  <c r="F387" i="6"/>
  <c r="E387" i="6"/>
  <c r="D387" i="6"/>
  <c r="C387" i="6"/>
  <c r="B387" i="6"/>
  <c r="A387" i="6"/>
  <c r="O386" i="6"/>
  <c r="N386" i="6"/>
  <c r="M386" i="6"/>
  <c r="L386" i="6"/>
  <c r="K386" i="6"/>
  <c r="J386" i="6"/>
  <c r="I386" i="6"/>
  <c r="H386" i="6"/>
  <c r="G386" i="6"/>
  <c r="F386" i="6"/>
  <c r="E386" i="6"/>
  <c r="D386" i="6"/>
  <c r="C386" i="6"/>
  <c r="B386" i="6"/>
  <c r="A386" i="6"/>
  <c r="O385" i="6"/>
  <c r="N385" i="6"/>
  <c r="M385" i="6"/>
  <c r="L385" i="6"/>
  <c r="K385" i="6"/>
  <c r="J385" i="6"/>
  <c r="I385" i="6"/>
  <c r="H385" i="6"/>
  <c r="G385" i="6"/>
  <c r="F385" i="6"/>
  <c r="E385" i="6"/>
  <c r="D385" i="6"/>
  <c r="C385" i="6"/>
  <c r="B385" i="6"/>
  <c r="A385" i="6"/>
  <c r="O384" i="6"/>
  <c r="N384" i="6"/>
  <c r="M384" i="6"/>
  <c r="L384" i="6"/>
  <c r="K384" i="6"/>
  <c r="J384" i="6"/>
  <c r="I384" i="6"/>
  <c r="H384" i="6"/>
  <c r="G384" i="6"/>
  <c r="F384" i="6"/>
  <c r="E384" i="6"/>
  <c r="D384" i="6"/>
  <c r="C384" i="6"/>
  <c r="B384" i="6"/>
  <c r="A384" i="6"/>
  <c r="O383" i="6"/>
  <c r="N383" i="6"/>
  <c r="M383" i="6"/>
  <c r="L383" i="6"/>
  <c r="K383" i="6"/>
  <c r="J383" i="6"/>
  <c r="I383" i="6"/>
  <c r="H383" i="6"/>
  <c r="G383" i="6"/>
  <c r="F383" i="6"/>
  <c r="E383" i="6"/>
  <c r="D383" i="6"/>
  <c r="C383" i="6"/>
  <c r="B383" i="6"/>
  <c r="A383" i="6"/>
  <c r="O382" i="6"/>
  <c r="N382" i="6"/>
  <c r="M382" i="6"/>
  <c r="L382" i="6"/>
  <c r="K382" i="6"/>
  <c r="J382" i="6"/>
  <c r="I382" i="6"/>
  <c r="H382" i="6"/>
  <c r="G382" i="6"/>
  <c r="F382" i="6"/>
  <c r="E382" i="6"/>
  <c r="D382" i="6"/>
  <c r="C382" i="6"/>
  <c r="B382" i="6"/>
  <c r="A382" i="6"/>
  <c r="O381" i="6"/>
  <c r="N381" i="6"/>
  <c r="M381" i="6"/>
  <c r="L381" i="6"/>
  <c r="K381" i="6"/>
  <c r="J381" i="6"/>
  <c r="I381" i="6"/>
  <c r="H381" i="6"/>
  <c r="G381" i="6"/>
  <c r="F381" i="6"/>
  <c r="E381" i="6"/>
  <c r="D381" i="6"/>
  <c r="C381" i="6"/>
  <c r="B381" i="6"/>
  <c r="A381" i="6"/>
  <c r="O380" i="6"/>
  <c r="N380" i="6"/>
  <c r="M380" i="6"/>
  <c r="L380" i="6"/>
  <c r="K380" i="6"/>
  <c r="J380" i="6"/>
  <c r="I380" i="6"/>
  <c r="H380" i="6"/>
  <c r="G380" i="6"/>
  <c r="F380" i="6"/>
  <c r="E380" i="6"/>
  <c r="D380" i="6"/>
  <c r="C380" i="6"/>
  <c r="B380" i="6"/>
  <c r="A380" i="6"/>
  <c r="O379" i="6"/>
  <c r="N379" i="6"/>
  <c r="M379" i="6"/>
  <c r="L379" i="6"/>
  <c r="K379" i="6"/>
  <c r="J379" i="6"/>
  <c r="I379" i="6"/>
  <c r="H379" i="6"/>
  <c r="G379" i="6"/>
  <c r="F379" i="6"/>
  <c r="E379" i="6"/>
  <c r="D379" i="6"/>
  <c r="C379" i="6"/>
  <c r="B379" i="6"/>
  <c r="A379" i="6"/>
  <c r="O378" i="6"/>
  <c r="N378" i="6"/>
  <c r="M378" i="6"/>
  <c r="L378" i="6"/>
  <c r="K378" i="6"/>
  <c r="J378" i="6"/>
  <c r="I378" i="6"/>
  <c r="H378" i="6"/>
  <c r="G378" i="6"/>
  <c r="F378" i="6"/>
  <c r="E378" i="6"/>
  <c r="D378" i="6"/>
  <c r="C378" i="6"/>
  <c r="B378" i="6"/>
  <c r="A378" i="6"/>
  <c r="O377" i="6"/>
  <c r="N377" i="6"/>
  <c r="M377" i="6"/>
  <c r="L377" i="6"/>
  <c r="K377" i="6"/>
  <c r="J377" i="6"/>
  <c r="I377" i="6"/>
  <c r="H377" i="6"/>
  <c r="G377" i="6"/>
  <c r="F377" i="6"/>
  <c r="E377" i="6"/>
  <c r="D377" i="6"/>
  <c r="C377" i="6"/>
  <c r="B377" i="6"/>
  <c r="A377" i="6"/>
  <c r="O376" i="6"/>
  <c r="N376" i="6"/>
  <c r="M376" i="6"/>
  <c r="L376" i="6"/>
  <c r="K376" i="6"/>
  <c r="J376" i="6"/>
  <c r="I376" i="6"/>
  <c r="H376" i="6"/>
  <c r="G376" i="6"/>
  <c r="F376" i="6"/>
  <c r="E376" i="6"/>
  <c r="D376" i="6"/>
  <c r="C376" i="6"/>
  <c r="B376" i="6"/>
  <c r="A376" i="6"/>
  <c r="O375" i="6"/>
  <c r="N375" i="6"/>
  <c r="M375" i="6"/>
  <c r="L375" i="6"/>
  <c r="K375" i="6"/>
  <c r="J375" i="6"/>
  <c r="I375" i="6"/>
  <c r="H375" i="6"/>
  <c r="G375" i="6"/>
  <c r="F375" i="6"/>
  <c r="E375" i="6"/>
  <c r="D375" i="6"/>
  <c r="C375" i="6"/>
  <c r="B375" i="6"/>
  <c r="A375" i="6"/>
  <c r="O374" i="6"/>
  <c r="N374" i="6"/>
  <c r="M374" i="6"/>
  <c r="L374" i="6"/>
  <c r="K374" i="6"/>
  <c r="J374" i="6"/>
  <c r="I374" i="6"/>
  <c r="H374" i="6"/>
  <c r="G374" i="6"/>
  <c r="F374" i="6"/>
  <c r="E374" i="6"/>
  <c r="D374" i="6"/>
  <c r="C374" i="6"/>
  <c r="B374" i="6"/>
  <c r="A374" i="6"/>
  <c r="O373" i="6"/>
  <c r="N373" i="6"/>
  <c r="M373" i="6"/>
  <c r="L373" i="6"/>
  <c r="K373" i="6"/>
  <c r="J373" i="6"/>
  <c r="I373" i="6"/>
  <c r="H373" i="6"/>
  <c r="G373" i="6"/>
  <c r="F373" i="6"/>
  <c r="E373" i="6"/>
  <c r="D373" i="6"/>
  <c r="C373" i="6"/>
  <c r="B373" i="6"/>
  <c r="A373" i="6"/>
  <c r="O372" i="6"/>
  <c r="N372" i="6"/>
  <c r="M372" i="6"/>
  <c r="L372" i="6"/>
  <c r="K372" i="6"/>
  <c r="J372" i="6"/>
  <c r="I372" i="6"/>
  <c r="H372" i="6"/>
  <c r="G372" i="6"/>
  <c r="F372" i="6"/>
  <c r="E372" i="6"/>
  <c r="D372" i="6"/>
  <c r="C372" i="6"/>
  <c r="B372" i="6"/>
  <c r="A372" i="6"/>
  <c r="O371" i="6"/>
  <c r="N371" i="6"/>
  <c r="M371" i="6"/>
  <c r="L371" i="6"/>
  <c r="K371" i="6"/>
  <c r="J371" i="6"/>
  <c r="I371" i="6"/>
  <c r="H371" i="6"/>
  <c r="G371" i="6"/>
  <c r="F371" i="6"/>
  <c r="E371" i="6"/>
  <c r="D371" i="6"/>
  <c r="C371" i="6"/>
  <c r="B371" i="6"/>
  <c r="A371" i="6"/>
  <c r="O370" i="6"/>
  <c r="N370" i="6"/>
  <c r="M370" i="6"/>
  <c r="L370" i="6"/>
  <c r="K370" i="6"/>
  <c r="J370" i="6"/>
  <c r="I370" i="6"/>
  <c r="H370" i="6"/>
  <c r="G370" i="6"/>
  <c r="F370" i="6"/>
  <c r="E370" i="6"/>
  <c r="D370" i="6"/>
  <c r="C370" i="6"/>
  <c r="B370" i="6"/>
  <c r="A370" i="6"/>
  <c r="O369" i="6"/>
  <c r="N369" i="6"/>
  <c r="M369" i="6"/>
  <c r="L369" i="6"/>
  <c r="K369" i="6"/>
  <c r="J369" i="6"/>
  <c r="I369" i="6"/>
  <c r="H369" i="6"/>
  <c r="G369" i="6"/>
  <c r="F369" i="6"/>
  <c r="E369" i="6"/>
  <c r="D369" i="6"/>
  <c r="C369" i="6"/>
  <c r="B369" i="6"/>
  <c r="A369" i="6"/>
  <c r="O368" i="6"/>
  <c r="N368" i="6"/>
  <c r="M368" i="6"/>
  <c r="L368" i="6"/>
  <c r="K368" i="6"/>
  <c r="J368" i="6"/>
  <c r="I368" i="6"/>
  <c r="H368" i="6"/>
  <c r="G368" i="6"/>
  <c r="F368" i="6"/>
  <c r="E368" i="6"/>
  <c r="D368" i="6"/>
  <c r="C368" i="6"/>
  <c r="B368" i="6"/>
  <c r="A368" i="6"/>
  <c r="O367" i="6"/>
  <c r="N367" i="6"/>
  <c r="M367" i="6"/>
  <c r="L367" i="6"/>
  <c r="K367" i="6"/>
  <c r="J367" i="6"/>
  <c r="I367" i="6"/>
  <c r="H367" i="6"/>
  <c r="G367" i="6"/>
  <c r="F367" i="6"/>
  <c r="E367" i="6"/>
  <c r="D367" i="6"/>
  <c r="C367" i="6"/>
  <c r="B367" i="6"/>
  <c r="A367" i="6"/>
  <c r="O366" i="6"/>
  <c r="N366" i="6"/>
  <c r="M366" i="6"/>
  <c r="L366" i="6"/>
  <c r="K366" i="6"/>
  <c r="J366" i="6"/>
  <c r="I366" i="6"/>
  <c r="H366" i="6"/>
  <c r="G366" i="6"/>
  <c r="F366" i="6"/>
  <c r="E366" i="6"/>
  <c r="D366" i="6"/>
  <c r="C366" i="6"/>
  <c r="B366" i="6"/>
  <c r="A366" i="6"/>
  <c r="O365" i="6"/>
  <c r="N365" i="6"/>
  <c r="M365" i="6"/>
  <c r="L365" i="6"/>
  <c r="K365" i="6"/>
  <c r="J365" i="6"/>
  <c r="I365" i="6"/>
  <c r="H365" i="6"/>
  <c r="G365" i="6"/>
  <c r="F365" i="6"/>
  <c r="E365" i="6"/>
  <c r="D365" i="6"/>
  <c r="C365" i="6"/>
  <c r="B365" i="6"/>
  <c r="A365" i="6"/>
  <c r="O364" i="6"/>
  <c r="N364" i="6"/>
  <c r="M364" i="6"/>
  <c r="L364" i="6"/>
  <c r="K364" i="6"/>
  <c r="J364" i="6"/>
  <c r="I364" i="6"/>
  <c r="H364" i="6"/>
  <c r="G364" i="6"/>
  <c r="F364" i="6"/>
  <c r="E364" i="6"/>
  <c r="D364" i="6"/>
  <c r="C364" i="6"/>
  <c r="B364" i="6"/>
  <c r="A364" i="6"/>
  <c r="O363" i="6"/>
  <c r="N363" i="6"/>
  <c r="M363" i="6"/>
  <c r="L363" i="6"/>
  <c r="K363" i="6"/>
  <c r="J363" i="6"/>
  <c r="I363" i="6"/>
  <c r="H363" i="6"/>
  <c r="G363" i="6"/>
  <c r="F363" i="6"/>
  <c r="E363" i="6"/>
  <c r="D363" i="6"/>
  <c r="C363" i="6"/>
  <c r="B363" i="6"/>
  <c r="A363" i="6"/>
  <c r="O362" i="6"/>
  <c r="N362" i="6"/>
  <c r="M362" i="6"/>
  <c r="L362" i="6"/>
  <c r="K362" i="6"/>
  <c r="J362" i="6"/>
  <c r="I362" i="6"/>
  <c r="H362" i="6"/>
  <c r="G362" i="6"/>
  <c r="F362" i="6"/>
  <c r="E362" i="6"/>
  <c r="D362" i="6"/>
  <c r="C362" i="6"/>
  <c r="B362" i="6"/>
  <c r="A362" i="6"/>
  <c r="O361" i="6"/>
  <c r="N361" i="6"/>
  <c r="M361" i="6"/>
  <c r="L361" i="6"/>
  <c r="K361" i="6"/>
  <c r="J361" i="6"/>
  <c r="I361" i="6"/>
  <c r="H361" i="6"/>
  <c r="G361" i="6"/>
  <c r="F361" i="6"/>
  <c r="E361" i="6"/>
  <c r="D361" i="6"/>
  <c r="C361" i="6"/>
  <c r="B361" i="6"/>
  <c r="A361" i="6"/>
  <c r="O360" i="6"/>
  <c r="N360" i="6"/>
  <c r="M360" i="6"/>
  <c r="L360" i="6"/>
  <c r="K360" i="6"/>
  <c r="J360" i="6"/>
  <c r="I360" i="6"/>
  <c r="H360" i="6"/>
  <c r="G360" i="6"/>
  <c r="F360" i="6"/>
  <c r="E360" i="6"/>
  <c r="D360" i="6"/>
  <c r="C360" i="6"/>
  <c r="B360" i="6"/>
  <c r="A360" i="6"/>
  <c r="O359" i="6"/>
  <c r="N359" i="6"/>
  <c r="M359" i="6"/>
  <c r="L359" i="6"/>
  <c r="K359" i="6"/>
  <c r="J359" i="6"/>
  <c r="I359" i="6"/>
  <c r="H359" i="6"/>
  <c r="G359" i="6"/>
  <c r="F359" i="6"/>
  <c r="E359" i="6"/>
  <c r="D359" i="6"/>
  <c r="C359" i="6"/>
  <c r="B359" i="6"/>
  <c r="A359" i="6"/>
  <c r="O358" i="6"/>
  <c r="N358" i="6"/>
  <c r="M358" i="6"/>
  <c r="L358" i="6"/>
  <c r="K358" i="6"/>
  <c r="J358" i="6"/>
  <c r="I358" i="6"/>
  <c r="H358" i="6"/>
  <c r="G358" i="6"/>
  <c r="F358" i="6"/>
  <c r="E358" i="6"/>
  <c r="D358" i="6"/>
  <c r="C358" i="6"/>
  <c r="B358" i="6"/>
  <c r="A358" i="6"/>
  <c r="O357" i="6"/>
  <c r="N357" i="6"/>
  <c r="M357" i="6"/>
  <c r="L357" i="6"/>
  <c r="K357" i="6"/>
  <c r="J357" i="6"/>
  <c r="I357" i="6"/>
  <c r="H357" i="6"/>
  <c r="G357" i="6"/>
  <c r="F357" i="6"/>
  <c r="E357" i="6"/>
  <c r="D357" i="6"/>
  <c r="C357" i="6"/>
  <c r="B357" i="6"/>
  <c r="A357" i="6"/>
  <c r="O356" i="6"/>
  <c r="N356" i="6"/>
  <c r="M356" i="6"/>
  <c r="L356" i="6"/>
  <c r="K356" i="6"/>
  <c r="J356" i="6"/>
  <c r="I356" i="6"/>
  <c r="H356" i="6"/>
  <c r="G356" i="6"/>
  <c r="F356" i="6"/>
  <c r="E356" i="6"/>
  <c r="D356" i="6"/>
  <c r="C356" i="6"/>
  <c r="B356" i="6"/>
  <c r="A356" i="6"/>
  <c r="O355" i="6"/>
  <c r="N355" i="6"/>
  <c r="M355" i="6"/>
  <c r="L355" i="6"/>
  <c r="K355" i="6"/>
  <c r="J355" i="6"/>
  <c r="I355" i="6"/>
  <c r="H355" i="6"/>
  <c r="G355" i="6"/>
  <c r="F355" i="6"/>
  <c r="E355" i="6"/>
  <c r="D355" i="6"/>
  <c r="C355" i="6"/>
  <c r="B355" i="6"/>
  <c r="A355" i="6"/>
  <c r="O354" i="6"/>
  <c r="N354" i="6"/>
  <c r="M354" i="6"/>
  <c r="L354" i="6"/>
  <c r="K354" i="6"/>
  <c r="J354" i="6"/>
  <c r="I354" i="6"/>
  <c r="H354" i="6"/>
  <c r="G354" i="6"/>
  <c r="F354" i="6"/>
  <c r="E354" i="6"/>
  <c r="D354" i="6"/>
  <c r="C354" i="6"/>
  <c r="B354" i="6"/>
  <c r="A354" i="6"/>
  <c r="O353" i="6"/>
  <c r="N353" i="6"/>
  <c r="M353" i="6"/>
  <c r="L353" i="6"/>
  <c r="K353" i="6"/>
  <c r="J353" i="6"/>
  <c r="I353" i="6"/>
  <c r="H353" i="6"/>
  <c r="G353" i="6"/>
  <c r="F353" i="6"/>
  <c r="E353" i="6"/>
  <c r="D353" i="6"/>
  <c r="C353" i="6"/>
  <c r="B353" i="6"/>
  <c r="A353" i="6"/>
  <c r="O352" i="6"/>
  <c r="N352" i="6"/>
  <c r="M352" i="6"/>
  <c r="L352" i="6"/>
  <c r="K352" i="6"/>
  <c r="J352" i="6"/>
  <c r="I352" i="6"/>
  <c r="H352" i="6"/>
  <c r="G352" i="6"/>
  <c r="F352" i="6"/>
  <c r="E352" i="6"/>
  <c r="D352" i="6"/>
  <c r="C352" i="6"/>
  <c r="B352" i="6"/>
  <c r="A352" i="6"/>
  <c r="O351" i="6"/>
  <c r="N351" i="6"/>
  <c r="M351" i="6"/>
  <c r="L351" i="6"/>
  <c r="K351" i="6"/>
  <c r="J351" i="6"/>
  <c r="I351" i="6"/>
  <c r="H351" i="6"/>
  <c r="G351" i="6"/>
  <c r="F351" i="6"/>
  <c r="E351" i="6"/>
  <c r="D351" i="6"/>
  <c r="C351" i="6"/>
  <c r="B351" i="6"/>
  <c r="A351" i="6"/>
  <c r="O350" i="6"/>
  <c r="N350" i="6"/>
  <c r="M350" i="6"/>
  <c r="L350" i="6"/>
  <c r="K350" i="6"/>
  <c r="J350" i="6"/>
  <c r="I350" i="6"/>
  <c r="H350" i="6"/>
  <c r="G350" i="6"/>
  <c r="F350" i="6"/>
  <c r="E350" i="6"/>
  <c r="D350" i="6"/>
  <c r="C350" i="6"/>
  <c r="B350" i="6"/>
  <c r="A350" i="6"/>
  <c r="O349" i="6"/>
  <c r="N349" i="6"/>
  <c r="M349" i="6"/>
  <c r="L349" i="6"/>
  <c r="K349" i="6"/>
  <c r="J349" i="6"/>
  <c r="I349" i="6"/>
  <c r="H349" i="6"/>
  <c r="G349" i="6"/>
  <c r="F349" i="6"/>
  <c r="E349" i="6"/>
  <c r="D349" i="6"/>
  <c r="C349" i="6"/>
  <c r="B349" i="6"/>
  <c r="A349" i="6"/>
  <c r="O348" i="6"/>
  <c r="N348" i="6"/>
  <c r="M348" i="6"/>
  <c r="L348" i="6"/>
  <c r="K348" i="6"/>
  <c r="J348" i="6"/>
  <c r="I348" i="6"/>
  <c r="H348" i="6"/>
  <c r="G348" i="6"/>
  <c r="F348" i="6"/>
  <c r="E348" i="6"/>
  <c r="D348" i="6"/>
  <c r="C348" i="6"/>
  <c r="B348" i="6"/>
  <c r="A348" i="6"/>
  <c r="O347" i="6"/>
  <c r="N347" i="6"/>
  <c r="M347" i="6"/>
  <c r="L347" i="6"/>
  <c r="K347" i="6"/>
  <c r="J347" i="6"/>
  <c r="I347" i="6"/>
  <c r="H347" i="6"/>
  <c r="G347" i="6"/>
  <c r="F347" i="6"/>
  <c r="E347" i="6"/>
  <c r="D347" i="6"/>
  <c r="C347" i="6"/>
  <c r="B347" i="6"/>
  <c r="A347" i="6"/>
  <c r="O346" i="6"/>
  <c r="N346" i="6"/>
  <c r="M346" i="6"/>
  <c r="L346" i="6"/>
  <c r="K346" i="6"/>
  <c r="J346" i="6"/>
  <c r="I346" i="6"/>
  <c r="H346" i="6"/>
  <c r="G346" i="6"/>
  <c r="F346" i="6"/>
  <c r="E346" i="6"/>
  <c r="D346" i="6"/>
  <c r="C346" i="6"/>
  <c r="B346" i="6"/>
  <c r="A346" i="6"/>
  <c r="O345" i="6"/>
  <c r="N345" i="6"/>
  <c r="M345" i="6"/>
  <c r="L345" i="6"/>
  <c r="K345" i="6"/>
  <c r="J345" i="6"/>
  <c r="I345" i="6"/>
  <c r="H345" i="6"/>
  <c r="G345" i="6"/>
  <c r="F345" i="6"/>
  <c r="E345" i="6"/>
  <c r="D345" i="6"/>
  <c r="C345" i="6"/>
  <c r="B345" i="6"/>
  <c r="A345" i="6"/>
  <c r="O344" i="6"/>
  <c r="N344" i="6"/>
  <c r="M344" i="6"/>
  <c r="L344" i="6"/>
  <c r="K344" i="6"/>
  <c r="J344" i="6"/>
  <c r="I344" i="6"/>
  <c r="H344" i="6"/>
  <c r="G344" i="6"/>
  <c r="F344" i="6"/>
  <c r="E344" i="6"/>
  <c r="D344" i="6"/>
  <c r="C344" i="6"/>
  <c r="B344" i="6"/>
  <c r="A344" i="6"/>
  <c r="O343" i="6"/>
  <c r="N343" i="6"/>
  <c r="M343" i="6"/>
  <c r="L343" i="6"/>
  <c r="K343" i="6"/>
  <c r="J343" i="6"/>
  <c r="I343" i="6"/>
  <c r="H343" i="6"/>
  <c r="G343" i="6"/>
  <c r="F343" i="6"/>
  <c r="E343" i="6"/>
  <c r="D343" i="6"/>
  <c r="C343" i="6"/>
  <c r="B343" i="6"/>
  <c r="A343" i="6"/>
  <c r="O342" i="6"/>
  <c r="N342" i="6"/>
  <c r="M342" i="6"/>
  <c r="L342" i="6"/>
  <c r="K342" i="6"/>
  <c r="J342" i="6"/>
  <c r="I342" i="6"/>
  <c r="H342" i="6"/>
  <c r="G342" i="6"/>
  <c r="F342" i="6"/>
  <c r="E342" i="6"/>
  <c r="D342" i="6"/>
  <c r="C342" i="6"/>
  <c r="B342" i="6"/>
  <c r="A342" i="6"/>
  <c r="O341" i="6"/>
  <c r="N341" i="6"/>
  <c r="M341" i="6"/>
  <c r="L341" i="6"/>
  <c r="K341" i="6"/>
  <c r="J341" i="6"/>
  <c r="I341" i="6"/>
  <c r="H341" i="6"/>
  <c r="G341" i="6"/>
  <c r="F341" i="6"/>
  <c r="E341" i="6"/>
  <c r="D341" i="6"/>
  <c r="C341" i="6"/>
  <c r="B341" i="6"/>
  <c r="A341" i="6"/>
  <c r="O340" i="6"/>
  <c r="N340" i="6"/>
  <c r="M340" i="6"/>
  <c r="L340" i="6"/>
  <c r="K340" i="6"/>
  <c r="J340" i="6"/>
  <c r="I340" i="6"/>
  <c r="H340" i="6"/>
  <c r="G340" i="6"/>
  <c r="F340" i="6"/>
  <c r="E340" i="6"/>
  <c r="D340" i="6"/>
  <c r="C340" i="6"/>
  <c r="B340" i="6"/>
  <c r="A340" i="6"/>
  <c r="O339" i="6"/>
  <c r="N339" i="6"/>
  <c r="M339" i="6"/>
  <c r="L339" i="6"/>
  <c r="K339" i="6"/>
  <c r="J339" i="6"/>
  <c r="I339" i="6"/>
  <c r="H339" i="6"/>
  <c r="G339" i="6"/>
  <c r="F339" i="6"/>
  <c r="E339" i="6"/>
  <c r="D339" i="6"/>
  <c r="C339" i="6"/>
  <c r="B339" i="6"/>
  <c r="A339" i="6"/>
  <c r="O338" i="6"/>
  <c r="N338" i="6"/>
  <c r="M338" i="6"/>
  <c r="L338" i="6"/>
  <c r="K338" i="6"/>
  <c r="J338" i="6"/>
  <c r="I338" i="6"/>
  <c r="H338" i="6"/>
  <c r="G338" i="6"/>
  <c r="F338" i="6"/>
  <c r="E338" i="6"/>
  <c r="D338" i="6"/>
  <c r="C338" i="6"/>
  <c r="B338" i="6"/>
  <c r="A338" i="6"/>
  <c r="O337" i="6"/>
  <c r="N337" i="6"/>
  <c r="M337" i="6"/>
  <c r="L337" i="6"/>
  <c r="K337" i="6"/>
  <c r="J337" i="6"/>
  <c r="I337" i="6"/>
  <c r="H337" i="6"/>
  <c r="G337" i="6"/>
  <c r="F337" i="6"/>
  <c r="E337" i="6"/>
  <c r="D337" i="6"/>
  <c r="C337" i="6"/>
  <c r="B337" i="6"/>
  <c r="A337" i="6"/>
  <c r="O336" i="6"/>
  <c r="N336" i="6"/>
  <c r="M336" i="6"/>
  <c r="L336" i="6"/>
  <c r="K336" i="6"/>
  <c r="J336" i="6"/>
  <c r="I336" i="6"/>
  <c r="H336" i="6"/>
  <c r="G336" i="6"/>
  <c r="F336" i="6"/>
  <c r="E336" i="6"/>
  <c r="D336" i="6"/>
  <c r="C336" i="6"/>
  <c r="B336" i="6"/>
  <c r="A336" i="6"/>
  <c r="O335" i="6"/>
  <c r="N335" i="6"/>
  <c r="M335" i="6"/>
  <c r="L335" i="6"/>
  <c r="K335" i="6"/>
  <c r="J335" i="6"/>
  <c r="I335" i="6"/>
  <c r="H335" i="6"/>
  <c r="G335" i="6"/>
  <c r="F335" i="6"/>
  <c r="E335" i="6"/>
  <c r="D335" i="6"/>
  <c r="C335" i="6"/>
  <c r="B335" i="6"/>
  <c r="A335" i="6"/>
  <c r="O334" i="6"/>
  <c r="N334" i="6"/>
  <c r="M334" i="6"/>
  <c r="L334" i="6"/>
  <c r="K334" i="6"/>
  <c r="J334" i="6"/>
  <c r="I334" i="6"/>
  <c r="H334" i="6"/>
  <c r="G334" i="6"/>
  <c r="F334" i="6"/>
  <c r="E334" i="6"/>
  <c r="D334" i="6"/>
  <c r="C334" i="6"/>
  <c r="B334" i="6"/>
  <c r="A334" i="6"/>
  <c r="O333" i="6"/>
  <c r="N333" i="6"/>
  <c r="M333" i="6"/>
  <c r="L333" i="6"/>
  <c r="K333" i="6"/>
  <c r="J333" i="6"/>
  <c r="I333" i="6"/>
  <c r="H333" i="6"/>
  <c r="G333" i="6"/>
  <c r="F333" i="6"/>
  <c r="E333" i="6"/>
  <c r="D333" i="6"/>
  <c r="C333" i="6"/>
  <c r="B333" i="6"/>
  <c r="A333" i="6"/>
  <c r="O332" i="6"/>
  <c r="N332" i="6"/>
  <c r="M332" i="6"/>
  <c r="L332" i="6"/>
  <c r="K332" i="6"/>
  <c r="J332" i="6"/>
  <c r="I332" i="6"/>
  <c r="H332" i="6"/>
  <c r="G332" i="6"/>
  <c r="F332" i="6"/>
  <c r="E332" i="6"/>
  <c r="D332" i="6"/>
  <c r="C332" i="6"/>
  <c r="B332" i="6"/>
  <c r="A332" i="6"/>
  <c r="O331" i="6"/>
  <c r="N331" i="6"/>
  <c r="M331" i="6"/>
  <c r="L331" i="6"/>
  <c r="K331" i="6"/>
  <c r="J331" i="6"/>
  <c r="I331" i="6"/>
  <c r="H331" i="6"/>
  <c r="G331" i="6"/>
  <c r="F331" i="6"/>
  <c r="E331" i="6"/>
  <c r="D331" i="6"/>
  <c r="C331" i="6"/>
  <c r="B331" i="6"/>
  <c r="A331" i="6"/>
  <c r="O330" i="6"/>
  <c r="N330" i="6"/>
  <c r="M330" i="6"/>
  <c r="L330" i="6"/>
  <c r="K330" i="6"/>
  <c r="J330" i="6"/>
  <c r="I330" i="6"/>
  <c r="H330" i="6"/>
  <c r="G330" i="6"/>
  <c r="F330" i="6"/>
  <c r="E330" i="6"/>
  <c r="D330" i="6"/>
  <c r="C330" i="6"/>
  <c r="B330" i="6"/>
  <c r="A330" i="6"/>
  <c r="O329" i="6"/>
  <c r="N329" i="6"/>
  <c r="M329" i="6"/>
  <c r="L329" i="6"/>
  <c r="K329" i="6"/>
  <c r="J329" i="6"/>
  <c r="I329" i="6"/>
  <c r="H329" i="6"/>
  <c r="G329" i="6"/>
  <c r="F329" i="6"/>
  <c r="E329" i="6"/>
  <c r="D329" i="6"/>
  <c r="C329" i="6"/>
  <c r="B329" i="6"/>
  <c r="A329" i="6"/>
  <c r="O328" i="6"/>
  <c r="N328" i="6"/>
  <c r="M328" i="6"/>
  <c r="L328" i="6"/>
  <c r="K328" i="6"/>
  <c r="J328" i="6"/>
  <c r="I328" i="6"/>
  <c r="H328" i="6"/>
  <c r="G328" i="6"/>
  <c r="F328" i="6"/>
  <c r="E328" i="6"/>
  <c r="D328" i="6"/>
  <c r="C328" i="6"/>
  <c r="B328" i="6"/>
  <c r="A328" i="6"/>
  <c r="O327" i="6"/>
  <c r="N327" i="6"/>
  <c r="M327" i="6"/>
  <c r="L327" i="6"/>
  <c r="K327" i="6"/>
  <c r="J327" i="6"/>
  <c r="I327" i="6"/>
  <c r="H327" i="6"/>
  <c r="G327" i="6"/>
  <c r="F327" i="6"/>
  <c r="E327" i="6"/>
  <c r="D327" i="6"/>
  <c r="C327" i="6"/>
  <c r="B327" i="6"/>
  <c r="A327" i="6"/>
  <c r="O326" i="6"/>
  <c r="N326" i="6"/>
  <c r="M326" i="6"/>
  <c r="L326" i="6"/>
  <c r="K326" i="6"/>
  <c r="J326" i="6"/>
  <c r="I326" i="6"/>
  <c r="H326" i="6"/>
  <c r="G326" i="6"/>
  <c r="F326" i="6"/>
  <c r="E326" i="6"/>
  <c r="D326" i="6"/>
  <c r="C326" i="6"/>
  <c r="B326" i="6"/>
  <c r="A326" i="6"/>
  <c r="O325" i="6"/>
  <c r="N325" i="6"/>
  <c r="M325" i="6"/>
  <c r="L325" i="6"/>
  <c r="K325" i="6"/>
  <c r="J325" i="6"/>
  <c r="I325" i="6"/>
  <c r="H325" i="6"/>
  <c r="G325" i="6"/>
  <c r="F325" i="6"/>
  <c r="E325" i="6"/>
  <c r="D325" i="6"/>
  <c r="C325" i="6"/>
  <c r="B325" i="6"/>
  <c r="A325" i="6"/>
  <c r="O324" i="6"/>
  <c r="N324" i="6"/>
  <c r="M324" i="6"/>
  <c r="L324" i="6"/>
  <c r="K324" i="6"/>
  <c r="J324" i="6"/>
  <c r="H324" i="6"/>
  <c r="G324" i="6"/>
  <c r="F324" i="6"/>
  <c r="E324" i="6"/>
  <c r="D324" i="6"/>
  <c r="C324" i="6"/>
  <c r="B324" i="6"/>
  <c r="A324" i="6"/>
  <c r="O323" i="6"/>
  <c r="N323" i="6"/>
  <c r="M323" i="6"/>
  <c r="L323" i="6"/>
  <c r="K323" i="6"/>
  <c r="J323" i="6"/>
  <c r="I323" i="6"/>
  <c r="H323" i="6"/>
  <c r="G323" i="6"/>
  <c r="F323" i="6"/>
  <c r="E323" i="6"/>
  <c r="D323" i="6"/>
  <c r="C323" i="6"/>
  <c r="B323" i="6"/>
  <c r="A323" i="6"/>
  <c r="O322" i="6"/>
  <c r="N322" i="6"/>
  <c r="M322" i="6"/>
  <c r="L322" i="6"/>
  <c r="K322" i="6"/>
  <c r="J322" i="6"/>
  <c r="I322" i="6"/>
  <c r="H322" i="6"/>
  <c r="G322" i="6"/>
  <c r="F322" i="6"/>
  <c r="E322" i="6"/>
  <c r="D322" i="6"/>
  <c r="C322" i="6"/>
  <c r="B322" i="6"/>
  <c r="A322" i="6"/>
  <c r="O321" i="6"/>
  <c r="N321" i="6"/>
  <c r="M321" i="6"/>
  <c r="L321" i="6"/>
  <c r="K321" i="6"/>
  <c r="J321" i="6"/>
  <c r="H321" i="6"/>
  <c r="G321" i="6"/>
  <c r="F321" i="6"/>
  <c r="E321" i="6"/>
  <c r="D321" i="6"/>
  <c r="C321" i="6"/>
  <c r="B321" i="6"/>
  <c r="A321" i="6"/>
  <c r="O320" i="6"/>
  <c r="N320" i="6"/>
  <c r="M320" i="6"/>
  <c r="L320" i="6"/>
  <c r="K320" i="6"/>
  <c r="J320" i="6"/>
  <c r="I320" i="6"/>
  <c r="H320" i="6"/>
  <c r="G320" i="6"/>
  <c r="F320" i="6"/>
  <c r="E320" i="6"/>
  <c r="D320" i="6"/>
  <c r="C320" i="6"/>
  <c r="B320" i="6"/>
  <c r="A320" i="6"/>
  <c r="O319" i="6"/>
  <c r="N319" i="6"/>
  <c r="M319" i="6"/>
  <c r="L319" i="6"/>
  <c r="K319" i="6"/>
  <c r="J319" i="6"/>
  <c r="H319" i="6"/>
  <c r="G319" i="6"/>
  <c r="F319" i="6"/>
  <c r="E319" i="6"/>
  <c r="D319" i="6"/>
  <c r="C319" i="6"/>
  <c r="B319" i="6"/>
  <c r="A319" i="6"/>
  <c r="O318" i="6"/>
  <c r="N318" i="6"/>
  <c r="M318" i="6"/>
  <c r="L318" i="6"/>
  <c r="K318" i="6"/>
  <c r="J318" i="6"/>
  <c r="H318" i="6"/>
  <c r="G318" i="6"/>
  <c r="F318" i="6"/>
  <c r="E318" i="6"/>
  <c r="D318" i="6"/>
  <c r="C318" i="6"/>
  <c r="B318" i="6"/>
  <c r="A318" i="6"/>
  <c r="O317" i="6"/>
  <c r="N317" i="6"/>
  <c r="M317" i="6"/>
  <c r="L317" i="6"/>
  <c r="K317" i="6"/>
  <c r="J317" i="6"/>
  <c r="H317" i="6"/>
  <c r="G317" i="6"/>
  <c r="F317" i="6"/>
  <c r="E317" i="6"/>
  <c r="D317" i="6"/>
  <c r="C317" i="6"/>
  <c r="B317" i="6"/>
  <c r="A317" i="6"/>
  <c r="O316" i="6"/>
  <c r="N316" i="6"/>
  <c r="M316" i="6"/>
  <c r="L316" i="6"/>
  <c r="K316" i="6"/>
  <c r="J316" i="6"/>
  <c r="H316" i="6"/>
  <c r="G316" i="6"/>
  <c r="F316" i="6"/>
  <c r="E316" i="6"/>
  <c r="D316" i="6"/>
  <c r="C316" i="6"/>
  <c r="B316" i="6"/>
  <c r="A316" i="6"/>
  <c r="O315" i="6"/>
  <c r="N315" i="6"/>
  <c r="M315" i="6"/>
  <c r="L315" i="6"/>
  <c r="K315" i="6"/>
  <c r="J315" i="6"/>
  <c r="H315" i="6"/>
  <c r="G315" i="6"/>
  <c r="F315" i="6"/>
  <c r="E315" i="6"/>
  <c r="D315" i="6"/>
  <c r="C315" i="6"/>
  <c r="B315" i="6"/>
  <c r="A315" i="6"/>
  <c r="O314" i="6"/>
  <c r="N314" i="6"/>
  <c r="M314" i="6"/>
  <c r="L314" i="6"/>
  <c r="K314" i="6"/>
  <c r="J314" i="6"/>
  <c r="H314" i="6"/>
  <c r="G314" i="6"/>
  <c r="F314" i="6"/>
  <c r="E314" i="6"/>
  <c r="D314" i="6"/>
  <c r="C314" i="6"/>
  <c r="B314" i="6"/>
  <c r="A314" i="6"/>
  <c r="O313" i="6"/>
  <c r="N313" i="6"/>
  <c r="M313" i="6"/>
  <c r="L313" i="6"/>
  <c r="K313" i="6"/>
  <c r="J313" i="6"/>
  <c r="H313" i="6"/>
  <c r="G313" i="6"/>
  <c r="F313" i="6"/>
  <c r="E313" i="6"/>
  <c r="D313" i="6"/>
  <c r="C313" i="6"/>
  <c r="B313" i="6"/>
  <c r="A313" i="6"/>
  <c r="O312" i="6"/>
  <c r="N312" i="6"/>
  <c r="M312" i="6"/>
  <c r="L312" i="6"/>
  <c r="K312" i="6"/>
  <c r="J312" i="6"/>
  <c r="H312" i="6"/>
  <c r="G312" i="6"/>
  <c r="F312" i="6"/>
  <c r="E312" i="6"/>
  <c r="D312" i="6"/>
  <c r="C312" i="6"/>
  <c r="B312" i="6"/>
  <c r="A312" i="6"/>
  <c r="O311" i="6"/>
  <c r="N311" i="6"/>
  <c r="M311" i="6"/>
  <c r="L311" i="6"/>
  <c r="K311" i="6"/>
  <c r="J311" i="6"/>
  <c r="H311" i="6"/>
  <c r="G311" i="6"/>
  <c r="F311" i="6"/>
  <c r="E311" i="6"/>
  <c r="D311" i="6"/>
  <c r="C311" i="6"/>
  <c r="B311" i="6"/>
  <c r="A311" i="6"/>
  <c r="O310" i="6"/>
  <c r="N310" i="6"/>
  <c r="M310" i="6"/>
  <c r="L310" i="6"/>
  <c r="K310" i="6"/>
  <c r="J310" i="6"/>
  <c r="H310" i="6"/>
  <c r="G310" i="6"/>
  <c r="F310" i="6"/>
  <c r="E310" i="6"/>
  <c r="D310" i="6"/>
  <c r="C310" i="6"/>
  <c r="B310" i="6"/>
  <c r="A310" i="6"/>
  <c r="O309" i="6"/>
  <c r="N309" i="6"/>
  <c r="M309" i="6"/>
  <c r="L309" i="6"/>
  <c r="K309" i="6"/>
  <c r="J309" i="6"/>
  <c r="H309" i="6"/>
  <c r="G309" i="6"/>
  <c r="F309" i="6"/>
  <c r="E309" i="6"/>
  <c r="D309" i="6"/>
  <c r="C309" i="6"/>
  <c r="B309" i="6"/>
  <c r="A309" i="6"/>
  <c r="O308" i="6"/>
  <c r="N308" i="6"/>
  <c r="M308" i="6"/>
  <c r="L308" i="6"/>
  <c r="K308" i="6"/>
  <c r="J308" i="6"/>
  <c r="H308" i="6"/>
  <c r="G308" i="6"/>
  <c r="F308" i="6"/>
  <c r="E308" i="6"/>
  <c r="D308" i="6"/>
  <c r="C308" i="6"/>
  <c r="B308" i="6"/>
  <c r="A308" i="6"/>
  <c r="O307" i="6"/>
  <c r="N307" i="6"/>
  <c r="M307" i="6"/>
  <c r="L307" i="6"/>
  <c r="K307" i="6"/>
  <c r="J307" i="6"/>
  <c r="H307" i="6"/>
  <c r="G307" i="6"/>
  <c r="F307" i="6"/>
  <c r="E307" i="6"/>
  <c r="D307" i="6"/>
  <c r="C307" i="6"/>
  <c r="B307" i="6"/>
  <c r="A307" i="6"/>
  <c r="O306" i="6"/>
  <c r="N306" i="6"/>
  <c r="M306" i="6"/>
  <c r="L306" i="6"/>
  <c r="K306" i="6"/>
  <c r="J306" i="6"/>
  <c r="H306" i="6"/>
  <c r="G306" i="6"/>
  <c r="F306" i="6"/>
  <c r="E306" i="6"/>
  <c r="D306" i="6"/>
  <c r="C306" i="6"/>
  <c r="B306" i="6"/>
  <c r="A306" i="6"/>
  <c r="O305" i="6"/>
  <c r="N305" i="6"/>
  <c r="M305" i="6"/>
  <c r="L305" i="6"/>
  <c r="K305" i="6"/>
  <c r="J305" i="6"/>
  <c r="I305" i="6"/>
  <c r="H305" i="6"/>
  <c r="G305" i="6"/>
  <c r="F305" i="6"/>
  <c r="E305" i="6"/>
  <c r="D305" i="6"/>
  <c r="C305" i="6"/>
  <c r="B305" i="6"/>
  <c r="A305" i="6"/>
  <c r="O304" i="6"/>
  <c r="N304" i="6"/>
  <c r="M304" i="6"/>
  <c r="L304" i="6"/>
  <c r="K304" i="6"/>
  <c r="J304" i="6"/>
  <c r="H304" i="6"/>
  <c r="G304" i="6"/>
  <c r="F304" i="6"/>
  <c r="E304" i="6"/>
  <c r="D304" i="6"/>
  <c r="C304" i="6"/>
  <c r="B304" i="6"/>
  <c r="A304" i="6"/>
  <c r="O303" i="6"/>
  <c r="N303" i="6"/>
  <c r="M303" i="6"/>
  <c r="L303" i="6"/>
  <c r="K303" i="6"/>
  <c r="J303" i="6"/>
  <c r="H303" i="6"/>
  <c r="G303" i="6"/>
  <c r="F303" i="6"/>
  <c r="E303" i="6"/>
  <c r="D303" i="6"/>
  <c r="C303" i="6"/>
  <c r="B303" i="6"/>
  <c r="A303" i="6"/>
  <c r="O302" i="6"/>
  <c r="N302" i="6"/>
  <c r="M302" i="6"/>
  <c r="L302" i="6"/>
  <c r="K302" i="6"/>
  <c r="J302" i="6"/>
  <c r="H302" i="6"/>
  <c r="G302" i="6"/>
  <c r="F302" i="6"/>
  <c r="E302" i="6"/>
  <c r="D302" i="6"/>
  <c r="C302" i="6"/>
  <c r="B302" i="6"/>
  <c r="A302" i="6"/>
  <c r="O301" i="6"/>
  <c r="N301" i="6"/>
  <c r="M301" i="6"/>
  <c r="L301" i="6"/>
  <c r="K301" i="6"/>
  <c r="J301" i="6"/>
  <c r="H301" i="6"/>
  <c r="G301" i="6"/>
  <c r="F301" i="6"/>
  <c r="E301" i="6"/>
  <c r="D301" i="6"/>
  <c r="C301" i="6"/>
  <c r="B301" i="6"/>
  <c r="A301" i="6"/>
  <c r="O300" i="6"/>
  <c r="N300" i="6"/>
  <c r="M300" i="6"/>
  <c r="L300" i="6"/>
  <c r="K300" i="6"/>
  <c r="J300" i="6"/>
  <c r="H300" i="6"/>
  <c r="G300" i="6"/>
  <c r="F300" i="6"/>
  <c r="E300" i="6"/>
  <c r="D300" i="6"/>
  <c r="C300" i="6"/>
  <c r="B300" i="6"/>
  <c r="A300" i="6"/>
  <c r="O299" i="6"/>
  <c r="N299" i="6"/>
  <c r="M299" i="6"/>
  <c r="L299" i="6"/>
  <c r="K299" i="6"/>
  <c r="J299" i="6"/>
  <c r="I299" i="6"/>
  <c r="H299" i="6"/>
  <c r="G299" i="6"/>
  <c r="F299" i="6"/>
  <c r="E299" i="6"/>
  <c r="D299" i="6"/>
  <c r="C299" i="6"/>
  <c r="B299" i="6"/>
  <c r="A299" i="6"/>
  <c r="O298" i="6"/>
  <c r="N298" i="6"/>
  <c r="M298" i="6"/>
  <c r="L298" i="6"/>
  <c r="K298" i="6"/>
  <c r="J298" i="6"/>
  <c r="I298" i="6"/>
  <c r="H298" i="6"/>
  <c r="G298" i="6"/>
  <c r="F298" i="6"/>
  <c r="E298" i="6"/>
  <c r="D298" i="6"/>
  <c r="C298" i="6"/>
  <c r="B298" i="6"/>
  <c r="A298" i="6"/>
  <c r="O297" i="6"/>
  <c r="N297" i="6"/>
  <c r="M297" i="6"/>
  <c r="L297" i="6"/>
  <c r="K297" i="6"/>
  <c r="J297" i="6"/>
  <c r="H297" i="6"/>
  <c r="G297" i="6"/>
  <c r="F297" i="6"/>
  <c r="E297" i="6"/>
  <c r="D297" i="6"/>
  <c r="C297" i="6"/>
  <c r="B297" i="6"/>
  <c r="A297" i="6"/>
  <c r="O296" i="6"/>
  <c r="N296" i="6"/>
  <c r="M296" i="6"/>
  <c r="L296" i="6"/>
  <c r="K296" i="6"/>
  <c r="J296" i="6"/>
  <c r="I296" i="6"/>
  <c r="H296" i="6"/>
  <c r="G296" i="6"/>
  <c r="F296" i="6"/>
  <c r="E296" i="6"/>
  <c r="D296" i="6"/>
  <c r="C296" i="6"/>
  <c r="B296" i="6"/>
  <c r="A296" i="6"/>
  <c r="O295" i="6"/>
  <c r="N295" i="6"/>
  <c r="M295" i="6"/>
  <c r="L295" i="6"/>
  <c r="K295" i="6"/>
  <c r="J295" i="6"/>
  <c r="I295" i="6"/>
  <c r="H295" i="6"/>
  <c r="G295" i="6"/>
  <c r="F295" i="6"/>
  <c r="E295" i="6"/>
  <c r="D295" i="6"/>
  <c r="C295" i="6"/>
  <c r="B295" i="6"/>
  <c r="A295" i="6"/>
  <c r="O294" i="6"/>
  <c r="N294" i="6"/>
  <c r="M294" i="6"/>
  <c r="L294" i="6"/>
  <c r="K294" i="6"/>
  <c r="J294" i="6"/>
  <c r="H294" i="6"/>
  <c r="G294" i="6"/>
  <c r="F294" i="6"/>
  <c r="E294" i="6"/>
  <c r="D294" i="6"/>
  <c r="C294" i="6"/>
  <c r="B294" i="6"/>
  <c r="A294" i="6"/>
  <c r="O293" i="6"/>
  <c r="N293" i="6"/>
  <c r="M293" i="6"/>
  <c r="L293" i="6"/>
  <c r="K293" i="6"/>
  <c r="J293" i="6"/>
  <c r="I293" i="6"/>
  <c r="H293" i="6"/>
  <c r="G293" i="6"/>
  <c r="F293" i="6"/>
  <c r="E293" i="6"/>
  <c r="D293" i="6"/>
  <c r="C293" i="6"/>
  <c r="B293" i="6"/>
  <c r="A293" i="6"/>
  <c r="O292" i="6"/>
  <c r="N292" i="6"/>
  <c r="M292" i="6"/>
  <c r="L292" i="6"/>
  <c r="K292" i="6"/>
  <c r="J292" i="6"/>
  <c r="I292" i="6"/>
  <c r="H292" i="6"/>
  <c r="G292" i="6"/>
  <c r="F292" i="6"/>
  <c r="E292" i="6"/>
  <c r="D292" i="6"/>
  <c r="C292" i="6"/>
  <c r="B292" i="6"/>
  <c r="A292" i="6"/>
  <c r="O291" i="6"/>
  <c r="N291" i="6"/>
  <c r="M291" i="6"/>
  <c r="L291" i="6"/>
  <c r="K291" i="6"/>
  <c r="J291" i="6"/>
  <c r="I291" i="6"/>
  <c r="H291" i="6"/>
  <c r="G291" i="6"/>
  <c r="F291" i="6"/>
  <c r="E291" i="6"/>
  <c r="D291" i="6"/>
  <c r="C291" i="6"/>
  <c r="B291" i="6"/>
  <c r="A291" i="6"/>
  <c r="O290" i="6"/>
  <c r="N290" i="6"/>
  <c r="M290" i="6"/>
  <c r="L290" i="6"/>
  <c r="K290" i="6"/>
  <c r="J290" i="6"/>
  <c r="I290" i="6"/>
  <c r="H290" i="6"/>
  <c r="G290" i="6"/>
  <c r="F290" i="6"/>
  <c r="E290" i="6"/>
  <c r="D290" i="6"/>
  <c r="C290" i="6"/>
  <c r="B290" i="6"/>
  <c r="A290" i="6"/>
  <c r="O289" i="6"/>
  <c r="N289" i="6"/>
  <c r="M289" i="6"/>
  <c r="L289" i="6"/>
  <c r="K289" i="6"/>
  <c r="J289" i="6"/>
  <c r="I289" i="6"/>
  <c r="H289" i="6"/>
  <c r="G289" i="6"/>
  <c r="F289" i="6"/>
  <c r="E289" i="6"/>
  <c r="D289" i="6"/>
  <c r="C289" i="6"/>
  <c r="B289" i="6"/>
  <c r="A289" i="6"/>
  <c r="O288" i="6"/>
  <c r="N288" i="6"/>
  <c r="M288" i="6"/>
  <c r="L288" i="6"/>
  <c r="K288" i="6"/>
  <c r="J288" i="6"/>
  <c r="I288" i="6"/>
  <c r="H288" i="6"/>
  <c r="G288" i="6"/>
  <c r="F288" i="6"/>
  <c r="E288" i="6"/>
  <c r="D288" i="6"/>
  <c r="C288" i="6"/>
  <c r="B288" i="6"/>
  <c r="A288" i="6"/>
  <c r="O287" i="6"/>
  <c r="N287" i="6"/>
  <c r="M287" i="6"/>
  <c r="L287" i="6"/>
  <c r="K287" i="6"/>
  <c r="J287" i="6"/>
  <c r="H287" i="6"/>
  <c r="G287" i="6"/>
  <c r="F287" i="6"/>
  <c r="E287" i="6"/>
  <c r="D287" i="6"/>
  <c r="C287" i="6"/>
  <c r="B287" i="6"/>
  <c r="A287" i="6"/>
  <c r="O286" i="6"/>
  <c r="N286" i="6"/>
  <c r="M286" i="6"/>
  <c r="L286" i="6"/>
  <c r="K286" i="6"/>
  <c r="J286" i="6"/>
  <c r="H286" i="6"/>
  <c r="G286" i="6"/>
  <c r="F286" i="6"/>
  <c r="E286" i="6"/>
  <c r="D286" i="6"/>
  <c r="C286" i="6"/>
  <c r="B286" i="6"/>
  <c r="A286" i="6"/>
  <c r="O285" i="6"/>
  <c r="N285" i="6"/>
  <c r="M285" i="6"/>
  <c r="L285" i="6"/>
  <c r="K285" i="6"/>
  <c r="J285" i="6"/>
  <c r="H285" i="6"/>
  <c r="G285" i="6"/>
  <c r="F285" i="6"/>
  <c r="E285" i="6"/>
  <c r="D285" i="6"/>
  <c r="C285" i="6"/>
  <c r="B285" i="6"/>
  <c r="A285" i="6"/>
  <c r="O284" i="6"/>
  <c r="N284" i="6"/>
  <c r="M284" i="6"/>
  <c r="L284" i="6"/>
  <c r="K284" i="6"/>
  <c r="J284" i="6"/>
  <c r="I284" i="6"/>
  <c r="H284" i="6"/>
  <c r="G284" i="6"/>
  <c r="F284" i="6"/>
  <c r="E284" i="6"/>
  <c r="D284" i="6"/>
  <c r="C284" i="6"/>
  <c r="B284" i="6"/>
  <c r="A284" i="6"/>
  <c r="O283" i="6"/>
  <c r="N283" i="6"/>
  <c r="M283" i="6"/>
  <c r="L283" i="6"/>
  <c r="K283" i="6"/>
  <c r="J283" i="6"/>
  <c r="H283" i="6"/>
  <c r="G283" i="6"/>
  <c r="F283" i="6"/>
  <c r="E283" i="6"/>
  <c r="D283" i="6"/>
  <c r="C283" i="6"/>
  <c r="B283" i="6"/>
  <c r="A283" i="6"/>
  <c r="O282" i="6"/>
  <c r="N282" i="6"/>
  <c r="M282" i="6"/>
  <c r="L282" i="6"/>
  <c r="K282" i="6"/>
  <c r="J282" i="6"/>
  <c r="I282" i="6"/>
  <c r="H282" i="6"/>
  <c r="G282" i="6"/>
  <c r="F282" i="6"/>
  <c r="E282" i="6"/>
  <c r="D282" i="6"/>
  <c r="C282" i="6"/>
  <c r="B282" i="6"/>
  <c r="A282" i="6"/>
  <c r="O281" i="6"/>
  <c r="N281" i="6"/>
  <c r="M281" i="6"/>
  <c r="L281" i="6"/>
  <c r="K281" i="6"/>
  <c r="J281" i="6"/>
  <c r="H281" i="6"/>
  <c r="G281" i="6"/>
  <c r="F281" i="6"/>
  <c r="E281" i="6"/>
  <c r="D281" i="6"/>
  <c r="C281" i="6"/>
  <c r="B281" i="6"/>
  <c r="A281" i="6"/>
  <c r="O280" i="6"/>
  <c r="N280" i="6"/>
  <c r="M280" i="6"/>
  <c r="L280" i="6"/>
  <c r="K280" i="6"/>
  <c r="J280" i="6"/>
  <c r="I280" i="6"/>
  <c r="H280" i="6"/>
  <c r="G280" i="6"/>
  <c r="F280" i="6"/>
  <c r="E280" i="6"/>
  <c r="D280" i="6"/>
  <c r="C280" i="6"/>
  <c r="B280" i="6"/>
  <c r="A280" i="6"/>
  <c r="O279" i="6"/>
  <c r="N279" i="6"/>
  <c r="M279" i="6"/>
  <c r="L279" i="6"/>
  <c r="K279" i="6"/>
  <c r="J279" i="6"/>
  <c r="I279" i="6"/>
  <c r="H279" i="6"/>
  <c r="G279" i="6"/>
  <c r="F279" i="6"/>
  <c r="E279" i="6"/>
  <c r="D279" i="6"/>
  <c r="C279" i="6"/>
  <c r="B279" i="6"/>
  <c r="A279" i="6"/>
  <c r="O278" i="6"/>
  <c r="N278" i="6"/>
  <c r="M278" i="6"/>
  <c r="L278" i="6"/>
  <c r="K278" i="6"/>
  <c r="J278" i="6"/>
  <c r="I278" i="6"/>
  <c r="H278" i="6"/>
  <c r="G278" i="6"/>
  <c r="F278" i="6"/>
  <c r="E278" i="6"/>
  <c r="D278" i="6"/>
  <c r="C278" i="6"/>
  <c r="B278" i="6"/>
  <c r="A278" i="6"/>
  <c r="O277" i="6"/>
  <c r="N277" i="6"/>
  <c r="M277" i="6"/>
  <c r="L277" i="6"/>
  <c r="K277" i="6"/>
  <c r="J277" i="6"/>
  <c r="H277" i="6"/>
  <c r="G277" i="6"/>
  <c r="F277" i="6"/>
  <c r="E277" i="6"/>
  <c r="D277" i="6"/>
  <c r="C277" i="6"/>
  <c r="B277" i="6"/>
  <c r="A277" i="6"/>
  <c r="O276" i="6"/>
  <c r="N276" i="6"/>
  <c r="M276" i="6"/>
  <c r="L276" i="6"/>
  <c r="K276" i="6"/>
  <c r="J276" i="6"/>
  <c r="H276" i="6"/>
  <c r="G276" i="6"/>
  <c r="F276" i="6"/>
  <c r="E276" i="6"/>
  <c r="D276" i="6"/>
  <c r="C276" i="6"/>
  <c r="B276" i="6"/>
  <c r="A276" i="6"/>
  <c r="O275" i="6"/>
  <c r="N275" i="6"/>
  <c r="M275" i="6"/>
  <c r="L275" i="6"/>
  <c r="K275" i="6"/>
  <c r="J275" i="6"/>
  <c r="I275" i="6"/>
  <c r="H275" i="6"/>
  <c r="G275" i="6"/>
  <c r="F275" i="6"/>
  <c r="E275" i="6"/>
  <c r="D275" i="6"/>
  <c r="C275" i="6"/>
  <c r="B275" i="6"/>
  <c r="A275" i="6"/>
  <c r="O274" i="6"/>
  <c r="N274" i="6"/>
  <c r="M274" i="6"/>
  <c r="L274" i="6"/>
  <c r="K274" i="6"/>
  <c r="J274" i="6"/>
  <c r="I274" i="6"/>
  <c r="H274" i="6"/>
  <c r="G274" i="6"/>
  <c r="F274" i="6"/>
  <c r="E274" i="6"/>
  <c r="D274" i="6"/>
  <c r="C274" i="6"/>
  <c r="B274" i="6"/>
  <c r="A274" i="6"/>
  <c r="O273" i="6"/>
  <c r="N273" i="6"/>
  <c r="M273" i="6"/>
  <c r="L273" i="6"/>
  <c r="K273" i="6"/>
  <c r="J273" i="6"/>
  <c r="I273" i="6"/>
  <c r="H273" i="6"/>
  <c r="G273" i="6"/>
  <c r="F273" i="6"/>
  <c r="E273" i="6"/>
  <c r="D273" i="6"/>
  <c r="C273" i="6"/>
  <c r="B273" i="6"/>
  <c r="A273" i="6"/>
  <c r="O272" i="6"/>
  <c r="N272" i="6"/>
  <c r="M272" i="6"/>
  <c r="L272" i="6"/>
  <c r="K272" i="6"/>
  <c r="J272" i="6"/>
  <c r="I272" i="6"/>
  <c r="H272" i="6"/>
  <c r="G272" i="6"/>
  <c r="F272" i="6"/>
  <c r="E272" i="6"/>
  <c r="D272" i="6"/>
  <c r="C272" i="6"/>
  <c r="B272" i="6"/>
  <c r="A272" i="6"/>
  <c r="O271" i="6"/>
  <c r="N271" i="6"/>
  <c r="M271" i="6"/>
  <c r="L271" i="6"/>
  <c r="K271" i="6"/>
  <c r="J271" i="6"/>
  <c r="I271" i="6"/>
  <c r="H271" i="6"/>
  <c r="G271" i="6"/>
  <c r="F271" i="6"/>
  <c r="E271" i="6"/>
  <c r="D271" i="6"/>
  <c r="C271" i="6"/>
  <c r="B271" i="6"/>
  <c r="A271" i="6"/>
  <c r="O270" i="6"/>
  <c r="N270" i="6"/>
  <c r="M270" i="6"/>
  <c r="L270" i="6"/>
  <c r="K270" i="6"/>
  <c r="J270" i="6"/>
  <c r="I270" i="6"/>
  <c r="H270" i="6"/>
  <c r="G270" i="6"/>
  <c r="F270" i="6"/>
  <c r="E270" i="6"/>
  <c r="D270" i="6"/>
  <c r="C270" i="6"/>
  <c r="B270" i="6"/>
  <c r="A270" i="6"/>
  <c r="O269" i="6"/>
  <c r="N269" i="6"/>
  <c r="M269" i="6"/>
  <c r="L269" i="6"/>
  <c r="K269" i="6"/>
  <c r="J269" i="6"/>
  <c r="H269" i="6"/>
  <c r="G269" i="6"/>
  <c r="F269" i="6"/>
  <c r="E269" i="6"/>
  <c r="D269" i="6"/>
  <c r="C269" i="6"/>
  <c r="B269" i="6"/>
  <c r="A269" i="6"/>
  <c r="O268" i="6"/>
  <c r="N268" i="6"/>
  <c r="M268" i="6"/>
  <c r="L268" i="6"/>
  <c r="K268" i="6"/>
  <c r="J268" i="6"/>
  <c r="I268" i="6"/>
  <c r="H268" i="6"/>
  <c r="G268" i="6"/>
  <c r="F268" i="6"/>
  <c r="E268" i="6"/>
  <c r="D268" i="6"/>
  <c r="C268" i="6"/>
  <c r="B268" i="6"/>
  <c r="A268" i="6"/>
  <c r="O267" i="6"/>
  <c r="N267" i="6"/>
  <c r="M267" i="6"/>
  <c r="L267" i="6"/>
  <c r="K267" i="6"/>
  <c r="J267" i="6"/>
  <c r="H267" i="6"/>
  <c r="G267" i="6"/>
  <c r="F267" i="6"/>
  <c r="E267" i="6"/>
  <c r="D267" i="6"/>
  <c r="C267" i="6"/>
  <c r="B267" i="6"/>
  <c r="A267" i="6"/>
  <c r="O266" i="6"/>
  <c r="N266" i="6"/>
  <c r="M266" i="6"/>
  <c r="L266" i="6"/>
  <c r="K266" i="6"/>
  <c r="J266" i="6"/>
  <c r="I266" i="6"/>
  <c r="H266" i="6"/>
  <c r="G266" i="6"/>
  <c r="F266" i="6"/>
  <c r="E266" i="6"/>
  <c r="D266" i="6"/>
  <c r="C266" i="6"/>
  <c r="B266" i="6"/>
  <c r="A266" i="6"/>
  <c r="O265" i="6"/>
  <c r="N265" i="6"/>
  <c r="M265" i="6"/>
  <c r="L265" i="6"/>
  <c r="K265" i="6"/>
  <c r="J265" i="6"/>
  <c r="I265" i="6"/>
  <c r="H265" i="6"/>
  <c r="G265" i="6"/>
  <c r="F265" i="6"/>
  <c r="E265" i="6"/>
  <c r="D265" i="6"/>
  <c r="C265" i="6"/>
  <c r="B265" i="6"/>
  <c r="A265" i="6"/>
  <c r="O264" i="6"/>
  <c r="N264" i="6"/>
  <c r="M264" i="6"/>
  <c r="L264" i="6"/>
  <c r="K264" i="6"/>
  <c r="J264" i="6"/>
  <c r="I264" i="6"/>
  <c r="H264" i="6"/>
  <c r="G264" i="6"/>
  <c r="F264" i="6"/>
  <c r="E264" i="6"/>
  <c r="D264" i="6"/>
  <c r="C264" i="6"/>
  <c r="B264" i="6"/>
  <c r="A264" i="6"/>
  <c r="O263" i="6"/>
  <c r="N263" i="6"/>
  <c r="M263" i="6"/>
  <c r="L263" i="6"/>
  <c r="K263" i="6"/>
  <c r="J263" i="6"/>
  <c r="I263" i="6"/>
  <c r="H263" i="6"/>
  <c r="G263" i="6"/>
  <c r="F263" i="6"/>
  <c r="E263" i="6"/>
  <c r="D263" i="6"/>
  <c r="C263" i="6"/>
  <c r="B263" i="6"/>
  <c r="A263" i="6"/>
  <c r="O262" i="6"/>
  <c r="N262" i="6"/>
  <c r="M262" i="6"/>
  <c r="L262" i="6"/>
  <c r="K262" i="6"/>
  <c r="J262" i="6"/>
  <c r="I262" i="6"/>
  <c r="H262" i="6"/>
  <c r="G262" i="6"/>
  <c r="F262" i="6"/>
  <c r="E262" i="6"/>
  <c r="D262" i="6"/>
  <c r="C262" i="6"/>
  <c r="B262" i="6"/>
  <c r="A262" i="6"/>
  <c r="O261" i="6"/>
  <c r="N261" i="6"/>
  <c r="M261" i="6"/>
  <c r="L261" i="6"/>
  <c r="K261" i="6"/>
  <c r="J261" i="6"/>
  <c r="I261" i="6"/>
  <c r="H261" i="6"/>
  <c r="G261" i="6"/>
  <c r="F261" i="6"/>
  <c r="E261" i="6"/>
  <c r="D261" i="6"/>
  <c r="C261" i="6"/>
  <c r="B261" i="6"/>
  <c r="A261" i="6"/>
  <c r="O260" i="6"/>
  <c r="N260" i="6"/>
  <c r="M260" i="6"/>
  <c r="L260" i="6"/>
  <c r="K260" i="6"/>
  <c r="J260" i="6"/>
  <c r="H260" i="6"/>
  <c r="G260" i="6"/>
  <c r="F260" i="6"/>
  <c r="E260" i="6"/>
  <c r="D260" i="6"/>
  <c r="C260" i="6"/>
  <c r="B260" i="6"/>
  <c r="A260" i="6"/>
  <c r="O259" i="6"/>
  <c r="N259" i="6"/>
  <c r="M259" i="6"/>
  <c r="L259" i="6"/>
  <c r="K259" i="6"/>
  <c r="J259" i="6"/>
  <c r="I259" i="6"/>
  <c r="H259" i="6"/>
  <c r="G259" i="6"/>
  <c r="F259" i="6"/>
  <c r="E259" i="6"/>
  <c r="D259" i="6"/>
  <c r="C259" i="6"/>
  <c r="B259" i="6"/>
  <c r="A259" i="6"/>
  <c r="O258" i="6"/>
  <c r="N258" i="6"/>
  <c r="M258" i="6"/>
  <c r="L258" i="6"/>
  <c r="K258" i="6"/>
  <c r="J258" i="6"/>
  <c r="I258" i="6"/>
  <c r="H258" i="6"/>
  <c r="G258" i="6"/>
  <c r="F258" i="6"/>
  <c r="E258" i="6"/>
  <c r="D258" i="6"/>
  <c r="C258" i="6"/>
  <c r="B258" i="6"/>
  <c r="A258" i="6"/>
  <c r="O257" i="6"/>
  <c r="N257" i="6"/>
  <c r="M257" i="6"/>
  <c r="L257" i="6"/>
  <c r="K257" i="6"/>
  <c r="J257" i="6"/>
  <c r="I257" i="6"/>
  <c r="H257" i="6"/>
  <c r="G257" i="6"/>
  <c r="F257" i="6"/>
  <c r="E257" i="6"/>
  <c r="D257" i="6"/>
  <c r="C257" i="6"/>
  <c r="B257" i="6"/>
  <c r="A257" i="6"/>
  <c r="O256" i="6"/>
  <c r="N256" i="6"/>
  <c r="M256" i="6"/>
  <c r="L256" i="6"/>
  <c r="K256" i="6"/>
  <c r="J256" i="6"/>
  <c r="I256" i="6"/>
  <c r="H256" i="6"/>
  <c r="G256" i="6"/>
  <c r="F256" i="6"/>
  <c r="E256" i="6"/>
  <c r="D256" i="6"/>
  <c r="C256" i="6"/>
  <c r="B256" i="6"/>
  <c r="A256" i="6"/>
  <c r="O255" i="6"/>
  <c r="N255" i="6"/>
  <c r="M255" i="6"/>
  <c r="L255" i="6"/>
  <c r="K255" i="6"/>
  <c r="J255" i="6"/>
  <c r="I255" i="6"/>
  <c r="H255" i="6"/>
  <c r="G255" i="6"/>
  <c r="F255" i="6"/>
  <c r="E255" i="6"/>
  <c r="D255" i="6"/>
  <c r="C255" i="6"/>
  <c r="B255" i="6"/>
  <c r="A255" i="6"/>
  <c r="O254" i="6"/>
  <c r="N254" i="6"/>
  <c r="M254" i="6"/>
  <c r="L254" i="6"/>
  <c r="K254" i="6"/>
  <c r="J254" i="6"/>
  <c r="I254" i="6"/>
  <c r="H254" i="6"/>
  <c r="G254" i="6"/>
  <c r="F254" i="6"/>
  <c r="E254" i="6"/>
  <c r="D254" i="6"/>
  <c r="C254" i="6"/>
  <c r="B254" i="6"/>
  <c r="A254" i="6"/>
  <c r="O253" i="6"/>
  <c r="N253" i="6"/>
  <c r="M253" i="6"/>
  <c r="L253" i="6"/>
  <c r="K253" i="6"/>
  <c r="J253" i="6"/>
  <c r="I253" i="6"/>
  <c r="H253" i="6"/>
  <c r="G253" i="6"/>
  <c r="F253" i="6"/>
  <c r="E253" i="6"/>
  <c r="D253" i="6"/>
  <c r="C253" i="6"/>
  <c r="B253" i="6"/>
  <c r="A253" i="6"/>
  <c r="O252" i="6"/>
  <c r="N252" i="6"/>
  <c r="M252" i="6"/>
  <c r="L252" i="6"/>
  <c r="K252" i="6"/>
  <c r="J252" i="6"/>
  <c r="I252" i="6"/>
  <c r="H252" i="6"/>
  <c r="G252" i="6"/>
  <c r="F252" i="6"/>
  <c r="E252" i="6"/>
  <c r="D252" i="6"/>
  <c r="C252" i="6"/>
  <c r="B252" i="6"/>
  <c r="A252" i="6"/>
  <c r="O251" i="6"/>
  <c r="N251" i="6"/>
  <c r="M251" i="6"/>
  <c r="L251" i="6"/>
  <c r="K251" i="6"/>
  <c r="J251" i="6"/>
  <c r="I251" i="6"/>
  <c r="H251" i="6"/>
  <c r="G251" i="6"/>
  <c r="F251" i="6"/>
  <c r="E251" i="6"/>
  <c r="D251" i="6"/>
  <c r="C251" i="6"/>
  <c r="B251" i="6"/>
  <c r="A251" i="6"/>
  <c r="O250" i="6"/>
  <c r="N250" i="6"/>
  <c r="M250" i="6"/>
  <c r="L250" i="6"/>
  <c r="K250" i="6"/>
  <c r="J250" i="6"/>
  <c r="I250" i="6"/>
  <c r="H250" i="6"/>
  <c r="G250" i="6"/>
  <c r="F250" i="6"/>
  <c r="E250" i="6"/>
  <c r="D250" i="6"/>
  <c r="C250" i="6"/>
  <c r="B250" i="6"/>
  <c r="A250" i="6"/>
  <c r="O249" i="6"/>
  <c r="N249" i="6"/>
  <c r="M249" i="6"/>
  <c r="L249" i="6"/>
  <c r="K249" i="6"/>
  <c r="J249" i="6"/>
  <c r="I249" i="6"/>
  <c r="H249" i="6"/>
  <c r="G249" i="6"/>
  <c r="F249" i="6"/>
  <c r="E249" i="6"/>
  <c r="D249" i="6"/>
  <c r="C249" i="6"/>
  <c r="B249" i="6"/>
  <c r="A249" i="6"/>
  <c r="O248" i="6"/>
  <c r="N248" i="6"/>
  <c r="M248" i="6"/>
  <c r="L248" i="6"/>
  <c r="K248" i="6"/>
  <c r="J248" i="6"/>
  <c r="I248" i="6"/>
  <c r="H248" i="6"/>
  <c r="G248" i="6"/>
  <c r="F248" i="6"/>
  <c r="E248" i="6"/>
  <c r="D248" i="6"/>
  <c r="C248" i="6"/>
  <c r="B248" i="6"/>
  <c r="A248" i="6"/>
  <c r="O247" i="6"/>
  <c r="N247" i="6"/>
  <c r="M247" i="6"/>
  <c r="L247" i="6"/>
  <c r="K247" i="6"/>
  <c r="J247" i="6"/>
  <c r="I247" i="6"/>
  <c r="H247" i="6"/>
  <c r="G247" i="6"/>
  <c r="F247" i="6"/>
  <c r="E247" i="6"/>
  <c r="D247" i="6"/>
  <c r="C247" i="6"/>
  <c r="B247" i="6"/>
  <c r="A247" i="6"/>
  <c r="O246" i="6"/>
  <c r="N246" i="6"/>
  <c r="M246" i="6"/>
  <c r="L246" i="6"/>
  <c r="K246" i="6"/>
  <c r="J246" i="6"/>
  <c r="I246" i="6"/>
  <c r="H246" i="6"/>
  <c r="G246" i="6"/>
  <c r="F246" i="6"/>
  <c r="E246" i="6"/>
  <c r="D246" i="6"/>
  <c r="C246" i="6"/>
  <c r="B246" i="6"/>
  <c r="A246" i="6"/>
  <c r="O245" i="6"/>
  <c r="N245" i="6"/>
  <c r="M245" i="6"/>
  <c r="L245" i="6"/>
  <c r="K245" i="6"/>
  <c r="J245" i="6"/>
  <c r="I245" i="6"/>
  <c r="H245" i="6"/>
  <c r="G245" i="6"/>
  <c r="F245" i="6"/>
  <c r="E245" i="6"/>
  <c r="D245" i="6"/>
  <c r="C245" i="6"/>
  <c r="B245" i="6"/>
  <c r="A245" i="6"/>
  <c r="O244" i="6"/>
  <c r="N244" i="6"/>
  <c r="M244" i="6"/>
  <c r="L244" i="6"/>
  <c r="K244" i="6"/>
  <c r="J244" i="6"/>
  <c r="I244" i="6"/>
  <c r="H244" i="6"/>
  <c r="G244" i="6"/>
  <c r="F244" i="6"/>
  <c r="E244" i="6"/>
  <c r="D244" i="6"/>
  <c r="C244" i="6"/>
  <c r="B244" i="6"/>
  <c r="A244" i="6"/>
  <c r="O243" i="6"/>
  <c r="N243" i="6"/>
  <c r="M243" i="6"/>
  <c r="L243" i="6"/>
  <c r="K243" i="6"/>
  <c r="J243" i="6"/>
  <c r="I243" i="6"/>
  <c r="H243" i="6"/>
  <c r="G243" i="6"/>
  <c r="F243" i="6"/>
  <c r="E243" i="6"/>
  <c r="D243" i="6"/>
  <c r="C243" i="6"/>
  <c r="B243" i="6"/>
  <c r="A243" i="6"/>
  <c r="O242" i="6"/>
  <c r="N242" i="6"/>
  <c r="M242" i="6"/>
  <c r="L242" i="6"/>
  <c r="K242" i="6"/>
  <c r="J242" i="6"/>
  <c r="I242" i="6"/>
  <c r="H242" i="6"/>
  <c r="G242" i="6"/>
  <c r="F242" i="6"/>
  <c r="E242" i="6"/>
  <c r="D242" i="6"/>
  <c r="C242" i="6"/>
  <c r="B242" i="6"/>
  <c r="A242" i="6"/>
  <c r="O241" i="6"/>
  <c r="N241" i="6"/>
  <c r="M241" i="6"/>
  <c r="L241" i="6"/>
  <c r="K241" i="6"/>
  <c r="J241" i="6"/>
  <c r="I241" i="6"/>
  <c r="H241" i="6"/>
  <c r="G241" i="6"/>
  <c r="F241" i="6"/>
  <c r="E241" i="6"/>
  <c r="D241" i="6"/>
  <c r="C241" i="6"/>
  <c r="B241" i="6"/>
  <c r="A241" i="6"/>
  <c r="O240" i="6"/>
  <c r="N240" i="6"/>
  <c r="M240" i="6"/>
  <c r="L240" i="6"/>
  <c r="K240" i="6"/>
  <c r="J240" i="6"/>
  <c r="I240" i="6"/>
  <c r="H240" i="6"/>
  <c r="G240" i="6"/>
  <c r="F240" i="6"/>
  <c r="E240" i="6"/>
  <c r="D240" i="6"/>
  <c r="C240" i="6"/>
  <c r="B240" i="6"/>
  <c r="A240" i="6"/>
  <c r="O239" i="6"/>
  <c r="N239" i="6"/>
  <c r="M239" i="6"/>
  <c r="L239" i="6"/>
  <c r="K239" i="6"/>
  <c r="J239" i="6"/>
  <c r="I239" i="6"/>
  <c r="H239" i="6"/>
  <c r="G239" i="6"/>
  <c r="F239" i="6"/>
  <c r="E239" i="6"/>
  <c r="D239" i="6"/>
  <c r="C239" i="6"/>
  <c r="B239" i="6"/>
  <c r="A239" i="6"/>
  <c r="O238" i="6"/>
  <c r="N238" i="6"/>
  <c r="M238" i="6"/>
  <c r="L238" i="6"/>
  <c r="K238" i="6"/>
  <c r="J238" i="6"/>
  <c r="I238" i="6"/>
  <c r="H238" i="6"/>
  <c r="G238" i="6"/>
  <c r="F238" i="6"/>
  <c r="E238" i="6"/>
  <c r="D238" i="6"/>
  <c r="C238" i="6"/>
  <c r="B238" i="6"/>
  <c r="A238" i="6"/>
  <c r="O237" i="6"/>
  <c r="N237" i="6"/>
  <c r="M237" i="6"/>
  <c r="L237" i="6"/>
  <c r="K237" i="6"/>
  <c r="J237" i="6"/>
  <c r="I237" i="6"/>
  <c r="H237" i="6"/>
  <c r="G237" i="6"/>
  <c r="F237" i="6"/>
  <c r="E237" i="6"/>
  <c r="D237" i="6"/>
  <c r="C237" i="6"/>
  <c r="B237" i="6"/>
  <c r="A237" i="6"/>
  <c r="O236" i="6"/>
  <c r="N236" i="6"/>
  <c r="M236" i="6"/>
  <c r="L236" i="6"/>
  <c r="K236" i="6"/>
  <c r="J236" i="6"/>
  <c r="I236" i="6"/>
  <c r="H236" i="6"/>
  <c r="G236" i="6"/>
  <c r="F236" i="6"/>
  <c r="E236" i="6"/>
  <c r="D236" i="6"/>
  <c r="C236" i="6"/>
  <c r="B236" i="6"/>
  <c r="A236" i="6"/>
  <c r="O235" i="6"/>
  <c r="N235" i="6"/>
  <c r="M235" i="6"/>
  <c r="L235" i="6"/>
  <c r="K235" i="6"/>
  <c r="J235" i="6"/>
  <c r="I235" i="6"/>
  <c r="H235" i="6"/>
  <c r="G235" i="6"/>
  <c r="F235" i="6"/>
  <c r="E235" i="6"/>
  <c r="D235" i="6"/>
  <c r="C235" i="6"/>
  <c r="B235" i="6"/>
  <c r="A235" i="6"/>
  <c r="O234" i="6"/>
  <c r="N234" i="6"/>
  <c r="M234" i="6"/>
  <c r="L234" i="6"/>
  <c r="K234" i="6"/>
  <c r="J234" i="6"/>
  <c r="I234" i="6"/>
  <c r="H234" i="6"/>
  <c r="G234" i="6"/>
  <c r="F234" i="6"/>
  <c r="E234" i="6"/>
  <c r="D234" i="6"/>
  <c r="C234" i="6"/>
  <c r="B234" i="6"/>
  <c r="A234" i="6"/>
  <c r="O233" i="6"/>
  <c r="N233" i="6"/>
  <c r="M233" i="6"/>
  <c r="L233" i="6"/>
  <c r="K233" i="6"/>
  <c r="J233" i="6"/>
  <c r="I233" i="6"/>
  <c r="H233" i="6"/>
  <c r="G233" i="6"/>
  <c r="F233" i="6"/>
  <c r="E233" i="6"/>
  <c r="D233" i="6"/>
  <c r="C233" i="6"/>
  <c r="B233" i="6"/>
  <c r="A233" i="6"/>
  <c r="O232" i="6"/>
  <c r="N232" i="6"/>
  <c r="M232" i="6"/>
  <c r="L232" i="6"/>
  <c r="K232" i="6"/>
  <c r="J232" i="6"/>
  <c r="I232" i="6"/>
  <c r="H232" i="6"/>
  <c r="G232" i="6"/>
  <c r="F232" i="6"/>
  <c r="E232" i="6"/>
  <c r="D232" i="6"/>
  <c r="C232" i="6"/>
  <c r="B232" i="6"/>
  <c r="A232" i="6"/>
  <c r="O231" i="6"/>
  <c r="N231" i="6"/>
  <c r="M231" i="6"/>
  <c r="L231" i="6"/>
  <c r="K231" i="6"/>
  <c r="J231" i="6"/>
  <c r="I231" i="6"/>
  <c r="H231" i="6"/>
  <c r="G231" i="6"/>
  <c r="F231" i="6"/>
  <c r="E231" i="6"/>
  <c r="D231" i="6"/>
  <c r="C231" i="6"/>
  <c r="B231" i="6"/>
  <c r="A231" i="6"/>
  <c r="O230" i="6"/>
  <c r="N230" i="6"/>
  <c r="M230" i="6"/>
  <c r="L230" i="6"/>
  <c r="K230" i="6"/>
  <c r="J230" i="6"/>
  <c r="I230" i="6"/>
  <c r="H230" i="6"/>
  <c r="G230" i="6"/>
  <c r="F230" i="6"/>
  <c r="E230" i="6"/>
  <c r="D230" i="6"/>
  <c r="C230" i="6"/>
  <c r="B230" i="6"/>
  <c r="A230" i="6"/>
  <c r="O229" i="6"/>
  <c r="N229" i="6"/>
  <c r="M229" i="6"/>
  <c r="L229" i="6"/>
  <c r="K229" i="6"/>
  <c r="J229" i="6"/>
  <c r="I229" i="6"/>
  <c r="H229" i="6"/>
  <c r="G229" i="6"/>
  <c r="F229" i="6"/>
  <c r="E229" i="6"/>
  <c r="D229" i="6"/>
  <c r="C229" i="6"/>
  <c r="B229" i="6"/>
  <c r="A229" i="6"/>
  <c r="O228" i="6"/>
  <c r="N228" i="6"/>
  <c r="M228" i="6"/>
  <c r="L228" i="6"/>
  <c r="K228" i="6"/>
  <c r="J228" i="6"/>
  <c r="I228" i="6"/>
  <c r="H228" i="6"/>
  <c r="G228" i="6"/>
  <c r="F228" i="6"/>
  <c r="E228" i="6"/>
  <c r="D228" i="6"/>
  <c r="C228" i="6"/>
  <c r="B228" i="6"/>
  <c r="A228" i="6"/>
  <c r="O227" i="6"/>
  <c r="N227" i="6"/>
  <c r="M227" i="6"/>
  <c r="L227" i="6"/>
  <c r="K227" i="6"/>
  <c r="J227" i="6"/>
  <c r="I227" i="6"/>
  <c r="H227" i="6"/>
  <c r="G227" i="6"/>
  <c r="F227" i="6"/>
  <c r="E227" i="6"/>
  <c r="D227" i="6"/>
  <c r="C227" i="6"/>
  <c r="B227" i="6"/>
  <c r="A227" i="6"/>
  <c r="O226" i="6"/>
  <c r="N226" i="6"/>
  <c r="M226" i="6"/>
  <c r="L226" i="6"/>
  <c r="K226" i="6"/>
  <c r="J226" i="6"/>
  <c r="I226" i="6"/>
  <c r="H226" i="6"/>
  <c r="G226" i="6"/>
  <c r="F226" i="6"/>
  <c r="E226" i="6"/>
  <c r="D226" i="6"/>
  <c r="C226" i="6"/>
  <c r="B226" i="6"/>
  <c r="A226" i="6"/>
  <c r="O225" i="6"/>
  <c r="N225" i="6"/>
  <c r="M225" i="6"/>
  <c r="L225" i="6"/>
  <c r="K225" i="6"/>
  <c r="J225" i="6"/>
  <c r="I225" i="6"/>
  <c r="H225" i="6"/>
  <c r="G225" i="6"/>
  <c r="F225" i="6"/>
  <c r="E225" i="6"/>
  <c r="D225" i="6"/>
  <c r="C225" i="6"/>
  <c r="B225" i="6"/>
  <c r="A225" i="6"/>
  <c r="O224" i="6"/>
  <c r="N224" i="6"/>
  <c r="M224" i="6"/>
  <c r="L224" i="6"/>
  <c r="K224" i="6"/>
  <c r="J224" i="6"/>
  <c r="I224" i="6"/>
  <c r="H224" i="6"/>
  <c r="G224" i="6"/>
  <c r="F224" i="6"/>
  <c r="E224" i="6"/>
  <c r="D224" i="6"/>
  <c r="C224" i="6"/>
  <c r="B224" i="6"/>
  <c r="A224" i="6"/>
  <c r="O223" i="6"/>
  <c r="N223" i="6"/>
  <c r="M223" i="6"/>
  <c r="L223" i="6"/>
  <c r="K223" i="6"/>
  <c r="J223" i="6"/>
  <c r="I223" i="6"/>
  <c r="H223" i="6"/>
  <c r="G223" i="6"/>
  <c r="F223" i="6"/>
  <c r="E223" i="6"/>
  <c r="D223" i="6"/>
  <c r="C223" i="6"/>
  <c r="B223" i="6"/>
  <c r="A223" i="6"/>
  <c r="O222" i="6"/>
  <c r="N222" i="6"/>
  <c r="M222" i="6"/>
  <c r="L222" i="6"/>
  <c r="K222" i="6"/>
  <c r="J222" i="6"/>
  <c r="I222" i="6"/>
  <c r="H222" i="6"/>
  <c r="G222" i="6"/>
  <c r="F222" i="6"/>
  <c r="E222" i="6"/>
  <c r="D222" i="6"/>
  <c r="C222" i="6"/>
  <c r="B222" i="6"/>
  <c r="A222" i="6"/>
  <c r="O221" i="6"/>
  <c r="N221" i="6"/>
  <c r="M221" i="6"/>
  <c r="L221" i="6"/>
  <c r="K221" i="6"/>
  <c r="J221" i="6"/>
  <c r="I221" i="6"/>
  <c r="H221" i="6"/>
  <c r="G221" i="6"/>
  <c r="F221" i="6"/>
  <c r="E221" i="6"/>
  <c r="D221" i="6"/>
  <c r="C221" i="6"/>
  <c r="B221" i="6"/>
  <c r="A221" i="6"/>
  <c r="O220" i="6"/>
  <c r="N220" i="6"/>
  <c r="M220" i="6"/>
  <c r="L220" i="6"/>
  <c r="K220" i="6"/>
  <c r="J220" i="6"/>
  <c r="I220" i="6"/>
  <c r="H220" i="6"/>
  <c r="G220" i="6"/>
  <c r="F220" i="6"/>
  <c r="E220" i="6"/>
  <c r="D220" i="6"/>
  <c r="C220" i="6"/>
  <c r="B220" i="6"/>
  <c r="A220" i="6"/>
  <c r="O219" i="6"/>
  <c r="N219" i="6"/>
  <c r="M219" i="6"/>
  <c r="L219" i="6"/>
  <c r="K219" i="6"/>
  <c r="J219" i="6"/>
  <c r="I219" i="6"/>
  <c r="H219" i="6"/>
  <c r="G219" i="6"/>
  <c r="F219" i="6"/>
  <c r="E219" i="6"/>
  <c r="D219" i="6"/>
  <c r="C219" i="6"/>
  <c r="B219" i="6"/>
  <c r="A219" i="6"/>
  <c r="O218" i="6"/>
  <c r="N218" i="6"/>
  <c r="M218" i="6"/>
  <c r="L218" i="6"/>
  <c r="K218" i="6"/>
  <c r="J218" i="6"/>
  <c r="I218" i="6"/>
  <c r="H218" i="6"/>
  <c r="G218" i="6"/>
  <c r="F218" i="6"/>
  <c r="E218" i="6"/>
  <c r="D218" i="6"/>
  <c r="C218" i="6"/>
  <c r="B218" i="6"/>
  <c r="A218" i="6"/>
  <c r="O217" i="6"/>
  <c r="N217" i="6"/>
  <c r="M217" i="6"/>
  <c r="L217" i="6"/>
  <c r="K217" i="6"/>
  <c r="J217" i="6"/>
  <c r="I217" i="6"/>
  <c r="H217" i="6"/>
  <c r="G217" i="6"/>
  <c r="F217" i="6"/>
  <c r="E217" i="6"/>
  <c r="D217" i="6"/>
  <c r="C217" i="6"/>
  <c r="B217" i="6"/>
  <c r="A217" i="6"/>
  <c r="O216" i="6"/>
  <c r="N216" i="6"/>
  <c r="M216" i="6"/>
  <c r="L216" i="6"/>
  <c r="K216" i="6"/>
  <c r="J216" i="6"/>
  <c r="I216" i="6"/>
  <c r="H216" i="6"/>
  <c r="G216" i="6"/>
  <c r="F216" i="6"/>
  <c r="E216" i="6"/>
  <c r="D216" i="6"/>
  <c r="C216" i="6"/>
  <c r="B216" i="6"/>
  <c r="A216" i="6"/>
  <c r="O215" i="6"/>
  <c r="N215" i="6"/>
  <c r="M215" i="6"/>
  <c r="L215" i="6"/>
  <c r="K215" i="6"/>
  <c r="J215" i="6"/>
  <c r="I215" i="6"/>
  <c r="H215" i="6"/>
  <c r="G215" i="6"/>
  <c r="E215" i="6"/>
  <c r="D215" i="6"/>
  <c r="C215" i="6"/>
  <c r="B215" i="6"/>
  <c r="A215" i="6"/>
  <c r="O214" i="6"/>
  <c r="N214" i="6"/>
  <c r="M214" i="6"/>
  <c r="L214" i="6"/>
  <c r="K214" i="6"/>
  <c r="J214" i="6"/>
  <c r="I214" i="6"/>
  <c r="H214" i="6"/>
  <c r="G214" i="6"/>
  <c r="F214" i="6"/>
  <c r="E214" i="6"/>
  <c r="D214" i="6"/>
  <c r="C214" i="6"/>
  <c r="B214" i="6"/>
  <c r="A214" i="6"/>
  <c r="O213" i="6"/>
  <c r="N213" i="6"/>
  <c r="M213" i="6"/>
  <c r="L213" i="6"/>
  <c r="K213" i="6"/>
  <c r="J213" i="6"/>
  <c r="I213" i="6"/>
  <c r="H213" i="6"/>
  <c r="G213" i="6"/>
  <c r="F213" i="6"/>
  <c r="E213" i="6"/>
  <c r="D213" i="6"/>
  <c r="C213" i="6"/>
  <c r="B213" i="6"/>
  <c r="A213" i="6"/>
  <c r="O212" i="6"/>
  <c r="N212" i="6"/>
  <c r="M212" i="6"/>
  <c r="L212" i="6"/>
  <c r="K212" i="6"/>
  <c r="J212" i="6"/>
  <c r="I212" i="6"/>
  <c r="H212" i="6"/>
  <c r="G212" i="6"/>
  <c r="F212" i="6"/>
  <c r="E212" i="6"/>
  <c r="D212" i="6"/>
  <c r="C212" i="6"/>
  <c r="B212" i="6"/>
  <c r="A212" i="6"/>
  <c r="O211" i="6"/>
  <c r="N211" i="6"/>
  <c r="M211" i="6"/>
  <c r="L211" i="6"/>
  <c r="K211" i="6"/>
  <c r="J211" i="6"/>
  <c r="I211" i="6"/>
  <c r="H211" i="6"/>
  <c r="G211" i="6"/>
  <c r="F211" i="6"/>
  <c r="E211" i="6"/>
  <c r="D211" i="6"/>
  <c r="C211" i="6"/>
  <c r="B211" i="6"/>
  <c r="A211" i="6"/>
  <c r="O210" i="6"/>
  <c r="N210" i="6"/>
  <c r="M210" i="6"/>
  <c r="L210" i="6"/>
  <c r="K210" i="6"/>
  <c r="J210" i="6"/>
  <c r="I210" i="6"/>
  <c r="H210" i="6"/>
  <c r="G210" i="6"/>
  <c r="F210" i="6"/>
  <c r="E210" i="6"/>
  <c r="D210" i="6"/>
  <c r="C210" i="6"/>
  <c r="B210" i="6"/>
  <c r="A210" i="6"/>
  <c r="O209" i="6"/>
  <c r="N209" i="6"/>
  <c r="M209" i="6"/>
  <c r="L209" i="6"/>
  <c r="K209" i="6"/>
  <c r="J209" i="6"/>
  <c r="I209" i="6"/>
  <c r="H209" i="6"/>
  <c r="G209" i="6"/>
  <c r="F209" i="6"/>
  <c r="E209" i="6"/>
  <c r="D209" i="6"/>
  <c r="C209" i="6"/>
  <c r="B209" i="6"/>
  <c r="A209" i="6"/>
  <c r="O208" i="6"/>
  <c r="N208" i="6"/>
  <c r="M208" i="6"/>
  <c r="L208" i="6"/>
  <c r="K208" i="6"/>
  <c r="J208" i="6"/>
  <c r="I208" i="6"/>
  <c r="H208" i="6"/>
  <c r="G208" i="6"/>
  <c r="F208" i="6"/>
  <c r="E208" i="6"/>
  <c r="D208" i="6"/>
  <c r="C208" i="6"/>
  <c r="B208" i="6"/>
  <c r="A208" i="6"/>
  <c r="O207" i="6"/>
  <c r="N207" i="6"/>
  <c r="M207" i="6"/>
  <c r="L207" i="6"/>
  <c r="K207" i="6"/>
  <c r="J207" i="6"/>
  <c r="I207" i="6"/>
  <c r="H207" i="6"/>
  <c r="G207" i="6"/>
  <c r="F207" i="6"/>
  <c r="E207" i="6"/>
  <c r="D207" i="6"/>
  <c r="C207" i="6"/>
  <c r="B207" i="6"/>
  <c r="A207" i="6"/>
  <c r="O206" i="6"/>
  <c r="N206" i="6"/>
  <c r="M206" i="6"/>
  <c r="L206" i="6"/>
  <c r="K206" i="6"/>
  <c r="J206" i="6"/>
  <c r="I206" i="6"/>
  <c r="H206" i="6"/>
  <c r="G206" i="6"/>
  <c r="F206" i="6"/>
  <c r="E206" i="6"/>
  <c r="D206" i="6"/>
  <c r="C206" i="6"/>
  <c r="B206" i="6"/>
  <c r="A206" i="6"/>
  <c r="O205" i="6"/>
  <c r="N205" i="6"/>
  <c r="M205" i="6"/>
  <c r="L205" i="6"/>
  <c r="K205" i="6"/>
  <c r="J205" i="6"/>
  <c r="I205" i="6"/>
  <c r="H205" i="6"/>
  <c r="G205" i="6"/>
  <c r="F205" i="6"/>
  <c r="E205" i="6"/>
  <c r="D205" i="6"/>
  <c r="C205" i="6"/>
  <c r="B205" i="6"/>
  <c r="A205" i="6"/>
  <c r="O204" i="6"/>
  <c r="N204" i="6"/>
  <c r="M204" i="6"/>
  <c r="L204" i="6"/>
  <c r="K204" i="6"/>
  <c r="J204" i="6"/>
  <c r="I204" i="6"/>
  <c r="H204" i="6"/>
  <c r="G204" i="6"/>
  <c r="F204" i="6"/>
  <c r="E204" i="6"/>
  <c r="D204" i="6"/>
  <c r="C204" i="6"/>
  <c r="B204" i="6"/>
  <c r="A204" i="6"/>
  <c r="O203" i="6"/>
  <c r="N203" i="6"/>
  <c r="M203" i="6"/>
  <c r="L203" i="6"/>
  <c r="K203" i="6"/>
  <c r="J203" i="6"/>
  <c r="I203" i="6"/>
  <c r="H203" i="6"/>
  <c r="G203" i="6"/>
  <c r="F203" i="6"/>
  <c r="E203" i="6"/>
  <c r="D203" i="6"/>
  <c r="C203" i="6"/>
  <c r="B203" i="6"/>
  <c r="A203" i="6"/>
  <c r="O202" i="6"/>
  <c r="N202" i="6"/>
  <c r="M202" i="6"/>
  <c r="L202" i="6"/>
  <c r="K202" i="6"/>
  <c r="J202" i="6"/>
  <c r="I202" i="6"/>
  <c r="H202" i="6"/>
  <c r="G202" i="6"/>
  <c r="F202" i="6"/>
  <c r="E202" i="6"/>
  <c r="D202" i="6"/>
  <c r="C202" i="6"/>
  <c r="B202" i="6"/>
  <c r="A202" i="6"/>
  <c r="O201" i="6"/>
  <c r="N201" i="6"/>
  <c r="M201" i="6"/>
  <c r="L201" i="6"/>
  <c r="K201" i="6"/>
  <c r="J201" i="6"/>
  <c r="I201" i="6"/>
  <c r="H201" i="6"/>
  <c r="G201" i="6"/>
  <c r="F201" i="6"/>
  <c r="E201" i="6"/>
  <c r="D201" i="6"/>
  <c r="C201" i="6"/>
  <c r="B201" i="6"/>
  <c r="A201" i="6"/>
  <c r="O200" i="6"/>
  <c r="N200" i="6"/>
  <c r="M200" i="6"/>
  <c r="L200" i="6"/>
  <c r="K200" i="6"/>
  <c r="J200" i="6"/>
  <c r="I200" i="6"/>
  <c r="H200" i="6"/>
  <c r="G200" i="6"/>
  <c r="F200" i="6"/>
  <c r="E200" i="6"/>
  <c r="D200" i="6"/>
  <c r="C200" i="6"/>
  <c r="B200" i="6"/>
  <c r="A200" i="6"/>
  <c r="O199" i="6"/>
  <c r="N199" i="6"/>
  <c r="M199" i="6"/>
  <c r="L199" i="6"/>
  <c r="K199" i="6"/>
  <c r="J199" i="6"/>
  <c r="I199" i="6"/>
  <c r="H199" i="6"/>
  <c r="G199" i="6"/>
  <c r="F199" i="6"/>
  <c r="E199" i="6"/>
  <c r="D199" i="6"/>
  <c r="C199" i="6"/>
  <c r="B199" i="6"/>
  <c r="A199" i="6"/>
  <c r="O198" i="6"/>
  <c r="N198" i="6"/>
  <c r="M198" i="6"/>
  <c r="L198" i="6"/>
  <c r="K198" i="6"/>
  <c r="J198" i="6"/>
  <c r="I198" i="6"/>
  <c r="H198" i="6"/>
  <c r="G198" i="6"/>
  <c r="F198" i="6"/>
  <c r="E198" i="6"/>
  <c r="D198" i="6"/>
  <c r="C198" i="6"/>
  <c r="B198" i="6"/>
  <c r="A198" i="6"/>
  <c r="O197" i="6"/>
  <c r="N197" i="6"/>
  <c r="M197" i="6"/>
  <c r="L197" i="6"/>
  <c r="K197" i="6"/>
  <c r="J197" i="6"/>
  <c r="I197" i="6"/>
  <c r="H197" i="6"/>
  <c r="G197" i="6"/>
  <c r="F197" i="6"/>
  <c r="E197" i="6"/>
  <c r="D197" i="6"/>
  <c r="C197" i="6"/>
  <c r="B197" i="6"/>
  <c r="A197" i="6"/>
  <c r="O196" i="6"/>
  <c r="N196" i="6"/>
  <c r="M196" i="6"/>
  <c r="L196" i="6"/>
  <c r="K196" i="6"/>
  <c r="J196" i="6"/>
  <c r="I196" i="6"/>
  <c r="H196" i="6"/>
  <c r="G196" i="6"/>
  <c r="F196" i="6"/>
  <c r="E196" i="6"/>
  <c r="D196" i="6"/>
  <c r="C196" i="6"/>
  <c r="B196" i="6"/>
  <c r="A196" i="6"/>
  <c r="O195" i="6"/>
  <c r="N195" i="6"/>
  <c r="M195" i="6"/>
  <c r="L195" i="6"/>
  <c r="K195" i="6"/>
  <c r="J195" i="6"/>
  <c r="I195" i="6"/>
  <c r="H195" i="6"/>
  <c r="G195" i="6"/>
  <c r="F195" i="6"/>
  <c r="E195" i="6"/>
  <c r="D195" i="6"/>
  <c r="C195" i="6"/>
  <c r="B195" i="6"/>
  <c r="A195" i="6"/>
  <c r="O194" i="6"/>
  <c r="N194" i="6"/>
  <c r="M194" i="6"/>
  <c r="L194" i="6"/>
  <c r="K194" i="6"/>
  <c r="J194" i="6"/>
  <c r="I194" i="6"/>
  <c r="H194" i="6"/>
  <c r="G194" i="6"/>
  <c r="F194" i="6"/>
  <c r="E194" i="6"/>
  <c r="D194" i="6"/>
  <c r="C194" i="6"/>
  <c r="B194" i="6"/>
  <c r="A194" i="6"/>
  <c r="O193" i="6"/>
  <c r="N193" i="6"/>
  <c r="M193" i="6"/>
  <c r="L193" i="6"/>
  <c r="K193" i="6"/>
  <c r="J193" i="6"/>
  <c r="I193" i="6"/>
  <c r="H193" i="6"/>
  <c r="G193" i="6"/>
  <c r="F193" i="6"/>
  <c r="E193" i="6"/>
  <c r="D193" i="6"/>
  <c r="C193" i="6"/>
  <c r="B193" i="6"/>
  <c r="A193" i="6"/>
  <c r="O192" i="6"/>
  <c r="N192" i="6"/>
  <c r="M192" i="6"/>
  <c r="L192" i="6"/>
  <c r="K192" i="6"/>
  <c r="J192" i="6"/>
  <c r="I192" i="6"/>
  <c r="H192" i="6"/>
  <c r="G192" i="6"/>
  <c r="F192" i="6"/>
  <c r="E192" i="6"/>
  <c r="D192" i="6"/>
  <c r="C192" i="6"/>
  <c r="B192" i="6"/>
  <c r="A192" i="6"/>
  <c r="O191" i="6"/>
  <c r="N191" i="6"/>
  <c r="M191" i="6"/>
  <c r="L191" i="6"/>
  <c r="K191" i="6"/>
  <c r="J191" i="6"/>
  <c r="I191" i="6"/>
  <c r="H191" i="6"/>
  <c r="G191" i="6"/>
  <c r="F191" i="6"/>
  <c r="E191" i="6"/>
  <c r="D191" i="6"/>
  <c r="C191" i="6"/>
  <c r="B191" i="6"/>
  <c r="A191" i="6"/>
  <c r="O190" i="6"/>
  <c r="N190" i="6"/>
  <c r="M190" i="6"/>
  <c r="L190" i="6"/>
  <c r="K190" i="6"/>
  <c r="J190" i="6"/>
  <c r="I190" i="6"/>
  <c r="H190" i="6"/>
  <c r="G190" i="6"/>
  <c r="F190" i="6"/>
  <c r="E190" i="6"/>
  <c r="D190" i="6"/>
  <c r="C190" i="6"/>
  <c r="B190" i="6"/>
  <c r="A190" i="6"/>
  <c r="O189" i="6"/>
  <c r="N189" i="6"/>
  <c r="M189" i="6"/>
  <c r="L189" i="6"/>
  <c r="K189" i="6"/>
  <c r="J189" i="6"/>
  <c r="I189" i="6"/>
  <c r="H189" i="6"/>
  <c r="G189" i="6"/>
  <c r="F189" i="6"/>
  <c r="E189" i="6"/>
  <c r="D189" i="6"/>
  <c r="C189" i="6"/>
  <c r="B189" i="6"/>
  <c r="A189" i="6"/>
  <c r="O188" i="6"/>
  <c r="N188" i="6"/>
  <c r="M188" i="6"/>
  <c r="L188" i="6"/>
  <c r="K188" i="6"/>
  <c r="J188" i="6"/>
  <c r="I188" i="6"/>
  <c r="H188" i="6"/>
  <c r="G188" i="6"/>
  <c r="F188" i="6"/>
  <c r="E188" i="6"/>
  <c r="D188" i="6"/>
  <c r="C188" i="6"/>
  <c r="B188" i="6"/>
  <c r="A188" i="6"/>
  <c r="O187" i="6"/>
  <c r="N187" i="6"/>
  <c r="M187" i="6"/>
  <c r="L187" i="6"/>
  <c r="K187" i="6"/>
  <c r="J187" i="6"/>
  <c r="I187" i="6"/>
  <c r="H187" i="6"/>
  <c r="G187" i="6"/>
  <c r="F187" i="6"/>
  <c r="E187" i="6"/>
  <c r="D187" i="6"/>
  <c r="C187" i="6"/>
  <c r="B187" i="6"/>
  <c r="A187" i="6"/>
  <c r="O186" i="6"/>
  <c r="N186" i="6"/>
  <c r="M186" i="6"/>
  <c r="L186" i="6"/>
  <c r="K186" i="6"/>
  <c r="J186" i="6"/>
  <c r="I186" i="6"/>
  <c r="H186" i="6"/>
  <c r="G186" i="6"/>
  <c r="F186" i="6"/>
  <c r="E186" i="6"/>
  <c r="D186" i="6"/>
  <c r="C186" i="6"/>
  <c r="B186" i="6"/>
  <c r="A186" i="6"/>
  <c r="O185" i="6"/>
  <c r="N185" i="6"/>
  <c r="M185" i="6"/>
  <c r="L185" i="6"/>
  <c r="K185" i="6"/>
  <c r="J185" i="6"/>
  <c r="I185" i="6"/>
  <c r="H185" i="6"/>
  <c r="G185" i="6"/>
  <c r="F185" i="6"/>
  <c r="E185" i="6"/>
  <c r="D185" i="6"/>
  <c r="C185" i="6"/>
  <c r="B185" i="6"/>
  <c r="A185" i="6"/>
  <c r="O184" i="6"/>
  <c r="N184" i="6"/>
  <c r="M184" i="6"/>
  <c r="L184" i="6"/>
  <c r="K184" i="6"/>
  <c r="J184" i="6"/>
  <c r="I184" i="6"/>
  <c r="H184" i="6"/>
  <c r="G184" i="6"/>
  <c r="F184" i="6"/>
  <c r="E184" i="6"/>
  <c r="D184" i="6"/>
  <c r="C184" i="6"/>
  <c r="B184" i="6"/>
  <c r="A184" i="6"/>
  <c r="O183" i="6"/>
  <c r="N183" i="6"/>
  <c r="M183" i="6"/>
  <c r="L183" i="6"/>
  <c r="K183" i="6"/>
  <c r="J183" i="6"/>
  <c r="I183" i="6"/>
  <c r="H183" i="6"/>
  <c r="G183" i="6"/>
  <c r="F183" i="6"/>
  <c r="E183" i="6"/>
  <c r="D183" i="6"/>
  <c r="C183" i="6"/>
  <c r="B183" i="6"/>
  <c r="A183" i="6"/>
  <c r="O182" i="6"/>
  <c r="N182" i="6"/>
  <c r="M182" i="6"/>
  <c r="L182" i="6"/>
  <c r="K182" i="6"/>
  <c r="J182" i="6"/>
  <c r="I182" i="6"/>
  <c r="H182" i="6"/>
  <c r="G182" i="6"/>
  <c r="F182" i="6"/>
  <c r="E182" i="6"/>
  <c r="D182" i="6"/>
  <c r="C182" i="6"/>
  <c r="B182" i="6"/>
  <c r="A182" i="6"/>
  <c r="O181" i="6"/>
  <c r="N181" i="6"/>
  <c r="M181" i="6"/>
  <c r="L181" i="6"/>
  <c r="K181" i="6"/>
  <c r="J181" i="6"/>
  <c r="I181" i="6"/>
  <c r="H181" i="6"/>
  <c r="G181" i="6"/>
  <c r="F181" i="6"/>
  <c r="E181" i="6"/>
  <c r="D181" i="6"/>
  <c r="C181" i="6"/>
  <c r="B181" i="6"/>
  <c r="A181" i="6"/>
  <c r="O180" i="6"/>
  <c r="N180" i="6"/>
  <c r="M180" i="6"/>
  <c r="L180" i="6"/>
  <c r="K180" i="6"/>
  <c r="J180" i="6"/>
  <c r="I180" i="6"/>
  <c r="H180" i="6"/>
  <c r="G180" i="6"/>
  <c r="F180" i="6"/>
  <c r="E180" i="6"/>
  <c r="D180" i="6"/>
  <c r="C180" i="6"/>
  <c r="B180" i="6"/>
  <c r="A180" i="6"/>
  <c r="O179" i="6"/>
  <c r="N179" i="6"/>
  <c r="M179" i="6"/>
  <c r="L179" i="6"/>
  <c r="K179" i="6"/>
  <c r="J179" i="6"/>
  <c r="I179" i="6"/>
  <c r="H179" i="6"/>
  <c r="G179" i="6"/>
  <c r="F179" i="6"/>
  <c r="E179" i="6"/>
  <c r="D179" i="6"/>
  <c r="C179" i="6"/>
  <c r="B179" i="6"/>
  <c r="A179" i="6"/>
  <c r="O178" i="6"/>
  <c r="N178" i="6"/>
  <c r="M178" i="6"/>
  <c r="L178" i="6"/>
  <c r="K178" i="6"/>
  <c r="J178" i="6"/>
  <c r="I178" i="6"/>
  <c r="H178" i="6"/>
  <c r="G178" i="6"/>
  <c r="F178" i="6"/>
  <c r="E178" i="6"/>
  <c r="D178" i="6"/>
  <c r="C178" i="6"/>
  <c r="B178" i="6"/>
  <c r="A178" i="6"/>
  <c r="O177" i="6"/>
  <c r="N177" i="6"/>
  <c r="M177" i="6"/>
  <c r="L177" i="6"/>
  <c r="K177" i="6"/>
  <c r="J177" i="6"/>
  <c r="I177" i="6"/>
  <c r="H177" i="6"/>
  <c r="G177" i="6"/>
  <c r="F177" i="6"/>
  <c r="E177" i="6"/>
  <c r="D177" i="6"/>
  <c r="C177" i="6"/>
  <c r="B177" i="6"/>
  <c r="A177" i="6"/>
  <c r="O176" i="6"/>
  <c r="N176" i="6"/>
  <c r="M176" i="6"/>
  <c r="L176" i="6"/>
  <c r="K176" i="6"/>
  <c r="J176" i="6"/>
  <c r="I176" i="6"/>
  <c r="H176" i="6"/>
  <c r="G176" i="6"/>
  <c r="F176" i="6"/>
  <c r="E176" i="6"/>
  <c r="D176" i="6"/>
  <c r="C176" i="6"/>
  <c r="B176" i="6"/>
  <c r="A176" i="6"/>
  <c r="O175" i="6"/>
  <c r="N175" i="6"/>
  <c r="M175" i="6"/>
  <c r="L175" i="6"/>
  <c r="K175" i="6"/>
  <c r="J175" i="6"/>
  <c r="I175" i="6"/>
  <c r="H175" i="6"/>
  <c r="G175" i="6"/>
  <c r="F175" i="6"/>
  <c r="E175" i="6"/>
  <c r="D175" i="6"/>
  <c r="C175" i="6"/>
  <c r="B175" i="6"/>
  <c r="A175" i="6"/>
  <c r="O174" i="6"/>
  <c r="N174" i="6"/>
  <c r="M174" i="6"/>
  <c r="L174" i="6"/>
  <c r="K174" i="6"/>
  <c r="J174" i="6"/>
  <c r="I174" i="6"/>
  <c r="H174" i="6"/>
  <c r="G174" i="6"/>
  <c r="F174" i="6"/>
  <c r="E174" i="6"/>
  <c r="D174" i="6"/>
  <c r="C174" i="6"/>
  <c r="B174" i="6"/>
  <c r="A174" i="6"/>
  <c r="O173" i="6"/>
  <c r="N173" i="6"/>
  <c r="M173" i="6"/>
  <c r="L173" i="6"/>
  <c r="K173" i="6"/>
  <c r="J173" i="6"/>
  <c r="I173" i="6"/>
  <c r="H173" i="6"/>
  <c r="G173" i="6"/>
  <c r="F173" i="6"/>
  <c r="E173" i="6"/>
  <c r="D173" i="6"/>
  <c r="C173" i="6"/>
  <c r="B173" i="6"/>
  <c r="A173" i="6"/>
  <c r="O172" i="6"/>
  <c r="N172" i="6"/>
  <c r="M172" i="6"/>
  <c r="L172" i="6"/>
  <c r="K172" i="6"/>
  <c r="J172" i="6"/>
  <c r="I172" i="6"/>
  <c r="H172" i="6"/>
  <c r="G172" i="6"/>
  <c r="F172" i="6"/>
  <c r="E172" i="6"/>
  <c r="D172" i="6"/>
  <c r="C172" i="6"/>
  <c r="B172" i="6"/>
  <c r="A172" i="6"/>
  <c r="O171" i="6"/>
  <c r="N171" i="6"/>
  <c r="M171" i="6"/>
  <c r="L171" i="6"/>
  <c r="K171" i="6"/>
  <c r="J171" i="6"/>
  <c r="I171" i="6"/>
  <c r="H171" i="6"/>
  <c r="G171" i="6"/>
  <c r="F171" i="6"/>
  <c r="E171" i="6"/>
  <c r="D171" i="6"/>
  <c r="C171" i="6"/>
  <c r="B171" i="6"/>
  <c r="A171" i="6"/>
  <c r="O170" i="6"/>
  <c r="N170" i="6"/>
  <c r="M170" i="6"/>
  <c r="L170" i="6"/>
  <c r="K170" i="6"/>
  <c r="J170" i="6"/>
  <c r="I170" i="6"/>
  <c r="H170" i="6"/>
  <c r="G170" i="6"/>
  <c r="F170" i="6"/>
  <c r="E170" i="6"/>
  <c r="D170" i="6"/>
  <c r="C170" i="6"/>
  <c r="B170" i="6"/>
  <c r="A170" i="6"/>
  <c r="O169" i="6"/>
  <c r="N169" i="6"/>
  <c r="M169" i="6"/>
  <c r="L169" i="6"/>
  <c r="K169" i="6"/>
  <c r="J169" i="6"/>
  <c r="I169" i="6"/>
  <c r="H169" i="6"/>
  <c r="G169" i="6"/>
  <c r="F169" i="6"/>
  <c r="E169" i="6"/>
  <c r="D169" i="6"/>
  <c r="C169" i="6"/>
  <c r="B169" i="6"/>
  <c r="A169" i="6"/>
  <c r="O168" i="6"/>
  <c r="N168" i="6"/>
  <c r="M168" i="6"/>
  <c r="L168" i="6"/>
  <c r="K168" i="6"/>
  <c r="J168" i="6"/>
  <c r="I168" i="6"/>
  <c r="H168" i="6"/>
  <c r="G168" i="6"/>
  <c r="F168" i="6"/>
  <c r="E168" i="6"/>
  <c r="D168" i="6"/>
  <c r="C168" i="6"/>
  <c r="B168" i="6"/>
  <c r="A168" i="6"/>
  <c r="O167" i="6"/>
  <c r="N167" i="6"/>
  <c r="M167" i="6"/>
  <c r="L167" i="6"/>
  <c r="K167" i="6"/>
  <c r="J167" i="6"/>
  <c r="I167" i="6"/>
  <c r="H167" i="6"/>
  <c r="G167" i="6"/>
  <c r="F167" i="6"/>
  <c r="E167" i="6"/>
  <c r="D167" i="6"/>
  <c r="C167" i="6"/>
  <c r="B167" i="6"/>
  <c r="A167" i="6"/>
  <c r="O166" i="6"/>
  <c r="N166" i="6"/>
  <c r="M166" i="6"/>
  <c r="L166" i="6"/>
  <c r="K166" i="6"/>
  <c r="J166" i="6"/>
  <c r="I166" i="6"/>
  <c r="H166" i="6"/>
  <c r="G166" i="6"/>
  <c r="F166" i="6"/>
  <c r="E166" i="6"/>
  <c r="D166" i="6"/>
  <c r="C166" i="6"/>
  <c r="B166" i="6"/>
  <c r="A166" i="6"/>
  <c r="O165" i="6"/>
  <c r="N165" i="6"/>
  <c r="M165" i="6"/>
  <c r="L165" i="6"/>
  <c r="K165" i="6"/>
  <c r="J165" i="6"/>
  <c r="I165" i="6"/>
  <c r="H165" i="6"/>
  <c r="G165" i="6"/>
  <c r="F165" i="6"/>
  <c r="E165" i="6"/>
  <c r="D165" i="6"/>
  <c r="C165" i="6"/>
  <c r="B165" i="6"/>
  <c r="A165" i="6"/>
  <c r="O164" i="6"/>
  <c r="N164" i="6"/>
  <c r="M164" i="6"/>
  <c r="L164" i="6"/>
  <c r="K164" i="6"/>
  <c r="J164" i="6"/>
  <c r="I164" i="6"/>
  <c r="H164" i="6"/>
  <c r="G164" i="6"/>
  <c r="F164" i="6"/>
  <c r="E164" i="6"/>
  <c r="D164" i="6"/>
  <c r="C164" i="6"/>
  <c r="B164" i="6"/>
  <c r="A164" i="6"/>
  <c r="O163" i="6"/>
  <c r="N163" i="6"/>
  <c r="M163" i="6"/>
  <c r="L163" i="6"/>
  <c r="K163" i="6"/>
  <c r="J163" i="6"/>
  <c r="I163" i="6"/>
  <c r="H163" i="6"/>
  <c r="G163" i="6"/>
  <c r="F163" i="6"/>
  <c r="E163" i="6"/>
  <c r="D163" i="6"/>
  <c r="C163" i="6"/>
  <c r="B163" i="6"/>
  <c r="A163" i="6"/>
  <c r="O162" i="6"/>
  <c r="N162" i="6"/>
  <c r="M162" i="6"/>
  <c r="L162" i="6"/>
  <c r="K162" i="6"/>
  <c r="J162" i="6"/>
  <c r="I162" i="6"/>
  <c r="H162" i="6"/>
  <c r="G162" i="6"/>
  <c r="F162" i="6"/>
  <c r="E162" i="6"/>
  <c r="D162" i="6"/>
  <c r="C162" i="6"/>
  <c r="B162" i="6"/>
  <c r="A162" i="6"/>
  <c r="O161" i="6"/>
  <c r="N161" i="6"/>
  <c r="M161" i="6"/>
  <c r="L161" i="6"/>
  <c r="K161" i="6"/>
  <c r="J161" i="6"/>
  <c r="I161" i="6"/>
  <c r="H161" i="6"/>
  <c r="G161" i="6"/>
  <c r="F161" i="6"/>
  <c r="E161" i="6"/>
  <c r="D161" i="6"/>
  <c r="C161" i="6"/>
  <c r="B161" i="6"/>
  <c r="A161" i="6"/>
  <c r="O160" i="6"/>
  <c r="N160" i="6"/>
  <c r="M160" i="6"/>
  <c r="L160" i="6"/>
  <c r="K160" i="6"/>
  <c r="J160" i="6"/>
  <c r="I160" i="6"/>
  <c r="H160" i="6"/>
  <c r="G160" i="6"/>
  <c r="F160" i="6"/>
  <c r="E160" i="6"/>
  <c r="D160" i="6"/>
  <c r="C160" i="6"/>
  <c r="B160" i="6"/>
  <c r="A160" i="6"/>
  <c r="O159" i="6"/>
  <c r="N159" i="6"/>
  <c r="M159" i="6"/>
  <c r="L159" i="6"/>
  <c r="K159" i="6"/>
  <c r="J159" i="6"/>
  <c r="I159" i="6"/>
  <c r="H159" i="6"/>
  <c r="G159" i="6"/>
  <c r="F159" i="6"/>
  <c r="E159" i="6"/>
  <c r="D159" i="6"/>
  <c r="C159" i="6"/>
  <c r="B159" i="6"/>
  <c r="A159" i="6"/>
  <c r="O158" i="6"/>
  <c r="N158" i="6"/>
  <c r="M158" i="6"/>
  <c r="L158" i="6"/>
  <c r="K158" i="6"/>
  <c r="J158" i="6"/>
  <c r="I158" i="6"/>
  <c r="H158" i="6"/>
  <c r="G158" i="6"/>
  <c r="F158" i="6"/>
  <c r="E158" i="6"/>
  <c r="D158" i="6"/>
  <c r="C158" i="6"/>
  <c r="B158" i="6"/>
  <c r="A158" i="6"/>
  <c r="O157" i="6"/>
  <c r="N157" i="6"/>
  <c r="M157" i="6"/>
  <c r="L157" i="6"/>
  <c r="K157" i="6"/>
  <c r="J157" i="6"/>
  <c r="I157" i="6"/>
  <c r="H157" i="6"/>
  <c r="G157" i="6"/>
  <c r="F157" i="6"/>
  <c r="E157" i="6"/>
  <c r="D157" i="6"/>
  <c r="C157" i="6"/>
  <c r="B157" i="6"/>
  <c r="A157" i="6"/>
  <c r="O156" i="6"/>
  <c r="N156" i="6"/>
  <c r="M156" i="6"/>
  <c r="L156" i="6"/>
  <c r="K156" i="6"/>
  <c r="J156" i="6"/>
  <c r="I156" i="6"/>
  <c r="H156" i="6"/>
  <c r="G156" i="6"/>
  <c r="F156" i="6"/>
  <c r="E156" i="6"/>
  <c r="D156" i="6"/>
  <c r="C156" i="6"/>
  <c r="B156" i="6"/>
  <c r="A156" i="6"/>
  <c r="O155" i="6"/>
  <c r="N155" i="6"/>
  <c r="M155" i="6"/>
  <c r="L155" i="6"/>
  <c r="K155" i="6"/>
  <c r="J155" i="6"/>
  <c r="I155" i="6"/>
  <c r="H155" i="6"/>
  <c r="G155" i="6"/>
  <c r="F155" i="6"/>
  <c r="E155" i="6"/>
  <c r="D155" i="6"/>
  <c r="C155" i="6"/>
  <c r="B155" i="6"/>
  <c r="A155" i="6"/>
  <c r="O154" i="6"/>
  <c r="N154" i="6"/>
  <c r="M154" i="6"/>
  <c r="L154" i="6"/>
  <c r="K154" i="6"/>
  <c r="J154" i="6"/>
  <c r="I154" i="6"/>
  <c r="H154" i="6"/>
  <c r="G154" i="6"/>
  <c r="F154" i="6"/>
  <c r="E154" i="6"/>
  <c r="D154" i="6"/>
  <c r="C154" i="6"/>
  <c r="B154" i="6"/>
  <c r="A154" i="6"/>
  <c r="O153" i="6"/>
  <c r="N153" i="6"/>
  <c r="M153" i="6"/>
  <c r="L153" i="6"/>
  <c r="K153" i="6"/>
  <c r="J153" i="6"/>
  <c r="I153" i="6"/>
  <c r="H153" i="6"/>
  <c r="G153" i="6"/>
  <c r="F153" i="6"/>
  <c r="E153" i="6"/>
  <c r="D153" i="6"/>
  <c r="C153" i="6"/>
  <c r="B153" i="6"/>
  <c r="A153" i="6"/>
  <c r="O152" i="6"/>
  <c r="N152" i="6"/>
  <c r="M152" i="6"/>
  <c r="L152" i="6"/>
  <c r="K152" i="6"/>
  <c r="J152" i="6"/>
  <c r="I152" i="6"/>
  <c r="H152" i="6"/>
  <c r="G152" i="6"/>
  <c r="F152" i="6"/>
  <c r="E152" i="6"/>
  <c r="D152" i="6"/>
  <c r="C152" i="6"/>
  <c r="B152" i="6"/>
  <c r="A152" i="6"/>
  <c r="O151" i="6"/>
  <c r="N151" i="6"/>
  <c r="M151" i="6"/>
  <c r="L151" i="6"/>
  <c r="K151" i="6"/>
  <c r="J151" i="6"/>
  <c r="I151" i="6"/>
  <c r="H151" i="6"/>
  <c r="G151" i="6"/>
  <c r="F151" i="6"/>
  <c r="E151" i="6"/>
  <c r="D151" i="6"/>
  <c r="C151" i="6"/>
  <c r="B151" i="6"/>
  <c r="A151" i="6"/>
  <c r="O150" i="6"/>
  <c r="N150" i="6"/>
  <c r="M150" i="6"/>
  <c r="L150" i="6"/>
  <c r="K150" i="6"/>
  <c r="J150" i="6"/>
  <c r="I150" i="6"/>
  <c r="H150" i="6"/>
  <c r="G150" i="6"/>
  <c r="F150" i="6"/>
  <c r="E150" i="6"/>
  <c r="D150" i="6"/>
  <c r="C150" i="6"/>
  <c r="B150" i="6"/>
  <c r="A150" i="6"/>
  <c r="O149" i="6"/>
  <c r="N149" i="6"/>
  <c r="M149" i="6"/>
  <c r="L149" i="6"/>
  <c r="K149" i="6"/>
  <c r="J149" i="6"/>
  <c r="I149" i="6"/>
  <c r="H149" i="6"/>
  <c r="G149" i="6"/>
  <c r="F149" i="6"/>
  <c r="E149" i="6"/>
  <c r="D149" i="6"/>
  <c r="C149" i="6"/>
  <c r="B149" i="6"/>
  <c r="A149" i="6"/>
  <c r="O148" i="6"/>
  <c r="N148" i="6"/>
  <c r="M148" i="6"/>
  <c r="L148" i="6"/>
  <c r="K148" i="6"/>
  <c r="J148" i="6"/>
  <c r="I148" i="6"/>
  <c r="H148" i="6"/>
  <c r="G148" i="6"/>
  <c r="F148" i="6"/>
  <c r="E148" i="6"/>
  <c r="D148" i="6"/>
  <c r="C148" i="6"/>
  <c r="B148" i="6"/>
  <c r="A148" i="6"/>
  <c r="O147" i="6"/>
  <c r="N147" i="6"/>
  <c r="M147" i="6"/>
  <c r="L147" i="6"/>
  <c r="K147" i="6"/>
  <c r="J147" i="6"/>
  <c r="I147" i="6"/>
  <c r="H147" i="6"/>
  <c r="G147" i="6"/>
  <c r="F147" i="6"/>
  <c r="E147" i="6"/>
  <c r="D147" i="6"/>
  <c r="C147" i="6"/>
  <c r="B147" i="6"/>
  <c r="A147" i="6"/>
  <c r="O146" i="6"/>
  <c r="N146" i="6"/>
  <c r="M146" i="6"/>
  <c r="L146" i="6"/>
  <c r="K146" i="6"/>
  <c r="J146" i="6"/>
  <c r="I146" i="6"/>
  <c r="H146" i="6"/>
  <c r="G146" i="6"/>
  <c r="F146" i="6"/>
  <c r="E146" i="6"/>
  <c r="D146" i="6"/>
  <c r="C146" i="6"/>
  <c r="B146" i="6"/>
  <c r="A146" i="6"/>
  <c r="O145" i="6"/>
  <c r="N145" i="6"/>
  <c r="M145" i="6"/>
  <c r="L145" i="6"/>
  <c r="K145" i="6"/>
  <c r="J145" i="6"/>
  <c r="I145" i="6"/>
  <c r="H145" i="6"/>
  <c r="G145" i="6"/>
  <c r="F145" i="6"/>
  <c r="E145" i="6"/>
  <c r="D145" i="6"/>
  <c r="C145" i="6"/>
  <c r="B145" i="6"/>
  <c r="A145" i="6"/>
  <c r="O144" i="6"/>
  <c r="N144" i="6"/>
  <c r="M144" i="6"/>
  <c r="L144" i="6"/>
  <c r="K144" i="6"/>
  <c r="J144" i="6"/>
  <c r="I144" i="6"/>
  <c r="H144" i="6"/>
  <c r="G144" i="6"/>
  <c r="F144" i="6"/>
  <c r="E144" i="6"/>
  <c r="D144" i="6"/>
  <c r="C144" i="6"/>
  <c r="B144" i="6"/>
  <c r="A144" i="6"/>
  <c r="O143" i="6"/>
  <c r="N143" i="6"/>
  <c r="M143" i="6"/>
  <c r="L143" i="6"/>
  <c r="K143" i="6"/>
  <c r="J143" i="6"/>
  <c r="I143" i="6"/>
  <c r="H143" i="6"/>
  <c r="G143" i="6"/>
  <c r="F143" i="6"/>
  <c r="E143" i="6"/>
  <c r="D143" i="6"/>
  <c r="C143" i="6"/>
  <c r="B143" i="6"/>
  <c r="A143" i="6"/>
  <c r="O142" i="6"/>
  <c r="N142" i="6"/>
  <c r="M142" i="6"/>
  <c r="L142" i="6"/>
  <c r="K142" i="6"/>
  <c r="J142" i="6"/>
  <c r="I142" i="6"/>
  <c r="H142" i="6"/>
  <c r="G142" i="6"/>
  <c r="F142" i="6"/>
  <c r="E142" i="6"/>
  <c r="D142" i="6"/>
  <c r="C142" i="6"/>
  <c r="B142" i="6"/>
  <c r="A142" i="6"/>
  <c r="O141" i="6"/>
  <c r="N141" i="6"/>
  <c r="M141" i="6"/>
  <c r="L141" i="6"/>
  <c r="K141" i="6"/>
  <c r="J141" i="6"/>
  <c r="I141" i="6"/>
  <c r="H141" i="6"/>
  <c r="G141" i="6"/>
  <c r="F141" i="6"/>
  <c r="E141" i="6"/>
  <c r="D141" i="6"/>
  <c r="C141" i="6"/>
  <c r="B141" i="6"/>
  <c r="A141" i="6"/>
  <c r="O140" i="6"/>
  <c r="N140" i="6"/>
  <c r="M140" i="6"/>
  <c r="L140" i="6"/>
  <c r="K140" i="6"/>
  <c r="J140" i="6"/>
  <c r="I140" i="6"/>
  <c r="H140" i="6"/>
  <c r="G140" i="6"/>
  <c r="F140" i="6"/>
  <c r="E140" i="6"/>
  <c r="D140" i="6"/>
  <c r="C140" i="6"/>
  <c r="B140" i="6"/>
  <c r="A140" i="6"/>
  <c r="O139" i="6"/>
  <c r="N139" i="6"/>
  <c r="M139" i="6"/>
  <c r="L139" i="6"/>
  <c r="K139" i="6"/>
  <c r="J139" i="6"/>
  <c r="I139" i="6"/>
  <c r="H139" i="6"/>
  <c r="G139" i="6"/>
  <c r="F139" i="6"/>
  <c r="E139" i="6"/>
  <c r="D139" i="6"/>
  <c r="C139" i="6"/>
  <c r="B139" i="6"/>
  <c r="A139" i="6"/>
  <c r="O138" i="6"/>
  <c r="N138" i="6"/>
  <c r="M138" i="6"/>
  <c r="L138" i="6"/>
  <c r="K138" i="6"/>
  <c r="J138" i="6"/>
  <c r="I138" i="6"/>
  <c r="H138" i="6"/>
  <c r="G138" i="6"/>
  <c r="F138" i="6"/>
  <c r="E138" i="6"/>
  <c r="D138" i="6"/>
  <c r="C138" i="6"/>
  <c r="B138" i="6"/>
  <c r="A138" i="6"/>
  <c r="O137" i="6"/>
  <c r="N137" i="6"/>
  <c r="M137" i="6"/>
  <c r="L137" i="6"/>
  <c r="K137" i="6"/>
  <c r="J137" i="6"/>
  <c r="I137" i="6"/>
  <c r="H137" i="6"/>
  <c r="G137" i="6"/>
  <c r="F137" i="6"/>
  <c r="E137" i="6"/>
  <c r="D137" i="6"/>
  <c r="C137" i="6"/>
  <c r="B137" i="6"/>
  <c r="A137" i="6"/>
  <c r="O136" i="6"/>
  <c r="N136" i="6"/>
  <c r="M136" i="6"/>
  <c r="L136" i="6"/>
  <c r="K136" i="6"/>
  <c r="J136" i="6"/>
  <c r="I136" i="6"/>
  <c r="H136" i="6"/>
  <c r="G136" i="6"/>
  <c r="F136" i="6"/>
  <c r="E136" i="6"/>
  <c r="D136" i="6"/>
  <c r="C136" i="6"/>
  <c r="B136" i="6"/>
  <c r="A136" i="6"/>
  <c r="O135" i="6"/>
  <c r="N135" i="6"/>
  <c r="M135" i="6"/>
  <c r="L135" i="6"/>
  <c r="K135" i="6"/>
  <c r="J135" i="6"/>
  <c r="I135" i="6"/>
  <c r="H135" i="6"/>
  <c r="G135" i="6"/>
  <c r="F135" i="6"/>
  <c r="E135" i="6"/>
  <c r="D135" i="6"/>
  <c r="C135" i="6"/>
  <c r="B135" i="6"/>
  <c r="A135" i="6"/>
  <c r="O134" i="6"/>
  <c r="N134" i="6"/>
  <c r="M134" i="6"/>
  <c r="L134" i="6"/>
  <c r="K134" i="6"/>
  <c r="J134" i="6"/>
  <c r="I134" i="6"/>
  <c r="H134" i="6"/>
  <c r="G134" i="6"/>
  <c r="F134" i="6"/>
  <c r="E134" i="6"/>
  <c r="D134" i="6"/>
  <c r="C134" i="6"/>
  <c r="B134" i="6"/>
  <c r="A134" i="6"/>
  <c r="O133" i="6"/>
  <c r="N133" i="6"/>
  <c r="M133" i="6"/>
  <c r="L133" i="6"/>
  <c r="K133" i="6"/>
  <c r="J133" i="6"/>
  <c r="I133" i="6"/>
  <c r="H133" i="6"/>
  <c r="G133" i="6"/>
  <c r="F133" i="6"/>
  <c r="E133" i="6"/>
  <c r="D133" i="6"/>
  <c r="C133" i="6"/>
  <c r="B133" i="6"/>
  <c r="A133" i="6"/>
  <c r="O132" i="6"/>
  <c r="N132" i="6"/>
  <c r="M132" i="6"/>
  <c r="L132" i="6"/>
  <c r="K132" i="6"/>
  <c r="J132" i="6"/>
  <c r="I132" i="6"/>
  <c r="H132" i="6"/>
  <c r="G132" i="6"/>
  <c r="F132" i="6"/>
  <c r="E132" i="6"/>
  <c r="D132" i="6"/>
  <c r="C132" i="6"/>
  <c r="B132" i="6"/>
  <c r="A132" i="6"/>
  <c r="O131" i="6"/>
  <c r="N131" i="6"/>
  <c r="M131" i="6"/>
  <c r="L131" i="6"/>
  <c r="K131" i="6"/>
  <c r="J131" i="6"/>
  <c r="I131" i="6"/>
  <c r="H131" i="6"/>
  <c r="G131" i="6"/>
  <c r="F131" i="6"/>
  <c r="E131" i="6"/>
  <c r="D131" i="6"/>
  <c r="C131" i="6"/>
  <c r="B131" i="6"/>
  <c r="A131" i="6"/>
  <c r="O130" i="6"/>
  <c r="N130" i="6"/>
  <c r="M130" i="6"/>
  <c r="L130" i="6"/>
  <c r="K130" i="6"/>
  <c r="J130" i="6"/>
  <c r="I130" i="6"/>
  <c r="H130" i="6"/>
  <c r="G130" i="6"/>
  <c r="F130" i="6"/>
  <c r="E130" i="6"/>
  <c r="D130" i="6"/>
  <c r="C130" i="6"/>
  <c r="B130" i="6"/>
  <c r="A130" i="6"/>
  <c r="O129" i="6"/>
  <c r="N129" i="6"/>
  <c r="M129" i="6"/>
  <c r="L129" i="6"/>
  <c r="K129" i="6"/>
  <c r="J129" i="6"/>
  <c r="I129" i="6"/>
  <c r="H129" i="6"/>
  <c r="G129" i="6"/>
  <c r="F129" i="6"/>
  <c r="E129" i="6"/>
  <c r="D129" i="6"/>
  <c r="C129" i="6"/>
  <c r="B129" i="6"/>
  <c r="A129" i="6"/>
  <c r="O128" i="6"/>
  <c r="N128" i="6"/>
  <c r="M128" i="6"/>
  <c r="L128" i="6"/>
  <c r="K128" i="6"/>
  <c r="J128" i="6"/>
  <c r="I128" i="6"/>
  <c r="H128" i="6"/>
  <c r="G128" i="6"/>
  <c r="F128" i="6"/>
  <c r="E128" i="6"/>
  <c r="D128" i="6"/>
  <c r="C128" i="6"/>
  <c r="B128" i="6"/>
  <c r="A128" i="6"/>
  <c r="O127" i="6"/>
  <c r="N127" i="6"/>
  <c r="M127" i="6"/>
  <c r="L127" i="6"/>
  <c r="K127" i="6"/>
  <c r="J127" i="6"/>
  <c r="I127" i="6"/>
  <c r="H127" i="6"/>
  <c r="G127" i="6"/>
  <c r="F127" i="6"/>
  <c r="E127" i="6"/>
  <c r="D127" i="6"/>
  <c r="C127" i="6"/>
  <c r="B127" i="6"/>
  <c r="A127" i="6"/>
  <c r="O126" i="6"/>
  <c r="N126" i="6"/>
  <c r="M126" i="6"/>
  <c r="L126" i="6"/>
  <c r="K126" i="6"/>
  <c r="J126" i="6"/>
  <c r="I126" i="6"/>
  <c r="H126" i="6"/>
  <c r="G126" i="6"/>
  <c r="F126" i="6"/>
  <c r="E126" i="6"/>
  <c r="D126" i="6"/>
  <c r="C126" i="6"/>
  <c r="B126" i="6"/>
  <c r="A126" i="6"/>
  <c r="O125" i="6"/>
  <c r="N125" i="6"/>
  <c r="M125" i="6"/>
  <c r="L125" i="6"/>
  <c r="K125" i="6"/>
  <c r="J125" i="6"/>
  <c r="I125" i="6"/>
  <c r="H125" i="6"/>
  <c r="G125" i="6"/>
  <c r="F125" i="6"/>
  <c r="E125" i="6"/>
  <c r="D125" i="6"/>
  <c r="C125" i="6"/>
  <c r="B125" i="6"/>
  <c r="A125" i="6"/>
  <c r="O124" i="6"/>
  <c r="N124" i="6"/>
  <c r="M124" i="6"/>
  <c r="L124" i="6"/>
  <c r="K124" i="6"/>
  <c r="J124" i="6"/>
  <c r="I124" i="6"/>
  <c r="H124" i="6"/>
  <c r="G124" i="6"/>
  <c r="F124" i="6"/>
  <c r="E124" i="6"/>
  <c r="D124" i="6"/>
  <c r="C124" i="6"/>
  <c r="B124" i="6"/>
  <c r="A124" i="6"/>
  <c r="O123" i="6"/>
  <c r="N123" i="6"/>
  <c r="M123" i="6"/>
  <c r="L123" i="6"/>
  <c r="K123" i="6"/>
  <c r="J123" i="6"/>
  <c r="I123" i="6"/>
  <c r="H123" i="6"/>
  <c r="G123" i="6"/>
  <c r="F123" i="6"/>
  <c r="E123" i="6"/>
  <c r="D123" i="6"/>
  <c r="C123" i="6"/>
  <c r="B123" i="6"/>
  <c r="A123" i="6"/>
  <c r="O122" i="6"/>
  <c r="N122" i="6"/>
  <c r="M122" i="6"/>
  <c r="L122" i="6"/>
  <c r="K122" i="6"/>
  <c r="J122" i="6"/>
  <c r="I122" i="6"/>
  <c r="H122" i="6"/>
  <c r="G122" i="6"/>
  <c r="F122" i="6"/>
  <c r="E122" i="6"/>
  <c r="D122" i="6"/>
  <c r="C122" i="6"/>
  <c r="B122" i="6"/>
  <c r="A122" i="6"/>
  <c r="O121" i="6"/>
  <c r="N121" i="6"/>
  <c r="M121" i="6"/>
  <c r="L121" i="6"/>
  <c r="K121" i="6"/>
  <c r="J121" i="6"/>
  <c r="I121" i="6"/>
  <c r="H121" i="6"/>
  <c r="G121" i="6"/>
  <c r="F121" i="6"/>
  <c r="E121" i="6"/>
  <c r="D121" i="6"/>
  <c r="C121" i="6"/>
  <c r="B121" i="6"/>
  <c r="A121" i="6"/>
  <c r="O120" i="6"/>
  <c r="N120" i="6"/>
  <c r="M120" i="6"/>
  <c r="L120" i="6"/>
  <c r="K120" i="6"/>
  <c r="J120" i="6"/>
  <c r="I120" i="6"/>
  <c r="H120" i="6"/>
  <c r="G120" i="6"/>
  <c r="F120" i="6"/>
  <c r="E120" i="6"/>
  <c r="D120" i="6"/>
  <c r="C120" i="6"/>
  <c r="B120" i="6"/>
  <c r="A120" i="6"/>
  <c r="O119" i="6"/>
  <c r="N119" i="6"/>
  <c r="M119" i="6"/>
  <c r="L119" i="6"/>
  <c r="K119" i="6"/>
  <c r="J119" i="6"/>
  <c r="I119" i="6"/>
  <c r="H119" i="6"/>
  <c r="G119" i="6"/>
  <c r="F119" i="6"/>
  <c r="E119" i="6"/>
  <c r="D119" i="6"/>
  <c r="C119" i="6"/>
  <c r="B119" i="6"/>
  <c r="A119" i="6"/>
  <c r="O118" i="6"/>
  <c r="N118" i="6"/>
  <c r="M118" i="6"/>
  <c r="L118" i="6"/>
  <c r="K118" i="6"/>
  <c r="J118" i="6"/>
  <c r="I118" i="6"/>
  <c r="H118" i="6"/>
  <c r="G118" i="6"/>
  <c r="F118" i="6"/>
  <c r="E118" i="6"/>
  <c r="D118" i="6"/>
  <c r="C118" i="6"/>
  <c r="B118" i="6"/>
  <c r="A118" i="6"/>
  <c r="O117" i="6"/>
  <c r="N117" i="6"/>
  <c r="M117" i="6"/>
  <c r="L117" i="6"/>
  <c r="K117" i="6"/>
  <c r="J117" i="6"/>
  <c r="I117" i="6"/>
  <c r="H117" i="6"/>
  <c r="G117" i="6"/>
  <c r="F117" i="6"/>
  <c r="E117" i="6"/>
  <c r="D117" i="6"/>
  <c r="C117" i="6"/>
  <c r="B117" i="6"/>
  <c r="A117" i="6"/>
  <c r="O116" i="6"/>
  <c r="N116" i="6"/>
  <c r="M116" i="6"/>
  <c r="L116" i="6"/>
  <c r="K116" i="6"/>
  <c r="J116" i="6"/>
  <c r="I116" i="6"/>
  <c r="H116" i="6"/>
  <c r="G116" i="6"/>
  <c r="F116" i="6"/>
  <c r="E116" i="6"/>
  <c r="D116" i="6"/>
  <c r="C116" i="6"/>
  <c r="B116" i="6"/>
  <c r="A116" i="6"/>
  <c r="O115" i="6"/>
  <c r="N115" i="6"/>
  <c r="M115" i="6"/>
  <c r="L115" i="6"/>
  <c r="K115" i="6"/>
  <c r="J115" i="6"/>
  <c r="I115" i="6"/>
  <c r="H115" i="6"/>
  <c r="G115" i="6"/>
  <c r="F115" i="6"/>
  <c r="E115" i="6"/>
  <c r="D115" i="6"/>
  <c r="C115" i="6"/>
  <c r="B115" i="6"/>
  <c r="A115" i="6"/>
  <c r="O114" i="6"/>
  <c r="N114" i="6"/>
  <c r="M114" i="6"/>
  <c r="L114" i="6"/>
  <c r="K114" i="6"/>
  <c r="J114" i="6"/>
  <c r="I114" i="6"/>
  <c r="H114" i="6"/>
  <c r="G114" i="6"/>
  <c r="F114" i="6"/>
  <c r="E114" i="6"/>
  <c r="D114" i="6"/>
  <c r="C114" i="6"/>
  <c r="B114" i="6"/>
  <c r="A114" i="6"/>
  <c r="O113" i="6"/>
  <c r="N113" i="6"/>
  <c r="M113" i="6"/>
  <c r="L113" i="6"/>
  <c r="K113" i="6"/>
  <c r="J113" i="6"/>
  <c r="I113" i="6"/>
  <c r="H113" i="6"/>
  <c r="G113" i="6"/>
  <c r="F113" i="6"/>
  <c r="E113" i="6"/>
  <c r="D113" i="6"/>
  <c r="C113" i="6"/>
  <c r="B113" i="6"/>
  <c r="A113" i="6"/>
  <c r="O112" i="6"/>
  <c r="N112" i="6"/>
  <c r="M112" i="6"/>
  <c r="L112" i="6"/>
  <c r="K112" i="6"/>
  <c r="J112" i="6"/>
  <c r="I112" i="6"/>
  <c r="H112" i="6"/>
  <c r="G112" i="6"/>
  <c r="F112" i="6"/>
  <c r="E112" i="6"/>
  <c r="D112" i="6"/>
  <c r="C112" i="6"/>
  <c r="B112" i="6"/>
  <c r="A112" i="6"/>
  <c r="O111" i="6"/>
  <c r="N111" i="6"/>
  <c r="M111" i="6"/>
  <c r="L111" i="6"/>
  <c r="K111" i="6"/>
  <c r="J111" i="6"/>
  <c r="I111" i="6"/>
  <c r="H111" i="6"/>
  <c r="G111" i="6"/>
  <c r="F111" i="6"/>
  <c r="E111" i="6"/>
  <c r="D111" i="6"/>
  <c r="C111" i="6"/>
  <c r="B111" i="6"/>
  <c r="A111" i="6"/>
  <c r="O110" i="6"/>
  <c r="N110" i="6"/>
  <c r="M110" i="6"/>
  <c r="L110" i="6"/>
  <c r="K110" i="6"/>
  <c r="J110" i="6"/>
  <c r="I110" i="6"/>
  <c r="H110" i="6"/>
  <c r="G110" i="6"/>
  <c r="F110" i="6"/>
  <c r="E110" i="6"/>
  <c r="D110" i="6"/>
  <c r="C110" i="6"/>
  <c r="B110" i="6"/>
  <c r="A110" i="6"/>
  <c r="O109" i="6"/>
  <c r="N109" i="6"/>
  <c r="M109" i="6"/>
  <c r="L109" i="6"/>
  <c r="K109" i="6"/>
  <c r="J109" i="6"/>
  <c r="I109" i="6"/>
  <c r="H109" i="6"/>
  <c r="G109" i="6"/>
  <c r="F109" i="6"/>
  <c r="E109" i="6"/>
  <c r="D109" i="6"/>
  <c r="C109" i="6"/>
  <c r="B109" i="6"/>
  <c r="A109" i="6"/>
  <c r="O108" i="6"/>
  <c r="N108" i="6"/>
  <c r="M108" i="6"/>
  <c r="L108" i="6"/>
  <c r="K108" i="6"/>
  <c r="J108" i="6"/>
  <c r="I108" i="6"/>
  <c r="H108" i="6"/>
  <c r="G108" i="6"/>
  <c r="F108" i="6"/>
  <c r="E108" i="6"/>
  <c r="D108" i="6"/>
  <c r="C108" i="6"/>
  <c r="B108" i="6"/>
  <c r="A108" i="6"/>
  <c r="O107" i="6"/>
  <c r="N107" i="6"/>
  <c r="M107" i="6"/>
  <c r="L107" i="6"/>
  <c r="K107" i="6"/>
  <c r="J107" i="6"/>
  <c r="I107" i="6"/>
  <c r="H107" i="6"/>
  <c r="G107" i="6"/>
  <c r="F107" i="6"/>
  <c r="E107" i="6"/>
  <c r="D107" i="6"/>
  <c r="C107" i="6"/>
  <c r="B107" i="6"/>
  <c r="A107" i="6"/>
  <c r="O106" i="6"/>
  <c r="N106" i="6"/>
  <c r="M106" i="6"/>
  <c r="L106" i="6"/>
  <c r="K106" i="6"/>
  <c r="J106" i="6"/>
  <c r="I106" i="6"/>
  <c r="H106" i="6"/>
  <c r="G106" i="6"/>
  <c r="F106" i="6"/>
  <c r="E106" i="6"/>
  <c r="D106" i="6"/>
  <c r="C106" i="6"/>
  <c r="B106" i="6"/>
  <c r="A106" i="6"/>
  <c r="O105" i="6"/>
  <c r="N105" i="6"/>
  <c r="M105" i="6"/>
  <c r="L105" i="6"/>
  <c r="K105" i="6"/>
  <c r="J105" i="6"/>
  <c r="I105" i="6"/>
  <c r="H105" i="6"/>
  <c r="G105" i="6"/>
  <c r="F105" i="6"/>
  <c r="E105" i="6"/>
  <c r="D105" i="6"/>
  <c r="C105" i="6"/>
  <c r="B105" i="6"/>
  <c r="A105" i="6"/>
  <c r="O104" i="6"/>
  <c r="N104" i="6"/>
  <c r="M104" i="6"/>
  <c r="L104" i="6"/>
  <c r="K104" i="6"/>
  <c r="J104" i="6"/>
  <c r="I104" i="6"/>
  <c r="H104" i="6"/>
  <c r="G104" i="6"/>
  <c r="F104" i="6"/>
  <c r="E104" i="6"/>
  <c r="D104" i="6"/>
  <c r="C104" i="6"/>
  <c r="B104" i="6"/>
  <c r="A104" i="6"/>
  <c r="O103" i="6"/>
  <c r="N103" i="6"/>
  <c r="M103" i="6"/>
  <c r="L103" i="6"/>
  <c r="K103" i="6"/>
  <c r="J103" i="6"/>
  <c r="I103" i="6"/>
  <c r="H103" i="6"/>
  <c r="G103" i="6"/>
  <c r="F103" i="6"/>
  <c r="E103" i="6"/>
  <c r="D103" i="6"/>
  <c r="C103" i="6"/>
  <c r="B103" i="6"/>
  <c r="A103" i="6"/>
  <c r="O102" i="6"/>
  <c r="N102" i="6"/>
  <c r="M102" i="6"/>
  <c r="L102" i="6"/>
  <c r="K102" i="6"/>
  <c r="J102" i="6"/>
  <c r="I102" i="6"/>
  <c r="H102" i="6"/>
  <c r="G102" i="6"/>
  <c r="F102" i="6"/>
  <c r="E102" i="6"/>
  <c r="D102" i="6"/>
  <c r="C102" i="6"/>
  <c r="B102" i="6"/>
  <c r="A102" i="6"/>
  <c r="O101" i="6"/>
  <c r="N101" i="6"/>
  <c r="M101" i="6"/>
  <c r="L101" i="6"/>
  <c r="K101" i="6"/>
  <c r="J101" i="6"/>
  <c r="I101" i="6"/>
  <c r="H101" i="6"/>
  <c r="G101" i="6"/>
  <c r="F101" i="6"/>
  <c r="E101" i="6"/>
  <c r="D101" i="6"/>
  <c r="C101" i="6"/>
  <c r="B101" i="6"/>
  <c r="A101" i="6"/>
  <c r="O100" i="6"/>
  <c r="N100" i="6"/>
  <c r="M100" i="6"/>
  <c r="L100" i="6"/>
  <c r="K100" i="6"/>
  <c r="J100" i="6"/>
  <c r="I100" i="6"/>
  <c r="H100" i="6"/>
  <c r="G100" i="6"/>
  <c r="F100" i="6"/>
  <c r="E100" i="6"/>
  <c r="D100" i="6"/>
  <c r="C100" i="6"/>
  <c r="B100" i="6"/>
  <c r="A100" i="6"/>
  <c r="O99" i="6"/>
  <c r="N99" i="6"/>
  <c r="M99" i="6"/>
  <c r="L99" i="6"/>
  <c r="K99" i="6"/>
  <c r="J99" i="6"/>
  <c r="I99" i="6"/>
  <c r="H99" i="6"/>
  <c r="G99" i="6"/>
  <c r="F99" i="6"/>
  <c r="E99" i="6"/>
  <c r="D99" i="6"/>
  <c r="C99" i="6"/>
  <c r="B99" i="6"/>
  <c r="A99" i="6"/>
  <c r="O98" i="6"/>
  <c r="N98" i="6"/>
  <c r="M98" i="6"/>
  <c r="L98" i="6"/>
  <c r="K98" i="6"/>
  <c r="J98" i="6"/>
  <c r="I98" i="6"/>
  <c r="H98" i="6"/>
  <c r="G98" i="6"/>
  <c r="F98" i="6"/>
  <c r="E98" i="6"/>
  <c r="D98" i="6"/>
  <c r="C98" i="6"/>
  <c r="B98" i="6"/>
  <c r="A98" i="6"/>
  <c r="O97" i="6"/>
  <c r="N97" i="6"/>
  <c r="M97" i="6"/>
  <c r="L97" i="6"/>
  <c r="K97" i="6"/>
  <c r="J97" i="6"/>
  <c r="I97" i="6"/>
  <c r="H97" i="6"/>
  <c r="G97" i="6"/>
  <c r="F97" i="6"/>
  <c r="E97" i="6"/>
  <c r="D97" i="6"/>
  <c r="C97" i="6"/>
  <c r="B97" i="6"/>
  <c r="A97" i="6"/>
  <c r="O96" i="6"/>
  <c r="N96" i="6"/>
  <c r="M96" i="6"/>
  <c r="L96" i="6"/>
  <c r="K96" i="6"/>
  <c r="J96" i="6"/>
  <c r="I96" i="6"/>
  <c r="H96" i="6"/>
  <c r="G96" i="6"/>
  <c r="F96" i="6"/>
  <c r="E96" i="6"/>
  <c r="D96" i="6"/>
  <c r="C96" i="6"/>
  <c r="B96" i="6"/>
  <c r="A96" i="6"/>
  <c r="O95" i="6"/>
  <c r="N95" i="6"/>
  <c r="M95" i="6"/>
  <c r="L95" i="6"/>
  <c r="K95" i="6"/>
  <c r="J95" i="6"/>
  <c r="I95" i="6"/>
  <c r="H95" i="6"/>
  <c r="G95" i="6"/>
  <c r="F95" i="6"/>
  <c r="E95" i="6"/>
  <c r="D95" i="6"/>
  <c r="C95" i="6"/>
  <c r="B95" i="6"/>
  <c r="A95" i="6"/>
  <c r="O94" i="6"/>
  <c r="N94" i="6"/>
  <c r="M94" i="6"/>
  <c r="L94" i="6"/>
  <c r="K94" i="6"/>
  <c r="J94" i="6"/>
  <c r="I94" i="6"/>
  <c r="H94" i="6"/>
  <c r="G94" i="6"/>
  <c r="F94" i="6"/>
  <c r="E94" i="6"/>
  <c r="D94" i="6"/>
  <c r="C94" i="6"/>
  <c r="B94" i="6"/>
  <c r="A94" i="6"/>
  <c r="O93" i="6"/>
  <c r="N93" i="6"/>
  <c r="M93" i="6"/>
  <c r="L93" i="6"/>
  <c r="K93" i="6"/>
  <c r="J93" i="6"/>
  <c r="I93" i="6"/>
  <c r="H93" i="6"/>
  <c r="G93" i="6"/>
  <c r="F93" i="6"/>
  <c r="E93" i="6"/>
  <c r="D93" i="6"/>
  <c r="C93" i="6"/>
  <c r="B93" i="6"/>
  <c r="A93" i="6"/>
  <c r="O92" i="6"/>
  <c r="N92" i="6"/>
  <c r="M92" i="6"/>
  <c r="L92" i="6"/>
  <c r="K92" i="6"/>
  <c r="J92" i="6"/>
  <c r="I92" i="6"/>
  <c r="H92" i="6"/>
  <c r="G92" i="6"/>
  <c r="F92" i="6"/>
  <c r="E92" i="6"/>
  <c r="D92" i="6"/>
  <c r="C92" i="6"/>
  <c r="B92" i="6"/>
  <c r="A92" i="6"/>
  <c r="O91" i="6"/>
  <c r="N91" i="6"/>
  <c r="M91" i="6"/>
  <c r="L91" i="6"/>
  <c r="K91" i="6"/>
  <c r="J91" i="6"/>
  <c r="I91" i="6"/>
  <c r="H91" i="6"/>
  <c r="G91" i="6"/>
  <c r="F91" i="6"/>
  <c r="E91" i="6"/>
  <c r="D91" i="6"/>
  <c r="C91" i="6"/>
  <c r="B91" i="6"/>
  <c r="A91" i="6"/>
  <c r="O90" i="6"/>
  <c r="N90" i="6"/>
  <c r="M90" i="6"/>
  <c r="L90" i="6"/>
  <c r="K90" i="6"/>
  <c r="J90" i="6"/>
  <c r="I90" i="6"/>
  <c r="H90" i="6"/>
  <c r="G90" i="6"/>
  <c r="F90" i="6"/>
  <c r="E90" i="6"/>
  <c r="D90" i="6"/>
  <c r="C90" i="6"/>
  <c r="B90" i="6"/>
  <c r="A90" i="6"/>
  <c r="O89" i="6"/>
  <c r="N89" i="6"/>
  <c r="M89" i="6"/>
  <c r="L89" i="6"/>
  <c r="K89" i="6"/>
  <c r="J89" i="6"/>
  <c r="I89" i="6"/>
  <c r="H89" i="6"/>
  <c r="G89" i="6"/>
  <c r="F89" i="6"/>
  <c r="E89" i="6"/>
  <c r="D89" i="6"/>
  <c r="C89" i="6"/>
  <c r="B89" i="6"/>
  <c r="A89" i="6"/>
  <c r="O88" i="6"/>
  <c r="N88" i="6"/>
  <c r="M88" i="6"/>
  <c r="L88" i="6"/>
  <c r="K88" i="6"/>
  <c r="J88" i="6"/>
  <c r="I88" i="6"/>
  <c r="H88" i="6"/>
  <c r="G88" i="6"/>
  <c r="F88" i="6"/>
  <c r="E88" i="6"/>
  <c r="D88" i="6"/>
  <c r="C88" i="6"/>
  <c r="B88" i="6"/>
  <c r="A88" i="6"/>
  <c r="O87" i="6"/>
  <c r="N87" i="6"/>
  <c r="M87" i="6"/>
  <c r="L87" i="6"/>
  <c r="K87" i="6"/>
  <c r="J87" i="6"/>
  <c r="I87" i="6"/>
  <c r="H87" i="6"/>
  <c r="G87" i="6"/>
  <c r="F87" i="6"/>
  <c r="E87" i="6"/>
  <c r="D87" i="6"/>
  <c r="C87" i="6"/>
  <c r="B87" i="6"/>
  <c r="A87" i="6"/>
  <c r="O86" i="6"/>
  <c r="N86" i="6"/>
  <c r="M86" i="6"/>
  <c r="L86" i="6"/>
  <c r="K86" i="6"/>
  <c r="J86" i="6"/>
  <c r="I86" i="6"/>
  <c r="H86" i="6"/>
  <c r="G86" i="6"/>
  <c r="F86" i="6"/>
  <c r="E86" i="6"/>
  <c r="D86" i="6"/>
  <c r="C86" i="6"/>
  <c r="B86" i="6"/>
  <c r="A86" i="6"/>
  <c r="O85" i="6"/>
  <c r="N85" i="6"/>
  <c r="M85" i="6"/>
  <c r="L85" i="6"/>
  <c r="K85" i="6"/>
  <c r="J85" i="6"/>
  <c r="I85" i="6"/>
  <c r="H85" i="6"/>
  <c r="G85" i="6"/>
  <c r="F85" i="6"/>
  <c r="E85" i="6"/>
  <c r="D85" i="6"/>
  <c r="C85" i="6"/>
  <c r="B85" i="6"/>
  <c r="A85" i="6"/>
  <c r="O84" i="6"/>
  <c r="N84" i="6"/>
  <c r="M84" i="6"/>
  <c r="L84" i="6"/>
  <c r="K84" i="6"/>
  <c r="J84" i="6"/>
  <c r="I84" i="6"/>
  <c r="H84" i="6"/>
  <c r="G84" i="6"/>
  <c r="F84" i="6"/>
  <c r="E84" i="6"/>
  <c r="D84" i="6"/>
  <c r="C84" i="6"/>
  <c r="B84" i="6"/>
  <c r="A84" i="6"/>
  <c r="O83" i="6"/>
  <c r="N83" i="6"/>
  <c r="M83" i="6"/>
  <c r="L83" i="6"/>
  <c r="K83" i="6"/>
  <c r="J83" i="6"/>
  <c r="I83" i="6"/>
  <c r="H83" i="6"/>
  <c r="G83" i="6"/>
  <c r="F83" i="6"/>
  <c r="E83" i="6"/>
  <c r="D83" i="6"/>
  <c r="C83" i="6"/>
  <c r="B83" i="6"/>
  <c r="A83" i="6"/>
  <c r="O82" i="6"/>
  <c r="N82" i="6"/>
  <c r="M82" i="6"/>
  <c r="L82" i="6"/>
  <c r="K82" i="6"/>
  <c r="J82" i="6"/>
  <c r="I82" i="6"/>
  <c r="H82" i="6"/>
  <c r="G82" i="6"/>
  <c r="F82" i="6"/>
  <c r="E82" i="6"/>
  <c r="D82" i="6"/>
  <c r="C82" i="6"/>
  <c r="B82" i="6"/>
  <c r="A82" i="6"/>
  <c r="O81" i="6"/>
  <c r="N81" i="6"/>
  <c r="M81" i="6"/>
  <c r="L81" i="6"/>
  <c r="K81" i="6"/>
  <c r="J81" i="6"/>
  <c r="I81" i="6"/>
  <c r="H81" i="6"/>
  <c r="G81" i="6"/>
  <c r="F81" i="6"/>
  <c r="E81" i="6"/>
  <c r="D81" i="6"/>
  <c r="C81" i="6"/>
  <c r="B81" i="6"/>
  <c r="A81" i="6"/>
  <c r="O80" i="6"/>
  <c r="N80" i="6"/>
  <c r="M80" i="6"/>
  <c r="L80" i="6"/>
  <c r="K80" i="6"/>
  <c r="J80" i="6"/>
  <c r="I80" i="6"/>
  <c r="H80" i="6"/>
  <c r="G80" i="6"/>
  <c r="F80" i="6"/>
  <c r="E80" i="6"/>
  <c r="D80" i="6"/>
  <c r="C80" i="6"/>
  <c r="B80" i="6"/>
  <c r="A80" i="6"/>
  <c r="O79" i="6"/>
  <c r="N79" i="6"/>
  <c r="M79" i="6"/>
  <c r="L79" i="6"/>
  <c r="K79" i="6"/>
  <c r="J79" i="6"/>
  <c r="I79" i="6"/>
  <c r="H79" i="6"/>
  <c r="G79" i="6"/>
  <c r="F79" i="6"/>
  <c r="E79" i="6"/>
  <c r="D79" i="6"/>
  <c r="C79" i="6"/>
  <c r="B79" i="6"/>
  <c r="A79" i="6"/>
  <c r="O78" i="6"/>
  <c r="N78" i="6"/>
  <c r="M78" i="6"/>
  <c r="L78" i="6"/>
  <c r="K78" i="6"/>
  <c r="J78" i="6"/>
  <c r="I78" i="6"/>
  <c r="H78" i="6"/>
  <c r="G78" i="6"/>
  <c r="F78" i="6"/>
  <c r="E78" i="6"/>
  <c r="D78" i="6"/>
  <c r="C78" i="6"/>
  <c r="B78" i="6"/>
  <c r="A78" i="6"/>
  <c r="O77" i="6"/>
  <c r="N77" i="6"/>
  <c r="M77" i="6"/>
  <c r="L77" i="6"/>
  <c r="K77" i="6"/>
  <c r="J77" i="6"/>
  <c r="I77" i="6"/>
  <c r="H77" i="6"/>
  <c r="G77" i="6"/>
  <c r="F77" i="6"/>
  <c r="E77" i="6"/>
  <c r="D77" i="6"/>
  <c r="C77" i="6"/>
  <c r="B77" i="6"/>
  <c r="A77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B76" i="6"/>
  <c r="A76" i="6"/>
  <c r="O75" i="6"/>
  <c r="N75" i="6"/>
  <c r="M75" i="6"/>
  <c r="L75" i="6"/>
  <c r="K75" i="6"/>
  <c r="J75" i="6"/>
  <c r="I75" i="6"/>
  <c r="H75" i="6"/>
  <c r="G75" i="6"/>
  <c r="F75" i="6"/>
  <c r="E75" i="6"/>
  <c r="D75" i="6"/>
  <c r="C75" i="6"/>
  <c r="B75" i="6"/>
  <c r="A75" i="6"/>
  <c r="O74" i="6"/>
  <c r="N74" i="6"/>
  <c r="M74" i="6"/>
  <c r="L74" i="6"/>
  <c r="K74" i="6"/>
  <c r="J74" i="6"/>
  <c r="I74" i="6"/>
  <c r="H74" i="6"/>
  <c r="G74" i="6"/>
  <c r="F74" i="6"/>
  <c r="E74" i="6"/>
  <c r="D74" i="6"/>
  <c r="C74" i="6"/>
  <c r="B74" i="6"/>
  <c r="A74" i="6"/>
  <c r="O73" i="6"/>
  <c r="N73" i="6"/>
  <c r="M73" i="6"/>
  <c r="L73" i="6"/>
  <c r="K73" i="6"/>
  <c r="J73" i="6"/>
  <c r="I73" i="6"/>
  <c r="H73" i="6"/>
  <c r="G73" i="6"/>
  <c r="F73" i="6"/>
  <c r="E73" i="6"/>
  <c r="D73" i="6"/>
  <c r="C73" i="6"/>
  <c r="B73" i="6"/>
  <c r="A73" i="6"/>
  <c r="O72" i="6"/>
  <c r="N72" i="6"/>
  <c r="M72" i="6"/>
  <c r="L72" i="6"/>
  <c r="K72" i="6"/>
  <c r="J72" i="6"/>
  <c r="I72" i="6"/>
  <c r="H72" i="6"/>
  <c r="G72" i="6"/>
  <c r="F72" i="6"/>
  <c r="E72" i="6"/>
  <c r="D72" i="6"/>
  <c r="C72" i="6"/>
  <c r="B72" i="6"/>
  <c r="A72" i="6"/>
  <c r="O71" i="6"/>
  <c r="N71" i="6"/>
  <c r="M71" i="6"/>
  <c r="L71" i="6"/>
  <c r="K71" i="6"/>
  <c r="J71" i="6"/>
  <c r="I71" i="6"/>
  <c r="H71" i="6"/>
  <c r="G71" i="6"/>
  <c r="F71" i="6"/>
  <c r="E71" i="6"/>
  <c r="D71" i="6"/>
  <c r="C71" i="6"/>
  <c r="B71" i="6"/>
  <c r="A71" i="6"/>
  <c r="O70" i="6"/>
  <c r="N70" i="6"/>
  <c r="M70" i="6"/>
  <c r="L70" i="6"/>
  <c r="K70" i="6"/>
  <c r="J70" i="6"/>
  <c r="I70" i="6"/>
  <c r="H70" i="6"/>
  <c r="G70" i="6"/>
  <c r="F70" i="6"/>
  <c r="E70" i="6"/>
  <c r="D70" i="6"/>
  <c r="C70" i="6"/>
  <c r="B70" i="6"/>
  <c r="A70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A69" i="6"/>
  <c r="O68" i="6"/>
  <c r="N68" i="6"/>
  <c r="M68" i="6"/>
  <c r="L68" i="6"/>
  <c r="K68" i="6"/>
  <c r="J68" i="6"/>
  <c r="I68" i="6"/>
  <c r="H68" i="6"/>
  <c r="G68" i="6"/>
  <c r="F68" i="6"/>
  <c r="E68" i="6"/>
  <c r="D68" i="6"/>
  <c r="C68" i="6"/>
  <c r="B68" i="6"/>
  <c r="A68" i="6"/>
  <c r="O67" i="6"/>
  <c r="N67" i="6"/>
  <c r="M67" i="6"/>
  <c r="L67" i="6"/>
  <c r="K67" i="6"/>
  <c r="J67" i="6"/>
  <c r="I67" i="6"/>
  <c r="H67" i="6"/>
  <c r="G67" i="6"/>
  <c r="F67" i="6"/>
  <c r="E67" i="6"/>
  <c r="D67" i="6"/>
  <c r="C67" i="6"/>
  <c r="B67" i="6"/>
  <c r="A67" i="6"/>
  <c r="O66" i="6"/>
  <c r="N66" i="6"/>
  <c r="M66" i="6"/>
  <c r="L66" i="6"/>
  <c r="K66" i="6"/>
  <c r="J66" i="6"/>
  <c r="I66" i="6"/>
  <c r="H66" i="6"/>
  <c r="G66" i="6"/>
  <c r="F66" i="6"/>
  <c r="E66" i="6"/>
  <c r="D66" i="6"/>
  <c r="C66" i="6"/>
  <c r="B66" i="6"/>
  <c r="A66" i="6"/>
  <c r="O65" i="6"/>
  <c r="N65" i="6"/>
  <c r="M65" i="6"/>
  <c r="L65" i="6"/>
  <c r="K65" i="6"/>
  <c r="J65" i="6"/>
  <c r="I65" i="6"/>
  <c r="H65" i="6"/>
  <c r="G65" i="6"/>
  <c r="F65" i="6"/>
  <c r="E65" i="6"/>
  <c r="D65" i="6"/>
  <c r="C65" i="6"/>
  <c r="B65" i="6"/>
  <c r="A65" i="6"/>
  <c r="O64" i="6"/>
  <c r="N64" i="6"/>
  <c r="M64" i="6"/>
  <c r="L64" i="6"/>
  <c r="K64" i="6"/>
  <c r="J64" i="6"/>
  <c r="I64" i="6"/>
  <c r="H64" i="6"/>
  <c r="G64" i="6"/>
  <c r="F64" i="6"/>
  <c r="E64" i="6"/>
  <c r="D64" i="6"/>
  <c r="C64" i="6"/>
  <c r="B64" i="6"/>
  <c r="A64" i="6"/>
  <c r="O63" i="6"/>
  <c r="N63" i="6"/>
  <c r="M63" i="6"/>
  <c r="L63" i="6"/>
  <c r="K63" i="6"/>
  <c r="J63" i="6"/>
  <c r="I63" i="6"/>
  <c r="H63" i="6"/>
  <c r="G63" i="6"/>
  <c r="F63" i="6"/>
  <c r="E63" i="6"/>
  <c r="D63" i="6"/>
  <c r="C63" i="6"/>
  <c r="B63" i="6"/>
  <c r="A63" i="6"/>
  <c r="O62" i="6"/>
  <c r="N62" i="6"/>
  <c r="M62" i="6"/>
  <c r="L62" i="6"/>
  <c r="K62" i="6"/>
  <c r="J62" i="6"/>
  <c r="I62" i="6"/>
  <c r="H62" i="6"/>
  <c r="G62" i="6"/>
  <c r="F62" i="6"/>
  <c r="E62" i="6"/>
  <c r="D62" i="6"/>
  <c r="C62" i="6"/>
  <c r="B62" i="6"/>
  <c r="A62" i="6"/>
  <c r="O61" i="6"/>
  <c r="N61" i="6"/>
  <c r="M61" i="6"/>
  <c r="L61" i="6"/>
  <c r="K61" i="6"/>
  <c r="J61" i="6"/>
  <c r="I61" i="6"/>
  <c r="H61" i="6"/>
  <c r="G61" i="6"/>
  <c r="F61" i="6"/>
  <c r="E61" i="6"/>
  <c r="D61" i="6"/>
  <c r="C61" i="6"/>
  <c r="B61" i="6"/>
  <c r="A61" i="6"/>
  <c r="O60" i="6"/>
  <c r="N60" i="6"/>
  <c r="M60" i="6"/>
  <c r="L60" i="6"/>
  <c r="K60" i="6"/>
  <c r="J60" i="6"/>
  <c r="I60" i="6"/>
  <c r="H60" i="6"/>
  <c r="G60" i="6"/>
  <c r="F60" i="6"/>
  <c r="E60" i="6"/>
  <c r="D60" i="6"/>
  <c r="C60" i="6"/>
  <c r="B60" i="6"/>
  <c r="A60" i="6"/>
  <c r="O59" i="6"/>
  <c r="N59" i="6"/>
  <c r="M59" i="6"/>
  <c r="L59" i="6"/>
  <c r="K59" i="6"/>
  <c r="J59" i="6"/>
  <c r="I59" i="6"/>
  <c r="H59" i="6"/>
  <c r="G59" i="6"/>
  <c r="F59" i="6"/>
  <c r="E59" i="6"/>
  <c r="D59" i="6"/>
  <c r="C59" i="6"/>
  <c r="B59" i="6"/>
  <c r="A59" i="6"/>
  <c r="O58" i="6"/>
  <c r="N58" i="6"/>
  <c r="M58" i="6"/>
  <c r="L58" i="6"/>
  <c r="K58" i="6"/>
  <c r="J58" i="6"/>
  <c r="I58" i="6"/>
  <c r="H58" i="6"/>
  <c r="G58" i="6"/>
  <c r="F58" i="6"/>
  <c r="E58" i="6"/>
  <c r="D58" i="6"/>
  <c r="C58" i="6"/>
  <c r="B58" i="6"/>
  <c r="A58" i="6"/>
  <c r="O57" i="6"/>
  <c r="N57" i="6"/>
  <c r="M57" i="6"/>
  <c r="L57" i="6"/>
  <c r="K57" i="6"/>
  <c r="J57" i="6"/>
  <c r="I57" i="6"/>
  <c r="H57" i="6"/>
  <c r="G57" i="6"/>
  <c r="F57" i="6"/>
  <c r="E57" i="6"/>
  <c r="D57" i="6"/>
  <c r="C57" i="6"/>
  <c r="B57" i="6"/>
  <c r="A57" i="6"/>
  <c r="O56" i="6"/>
  <c r="N56" i="6"/>
  <c r="M56" i="6"/>
  <c r="L56" i="6"/>
  <c r="K56" i="6"/>
  <c r="J56" i="6"/>
  <c r="I56" i="6"/>
  <c r="H56" i="6"/>
  <c r="G56" i="6"/>
  <c r="F56" i="6"/>
  <c r="E56" i="6"/>
  <c r="D56" i="6"/>
  <c r="C56" i="6"/>
  <c r="B56" i="6"/>
  <c r="A56" i="6"/>
  <c r="O55" i="6"/>
  <c r="N55" i="6"/>
  <c r="M55" i="6"/>
  <c r="L55" i="6"/>
  <c r="K55" i="6"/>
  <c r="J55" i="6"/>
  <c r="I55" i="6"/>
  <c r="H55" i="6"/>
  <c r="G55" i="6"/>
  <c r="F55" i="6"/>
  <c r="E55" i="6"/>
  <c r="D55" i="6"/>
  <c r="C55" i="6"/>
  <c r="B55" i="6"/>
  <c r="A55" i="6"/>
  <c r="O54" i="6"/>
  <c r="N54" i="6"/>
  <c r="M54" i="6"/>
  <c r="L54" i="6"/>
  <c r="K54" i="6"/>
  <c r="J54" i="6"/>
  <c r="I54" i="6"/>
  <c r="H54" i="6"/>
  <c r="G54" i="6"/>
  <c r="F54" i="6"/>
  <c r="E54" i="6"/>
  <c r="D54" i="6"/>
  <c r="C54" i="6"/>
  <c r="B54" i="6"/>
  <c r="A54" i="6"/>
  <c r="O53" i="6"/>
  <c r="N53" i="6"/>
  <c r="M53" i="6"/>
  <c r="L53" i="6"/>
  <c r="K53" i="6"/>
  <c r="J53" i="6"/>
  <c r="I53" i="6"/>
  <c r="H53" i="6"/>
  <c r="G53" i="6"/>
  <c r="F53" i="6"/>
  <c r="E53" i="6"/>
  <c r="D53" i="6"/>
  <c r="C53" i="6"/>
  <c r="B53" i="6"/>
  <c r="A53" i="6"/>
  <c r="O52" i="6"/>
  <c r="N52" i="6"/>
  <c r="M52" i="6"/>
  <c r="L52" i="6"/>
  <c r="K52" i="6"/>
  <c r="J52" i="6"/>
  <c r="I52" i="6"/>
  <c r="H52" i="6"/>
  <c r="G52" i="6"/>
  <c r="F52" i="6"/>
  <c r="E52" i="6"/>
  <c r="D52" i="6"/>
  <c r="C52" i="6"/>
  <c r="B52" i="6"/>
  <c r="A52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A51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A50" i="6"/>
  <c r="O49" i="6"/>
  <c r="N49" i="6"/>
  <c r="M49" i="6"/>
  <c r="L49" i="6"/>
  <c r="K49" i="6"/>
  <c r="J49" i="6"/>
  <c r="I49" i="6"/>
  <c r="H49" i="6"/>
  <c r="G49" i="6"/>
  <c r="F49" i="6"/>
  <c r="E49" i="6"/>
  <c r="D49" i="6"/>
  <c r="C49" i="6"/>
  <c r="B49" i="6"/>
  <c r="A49" i="6"/>
  <c r="O48" i="6"/>
  <c r="N48" i="6"/>
  <c r="M48" i="6"/>
  <c r="L48" i="6"/>
  <c r="K48" i="6"/>
  <c r="J48" i="6"/>
  <c r="I48" i="6"/>
  <c r="H48" i="6"/>
  <c r="G48" i="6"/>
  <c r="F48" i="6"/>
  <c r="E48" i="6"/>
  <c r="D48" i="6"/>
  <c r="C48" i="6"/>
  <c r="B48" i="6"/>
  <c r="A48" i="6"/>
  <c r="O47" i="6"/>
  <c r="N47" i="6"/>
  <c r="M47" i="6"/>
  <c r="L47" i="6"/>
  <c r="K47" i="6"/>
  <c r="J47" i="6"/>
  <c r="I47" i="6"/>
  <c r="H47" i="6"/>
  <c r="G47" i="6"/>
  <c r="F47" i="6"/>
  <c r="E47" i="6"/>
  <c r="D47" i="6"/>
  <c r="C47" i="6"/>
  <c r="B47" i="6"/>
  <c r="A47" i="6"/>
  <c r="O46" i="6"/>
  <c r="N46" i="6"/>
  <c r="M46" i="6"/>
  <c r="L46" i="6"/>
  <c r="K46" i="6"/>
  <c r="J46" i="6"/>
  <c r="I46" i="6"/>
  <c r="H46" i="6"/>
  <c r="G46" i="6"/>
  <c r="F46" i="6"/>
  <c r="E46" i="6"/>
  <c r="D46" i="6"/>
  <c r="C46" i="6"/>
  <c r="B46" i="6"/>
  <c r="A46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A45" i="6"/>
  <c r="O44" i="6"/>
  <c r="N44" i="6"/>
  <c r="M44" i="6"/>
  <c r="L44" i="6"/>
  <c r="K44" i="6"/>
  <c r="J44" i="6"/>
  <c r="I44" i="6"/>
  <c r="H44" i="6"/>
  <c r="G44" i="6"/>
  <c r="F44" i="6"/>
  <c r="E44" i="6"/>
  <c r="D44" i="6"/>
  <c r="C44" i="6"/>
  <c r="B44" i="6"/>
  <c r="A44" i="6"/>
  <c r="O43" i="6"/>
  <c r="N43" i="6"/>
  <c r="M43" i="6"/>
  <c r="L43" i="6"/>
  <c r="K43" i="6"/>
  <c r="J43" i="6"/>
  <c r="I43" i="6"/>
  <c r="H43" i="6"/>
  <c r="G43" i="6"/>
  <c r="F43" i="6"/>
  <c r="E43" i="6"/>
  <c r="D43" i="6"/>
  <c r="C43" i="6"/>
  <c r="B43" i="6"/>
  <c r="A43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42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A41" i="6"/>
  <c r="O40" i="6"/>
  <c r="N40" i="6"/>
  <c r="M40" i="6"/>
  <c r="L40" i="6"/>
  <c r="K40" i="6"/>
  <c r="J40" i="6"/>
  <c r="I40" i="6"/>
  <c r="H40" i="6"/>
  <c r="G40" i="6"/>
  <c r="F40" i="6"/>
  <c r="E40" i="6"/>
  <c r="D40" i="6"/>
  <c r="C40" i="6"/>
  <c r="B40" i="6"/>
  <c r="A40" i="6"/>
  <c r="O39" i="6"/>
  <c r="N39" i="6"/>
  <c r="M39" i="6"/>
  <c r="L39" i="6"/>
  <c r="K39" i="6"/>
  <c r="J39" i="6"/>
  <c r="I39" i="6"/>
  <c r="H39" i="6"/>
  <c r="G39" i="6"/>
  <c r="F39" i="6"/>
  <c r="E39" i="6"/>
  <c r="D39" i="6"/>
  <c r="C39" i="6"/>
  <c r="B39" i="6"/>
  <c r="A39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B38" i="6"/>
  <c r="A38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B37" i="6"/>
  <c r="A37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A36" i="6"/>
  <c r="O35" i="6"/>
  <c r="N35" i="6"/>
  <c r="M35" i="6"/>
  <c r="L35" i="6"/>
  <c r="K35" i="6"/>
  <c r="J35" i="6"/>
  <c r="I35" i="6"/>
  <c r="H35" i="6"/>
  <c r="G35" i="6"/>
  <c r="F35" i="6"/>
  <c r="E35" i="6"/>
  <c r="D35" i="6"/>
  <c r="C35" i="6"/>
  <c r="B35" i="6"/>
  <c r="A35" i="6"/>
  <c r="O34" i="6"/>
  <c r="N34" i="6"/>
  <c r="M34" i="6"/>
  <c r="L34" i="6"/>
  <c r="K34" i="6"/>
  <c r="J34" i="6"/>
  <c r="I34" i="6"/>
  <c r="H34" i="6"/>
  <c r="G34" i="6"/>
  <c r="F34" i="6"/>
  <c r="E34" i="6"/>
  <c r="D34" i="6"/>
  <c r="C34" i="6"/>
  <c r="B34" i="6"/>
  <c r="A34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A33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A32" i="6"/>
  <c r="O31" i="6"/>
  <c r="N31" i="6"/>
  <c r="M31" i="6"/>
  <c r="L31" i="6"/>
  <c r="K31" i="6"/>
  <c r="J31" i="6"/>
  <c r="I31" i="6"/>
  <c r="H31" i="6"/>
  <c r="G31" i="6"/>
  <c r="F31" i="6"/>
  <c r="E31" i="6"/>
  <c r="D31" i="6"/>
  <c r="C31" i="6"/>
  <c r="B31" i="6"/>
  <c r="A31" i="6"/>
  <c r="O30" i="6"/>
  <c r="N30" i="6"/>
  <c r="M30" i="6"/>
  <c r="L30" i="6"/>
  <c r="K30" i="6"/>
  <c r="J30" i="6"/>
  <c r="I30" i="6"/>
  <c r="H30" i="6"/>
  <c r="G30" i="6"/>
  <c r="F30" i="6"/>
  <c r="E30" i="6"/>
  <c r="D30" i="6"/>
  <c r="C30" i="6"/>
  <c r="B30" i="6"/>
  <c r="A30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A29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A28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A27" i="6"/>
  <c r="O26" i="6"/>
  <c r="N26" i="6"/>
  <c r="M26" i="6"/>
  <c r="L26" i="6"/>
  <c r="K26" i="6"/>
  <c r="J26" i="6"/>
  <c r="I26" i="6"/>
  <c r="H26" i="6"/>
  <c r="G26" i="6"/>
  <c r="F26" i="6"/>
  <c r="E26" i="6"/>
  <c r="D26" i="6"/>
  <c r="C26" i="6"/>
  <c r="B26" i="6"/>
  <c r="A26" i="6"/>
  <c r="O25" i="6"/>
  <c r="N25" i="6"/>
  <c r="M25" i="6"/>
  <c r="L25" i="6"/>
  <c r="K25" i="6"/>
  <c r="J25" i="6"/>
  <c r="I25" i="6"/>
  <c r="H25" i="6"/>
  <c r="G25" i="6"/>
  <c r="F25" i="6"/>
  <c r="E25" i="6"/>
  <c r="D25" i="6"/>
  <c r="C25" i="6"/>
  <c r="B25" i="6"/>
  <c r="A25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A24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A23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A22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A21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A20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B19" i="6"/>
  <c r="A19" i="6"/>
  <c r="O18" i="6"/>
  <c r="N18" i="6"/>
  <c r="M18" i="6"/>
  <c r="L18" i="6"/>
  <c r="K18" i="6"/>
  <c r="J18" i="6"/>
  <c r="I18" i="6"/>
  <c r="H18" i="6"/>
  <c r="G18" i="6"/>
  <c r="F18" i="6"/>
  <c r="E18" i="6"/>
  <c r="D18" i="6"/>
  <c r="C18" i="6"/>
  <c r="B18" i="6"/>
  <c r="A18" i="6"/>
  <c r="O17" i="6"/>
  <c r="N17" i="6"/>
  <c r="M17" i="6"/>
  <c r="L17" i="6"/>
  <c r="K17" i="6"/>
  <c r="J17" i="6"/>
  <c r="I17" i="6"/>
  <c r="H17" i="6"/>
  <c r="G17" i="6"/>
  <c r="F17" i="6"/>
  <c r="E17" i="6"/>
  <c r="D17" i="6"/>
  <c r="C17" i="6"/>
  <c r="B17" i="6"/>
  <c r="A17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B16" i="6"/>
  <c r="A16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A15" i="6"/>
  <c r="O14" i="6"/>
  <c r="N14" i="6"/>
  <c r="M14" i="6"/>
  <c r="L14" i="6"/>
  <c r="K14" i="6"/>
  <c r="J14" i="6"/>
  <c r="I14" i="6"/>
  <c r="H14" i="6"/>
  <c r="G14" i="6"/>
  <c r="F14" i="6"/>
  <c r="E14" i="6"/>
  <c r="D14" i="6"/>
  <c r="C14" i="6"/>
  <c r="B14" i="6"/>
  <c r="A14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B13" i="6"/>
  <c r="A13" i="6"/>
  <c r="O12" i="6"/>
  <c r="N12" i="6"/>
  <c r="M12" i="6"/>
  <c r="L12" i="6"/>
  <c r="K12" i="6"/>
  <c r="J12" i="6"/>
  <c r="I12" i="6"/>
  <c r="H12" i="6"/>
  <c r="G12" i="6"/>
  <c r="F12" i="6"/>
  <c r="E12" i="6"/>
  <c r="D12" i="6"/>
  <c r="C12" i="6"/>
  <c r="B12" i="6"/>
  <c r="A12" i="6"/>
  <c r="O11" i="6"/>
  <c r="N11" i="6"/>
  <c r="M11" i="6"/>
  <c r="L11" i="6"/>
  <c r="K11" i="6"/>
  <c r="J11" i="6"/>
  <c r="I11" i="6"/>
  <c r="H11" i="6"/>
  <c r="G11" i="6"/>
  <c r="F11" i="6"/>
  <c r="E11" i="6"/>
  <c r="D11" i="6"/>
  <c r="C11" i="6"/>
  <c r="B11" i="6"/>
  <c r="A11" i="6"/>
  <c r="O10" i="6"/>
  <c r="N10" i="6"/>
  <c r="M10" i="6"/>
  <c r="L10" i="6"/>
  <c r="K10" i="6"/>
  <c r="J10" i="6"/>
  <c r="I10" i="6"/>
  <c r="H10" i="6"/>
  <c r="G10" i="6"/>
  <c r="F10" i="6"/>
  <c r="E10" i="6"/>
  <c r="D10" i="6"/>
  <c r="C10" i="6"/>
  <c r="B10" i="6"/>
  <c r="A10" i="6"/>
  <c r="O9" i="6"/>
  <c r="N9" i="6"/>
  <c r="M9" i="6"/>
  <c r="L9" i="6"/>
  <c r="K9" i="6"/>
  <c r="J9" i="6"/>
  <c r="I9" i="6"/>
  <c r="H9" i="6"/>
  <c r="G9" i="6"/>
  <c r="F9" i="6"/>
  <c r="E9" i="6"/>
  <c r="D9" i="6"/>
  <c r="C9" i="6"/>
  <c r="B9" i="6"/>
  <c r="A9" i="6"/>
  <c r="O8" i="6"/>
  <c r="N8" i="6"/>
  <c r="M8" i="6"/>
  <c r="L8" i="6"/>
  <c r="K8" i="6"/>
  <c r="J8" i="6"/>
  <c r="I8" i="6"/>
  <c r="H8" i="6"/>
  <c r="G8" i="6"/>
  <c r="F8" i="6"/>
  <c r="E8" i="6"/>
  <c r="D8" i="6"/>
  <c r="C8" i="6"/>
  <c r="B8" i="6"/>
  <c r="A8" i="6"/>
  <c r="O7" i="6"/>
  <c r="N7" i="6"/>
  <c r="M7" i="6"/>
  <c r="L7" i="6"/>
  <c r="K7" i="6"/>
  <c r="J7" i="6"/>
  <c r="I7" i="6"/>
  <c r="H7" i="6"/>
  <c r="G7" i="6"/>
  <c r="F7" i="6"/>
  <c r="E7" i="6"/>
  <c r="D7" i="6"/>
  <c r="C7" i="6"/>
  <c r="B7" i="6"/>
  <c r="A7" i="6"/>
  <c r="O6" i="6"/>
  <c r="N6" i="6"/>
  <c r="M6" i="6"/>
  <c r="L6" i="6"/>
  <c r="K6" i="6"/>
  <c r="J6" i="6"/>
  <c r="I6" i="6"/>
  <c r="H6" i="6"/>
  <c r="G6" i="6"/>
  <c r="F6" i="6"/>
  <c r="E6" i="6"/>
  <c r="D6" i="6"/>
  <c r="C6" i="6"/>
  <c r="B6" i="6"/>
  <c r="A6" i="6"/>
  <c r="O5" i="6"/>
  <c r="N5" i="6"/>
  <c r="M5" i="6"/>
  <c r="L5" i="6"/>
  <c r="K5" i="6"/>
  <c r="J5" i="6"/>
  <c r="I5" i="6"/>
  <c r="H5" i="6"/>
  <c r="G5" i="6"/>
  <c r="F5" i="6"/>
  <c r="E5" i="6"/>
  <c r="D5" i="6"/>
  <c r="C5" i="6"/>
  <c r="B5" i="6"/>
  <c r="A5" i="6"/>
  <c r="O4" i="6"/>
  <c r="N4" i="6"/>
  <c r="M4" i="6"/>
  <c r="L4" i="6"/>
  <c r="K4" i="6"/>
  <c r="J4" i="6"/>
  <c r="I4" i="6"/>
  <c r="H4" i="6"/>
  <c r="G4" i="6"/>
  <c r="F4" i="6"/>
  <c r="E4" i="6"/>
  <c r="D4" i="6"/>
  <c r="C4" i="6"/>
  <c r="B4" i="6"/>
  <c r="A4" i="6"/>
  <c r="O3" i="6"/>
  <c r="N3" i="6"/>
  <c r="M3" i="6"/>
  <c r="L3" i="6"/>
  <c r="K3" i="6"/>
  <c r="J3" i="6"/>
  <c r="I3" i="6"/>
  <c r="H3" i="6"/>
  <c r="G3" i="6"/>
  <c r="F3" i="6"/>
  <c r="E3" i="6"/>
  <c r="D3" i="6"/>
  <c r="C3" i="6"/>
  <c r="B3" i="6"/>
  <c r="A3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A2" i="6"/>
  <c r="N199" i="5"/>
  <c r="M199" i="5"/>
  <c r="L199" i="5"/>
  <c r="K199" i="5"/>
  <c r="J199" i="5"/>
  <c r="I199" i="5"/>
  <c r="H199" i="5"/>
  <c r="G199" i="5"/>
  <c r="F199" i="5"/>
  <c r="E199" i="5"/>
  <c r="D199" i="5"/>
  <c r="C199" i="5"/>
  <c r="B199" i="5"/>
  <c r="A199" i="5"/>
  <c r="N198" i="5"/>
  <c r="M198" i="5"/>
  <c r="L198" i="5"/>
  <c r="K198" i="5"/>
  <c r="J198" i="5"/>
  <c r="I198" i="5"/>
  <c r="H198" i="5"/>
  <c r="G198" i="5"/>
  <c r="F198" i="5"/>
  <c r="E198" i="5"/>
  <c r="D198" i="5"/>
  <c r="C198" i="5"/>
  <c r="B198" i="5"/>
  <c r="A198" i="5"/>
  <c r="N197" i="5"/>
  <c r="M197" i="5"/>
  <c r="L197" i="5"/>
  <c r="K197" i="5"/>
  <c r="J197" i="5"/>
  <c r="I197" i="5"/>
  <c r="H197" i="5"/>
  <c r="G197" i="5"/>
  <c r="F197" i="5"/>
  <c r="E197" i="5"/>
  <c r="D197" i="5"/>
  <c r="C197" i="5"/>
  <c r="B197" i="5"/>
  <c r="A197" i="5"/>
  <c r="N196" i="5"/>
  <c r="M196" i="5"/>
  <c r="L196" i="5"/>
  <c r="K196" i="5"/>
  <c r="J196" i="5"/>
  <c r="I196" i="5"/>
  <c r="H196" i="5"/>
  <c r="G196" i="5"/>
  <c r="F196" i="5"/>
  <c r="E196" i="5"/>
  <c r="D196" i="5"/>
  <c r="C196" i="5"/>
  <c r="B196" i="5"/>
  <c r="A196" i="5"/>
  <c r="N195" i="5"/>
  <c r="M195" i="5"/>
  <c r="L195" i="5"/>
  <c r="K195" i="5"/>
  <c r="J195" i="5"/>
  <c r="I195" i="5"/>
  <c r="H195" i="5"/>
  <c r="G195" i="5"/>
  <c r="F195" i="5"/>
  <c r="E195" i="5"/>
  <c r="D195" i="5"/>
  <c r="C195" i="5"/>
  <c r="B195" i="5"/>
  <c r="A195" i="5"/>
  <c r="N194" i="5"/>
  <c r="M194" i="5"/>
  <c r="L194" i="5"/>
  <c r="K194" i="5"/>
  <c r="J194" i="5"/>
  <c r="I194" i="5"/>
  <c r="H194" i="5"/>
  <c r="G194" i="5"/>
  <c r="F194" i="5"/>
  <c r="E194" i="5"/>
  <c r="D194" i="5"/>
  <c r="C194" i="5"/>
  <c r="B194" i="5"/>
  <c r="A194" i="5"/>
  <c r="N193" i="5"/>
  <c r="M193" i="5"/>
  <c r="L193" i="5"/>
  <c r="K193" i="5"/>
  <c r="J193" i="5"/>
  <c r="I193" i="5"/>
  <c r="H193" i="5"/>
  <c r="G193" i="5"/>
  <c r="F193" i="5"/>
  <c r="E193" i="5"/>
  <c r="D193" i="5"/>
  <c r="C193" i="5"/>
  <c r="B193" i="5"/>
  <c r="A193" i="5"/>
  <c r="N192" i="5"/>
  <c r="M192" i="5"/>
  <c r="L192" i="5"/>
  <c r="K192" i="5"/>
  <c r="J192" i="5"/>
  <c r="I192" i="5"/>
  <c r="H192" i="5"/>
  <c r="G192" i="5"/>
  <c r="F192" i="5"/>
  <c r="E192" i="5"/>
  <c r="D192" i="5"/>
  <c r="C192" i="5"/>
  <c r="B192" i="5"/>
  <c r="A192" i="5"/>
  <c r="N191" i="5"/>
  <c r="M191" i="5"/>
  <c r="L191" i="5"/>
  <c r="K191" i="5"/>
  <c r="J191" i="5"/>
  <c r="I191" i="5"/>
  <c r="H191" i="5"/>
  <c r="G191" i="5"/>
  <c r="F191" i="5"/>
  <c r="E191" i="5"/>
  <c r="D191" i="5"/>
  <c r="C191" i="5"/>
  <c r="B191" i="5"/>
  <c r="A191" i="5"/>
  <c r="N190" i="5"/>
  <c r="M190" i="5"/>
  <c r="L190" i="5"/>
  <c r="K190" i="5"/>
  <c r="J190" i="5"/>
  <c r="I190" i="5"/>
  <c r="H190" i="5"/>
  <c r="G190" i="5"/>
  <c r="F190" i="5"/>
  <c r="E190" i="5"/>
  <c r="D190" i="5"/>
  <c r="C190" i="5"/>
  <c r="B190" i="5"/>
  <c r="A190" i="5"/>
  <c r="N189" i="5"/>
  <c r="M189" i="5"/>
  <c r="L189" i="5"/>
  <c r="K189" i="5"/>
  <c r="J189" i="5"/>
  <c r="I189" i="5"/>
  <c r="H189" i="5"/>
  <c r="G189" i="5"/>
  <c r="F189" i="5"/>
  <c r="E189" i="5"/>
  <c r="D189" i="5"/>
  <c r="C189" i="5"/>
  <c r="B189" i="5"/>
  <c r="A189" i="5"/>
  <c r="N188" i="5"/>
  <c r="M188" i="5"/>
  <c r="L188" i="5"/>
  <c r="K188" i="5"/>
  <c r="J188" i="5"/>
  <c r="I188" i="5"/>
  <c r="H188" i="5"/>
  <c r="G188" i="5"/>
  <c r="F188" i="5"/>
  <c r="E188" i="5"/>
  <c r="D188" i="5"/>
  <c r="C188" i="5"/>
  <c r="B188" i="5"/>
  <c r="A188" i="5"/>
  <c r="N187" i="5"/>
  <c r="M187" i="5"/>
  <c r="L187" i="5"/>
  <c r="K187" i="5"/>
  <c r="J187" i="5"/>
  <c r="I187" i="5"/>
  <c r="H187" i="5"/>
  <c r="G187" i="5"/>
  <c r="F187" i="5"/>
  <c r="E187" i="5"/>
  <c r="D187" i="5"/>
  <c r="C187" i="5"/>
  <c r="B187" i="5"/>
  <c r="A187" i="5"/>
  <c r="N186" i="5"/>
  <c r="M186" i="5"/>
  <c r="L186" i="5"/>
  <c r="K186" i="5"/>
  <c r="J186" i="5"/>
  <c r="I186" i="5"/>
  <c r="H186" i="5"/>
  <c r="G186" i="5"/>
  <c r="F186" i="5"/>
  <c r="E186" i="5"/>
  <c r="D186" i="5"/>
  <c r="C186" i="5"/>
  <c r="B186" i="5"/>
  <c r="A186" i="5"/>
  <c r="N185" i="5"/>
  <c r="M185" i="5"/>
  <c r="L185" i="5"/>
  <c r="K185" i="5"/>
  <c r="J185" i="5"/>
  <c r="I185" i="5"/>
  <c r="H185" i="5"/>
  <c r="G185" i="5"/>
  <c r="F185" i="5"/>
  <c r="E185" i="5"/>
  <c r="D185" i="5"/>
  <c r="C185" i="5"/>
  <c r="B185" i="5"/>
  <c r="A185" i="5"/>
  <c r="N184" i="5"/>
  <c r="M184" i="5"/>
  <c r="L184" i="5"/>
  <c r="K184" i="5"/>
  <c r="J184" i="5"/>
  <c r="I184" i="5"/>
  <c r="H184" i="5"/>
  <c r="G184" i="5"/>
  <c r="F184" i="5"/>
  <c r="E184" i="5"/>
  <c r="D184" i="5"/>
  <c r="C184" i="5"/>
  <c r="B184" i="5"/>
  <c r="A184" i="5"/>
  <c r="N183" i="5"/>
  <c r="M183" i="5"/>
  <c r="L183" i="5"/>
  <c r="K183" i="5"/>
  <c r="J183" i="5"/>
  <c r="I183" i="5"/>
  <c r="H183" i="5"/>
  <c r="G183" i="5"/>
  <c r="F183" i="5"/>
  <c r="E183" i="5"/>
  <c r="D183" i="5"/>
  <c r="C183" i="5"/>
  <c r="B183" i="5"/>
  <c r="A183" i="5"/>
  <c r="N182" i="5"/>
  <c r="M182" i="5"/>
  <c r="L182" i="5"/>
  <c r="K182" i="5"/>
  <c r="J182" i="5"/>
  <c r="I182" i="5"/>
  <c r="H182" i="5"/>
  <c r="G182" i="5"/>
  <c r="F182" i="5"/>
  <c r="E182" i="5"/>
  <c r="D182" i="5"/>
  <c r="C182" i="5"/>
  <c r="B182" i="5"/>
  <c r="A182" i="5"/>
  <c r="N181" i="5"/>
  <c r="M181" i="5"/>
  <c r="L181" i="5"/>
  <c r="K181" i="5"/>
  <c r="J181" i="5"/>
  <c r="I181" i="5"/>
  <c r="H181" i="5"/>
  <c r="G181" i="5"/>
  <c r="F181" i="5"/>
  <c r="E181" i="5"/>
  <c r="D181" i="5"/>
  <c r="C181" i="5"/>
  <c r="B181" i="5"/>
  <c r="A181" i="5"/>
  <c r="N180" i="5"/>
  <c r="M180" i="5"/>
  <c r="L180" i="5"/>
  <c r="K180" i="5"/>
  <c r="J180" i="5"/>
  <c r="I180" i="5"/>
  <c r="H180" i="5"/>
  <c r="G180" i="5"/>
  <c r="F180" i="5"/>
  <c r="E180" i="5"/>
  <c r="D180" i="5"/>
  <c r="C180" i="5"/>
  <c r="B180" i="5"/>
  <c r="A180" i="5"/>
  <c r="N179" i="5"/>
  <c r="M179" i="5"/>
  <c r="L179" i="5"/>
  <c r="K179" i="5"/>
  <c r="J179" i="5"/>
  <c r="I179" i="5"/>
  <c r="H179" i="5"/>
  <c r="G179" i="5"/>
  <c r="F179" i="5"/>
  <c r="E179" i="5"/>
  <c r="D179" i="5"/>
  <c r="C179" i="5"/>
  <c r="B179" i="5"/>
  <c r="A179" i="5"/>
  <c r="N178" i="5"/>
  <c r="M178" i="5"/>
  <c r="L178" i="5"/>
  <c r="K178" i="5"/>
  <c r="J178" i="5"/>
  <c r="I178" i="5"/>
  <c r="H178" i="5"/>
  <c r="G178" i="5"/>
  <c r="F178" i="5"/>
  <c r="E178" i="5"/>
  <c r="D178" i="5"/>
  <c r="C178" i="5"/>
  <c r="B178" i="5"/>
  <c r="A178" i="5"/>
  <c r="N177" i="5"/>
  <c r="M177" i="5"/>
  <c r="L177" i="5"/>
  <c r="K177" i="5"/>
  <c r="J177" i="5"/>
  <c r="I177" i="5"/>
  <c r="H177" i="5"/>
  <c r="G177" i="5"/>
  <c r="F177" i="5"/>
  <c r="E177" i="5"/>
  <c r="D177" i="5"/>
  <c r="C177" i="5"/>
  <c r="B177" i="5"/>
  <c r="A177" i="5"/>
  <c r="N176" i="5"/>
  <c r="M176" i="5"/>
  <c r="L176" i="5"/>
  <c r="K176" i="5"/>
  <c r="J176" i="5"/>
  <c r="I176" i="5"/>
  <c r="H176" i="5"/>
  <c r="G176" i="5"/>
  <c r="F176" i="5"/>
  <c r="E176" i="5"/>
  <c r="D176" i="5"/>
  <c r="C176" i="5"/>
  <c r="B176" i="5"/>
  <c r="A176" i="5"/>
  <c r="N175" i="5"/>
  <c r="M175" i="5"/>
  <c r="L175" i="5"/>
  <c r="K175" i="5"/>
  <c r="J175" i="5"/>
  <c r="I175" i="5"/>
  <c r="H175" i="5"/>
  <c r="G175" i="5"/>
  <c r="F175" i="5"/>
  <c r="E175" i="5"/>
  <c r="D175" i="5"/>
  <c r="C175" i="5"/>
  <c r="B175" i="5"/>
  <c r="A175" i="5"/>
  <c r="N174" i="5"/>
  <c r="M174" i="5"/>
  <c r="L174" i="5"/>
  <c r="K174" i="5"/>
  <c r="J174" i="5"/>
  <c r="I174" i="5"/>
  <c r="H174" i="5"/>
  <c r="G174" i="5"/>
  <c r="F174" i="5"/>
  <c r="E174" i="5"/>
  <c r="D174" i="5"/>
  <c r="C174" i="5"/>
  <c r="B174" i="5"/>
  <c r="A174" i="5"/>
  <c r="N173" i="5"/>
  <c r="M173" i="5"/>
  <c r="L173" i="5"/>
  <c r="K173" i="5"/>
  <c r="J173" i="5"/>
  <c r="I173" i="5"/>
  <c r="H173" i="5"/>
  <c r="G173" i="5"/>
  <c r="F173" i="5"/>
  <c r="E173" i="5"/>
  <c r="D173" i="5"/>
  <c r="C173" i="5"/>
  <c r="B173" i="5"/>
  <c r="A173" i="5"/>
  <c r="N172" i="5"/>
  <c r="M172" i="5"/>
  <c r="L172" i="5"/>
  <c r="K172" i="5"/>
  <c r="J172" i="5"/>
  <c r="I172" i="5"/>
  <c r="H172" i="5"/>
  <c r="G172" i="5"/>
  <c r="F172" i="5"/>
  <c r="E172" i="5"/>
  <c r="D172" i="5"/>
  <c r="C172" i="5"/>
  <c r="B172" i="5"/>
  <c r="A172" i="5"/>
  <c r="N171" i="5"/>
  <c r="M171" i="5"/>
  <c r="L171" i="5"/>
  <c r="K171" i="5"/>
  <c r="J171" i="5"/>
  <c r="I171" i="5"/>
  <c r="H171" i="5"/>
  <c r="G171" i="5"/>
  <c r="F171" i="5"/>
  <c r="E171" i="5"/>
  <c r="D171" i="5"/>
  <c r="C171" i="5"/>
  <c r="B171" i="5"/>
  <c r="A171" i="5"/>
  <c r="N170" i="5"/>
  <c r="M170" i="5"/>
  <c r="L170" i="5"/>
  <c r="K170" i="5"/>
  <c r="J170" i="5"/>
  <c r="I170" i="5"/>
  <c r="H170" i="5"/>
  <c r="G170" i="5"/>
  <c r="F170" i="5"/>
  <c r="E170" i="5"/>
  <c r="D170" i="5"/>
  <c r="C170" i="5"/>
  <c r="B170" i="5"/>
  <c r="A170" i="5"/>
  <c r="N169" i="5"/>
  <c r="M169" i="5"/>
  <c r="L169" i="5"/>
  <c r="K169" i="5"/>
  <c r="J169" i="5"/>
  <c r="I169" i="5"/>
  <c r="H169" i="5"/>
  <c r="G169" i="5"/>
  <c r="F169" i="5"/>
  <c r="E169" i="5"/>
  <c r="D169" i="5"/>
  <c r="C169" i="5"/>
  <c r="B169" i="5"/>
  <c r="A169" i="5"/>
  <c r="N168" i="5"/>
  <c r="M168" i="5"/>
  <c r="L168" i="5"/>
  <c r="K168" i="5"/>
  <c r="J168" i="5"/>
  <c r="I168" i="5"/>
  <c r="H168" i="5"/>
  <c r="G168" i="5"/>
  <c r="F168" i="5"/>
  <c r="E168" i="5"/>
  <c r="D168" i="5"/>
  <c r="C168" i="5"/>
  <c r="B168" i="5"/>
  <c r="A168" i="5"/>
  <c r="N167" i="5"/>
  <c r="M167" i="5"/>
  <c r="L167" i="5"/>
  <c r="K167" i="5"/>
  <c r="J167" i="5"/>
  <c r="I167" i="5"/>
  <c r="H167" i="5"/>
  <c r="G167" i="5"/>
  <c r="F167" i="5"/>
  <c r="E167" i="5"/>
  <c r="D167" i="5"/>
  <c r="C167" i="5"/>
  <c r="B167" i="5"/>
  <c r="A167" i="5"/>
  <c r="N166" i="5"/>
  <c r="M166" i="5"/>
  <c r="L166" i="5"/>
  <c r="K166" i="5"/>
  <c r="J166" i="5"/>
  <c r="I166" i="5"/>
  <c r="H166" i="5"/>
  <c r="G166" i="5"/>
  <c r="F166" i="5"/>
  <c r="E166" i="5"/>
  <c r="D166" i="5"/>
  <c r="C166" i="5"/>
  <c r="B166" i="5"/>
  <c r="A166" i="5"/>
  <c r="N165" i="5"/>
  <c r="M165" i="5"/>
  <c r="L165" i="5"/>
  <c r="K165" i="5"/>
  <c r="J165" i="5"/>
  <c r="I165" i="5"/>
  <c r="H165" i="5"/>
  <c r="G165" i="5"/>
  <c r="F165" i="5"/>
  <c r="E165" i="5"/>
  <c r="D165" i="5"/>
  <c r="C165" i="5"/>
  <c r="B165" i="5"/>
  <c r="A165" i="5"/>
  <c r="N164" i="5"/>
  <c r="M164" i="5"/>
  <c r="L164" i="5"/>
  <c r="K164" i="5"/>
  <c r="J164" i="5"/>
  <c r="I164" i="5"/>
  <c r="H164" i="5"/>
  <c r="G164" i="5"/>
  <c r="F164" i="5"/>
  <c r="E164" i="5"/>
  <c r="D164" i="5"/>
  <c r="C164" i="5"/>
  <c r="B164" i="5"/>
  <c r="A164" i="5"/>
  <c r="N163" i="5"/>
  <c r="M163" i="5"/>
  <c r="L163" i="5"/>
  <c r="K163" i="5"/>
  <c r="J163" i="5"/>
  <c r="I163" i="5"/>
  <c r="H163" i="5"/>
  <c r="G163" i="5"/>
  <c r="F163" i="5"/>
  <c r="E163" i="5"/>
  <c r="D163" i="5"/>
  <c r="C163" i="5"/>
  <c r="B163" i="5"/>
  <c r="A163" i="5"/>
  <c r="N162" i="5"/>
  <c r="M162" i="5"/>
  <c r="L162" i="5"/>
  <c r="K162" i="5"/>
  <c r="J162" i="5"/>
  <c r="I162" i="5"/>
  <c r="H162" i="5"/>
  <c r="G162" i="5"/>
  <c r="F162" i="5"/>
  <c r="E162" i="5"/>
  <c r="D162" i="5"/>
  <c r="C162" i="5"/>
  <c r="B162" i="5"/>
  <c r="A162" i="5"/>
  <c r="N161" i="5"/>
  <c r="M161" i="5"/>
  <c r="L161" i="5"/>
  <c r="K161" i="5"/>
  <c r="J161" i="5"/>
  <c r="I161" i="5"/>
  <c r="H161" i="5"/>
  <c r="G161" i="5"/>
  <c r="F161" i="5"/>
  <c r="E161" i="5"/>
  <c r="D161" i="5"/>
  <c r="C161" i="5"/>
  <c r="B161" i="5"/>
  <c r="A161" i="5"/>
  <c r="N160" i="5"/>
  <c r="M160" i="5"/>
  <c r="L160" i="5"/>
  <c r="K160" i="5"/>
  <c r="J160" i="5"/>
  <c r="I160" i="5"/>
  <c r="H160" i="5"/>
  <c r="G160" i="5"/>
  <c r="F160" i="5"/>
  <c r="E160" i="5"/>
  <c r="D160" i="5"/>
  <c r="C160" i="5"/>
  <c r="B160" i="5"/>
  <c r="A160" i="5"/>
  <c r="N159" i="5"/>
  <c r="M159" i="5"/>
  <c r="L159" i="5"/>
  <c r="K159" i="5"/>
  <c r="J159" i="5"/>
  <c r="I159" i="5"/>
  <c r="H159" i="5"/>
  <c r="G159" i="5"/>
  <c r="F159" i="5"/>
  <c r="E159" i="5"/>
  <c r="D159" i="5"/>
  <c r="C159" i="5"/>
  <c r="B159" i="5"/>
  <c r="A159" i="5"/>
  <c r="N158" i="5"/>
  <c r="M158" i="5"/>
  <c r="L158" i="5"/>
  <c r="K158" i="5"/>
  <c r="J158" i="5"/>
  <c r="I158" i="5"/>
  <c r="H158" i="5"/>
  <c r="G158" i="5"/>
  <c r="F158" i="5"/>
  <c r="E158" i="5"/>
  <c r="D158" i="5"/>
  <c r="C158" i="5"/>
  <c r="B158" i="5"/>
  <c r="A158" i="5"/>
  <c r="N157" i="5"/>
  <c r="M157" i="5"/>
  <c r="L157" i="5"/>
  <c r="K157" i="5"/>
  <c r="J157" i="5"/>
  <c r="I157" i="5"/>
  <c r="H157" i="5"/>
  <c r="G157" i="5"/>
  <c r="F157" i="5"/>
  <c r="E157" i="5"/>
  <c r="D157" i="5"/>
  <c r="C157" i="5"/>
  <c r="B157" i="5"/>
  <c r="A157" i="5"/>
  <c r="N156" i="5"/>
  <c r="M156" i="5"/>
  <c r="L156" i="5"/>
  <c r="K156" i="5"/>
  <c r="J156" i="5"/>
  <c r="I156" i="5"/>
  <c r="H156" i="5"/>
  <c r="G156" i="5"/>
  <c r="F156" i="5"/>
  <c r="E156" i="5"/>
  <c r="D156" i="5"/>
  <c r="C156" i="5"/>
  <c r="B156" i="5"/>
  <c r="A156" i="5"/>
  <c r="N155" i="5"/>
  <c r="M155" i="5"/>
  <c r="L155" i="5"/>
  <c r="K155" i="5"/>
  <c r="J155" i="5"/>
  <c r="I155" i="5"/>
  <c r="H155" i="5"/>
  <c r="G155" i="5"/>
  <c r="F155" i="5"/>
  <c r="E155" i="5"/>
  <c r="D155" i="5"/>
  <c r="C155" i="5"/>
  <c r="B155" i="5"/>
  <c r="A155" i="5"/>
  <c r="N154" i="5"/>
  <c r="M154" i="5"/>
  <c r="L154" i="5"/>
  <c r="K154" i="5"/>
  <c r="J154" i="5"/>
  <c r="I154" i="5"/>
  <c r="H154" i="5"/>
  <c r="G154" i="5"/>
  <c r="F154" i="5"/>
  <c r="E154" i="5"/>
  <c r="D154" i="5"/>
  <c r="C154" i="5"/>
  <c r="B154" i="5"/>
  <c r="A154" i="5"/>
  <c r="N153" i="5"/>
  <c r="M153" i="5"/>
  <c r="L153" i="5"/>
  <c r="K153" i="5"/>
  <c r="J153" i="5"/>
  <c r="I153" i="5"/>
  <c r="H153" i="5"/>
  <c r="G153" i="5"/>
  <c r="F153" i="5"/>
  <c r="E153" i="5"/>
  <c r="D153" i="5"/>
  <c r="C153" i="5"/>
  <c r="B153" i="5"/>
  <c r="A153" i="5"/>
  <c r="N152" i="5"/>
  <c r="M152" i="5"/>
  <c r="L152" i="5"/>
  <c r="K152" i="5"/>
  <c r="J152" i="5"/>
  <c r="I152" i="5"/>
  <c r="H152" i="5"/>
  <c r="G152" i="5"/>
  <c r="F152" i="5"/>
  <c r="E152" i="5"/>
  <c r="D152" i="5"/>
  <c r="C152" i="5"/>
  <c r="B152" i="5"/>
  <c r="A152" i="5"/>
  <c r="N151" i="5"/>
  <c r="M151" i="5"/>
  <c r="L151" i="5"/>
  <c r="K151" i="5"/>
  <c r="J151" i="5"/>
  <c r="I151" i="5"/>
  <c r="H151" i="5"/>
  <c r="G151" i="5"/>
  <c r="F151" i="5"/>
  <c r="E151" i="5"/>
  <c r="D151" i="5"/>
  <c r="C151" i="5"/>
  <c r="B151" i="5"/>
  <c r="A151" i="5"/>
  <c r="N150" i="5"/>
  <c r="M150" i="5"/>
  <c r="L150" i="5"/>
  <c r="K150" i="5"/>
  <c r="J150" i="5"/>
  <c r="I150" i="5"/>
  <c r="H150" i="5"/>
  <c r="G150" i="5"/>
  <c r="F150" i="5"/>
  <c r="E150" i="5"/>
  <c r="D150" i="5"/>
  <c r="C150" i="5"/>
  <c r="B150" i="5"/>
  <c r="A150" i="5"/>
  <c r="N149" i="5"/>
  <c r="M149" i="5"/>
  <c r="L149" i="5"/>
  <c r="K149" i="5"/>
  <c r="J149" i="5"/>
  <c r="I149" i="5"/>
  <c r="H149" i="5"/>
  <c r="G149" i="5"/>
  <c r="F149" i="5"/>
  <c r="E149" i="5"/>
  <c r="D149" i="5"/>
  <c r="C149" i="5"/>
  <c r="B149" i="5"/>
  <c r="A149" i="5"/>
  <c r="N148" i="5"/>
  <c r="M148" i="5"/>
  <c r="L148" i="5"/>
  <c r="K148" i="5"/>
  <c r="J148" i="5"/>
  <c r="I148" i="5"/>
  <c r="H148" i="5"/>
  <c r="G148" i="5"/>
  <c r="F148" i="5"/>
  <c r="E148" i="5"/>
  <c r="D148" i="5"/>
  <c r="C148" i="5"/>
  <c r="B148" i="5"/>
  <c r="A148" i="5"/>
  <c r="N147" i="5"/>
  <c r="M147" i="5"/>
  <c r="L147" i="5"/>
  <c r="K147" i="5"/>
  <c r="J147" i="5"/>
  <c r="I147" i="5"/>
  <c r="H147" i="5"/>
  <c r="G147" i="5"/>
  <c r="F147" i="5"/>
  <c r="E147" i="5"/>
  <c r="D147" i="5"/>
  <c r="C147" i="5"/>
  <c r="B147" i="5"/>
  <c r="A147" i="5"/>
  <c r="N146" i="5"/>
  <c r="M146" i="5"/>
  <c r="L146" i="5"/>
  <c r="K146" i="5"/>
  <c r="J146" i="5"/>
  <c r="I146" i="5"/>
  <c r="H146" i="5"/>
  <c r="G146" i="5"/>
  <c r="F146" i="5"/>
  <c r="E146" i="5"/>
  <c r="D146" i="5"/>
  <c r="C146" i="5"/>
  <c r="B146" i="5"/>
  <c r="A146" i="5"/>
  <c r="N145" i="5"/>
  <c r="M145" i="5"/>
  <c r="L145" i="5"/>
  <c r="K145" i="5"/>
  <c r="J145" i="5"/>
  <c r="I145" i="5"/>
  <c r="H145" i="5"/>
  <c r="G145" i="5"/>
  <c r="F145" i="5"/>
  <c r="E145" i="5"/>
  <c r="D145" i="5"/>
  <c r="C145" i="5"/>
  <c r="B145" i="5"/>
  <c r="A145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B144" i="5"/>
  <c r="A144" i="5"/>
  <c r="N143" i="5"/>
  <c r="M143" i="5"/>
  <c r="L143" i="5"/>
  <c r="K143" i="5"/>
  <c r="J143" i="5"/>
  <c r="I143" i="5"/>
  <c r="H143" i="5"/>
  <c r="G143" i="5"/>
  <c r="F143" i="5"/>
  <c r="E143" i="5"/>
  <c r="D143" i="5"/>
  <c r="C143" i="5"/>
  <c r="B143" i="5"/>
  <c r="A143" i="5"/>
  <c r="N142" i="5"/>
  <c r="M142" i="5"/>
  <c r="L142" i="5"/>
  <c r="K142" i="5"/>
  <c r="J142" i="5"/>
  <c r="I142" i="5"/>
  <c r="H142" i="5"/>
  <c r="G142" i="5"/>
  <c r="F142" i="5"/>
  <c r="E142" i="5"/>
  <c r="D142" i="5"/>
  <c r="C142" i="5"/>
  <c r="B142" i="5"/>
  <c r="A142" i="5"/>
  <c r="N141" i="5"/>
  <c r="M141" i="5"/>
  <c r="L141" i="5"/>
  <c r="K141" i="5"/>
  <c r="J141" i="5"/>
  <c r="I141" i="5"/>
  <c r="H141" i="5"/>
  <c r="G141" i="5"/>
  <c r="F141" i="5"/>
  <c r="E141" i="5"/>
  <c r="D141" i="5"/>
  <c r="C141" i="5"/>
  <c r="B141" i="5"/>
  <c r="A141" i="5"/>
  <c r="N140" i="5"/>
  <c r="M140" i="5"/>
  <c r="L140" i="5"/>
  <c r="K140" i="5"/>
  <c r="J140" i="5"/>
  <c r="I140" i="5"/>
  <c r="H140" i="5"/>
  <c r="G140" i="5"/>
  <c r="F140" i="5"/>
  <c r="E140" i="5"/>
  <c r="D140" i="5"/>
  <c r="C140" i="5"/>
  <c r="B140" i="5"/>
  <c r="A140" i="5"/>
  <c r="N139" i="5"/>
  <c r="M139" i="5"/>
  <c r="L139" i="5"/>
  <c r="K139" i="5"/>
  <c r="J139" i="5"/>
  <c r="I139" i="5"/>
  <c r="H139" i="5"/>
  <c r="G139" i="5"/>
  <c r="F139" i="5"/>
  <c r="E139" i="5"/>
  <c r="D139" i="5"/>
  <c r="C139" i="5"/>
  <c r="B139" i="5"/>
  <c r="A139" i="5"/>
  <c r="N138" i="5"/>
  <c r="M138" i="5"/>
  <c r="L138" i="5"/>
  <c r="K138" i="5"/>
  <c r="J138" i="5"/>
  <c r="I138" i="5"/>
  <c r="H138" i="5"/>
  <c r="G138" i="5"/>
  <c r="F138" i="5"/>
  <c r="E138" i="5"/>
  <c r="D138" i="5"/>
  <c r="C138" i="5"/>
  <c r="B138" i="5"/>
  <c r="A138" i="5"/>
  <c r="N137" i="5"/>
  <c r="M137" i="5"/>
  <c r="L137" i="5"/>
  <c r="K137" i="5"/>
  <c r="J137" i="5"/>
  <c r="I137" i="5"/>
  <c r="H137" i="5"/>
  <c r="G137" i="5"/>
  <c r="F137" i="5"/>
  <c r="E137" i="5"/>
  <c r="D137" i="5"/>
  <c r="C137" i="5"/>
  <c r="B137" i="5"/>
  <c r="A137" i="5"/>
  <c r="N136" i="5"/>
  <c r="M136" i="5"/>
  <c r="L136" i="5"/>
  <c r="K136" i="5"/>
  <c r="J136" i="5"/>
  <c r="I136" i="5"/>
  <c r="H136" i="5"/>
  <c r="G136" i="5"/>
  <c r="F136" i="5"/>
  <c r="E136" i="5"/>
  <c r="D136" i="5"/>
  <c r="C136" i="5"/>
  <c r="B136" i="5"/>
  <c r="A136" i="5"/>
  <c r="N135" i="5"/>
  <c r="M135" i="5"/>
  <c r="L135" i="5"/>
  <c r="K135" i="5"/>
  <c r="J135" i="5"/>
  <c r="I135" i="5"/>
  <c r="H135" i="5"/>
  <c r="G135" i="5"/>
  <c r="F135" i="5"/>
  <c r="E135" i="5"/>
  <c r="D135" i="5"/>
  <c r="C135" i="5"/>
  <c r="B135" i="5"/>
  <c r="A135" i="5"/>
  <c r="N134" i="5"/>
  <c r="M134" i="5"/>
  <c r="L134" i="5"/>
  <c r="K134" i="5"/>
  <c r="J134" i="5"/>
  <c r="I134" i="5"/>
  <c r="H134" i="5"/>
  <c r="G134" i="5"/>
  <c r="F134" i="5"/>
  <c r="E134" i="5"/>
  <c r="D134" i="5"/>
  <c r="C134" i="5"/>
  <c r="B134" i="5"/>
  <c r="A134" i="5"/>
  <c r="N133" i="5"/>
  <c r="M133" i="5"/>
  <c r="L133" i="5"/>
  <c r="K133" i="5"/>
  <c r="J133" i="5"/>
  <c r="I133" i="5"/>
  <c r="H133" i="5"/>
  <c r="G133" i="5"/>
  <c r="F133" i="5"/>
  <c r="E133" i="5"/>
  <c r="D133" i="5"/>
  <c r="C133" i="5"/>
  <c r="B133" i="5"/>
  <c r="A133" i="5"/>
  <c r="N132" i="5"/>
  <c r="M132" i="5"/>
  <c r="L132" i="5"/>
  <c r="K132" i="5"/>
  <c r="J132" i="5"/>
  <c r="I132" i="5"/>
  <c r="H132" i="5"/>
  <c r="G132" i="5"/>
  <c r="F132" i="5"/>
  <c r="E132" i="5"/>
  <c r="D132" i="5"/>
  <c r="C132" i="5"/>
  <c r="B132" i="5"/>
  <c r="A132" i="5"/>
  <c r="N131" i="5"/>
  <c r="M131" i="5"/>
  <c r="L131" i="5"/>
  <c r="K131" i="5"/>
  <c r="J131" i="5"/>
  <c r="I131" i="5"/>
  <c r="H131" i="5"/>
  <c r="G131" i="5"/>
  <c r="F131" i="5"/>
  <c r="E131" i="5"/>
  <c r="D131" i="5"/>
  <c r="C131" i="5"/>
  <c r="B131" i="5"/>
  <c r="A131" i="5"/>
  <c r="N130" i="5"/>
  <c r="M130" i="5"/>
  <c r="L130" i="5"/>
  <c r="K130" i="5"/>
  <c r="J130" i="5"/>
  <c r="I130" i="5"/>
  <c r="H130" i="5"/>
  <c r="G130" i="5"/>
  <c r="F130" i="5"/>
  <c r="E130" i="5"/>
  <c r="D130" i="5"/>
  <c r="C130" i="5"/>
  <c r="B130" i="5"/>
  <c r="A130" i="5"/>
  <c r="N129" i="5"/>
  <c r="M129" i="5"/>
  <c r="L129" i="5"/>
  <c r="K129" i="5"/>
  <c r="J129" i="5"/>
  <c r="I129" i="5"/>
  <c r="H129" i="5"/>
  <c r="G129" i="5"/>
  <c r="F129" i="5"/>
  <c r="E129" i="5"/>
  <c r="D129" i="5"/>
  <c r="C129" i="5"/>
  <c r="B129" i="5"/>
  <c r="A129" i="5"/>
  <c r="N128" i="5"/>
  <c r="M128" i="5"/>
  <c r="L128" i="5"/>
  <c r="K128" i="5"/>
  <c r="J128" i="5"/>
  <c r="I128" i="5"/>
  <c r="H128" i="5"/>
  <c r="G128" i="5"/>
  <c r="F128" i="5"/>
  <c r="E128" i="5"/>
  <c r="D128" i="5"/>
  <c r="C128" i="5"/>
  <c r="B128" i="5"/>
  <c r="A128" i="5"/>
  <c r="N127" i="5"/>
  <c r="M127" i="5"/>
  <c r="L127" i="5"/>
  <c r="K127" i="5"/>
  <c r="J127" i="5"/>
  <c r="I127" i="5"/>
  <c r="H127" i="5"/>
  <c r="G127" i="5"/>
  <c r="F127" i="5"/>
  <c r="E127" i="5"/>
  <c r="D127" i="5"/>
  <c r="C127" i="5"/>
  <c r="B127" i="5"/>
  <c r="A127" i="5"/>
  <c r="N126" i="5"/>
  <c r="M126" i="5"/>
  <c r="L126" i="5"/>
  <c r="K126" i="5"/>
  <c r="J126" i="5"/>
  <c r="I126" i="5"/>
  <c r="H126" i="5"/>
  <c r="G126" i="5"/>
  <c r="F126" i="5"/>
  <c r="E126" i="5"/>
  <c r="D126" i="5"/>
  <c r="C126" i="5"/>
  <c r="B126" i="5"/>
  <c r="A126" i="5"/>
  <c r="N125" i="5"/>
  <c r="M125" i="5"/>
  <c r="L125" i="5"/>
  <c r="K125" i="5"/>
  <c r="J125" i="5"/>
  <c r="I125" i="5"/>
  <c r="H125" i="5"/>
  <c r="G125" i="5"/>
  <c r="F125" i="5"/>
  <c r="E125" i="5"/>
  <c r="D125" i="5"/>
  <c r="C125" i="5"/>
  <c r="B125" i="5"/>
  <c r="A125" i="5"/>
  <c r="N124" i="5"/>
  <c r="M124" i="5"/>
  <c r="L124" i="5"/>
  <c r="K124" i="5"/>
  <c r="J124" i="5"/>
  <c r="I124" i="5"/>
  <c r="H124" i="5"/>
  <c r="G124" i="5"/>
  <c r="F124" i="5"/>
  <c r="E124" i="5"/>
  <c r="D124" i="5"/>
  <c r="C124" i="5"/>
  <c r="B124" i="5"/>
  <c r="A124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B123" i="5"/>
  <c r="A123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B122" i="5"/>
  <c r="A122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B121" i="5"/>
  <c r="A121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B120" i="5"/>
  <c r="A120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B119" i="5"/>
  <c r="A119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B118" i="5"/>
  <c r="A118" i="5"/>
  <c r="N117" i="5"/>
  <c r="M117" i="5"/>
  <c r="L117" i="5"/>
  <c r="K117" i="5"/>
  <c r="J117" i="5"/>
  <c r="I117" i="5"/>
  <c r="H117" i="5"/>
  <c r="G117" i="5"/>
  <c r="F117" i="5"/>
  <c r="E117" i="5"/>
  <c r="D117" i="5"/>
  <c r="C117" i="5"/>
  <c r="B117" i="5"/>
  <c r="A117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B116" i="5"/>
  <c r="A116" i="5"/>
  <c r="N115" i="5"/>
  <c r="M115" i="5"/>
  <c r="L115" i="5"/>
  <c r="K115" i="5"/>
  <c r="J115" i="5"/>
  <c r="I115" i="5"/>
  <c r="H115" i="5"/>
  <c r="G115" i="5"/>
  <c r="F115" i="5"/>
  <c r="E115" i="5"/>
  <c r="D115" i="5"/>
  <c r="C115" i="5"/>
  <c r="B115" i="5"/>
  <c r="A115" i="5"/>
  <c r="N114" i="5"/>
  <c r="M114" i="5"/>
  <c r="L114" i="5"/>
  <c r="K114" i="5"/>
  <c r="J114" i="5"/>
  <c r="I114" i="5"/>
  <c r="H114" i="5"/>
  <c r="G114" i="5"/>
  <c r="F114" i="5"/>
  <c r="E114" i="5"/>
  <c r="D114" i="5"/>
  <c r="C114" i="5"/>
  <c r="B114" i="5"/>
  <c r="A114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B113" i="5"/>
  <c r="A113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B112" i="5"/>
  <c r="A112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B111" i="5"/>
  <c r="A111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B110" i="5"/>
  <c r="A110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B109" i="5"/>
  <c r="A109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B108" i="5"/>
  <c r="A108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B107" i="5"/>
  <c r="A107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B106" i="5"/>
  <c r="A106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B105" i="5"/>
  <c r="A105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B104" i="5"/>
  <c r="A104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B103" i="5"/>
  <c r="A103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B102" i="5"/>
  <c r="A102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B101" i="5"/>
  <c r="A101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B100" i="5"/>
  <c r="A100" i="5"/>
  <c r="N99" i="5"/>
  <c r="M99" i="5"/>
  <c r="L99" i="5"/>
  <c r="K99" i="5"/>
  <c r="J99" i="5"/>
  <c r="I99" i="5"/>
  <c r="H99" i="5"/>
  <c r="G99" i="5"/>
  <c r="F99" i="5"/>
  <c r="E99" i="5"/>
  <c r="D99" i="5"/>
  <c r="C99" i="5"/>
  <c r="B99" i="5"/>
  <c r="A99" i="5"/>
  <c r="N98" i="5"/>
  <c r="M98" i="5"/>
  <c r="L98" i="5"/>
  <c r="K98" i="5"/>
  <c r="J98" i="5"/>
  <c r="I98" i="5"/>
  <c r="H98" i="5"/>
  <c r="G98" i="5"/>
  <c r="F98" i="5"/>
  <c r="E98" i="5"/>
  <c r="D98" i="5"/>
  <c r="C98" i="5"/>
  <c r="B98" i="5"/>
  <c r="A98" i="5"/>
  <c r="N97" i="5"/>
  <c r="M97" i="5"/>
  <c r="L97" i="5"/>
  <c r="K97" i="5"/>
  <c r="J97" i="5"/>
  <c r="I97" i="5"/>
  <c r="H97" i="5"/>
  <c r="G97" i="5"/>
  <c r="F97" i="5"/>
  <c r="E97" i="5"/>
  <c r="D97" i="5"/>
  <c r="C97" i="5"/>
  <c r="B97" i="5"/>
  <c r="A97" i="5"/>
  <c r="N96" i="5"/>
  <c r="M96" i="5"/>
  <c r="L96" i="5"/>
  <c r="K96" i="5"/>
  <c r="J96" i="5"/>
  <c r="I96" i="5"/>
  <c r="H96" i="5"/>
  <c r="G96" i="5"/>
  <c r="F96" i="5"/>
  <c r="E96" i="5"/>
  <c r="D96" i="5"/>
  <c r="C96" i="5"/>
  <c r="B96" i="5"/>
  <c r="A96" i="5"/>
  <c r="N95" i="5"/>
  <c r="M95" i="5"/>
  <c r="L95" i="5"/>
  <c r="K95" i="5"/>
  <c r="J95" i="5"/>
  <c r="I95" i="5"/>
  <c r="H95" i="5"/>
  <c r="G95" i="5"/>
  <c r="F95" i="5"/>
  <c r="E95" i="5"/>
  <c r="D95" i="5"/>
  <c r="C95" i="5"/>
  <c r="B95" i="5"/>
  <c r="A95" i="5"/>
  <c r="N94" i="5"/>
  <c r="M94" i="5"/>
  <c r="L94" i="5"/>
  <c r="K94" i="5"/>
  <c r="J94" i="5"/>
  <c r="I94" i="5"/>
  <c r="H94" i="5"/>
  <c r="G94" i="5"/>
  <c r="F94" i="5"/>
  <c r="E94" i="5"/>
  <c r="D94" i="5"/>
  <c r="C94" i="5"/>
  <c r="B94" i="5"/>
  <c r="A94" i="5"/>
  <c r="N93" i="5"/>
  <c r="M93" i="5"/>
  <c r="L93" i="5"/>
  <c r="K93" i="5"/>
  <c r="J93" i="5"/>
  <c r="I93" i="5"/>
  <c r="H93" i="5"/>
  <c r="G93" i="5"/>
  <c r="F93" i="5"/>
  <c r="E93" i="5"/>
  <c r="D93" i="5"/>
  <c r="C93" i="5"/>
  <c r="B93" i="5"/>
  <c r="A93" i="5"/>
  <c r="N92" i="5"/>
  <c r="M92" i="5"/>
  <c r="L92" i="5"/>
  <c r="K92" i="5"/>
  <c r="J92" i="5"/>
  <c r="I92" i="5"/>
  <c r="H92" i="5"/>
  <c r="G92" i="5"/>
  <c r="F92" i="5"/>
  <c r="E92" i="5"/>
  <c r="D92" i="5"/>
  <c r="C92" i="5"/>
  <c r="B92" i="5"/>
  <c r="A92" i="5"/>
  <c r="N91" i="5"/>
  <c r="M91" i="5"/>
  <c r="L91" i="5"/>
  <c r="K91" i="5"/>
  <c r="J91" i="5"/>
  <c r="I91" i="5"/>
  <c r="H91" i="5"/>
  <c r="G91" i="5"/>
  <c r="F91" i="5"/>
  <c r="E91" i="5"/>
  <c r="D91" i="5"/>
  <c r="C91" i="5"/>
  <c r="B91" i="5"/>
  <c r="A91" i="5"/>
  <c r="N90" i="5"/>
  <c r="M90" i="5"/>
  <c r="L90" i="5"/>
  <c r="K90" i="5"/>
  <c r="J90" i="5"/>
  <c r="I90" i="5"/>
  <c r="H90" i="5"/>
  <c r="G90" i="5"/>
  <c r="F90" i="5"/>
  <c r="E90" i="5"/>
  <c r="D90" i="5"/>
  <c r="C90" i="5"/>
  <c r="B90" i="5"/>
  <c r="A90" i="5"/>
  <c r="N89" i="5"/>
  <c r="M89" i="5"/>
  <c r="L89" i="5"/>
  <c r="K89" i="5"/>
  <c r="J89" i="5"/>
  <c r="I89" i="5"/>
  <c r="H89" i="5"/>
  <c r="G89" i="5"/>
  <c r="F89" i="5"/>
  <c r="E89" i="5"/>
  <c r="D89" i="5"/>
  <c r="C89" i="5"/>
  <c r="B89" i="5"/>
  <c r="A89" i="5"/>
  <c r="N88" i="5"/>
  <c r="M88" i="5"/>
  <c r="L88" i="5"/>
  <c r="K88" i="5"/>
  <c r="J88" i="5"/>
  <c r="I88" i="5"/>
  <c r="H88" i="5"/>
  <c r="G88" i="5"/>
  <c r="F88" i="5"/>
  <c r="E88" i="5"/>
  <c r="D88" i="5"/>
  <c r="C88" i="5"/>
  <c r="B88" i="5"/>
  <c r="A88" i="5"/>
  <c r="N87" i="5"/>
  <c r="M87" i="5"/>
  <c r="L87" i="5"/>
  <c r="K87" i="5"/>
  <c r="J87" i="5"/>
  <c r="I87" i="5"/>
  <c r="H87" i="5"/>
  <c r="G87" i="5"/>
  <c r="F87" i="5"/>
  <c r="E87" i="5"/>
  <c r="D87" i="5"/>
  <c r="C87" i="5"/>
  <c r="B87" i="5"/>
  <c r="A87" i="5"/>
  <c r="N86" i="5"/>
  <c r="M86" i="5"/>
  <c r="L86" i="5"/>
  <c r="K86" i="5"/>
  <c r="J86" i="5"/>
  <c r="I86" i="5"/>
  <c r="H86" i="5"/>
  <c r="G86" i="5"/>
  <c r="F86" i="5"/>
  <c r="E86" i="5"/>
  <c r="D86" i="5"/>
  <c r="C86" i="5"/>
  <c r="B86" i="5"/>
  <c r="A86" i="5"/>
  <c r="N85" i="5"/>
  <c r="M85" i="5"/>
  <c r="L85" i="5"/>
  <c r="K85" i="5"/>
  <c r="J85" i="5"/>
  <c r="I85" i="5"/>
  <c r="H85" i="5"/>
  <c r="G85" i="5"/>
  <c r="F85" i="5"/>
  <c r="E85" i="5"/>
  <c r="D85" i="5"/>
  <c r="C85" i="5"/>
  <c r="B85" i="5"/>
  <c r="A85" i="5"/>
  <c r="N84" i="5"/>
  <c r="M84" i="5"/>
  <c r="L84" i="5"/>
  <c r="K84" i="5"/>
  <c r="J84" i="5"/>
  <c r="I84" i="5"/>
  <c r="H84" i="5"/>
  <c r="G84" i="5"/>
  <c r="F84" i="5"/>
  <c r="E84" i="5"/>
  <c r="D84" i="5"/>
  <c r="C84" i="5"/>
  <c r="B84" i="5"/>
  <c r="A84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A83" i="5"/>
  <c r="N82" i="5"/>
  <c r="M82" i="5"/>
  <c r="L82" i="5"/>
  <c r="K82" i="5"/>
  <c r="J82" i="5"/>
  <c r="I82" i="5"/>
  <c r="H82" i="5"/>
  <c r="G82" i="5"/>
  <c r="F82" i="5"/>
  <c r="E82" i="5"/>
  <c r="D82" i="5"/>
  <c r="C82" i="5"/>
  <c r="B82" i="5"/>
  <c r="A82" i="5"/>
  <c r="N81" i="5"/>
  <c r="M81" i="5"/>
  <c r="L81" i="5"/>
  <c r="K81" i="5"/>
  <c r="J81" i="5"/>
  <c r="I81" i="5"/>
  <c r="H81" i="5"/>
  <c r="G81" i="5"/>
  <c r="F81" i="5"/>
  <c r="E81" i="5"/>
  <c r="D81" i="5"/>
  <c r="C81" i="5"/>
  <c r="B81" i="5"/>
  <c r="A81" i="5"/>
  <c r="N80" i="5"/>
  <c r="M80" i="5"/>
  <c r="L80" i="5"/>
  <c r="K80" i="5"/>
  <c r="J80" i="5"/>
  <c r="I80" i="5"/>
  <c r="H80" i="5"/>
  <c r="G80" i="5"/>
  <c r="F80" i="5"/>
  <c r="E80" i="5"/>
  <c r="D80" i="5"/>
  <c r="C80" i="5"/>
  <c r="B80" i="5"/>
  <c r="A80" i="5"/>
  <c r="N79" i="5"/>
  <c r="M79" i="5"/>
  <c r="L79" i="5"/>
  <c r="K79" i="5"/>
  <c r="J79" i="5"/>
  <c r="I79" i="5"/>
  <c r="H79" i="5"/>
  <c r="G79" i="5"/>
  <c r="F79" i="5"/>
  <c r="E79" i="5"/>
  <c r="D79" i="5"/>
  <c r="C79" i="5"/>
  <c r="B79" i="5"/>
  <c r="A79" i="5"/>
  <c r="N78" i="5"/>
  <c r="M78" i="5"/>
  <c r="L78" i="5"/>
  <c r="K78" i="5"/>
  <c r="J78" i="5"/>
  <c r="I78" i="5"/>
  <c r="H78" i="5"/>
  <c r="G78" i="5"/>
  <c r="F78" i="5"/>
  <c r="E78" i="5"/>
  <c r="D78" i="5"/>
  <c r="C78" i="5"/>
  <c r="B78" i="5"/>
  <c r="A78" i="5"/>
  <c r="N77" i="5"/>
  <c r="M77" i="5"/>
  <c r="L77" i="5"/>
  <c r="K77" i="5"/>
  <c r="J77" i="5"/>
  <c r="I77" i="5"/>
  <c r="H77" i="5"/>
  <c r="G77" i="5"/>
  <c r="F77" i="5"/>
  <c r="E77" i="5"/>
  <c r="D77" i="5"/>
  <c r="C77" i="5"/>
  <c r="B77" i="5"/>
  <c r="A77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A76" i="5"/>
  <c r="N75" i="5"/>
  <c r="M75" i="5"/>
  <c r="L75" i="5"/>
  <c r="K75" i="5"/>
  <c r="J75" i="5"/>
  <c r="I75" i="5"/>
  <c r="H75" i="5"/>
  <c r="G75" i="5"/>
  <c r="F75" i="5"/>
  <c r="E75" i="5"/>
  <c r="D75" i="5"/>
  <c r="C75" i="5"/>
  <c r="B75" i="5"/>
  <c r="A75" i="5"/>
  <c r="N74" i="5"/>
  <c r="M74" i="5"/>
  <c r="L74" i="5"/>
  <c r="K74" i="5"/>
  <c r="J74" i="5"/>
  <c r="I74" i="5"/>
  <c r="H74" i="5"/>
  <c r="G74" i="5"/>
  <c r="F74" i="5"/>
  <c r="E74" i="5"/>
  <c r="D74" i="5"/>
  <c r="C74" i="5"/>
  <c r="B74" i="5"/>
  <c r="A74" i="5"/>
  <c r="N73" i="5"/>
  <c r="M73" i="5"/>
  <c r="L73" i="5"/>
  <c r="K73" i="5"/>
  <c r="J73" i="5"/>
  <c r="I73" i="5"/>
  <c r="H73" i="5"/>
  <c r="G73" i="5"/>
  <c r="F73" i="5"/>
  <c r="E73" i="5"/>
  <c r="D73" i="5"/>
  <c r="C73" i="5"/>
  <c r="B73" i="5"/>
  <c r="A73" i="5"/>
  <c r="N72" i="5"/>
  <c r="M72" i="5"/>
  <c r="L72" i="5"/>
  <c r="K72" i="5"/>
  <c r="J72" i="5"/>
  <c r="I72" i="5"/>
  <c r="H72" i="5"/>
  <c r="G72" i="5"/>
  <c r="F72" i="5"/>
  <c r="E72" i="5"/>
  <c r="D72" i="5"/>
  <c r="C72" i="5"/>
  <c r="B72" i="5"/>
  <c r="A72" i="5"/>
  <c r="N71" i="5"/>
  <c r="M71" i="5"/>
  <c r="L71" i="5"/>
  <c r="K71" i="5"/>
  <c r="J71" i="5"/>
  <c r="I71" i="5"/>
  <c r="H71" i="5"/>
  <c r="G71" i="5"/>
  <c r="F71" i="5"/>
  <c r="E71" i="5"/>
  <c r="D71" i="5"/>
  <c r="C71" i="5"/>
  <c r="B71" i="5"/>
  <c r="A71" i="5"/>
  <c r="N70" i="5"/>
  <c r="M70" i="5"/>
  <c r="L70" i="5"/>
  <c r="K70" i="5"/>
  <c r="J70" i="5"/>
  <c r="I70" i="5"/>
  <c r="H70" i="5"/>
  <c r="G70" i="5"/>
  <c r="F70" i="5"/>
  <c r="E70" i="5"/>
  <c r="D70" i="5"/>
  <c r="C70" i="5"/>
  <c r="B70" i="5"/>
  <c r="A70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A69" i="5"/>
  <c r="N68" i="5"/>
  <c r="M68" i="5"/>
  <c r="L68" i="5"/>
  <c r="K68" i="5"/>
  <c r="J68" i="5"/>
  <c r="I68" i="5"/>
  <c r="H68" i="5"/>
  <c r="G68" i="5"/>
  <c r="F68" i="5"/>
  <c r="E68" i="5"/>
  <c r="D68" i="5"/>
  <c r="C68" i="5"/>
  <c r="B68" i="5"/>
  <c r="A68" i="5"/>
  <c r="N67" i="5"/>
  <c r="M67" i="5"/>
  <c r="L67" i="5"/>
  <c r="K67" i="5"/>
  <c r="J67" i="5"/>
  <c r="I67" i="5"/>
  <c r="H67" i="5"/>
  <c r="G67" i="5"/>
  <c r="F67" i="5"/>
  <c r="E67" i="5"/>
  <c r="D67" i="5"/>
  <c r="C67" i="5"/>
  <c r="B67" i="5"/>
  <c r="A67" i="5"/>
  <c r="N66" i="5"/>
  <c r="M66" i="5"/>
  <c r="L66" i="5"/>
  <c r="K66" i="5"/>
  <c r="J66" i="5"/>
  <c r="I66" i="5"/>
  <c r="H66" i="5"/>
  <c r="G66" i="5"/>
  <c r="F66" i="5"/>
  <c r="E66" i="5"/>
  <c r="D66" i="5"/>
  <c r="C66" i="5"/>
  <c r="B66" i="5"/>
  <c r="A66" i="5"/>
  <c r="N65" i="5"/>
  <c r="M65" i="5"/>
  <c r="L65" i="5"/>
  <c r="K65" i="5"/>
  <c r="J65" i="5"/>
  <c r="I65" i="5"/>
  <c r="H65" i="5"/>
  <c r="G65" i="5"/>
  <c r="F65" i="5"/>
  <c r="E65" i="5"/>
  <c r="D65" i="5"/>
  <c r="C65" i="5"/>
  <c r="B65" i="5"/>
  <c r="A65" i="5"/>
  <c r="N64" i="5"/>
  <c r="M64" i="5"/>
  <c r="L64" i="5"/>
  <c r="K64" i="5"/>
  <c r="J64" i="5"/>
  <c r="I64" i="5"/>
  <c r="H64" i="5"/>
  <c r="G64" i="5"/>
  <c r="F64" i="5"/>
  <c r="E64" i="5"/>
  <c r="D64" i="5"/>
  <c r="C64" i="5"/>
  <c r="B64" i="5"/>
  <c r="A64" i="5"/>
  <c r="N63" i="5"/>
  <c r="M63" i="5"/>
  <c r="L63" i="5"/>
  <c r="K63" i="5"/>
  <c r="J63" i="5"/>
  <c r="I63" i="5"/>
  <c r="H63" i="5"/>
  <c r="G63" i="5"/>
  <c r="F63" i="5"/>
  <c r="E63" i="5"/>
  <c r="D63" i="5"/>
  <c r="C63" i="5"/>
  <c r="B63" i="5"/>
  <c r="A63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A62" i="5"/>
  <c r="N61" i="5"/>
  <c r="M61" i="5"/>
  <c r="L61" i="5"/>
  <c r="K61" i="5"/>
  <c r="J61" i="5"/>
  <c r="I61" i="5"/>
  <c r="H61" i="5"/>
  <c r="G61" i="5"/>
  <c r="F61" i="5"/>
  <c r="E61" i="5"/>
  <c r="D61" i="5"/>
  <c r="C61" i="5"/>
  <c r="B61" i="5"/>
  <c r="A61" i="5"/>
  <c r="N60" i="5"/>
  <c r="M60" i="5"/>
  <c r="L60" i="5"/>
  <c r="K60" i="5"/>
  <c r="J60" i="5"/>
  <c r="I60" i="5"/>
  <c r="H60" i="5"/>
  <c r="G60" i="5"/>
  <c r="F60" i="5"/>
  <c r="E60" i="5"/>
  <c r="D60" i="5"/>
  <c r="C60" i="5"/>
  <c r="B60" i="5"/>
  <c r="A60" i="5"/>
  <c r="N59" i="5"/>
  <c r="M59" i="5"/>
  <c r="L59" i="5"/>
  <c r="K59" i="5"/>
  <c r="J59" i="5"/>
  <c r="I59" i="5"/>
  <c r="H59" i="5"/>
  <c r="G59" i="5"/>
  <c r="F59" i="5"/>
  <c r="E59" i="5"/>
  <c r="D59" i="5"/>
  <c r="C59" i="5"/>
  <c r="B59" i="5"/>
  <c r="A59" i="5"/>
  <c r="N58" i="5"/>
  <c r="M58" i="5"/>
  <c r="L58" i="5"/>
  <c r="K58" i="5"/>
  <c r="J58" i="5"/>
  <c r="I58" i="5"/>
  <c r="H58" i="5"/>
  <c r="G58" i="5"/>
  <c r="F58" i="5"/>
  <c r="E58" i="5"/>
  <c r="D58" i="5"/>
  <c r="C58" i="5"/>
  <c r="B58" i="5"/>
  <c r="A58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A57" i="5"/>
  <c r="N56" i="5"/>
  <c r="M56" i="5"/>
  <c r="L56" i="5"/>
  <c r="K56" i="5"/>
  <c r="J56" i="5"/>
  <c r="I56" i="5"/>
  <c r="H56" i="5"/>
  <c r="G56" i="5"/>
  <c r="F56" i="5"/>
  <c r="E56" i="5"/>
  <c r="D56" i="5"/>
  <c r="C56" i="5"/>
  <c r="B56" i="5"/>
  <c r="A56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A55" i="5"/>
  <c r="N54" i="5"/>
  <c r="M54" i="5"/>
  <c r="L54" i="5"/>
  <c r="K54" i="5"/>
  <c r="J54" i="5"/>
  <c r="I54" i="5"/>
  <c r="H54" i="5"/>
  <c r="G54" i="5"/>
  <c r="F54" i="5"/>
  <c r="E54" i="5"/>
  <c r="D54" i="5"/>
  <c r="C54" i="5"/>
  <c r="B54" i="5"/>
  <c r="A54" i="5"/>
  <c r="N53" i="5"/>
  <c r="M53" i="5"/>
  <c r="L53" i="5"/>
  <c r="K53" i="5"/>
  <c r="J53" i="5"/>
  <c r="I53" i="5"/>
  <c r="H53" i="5"/>
  <c r="G53" i="5"/>
  <c r="F53" i="5"/>
  <c r="E53" i="5"/>
  <c r="D53" i="5"/>
  <c r="C53" i="5"/>
  <c r="B53" i="5"/>
  <c r="A53" i="5"/>
  <c r="N52" i="5"/>
  <c r="M52" i="5"/>
  <c r="L52" i="5"/>
  <c r="K52" i="5"/>
  <c r="J52" i="5"/>
  <c r="I52" i="5"/>
  <c r="H52" i="5"/>
  <c r="G52" i="5"/>
  <c r="F52" i="5"/>
  <c r="E52" i="5"/>
  <c r="D52" i="5"/>
  <c r="C52" i="5"/>
  <c r="B52" i="5"/>
  <c r="A52" i="5"/>
  <c r="N51" i="5"/>
  <c r="M51" i="5"/>
  <c r="L51" i="5"/>
  <c r="K51" i="5"/>
  <c r="J51" i="5"/>
  <c r="I51" i="5"/>
  <c r="H51" i="5"/>
  <c r="G51" i="5"/>
  <c r="F51" i="5"/>
  <c r="E51" i="5"/>
  <c r="D51" i="5"/>
  <c r="C51" i="5"/>
  <c r="B51" i="5"/>
  <c r="A51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A50" i="5"/>
  <c r="N49" i="5"/>
  <c r="M49" i="5"/>
  <c r="L49" i="5"/>
  <c r="K49" i="5"/>
  <c r="J49" i="5"/>
  <c r="I49" i="5"/>
  <c r="H49" i="5"/>
  <c r="G49" i="5"/>
  <c r="F49" i="5"/>
  <c r="E49" i="5"/>
  <c r="D49" i="5"/>
  <c r="C49" i="5"/>
  <c r="B49" i="5"/>
  <c r="A49" i="5"/>
  <c r="N48" i="5"/>
  <c r="M48" i="5"/>
  <c r="L48" i="5"/>
  <c r="K48" i="5"/>
  <c r="J48" i="5"/>
  <c r="I48" i="5"/>
  <c r="H48" i="5"/>
  <c r="G48" i="5"/>
  <c r="F48" i="5"/>
  <c r="E48" i="5"/>
  <c r="D48" i="5"/>
  <c r="C48" i="5"/>
  <c r="B48" i="5"/>
  <c r="A48" i="5"/>
  <c r="N47" i="5"/>
  <c r="M47" i="5"/>
  <c r="L47" i="5"/>
  <c r="K47" i="5"/>
  <c r="J47" i="5"/>
  <c r="I47" i="5"/>
  <c r="H47" i="5"/>
  <c r="G47" i="5"/>
  <c r="F47" i="5"/>
  <c r="E47" i="5"/>
  <c r="D47" i="5"/>
  <c r="C47" i="5"/>
  <c r="B47" i="5"/>
  <c r="A47" i="5"/>
  <c r="N46" i="5"/>
  <c r="M46" i="5"/>
  <c r="L46" i="5"/>
  <c r="K46" i="5"/>
  <c r="J46" i="5"/>
  <c r="I46" i="5"/>
  <c r="H46" i="5"/>
  <c r="G46" i="5"/>
  <c r="F46" i="5"/>
  <c r="E46" i="5"/>
  <c r="D46" i="5"/>
  <c r="C46" i="5"/>
  <c r="B46" i="5"/>
  <c r="A46" i="5"/>
  <c r="N45" i="5"/>
  <c r="M45" i="5"/>
  <c r="L45" i="5"/>
  <c r="K45" i="5"/>
  <c r="J45" i="5"/>
  <c r="I45" i="5"/>
  <c r="H45" i="5"/>
  <c r="G45" i="5"/>
  <c r="F45" i="5"/>
  <c r="E45" i="5"/>
  <c r="D45" i="5"/>
  <c r="C45" i="5"/>
  <c r="B45" i="5"/>
  <c r="A45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A44" i="5"/>
  <c r="N43" i="5"/>
  <c r="M43" i="5"/>
  <c r="L43" i="5"/>
  <c r="K43" i="5"/>
  <c r="J43" i="5"/>
  <c r="I43" i="5"/>
  <c r="H43" i="5"/>
  <c r="G43" i="5"/>
  <c r="F43" i="5"/>
  <c r="E43" i="5"/>
  <c r="D43" i="5"/>
  <c r="C43" i="5"/>
  <c r="B43" i="5"/>
  <c r="A43" i="5"/>
  <c r="N42" i="5"/>
  <c r="M42" i="5"/>
  <c r="L42" i="5"/>
  <c r="K42" i="5"/>
  <c r="J42" i="5"/>
  <c r="I42" i="5"/>
  <c r="H42" i="5"/>
  <c r="G42" i="5"/>
  <c r="F42" i="5"/>
  <c r="E42" i="5"/>
  <c r="D42" i="5"/>
  <c r="C42" i="5"/>
  <c r="B42" i="5"/>
  <c r="A42" i="5"/>
  <c r="N41" i="5"/>
  <c r="M41" i="5"/>
  <c r="L41" i="5"/>
  <c r="K41" i="5"/>
  <c r="J41" i="5"/>
  <c r="I41" i="5"/>
  <c r="H41" i="5"/>
  <c r="G41" i="5"/>
  <c r="F41" i="5"/>
  <c r="E41" i="5"/>
  <c r="D41" i="5"/>
  <c r="C41" i="5"/>
  <c r="B41" i="5"/>
  <c r="A41" i="5"/>
  <c r="N40" i="5"/>
  <c r="M40" i="5"/>
  <c r="L40" i="5"/>
  <c r="K40" i="5"/>
  <c r="J40" i="5"/>
  <c r="I40" i="5"/>
  <c r="H40" i="5"/>
  <c r="G40" i="5"/>
  <c r="F40" i="5"/>
  <c r="E40" i="5"/>
  <c r="D40" i="5"/>
  <c r="C40" i="5"/>
  <c r="B40" i="5"/>
  <c r="A40" i="5"/>
  <c r="N39" i="5"/>
  <c r="M39" i="5"/>
  <c r="L39" i="5"/>
  <c r="K39" i="5"/>
  <c r="J39" i="5"/>
  <c r="I39" i="5"/>
  <c r="H39" i="5"/>
  <c r="G39" i="5"/>
  <c r="F39" i="5"/>
  <c r="E39" i="5"/>
  <c r="D39" i="5"/>
  <c r="C39" i="5"/>
  <c r="B39" i="5"/>
  <c r="A39" i="5"/>
  <c r="N38" i="5"/>
  <c r="M38" i="5"/>
  <c r="L38" i="5"/>
  <c r="K38" i="5"/>
  <c r="J38" i="5"/>
  <c r="I38" i="5"/>
  <c r="H38" i="5"/>
  <c r="G38" i="5"/>
  <c r="F38" i="5"/>
  <c r="E38" i="5"/>
  <c r="D38" i="5"/>
  <c r="C38" i="5"/>
  <c r="B38" i="5"/>
  <c r="A38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A37" i="5"/>
  <c r="N36" i="5"/>
  <c r="M36" i="5"/>
  <c r="L36" i="5"/>
  <c r="K36" i="5"/>
  <c r="J36" i="5"/>
  <c r="I36" i="5"/>
  <c r="H36" i="5"/>
  <c r="G36" i="5"/>
  <c r="F36" i="5"/>
  <c r="E36" i="5"/>
  <c r="D36" i="5"/>
  <c r="C36" i="5"/>
  <c r="B36" i="5"/>
  <c r="A36" i="5"/>
  <c r="N35" i="5"/>
  <c r="M35" i="5"/>
  <c r="L35" i="5"/>
  <c r="K35" i="5"/>
  <c r="J35" i="5"/>
  <c r="I35" i="5"/>
  <c r="H35" i="5"/>
  <c r="G35" i="5"/>
  <c r="F35" i="5"/>
  <c r="E35" i="5"/>
  <c r="D35" i="5"/>
  <c r="C35" i="5"/>
  <c r="B35" i="5"/>
  <c r="A35" i="5"/>
  <c r="N34" i="5"/>
  <c r="M34" i="5"/>
  <c r="L34" i="5"/>
  <c r="K34" i="5"/>
  <c r="J34" i="5"/>
  <c r="I34" i="5"/>
  <c r="H34" i="5"/>
  <c r="G34" i="5"/>
  <c r="F34" i="5"/>
  <c r="E34" i="5"/>
  <c r="D34" i="5"/>
  <c r="C34" i="5"/>
  <c r="B34" i="5"/>
  <c r="A34" i="5"/>
  <c r="N33" i="5"/>
  <c r="M33" i="5"/>
  <c r="L33" i="5"/>
  <c r="K33" i="5"/>
  <c r="J33" i="5"/>
  <c r="I33" i="5"/>
  <c r="H33" i="5"/>
  <c r="G33" i="5"/>
  <c r="F33" i="5"/>
  <c r="E33" i="5"/>
  <c r="D33" i="5"/>
  <c r="C33" i="5"/>
  <c r="B33" i="5"/>
  <c r="A33" i="5"/>
  <c r="N32" i="5"/>
  <c r="M32" i="5"/>
  <c r="L32" i="5"/>
  <c r="K32" i="5"/>
  <c r="J32" i="5"/>
  <c r="I32" i="5"/>
  <c r="H32" i="5"/>
  <c r="G32" i="5"/>
  <c r="F32" i="5"/>
  <c r="E32" i="5"/>
  <c r="D32" i="5"/>
  <c r="C32" i="5"/>
  <c r="B32" i="5"/>
  <c r="A32" i="5"/>
  <c r="N31" i="5"/>
  <c r="M31" i="5"/>
  <c r="L31" i="5"/>
  <c r="K31" i="5"/>
  <c r="J31" i="5"/>
  <c r="I31" i="5"/>
  <c r="H31" i="5"/>
  <c r="G31" i="5"/>
  <c r="F31" i="5"/>
  <c r="E31" i="5"/>
  <c r="D31" i="5"/>
  <c r="C31" i="5"/>
  <c r="B31" i="5"/>
  <c r="A31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A30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A29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A28" i="5"/>
  <c r="N27" i="5"/>
  <c r="M27" i="5"/>
  <c r="L27" i="5"/>
  <c r="K27" i="5"/>
  <c r="J27" i="5"/>
  <c r="H27" i="5"/>
  <c r="G27" i="5"/>
  <c r="F27" i="5"/>
  <c r="E27" i="5"/>
  <c r="D27" i="5"/>
  <c r="C27" i="5"/>
  <c r="B27" i="5"/>
  <c r="A27" i="5"/>
  <c r="N26" i="5"/>
  <c r="M26" i="5"/>
  <c r="L26" i="5"/>
  <c r="K26" i="5"/>
  <c r="J26" i="5"/>
  <c r="I26" i="5"/>
  <c r="H26" i="5"/>
  <c r="G26" i="5"/>
  <c r="F26" i="5"/>
  <c r="E26" i="5"/>
  <c r="D26" i="5"/>
  <c r="C26" i="5"/>
  <c r="B26" i="5"/>
  <c r="A26" i="5"/>
  <c r="N25" i="5"/>
  <c r="M25" i="5"/>
  <c r="L25" i="5"/>
  <c r="K25" i="5"/>
  <c r="J25" i="5"/>
  <c r="I25" i="5"/>
  <c r="H25" i="5"/>
  <c r="G25" i="5"/>
  <c r="F25" i="5"/>
  <c r="E25" i="5"/>
  <c r="D25" i="5"/>
  <c r="C25" i="5"/>
  <c r="B25" i="5"/>
  <c r="A25" i="5"/>
  <c r="N24" i="5"/>
  <c r="M24" i="5"/>
  <c r="L24" i="5"/>
  <c r="K24" i="5"/>
  <c r="J24" i="5"/>
  <c r="I24" i="5"/>
  <c r="H24" i="5"/>
  <c r="G24" i="5"/>
  <c r="F24" i="5"/>
  <c r="E24" i="5"/>
  <c r="D24" i="5"/>
  <c r="C24" i="5"/>
  <c r="B24" i="5"/>
  <c r="A24" i="5"/>
  <c r="N23" i="5"/>
  <c r="M23" i="5"/>
  <c r="L23" i="5"/>
  <c r="K23" i="5"/>
  <c r="J23" i="5"/>
  <c r="I23" i="5"/>
  <c r="H23" i="5"/>
  <c r="G23" i="5"/>
  <c r="F23" i="5"/>
  <c r="E23" i="5"/>
  <c r="D23" i="5"/>
  <c r="C23" i="5"/>
  <c r="B23" i="5"/>
  <c r="A23" i="5"/>
  <c r="N22" i="5"/>
  <c r="M22" i="5"/>
  <c r="L22" i="5"/>
  <c r="K22" i="5"/>
  <c r="J22" i="5"/>
  <c r="I22" i="5"/>
  <c r="H22" i="5"/>
  <c r="G22" i="5"/>
  <c r="F22" i="5"/>
  <c r="E22" i="5"/>
  <c r="D22" i="5"/>
  <c r="C22" i="5"/>
  <c r="B22" i="5"/>
  <c r="A22" i="5"/>
  <c r="N21" i="5"/>
  <c r="M21" i="5"/>
  <c r="L21" i="5"/>
  <c r="K21" i="5"/>
  <c r="J21" i="5"/>
  <c r="I21" i="5"/>
  <c r="H21" i="5"/>
  <c r="G21" i="5"/>
  <c r="F21" i="5"/>
  <c r="E21" i="5"/>
  <c r="D21" i="5"/>
  <c r="C21" i="5"/>
  <c r="B21" i="5"/>
  <c r="A21" i="5"/>
  <c r="N20" i="5"/>
  <c r="M20" i="5"/>
  <c r="L20" i="5"/>
  <c r="K20" i="5"/>
  <c r="J20" i="5"/>
  <c r="I20" i="5"/>
  <c r="H20" i="5"/>
  <c r="G20" i="5"/>
  <c r="F20" i="5"/>
  <c r="E20" i="5"/>
  <c r="D20" i="5"/>
  <c r="C20" i="5"/>
  <c r="B20" i="5"/>
  <c r="A20" i="5"/>
  <c r="N19" i="5"/>
  <c r="M19" i="5"/>
  <c r="L19" i="5"/>
  <c r="K19" i="5"/>
  <c r="J19" i="5"/>
  <c r="I19" i="5"/>
  <c r="H19" i="5"/>
  <c r="G19" i="5"/>
  <c r="F19" i="5"/>
  <c r="E19" i="5"/>
  <c r="D19" i="5"/>
  <c r="C19" i="5"/>
  <c r="B19" i="5"/>
  <c r="A19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18" i="5"/>
  <c r="N17" i="5"/>
  <c r="M17" i="5"/>
  <c r="L17" i="5"/>
  <c r="K17" i="5"/>
  <c r="J17" i="5"/>
  <c r="I17" i="5"/>
  <c r="H17" i="5"/>
  <c r="G17" i="5"/>
  <c r="F17" i="5"/>
  <c r="E17" i="5"/>
  <c r="D17" i="5"/>
  <c r="C17" i="5"/>
  <c r="B17" i="5"/>
  <c r="A17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A16" i="5"/>
  <c r="N15" i="5"/>
  <c r="M15" i="5"/>
  <c r="L15" i="5"/>
  <c r="K15" i="5"/>
  <c r="J15" i="5"/>
  <c r="I15" i="5"/>
  <c r="H15" i="5"/>
  <c r="G15" i="5"/>
  <c r="F15" i="5"/>
  <c r="E15" i="5"/>
  <c r="D15" i="5"/>
  <c r="C15" i="5"/>
  <c r="B15" i="5"/>
  <c r="A15" i="5"/>
  <c r="N14" i="5"/>
  <c r="M14" i="5"/>
  <c r="L14" i="5"/>
  <c r="K14" i="5"/>
  <c r="J14" i="5"/>
  <c r="I14" i="5"/>
  <c r="H14" i="5"/>
  <c r="G14" i="5"/>
  <c r="F14" i="5"/>
  <c r="E14" i="5"/>
  <c r="D14" i="5"/>
  <c r="C14" i="5"/>
  <c r="B14" i="5"/>
  <c r="A14" i="5"/>
  <c r="N13" i="5"/>
  <c r="M13" i="5"/>
  <c r="L13" i="5"/>
  <c r="K13" i="5"/>
  <c r="J13" i="5"/>
  <c r="I13" i="5"/>
  <c r="H13" i="5"/>
  <c r="G13" i="5"/>
  <c r="F13" i="5"/>
  <c r="E13" i="5"/>
  <c r="D13" i="5"/>
  <c r="C13" i="5"/>
  <c r="B13" i="5"/>
  <c r="A13" i="5"/>
  <c r="N12" i="5"/>
  <c r="M12" i="5"/>
  <c r="L12" i="5"/>
  <c r="K12" i="5"/>
  <c r="J12" i="5"/>
  <c r="I12" i="5"/>
  <c r="H12" i="5"/>
  <c r="G12" i="5"/>
  <c r="F12" i="5"/>
  <c r="E12" i="5"/>
  <c r="D12" i="5"/>
  <c r="C12" i="5"/>
  <c r="B12" i="5"/>
  <c r="A12" i="5"/>
  <c r="N11" i="5"/>
  <c r="M11" i="5"/>
  <c r="L11" i="5"/>
  <c r="K11" i="5"/>
  <c r="J11" i="5"/>
  <c r="I11" i="5"/>
  <c r="H11" i="5"/>
  <c r="G11" i="5"/>
  <c r="F11" i="5"/>
  <c r="E11" i="5"/>
  <c r="D11" i="5"/>
  <c r="C11" i="5"/>
  <c r="B11" i="5"/>
  <c r="A11" i="5"/>
  <c r="N10" i="5"/>
  <c r="M10" i="5"/>
  <c r="L10" i="5"/>
  <c r="K10" i="5"/>
  <c r="J10" i="5"/>
  <c r="I10" i="5"/>
  <c r="H10" i="5"/>
  <c r="G10" i="5"/>
  <c r="F10" i="5"/>
  <c r="E10" i="5"/>
  <c r="D10" i="5"/>
  <c r="C10" i="5"/>
  <c r="B10" i="5"/>
  <c r="A10" i="5"/>
  <c r="N9" i="5"/>
  <c r="M9" i="5"/>
  <c r="L9" i="5"/>
  <c r="K9" i="5"/>
  <c r="J9" i="5"/>
  <c r="I9" i="5"/>
  <c r="H9" i="5"/>
  <c r="G9" i="5"/>
  <c r="F9" i="5"/>
  <c r="E9" i="5"/>
  <c r="D9" i="5"/>
  <c r="C9" i="5"/>
  <c r="B9" i="5"/>
  <c r="A9" i="5"/>
  <c r="N8" i="5"/>
  <c r="M8" i="5"/>
  <c r="L8" i="5"/>
  <c r="K8" i="5"/>
  <c r="J8" i="5"/>
  <c r="I8" i="5"/>
  <c r="H8" i="5"/>
  <c r="G8" i="5"/>
  <c r="F8" i="5"/>
  <c r="E8" i="5"/>
  <c r="D8" i="5"/>
  <c r="C8" i="5"/>
  <c r="B8" i="5"/>
  <c r="A8" i="5"/>
  <c r="N7" i="5"/>
  <c r="M7" i="5"/>
  <c r="L7" i="5"/>
  <c r="K7" i="5"/>
  <c r="J7" i="5"/>
  <c r="I7" i="5"/>
  <c r="H7" i="5"/>
  <c r="G7" i="5"/>
  <c r="F7" i="5"/>
  <c r="E7" i="5"/>
  <c r="D7" i="5"/>
  <c r="C7" i="5"/>
  <c r="B7" i="5"/>
  <c r="A7" i="5"/>
  <c r="N6" i="5"/>
  <c r="M6" i="5"/>
  <c r="L6" i="5"/>
  <c r="K6" i="5"/>
  <c r="J6" i="5"/>
  <c r="I6" i="5"/>
  <c r="H6" i="5"/>
  <c r="G6" i="5"/>
  <c r="F6" i="5"/>
  <c r="E6" i="5"/>
  <c r="D6" i="5"/>
  <c r="C6" i="5"/>
  <c r="B6" i="5"/>
  <c r="A6" i="5"/>
  <c r="N5" i="5"/>
  <c r="M5" i="5"/>
  <c r="L5" i="5"/>
  <c r="K5" i="5"/>
  <c r="J5" i="5"/>
  <c r="I5" i="5"/>
  <c r="H5" i="5"/>
  <c r="G5" i="5"/>
  <c r="F5" i="5"/>
  <c r="E5" i="5"/>
  <c r="D5" i="5"/>
  <c r="C5" i="5"/>
  <c r="B5" i="5"/>
  <c r="A5" i="5"/>
  <c r="N4" i="5"/>
  <c r="M4" i="5"/>
  <c r="L4" i="5"/>
  <c r="K4" i="5"/>
  <c r="J4" i="5"/>
  <c r="I4" i="5"/>
  <c r="H4" i="5"/>
  <c r="G4" i="5"/>
  <c r="F4" i="5"/>
  <c r="E4" i="5"/>
  <c r="D4" i="5"/>
  <c r="C4" i="5"/>
  <c r="B4" i="5"/>
  <c r="A4" i="5"/>
  <c r="N3" i="5"/>
  <c r="M3" i="5"/>
  <c r="L3" i="5"/>
  <c r="K3" i="5"/>
  <c r="J3" i="5"/>
  <c r="I3" i="5"/>
  <c r="H3" i="5"/>
  <c r="G3" i="5"/>
  <c r="F3" i="5"/>
  <c r="E3" i="5"/>
  <c r="D3" i="5"/>
  <c r="C3" i="5"/>
  <c r="B3" i="5"/>
  <c r="A3" i="5"/>
  <c r="N2" i="5"/>
  <c r="M2" i="5"/>
  <c r="L2" i="5"/>
  <c r="K2" i="5"/>
  <c r="J2" i="5"/>
  <c r="I2" i="5"/>
  <c r="H2" i="5"/>
  <c r="G2" i="5"/>
  <c r="F2" i="5"/>
  <c r="E2" i="5"/>
  <c r="D2" i="5"/>
  <c r="C2" i="5"/>
  <c r="B2" i="5"/>
  <c r="A2" i="5"/>
  <c r="A2" i="4"/>
  <c r="A2" i="3"/>
  <c r="I19" i="1"/>
  <c r="H19" i="1"/>
  <c r="G19" i="1"/>
  <c r="F19" i="1"/>
  <c r="E19" i="1"/>
  <c r="D19" i="1"/>
  <c r="C19" i="1"/>
  <c r="B19" i="1"/>
  <c r="I18" i="1"/>
  <c r="H18" i="1"/>
  <c r="G18" i="1"/>
  <c r="F18" i="1"/>
  <c r="E18" i="1"/>
  <c r="D18" i="1"/>
  <c r="C18" i="1"/>
  <c r="B18" i="1"/>
  <c r="I17" i="1"/>
  <c r="H17" i="1"/>
  <c r="G17" i="1"/>
  <c r="F17" i="1"/>
  <c r="E17" i="1"/>
  <c r="D17" i="1"/>
  <c r="C17" i="1"/>
  <c r="B17" i="1"/>
  <c r="I15" i="1"/>
  <c r="H15" i="1"/>
  <c r="G15" i="1"/>
  <c r="F15" i="1"/>
  <c r="E15" i="1"/>
  <c r="D15" i="1"/>
  <c r="C15" i="1"/>
  <c r="B15" i="1"/>
  <c r="I14" i="1"/>
  <c r="H14" i="1"/>
  <c r="G14" i="1"/>
  <c r="F14" i="1"/>
  <c r="E14" i="1"/>
  <c r="D14" i="1"/>
  <c r="C14" i="1"/>
  <c r="B14" i="1"/>
  <c r="I12" i="1"/>
  <c r="H12" i="1"/>
  <c r="G12" i="1"/>
  <c r="F12" i="1"/>
  <c r="E12" i="1"/>
  <c r="D12" i="1"/>
  <c r="C12" i="1"/>
  <c r="B12" i="1"/>
  <c r="I11" i="1"/>
  <c r="H11" i="1"/>
  <c r="G11" i="1"/>
  <c r="F11" i="1"/>
  <c r="E11" i="1"/>
  <c r="D11" i="1"/>
  <c r="C11" i="1"/>
  <c r="B11" i="1"/>
  <c r="H10" i="1"/>
  <c r="I9" i="1"/>
  <c r="H9" i="1"/>
  <c r="G9" i="1"/>
  <c r="F9" i="1"/>
  <c r="E9" i="1"/>
  <c r="D9" i="1"/>
  <c r="C9" i="1"/>
  <c r="B9" i="1"/>
  <c r="I4" i="1"/>
  <c r="H4" i="1"/>
  <c r="G4" i="1"/>
  <c r="F4" i="1"/>
  <c r="E4" i="1"/>
  <c r="D4" i="1"/>
  <c r="C4" i="1"/>
  <c r="B4" i="1"/>
  <c r="I3" i="1"/>
  <c r="H3" i="1"/>
  <c r="G3" i="1"/>
  <c r="F3" i="1"/>
  <c r="E3" i="1"/>
  <c r="D3" i="1"/>
  <c r="C3" i="1"/>
  <c r="B3" i="1"/>
  <c r="D8" i="1" l="1"/>
  <c r="B8" i="1"/>
  <c r="F10" i="1"/>
  <c r="D13" i="1"/>
  <c r="H16" i="1"/>
  <c r="B13" i="1"/>
  <c r="G16" i="1"/>
  <c r="I7" i="1"/>
  <c r="H20" i="1"/>
  <c r="I8" i="1"/>
  <c r="E10" i="1"/>
  <c r="I13" i="1"/>
  <c r="C8" i="1"/>
  <c r="G10" i="1"/>
  <c r="C13" i="1"/>
  <c r="I16" i="1"/>
  <c r="B7" i="1"/>
  <c r="C7" i="1"/>
  <c r="E8" i="1"/>
  <c r="I10" i="1"/>
  <c r="E13" i="1"/>
  <c r="D7" i="1"/>
  <c r="F8" i="1"/>
  <c r="F13" i="1"/>
  <c r="B16" i="1"/>
  <c r="E7" i="1"/>
  <c r="G8" i="1"/>
  <c r="G13" i="1"/>
  <c r="C16" i="1"/>
  <c r="F7" i="1"/>
  <c r="H8" i="1"/>
  <c r="B10" i="1"/>
  <c r="H13" i="1"/>
  <c r="D16" i="1"/>
  <c r="B20" i="1"/>
  <c r="G7" i="1"/>
  <c r="C10" i="1"/>
  <c r="E16" i="1"/>
  <c r="E20" i="1"/>
  <c r="H7" i="1"/>
  <c r="D10" i="1"/>
  <c r="F16" i="1"/>
  <c r="F20" i="1"/>
  <c r="H6" i="1"/>
  <c r="I20" i="1"/>
  <c r="D5" i="1"/>
  <c r="C20" i="1"/>
  <c r="I5" i="1"/>
  <c r="D20" i="1"/>
  <c r="I6" i="1"/>
  <c r="B5" i="1"/>
  <c r="C6" i="1"/>
  <c r="F6" i="1"/>
  <c r="G6" i="1"/>
  <c r="D6" i="1"/>
  <c r="E6" i="1"/>
  <c r="G20" i="1"/>
  <c r="B6" i="1"/>
  <c r="C5" i="1"/>
  <c r="F5" i="1"/>
  <c r="G5" i="1"/>
  <c r="E5" i="1"/>
  <c r="H5" i="1"/>
</calcChain>
</file>

<file path=xl/sharedStrings.xml><?xml version="1.0" encoding="utf-8"?>
<sst xmlns="http://schemas.openxmlformats.org/spreadsheetml/2006/main" count="14752" uniqueCount="3911">
  <si>
    <t>STUDENT ACTIVITY DASHBOARD</t>
  </si>
  <si>
    <t>Type of Activity</t>
  </si>
  <si>
    <t>2014-2018</t>
  </si>
  <si>
    <t>2015-2019</t>
  </si>
  <si>
    <t>2016-2020</t>
  </si>
  <si>
    <t>2017-2021</t>
  </si>
  <si>
    <t>2018-2022</t>
  </si>
  <si>
    <t>2019-2023</t>
  </si>
  <si>
    <t>2020-2024</t>
  </si>
  <si>
    <t>2021-2025</t>
  </si>
  <si>
    <t>S3: Student Internships</t>
  </si>
  <si>
    <t>S4: Student Certifications</t>
  </si>
  <si>
    <t>S5: Student Workshops/Conf attended</t>
  </si>
  <si>
    <t>S6: Student NPTEL</t>
  </si>
  <si>
    <t>S8: Student Events Organized</t>
  </si>
  <si>
    <t>S9: Student Guest Lecutres Organized</t>
  </si>
  <si>
    <t>S10: Student Prof. Body</t>
  </si>
  <si>
    <t>S11: Student Awards</t>
  </si>
  <si>
    <t>S13: Students Higher Edu.</t>
  </si>
  <si>
    <t>S14: Students Competitive Exams</t>
  </si>
  <si>
    <t>S16: Students Social Service Programs</t>
  </si>
  <si>
    <t>S17: Students Leadership &amp; Volunteering Activities</t>
  </si>
  <si>
    <t>S18: Students Placements</t>
  </si>
  <si>
    <t>Timestamp</t>
  </si>
  <si>
    <t>ACADEMIC YEAR</t>
  </si>
  <si>
    <t>Name of the student</t>
  </si>
  <si>
    <t>Roll Number</t>
  </si>
  <si>
    <t>Paper Title</t>
  </si>
  <si>
    <t>Journal Name</t>
  </si>
  <si>
    <t>Major Indexing Information</t>
  </si>
  <si>
    <t>Impact Factor</t>
  </si>
  <si>
    <t>If Yes what is the impact factor?</t>
  </si>
  <si>
    <t>What is the source of impact factor: (Example for SCI/SCIE, the source is Clarivate Analytics. For Scopus, the source is SJR)</t>
  </si>
  <si>
    <t>Date of publication</t>
  </si>
  <si>
    <t>DOI</t>
  </si>
  <si>
    <t>Page numbers</t>
  </si>
  <si>
    <t>ISSN</t>
  </si>
  <si>
    <t>Author position</t>
  </si>
  <si>
    <t>Is the college name appear in the paper?</t>
  </si>
  <si>
    <t>Attach the paper</t>
  </si>
  <si>
    <t>Conference Name</t>
  </si>
  <si>
    <t>Location</t>
  </si>
  <si>
    <t>Publisher</t>
  </si>
  <si>
    <t>Date of conference</t>
  </si>
  <si>
    <t>Is it Scopus?</t>
  </si>
  <si>
    <t>How many authors?</t>
  </si>
  <si>
    <t>Name, designation, and address of Co-Authors</t>
  </si>
  <si>
    <t>Any financial support received from a college or not?</t>
  </si>
  <si>
    <t>If Yes, Amount Claimed</t>
  </si>
  <si>
    <t>Amount received</t>
  </si>
  <si>
    <t>Attach a copy of application and sanction</t>
  </si>
  <si>
    <t>Is the college affiliation mentioned in the paper?</t>
  </si>
  <si>
    <t>Attach Paper</t>
  </si>
  <si>
    <t>Name of the Company</t>
  </si>
  <si>
    <t>Duration of internship</t>
  </si>
  <si>
    <t>Start date</t>
  </si>
  <si>
    <t>End date</t>
  </si>
  <si>
    <t>Stipend paid by the company to the student?</t>
  </si>
  <si>
    <t>Is the company charging any amount from the student?</t>
  </si>
  <si>
    <t>If Yes, how much?</t>
  </si>
  <si>
    <t>Attach Proofs: Application form, Selection email or letter, Letter of completion</t>
  </si>
  <si>
    <t>Name of the program: Certification course on</t>
  </si>
  <si>
    <t>Platform or Organization from whom the certificate is issued</t>
  </si>
  <si>
    <t>Duration</t>
  </si>
  <si>
    <t>date of exam</t>
  </si>
  <si>
    <t xml:space="preserve">score </t>
  </si>
  <si>
    <t>faculty in-charge</t>
  </si>
  <si>
    <t>Proof: Email or letter of registration, and Certificate of completion</t>
  </si>
  <si>
    <t>Academic Year</t>
  </si>
  <si>
    <t>Type</t>
  </si>
  <si>
    <t>Title of the Seminar/Conference/Webinar/Workshop</t>
  </si>
  <si>
    <t>How many days?</t>
  </si>
  <si>
    <t>Hosted By</t>
  </si>
  <si>
    <t>Name of the resource person or persons</t>
  </si>
  <si>
    <t>Level</t>
  </si>
  <si>
    <t>Event Participation</t>
  </si>
  <si>
    <t>If paid: Amount sanctioned by the college/paid by student</t>
  </si>
  <si>
    <t>Attach proof</t>
  </si>
  <si>
    <t>Name of the Course</t>
  </si>
  <si>
    <t xml:space="preserve">Offered by </t>
  </si>
  <si>
    <t>duration</t>
  </si>
  <si>
    <t>score</t>
  </si>
  <si>
    <t>Attach Proof: Registration email, Certificate or Scorecard</t>
  </si>
  <si>
    <t>Name of the Workshop or Training Program</t>
  </si>
  <si>
    <t>Number of students participated</t>
  </si>
  <si>
    <t>Resource Person</t>
  </si>
  <si>
    <t>Faculty In-charge</t>
  </si>
  <si>
    <t>Budget proposed</t>
  </si>
  <si>
    <t>Budget sanctioned</t>
  </si>
  <si>
    <t>Budget utilized</t>
  </si>
  <si>
    <t>Proofs</t>
  </si>
  <si>
    <t>Name of the Event</t>
  </si>
  <si>
    <t>Resource Person/Chief Guest</t>
  </si>
  <si>
    <t xml:space="preserve">Achievement </t>
  </si>
  <si>
    <t>Date of achievement</t>
  </si>
  <si>
    <t>Issuing Authority (Institute name)</t>
  </si>
  <si>
    <t>Names of co-authors, as it appears in the Journal</t>
  </si>
  <si>
    <t>Type of the Program</t>
  </si>
  <si>
    <t>Faculty in-charge</t>
  </si>
  <si>
    <t>Description of the program</t>
  </si>
  <si>
    <t>start date</t>
  </si>
  <si>
    <t>end date</t>
  </si>
  <si>
    <t>Any budget expenditure involved?</t>
  </si>
  <si>
    <t>If Yes, the amount sanctioned</t>
  </si>
  <si>
    <t>amount spent</t>
  </si>
  <si>
    <t>Attach proofs for event and budget</t>
  </si>
  <si>
    <t>Name of the program (M.Tech/MS/MBA)</t>
  </si>
  <si>
    <t>Institution name and location</t>
  </si>
  <si>
    <t>Date of joining</t>
  </si>
  <si>
    <t xml:space="preserve">Attach proof of admission: Admission Confirmation Letter from the University </t>
  </si>
  <si>
    <t>Exam Name</t>
  </si>
  <si>
    <t>Date of qualifying</t>
  </si>
  <si>
    <t>Attach proof: An email from the student or scanned copy of the scorecard</t>
  </si>
  <si>
    <t>Email Address</t>
  </si>
  <si>
    <t>SEMESTER</t>
  </si>
  <si>
    <t>Date of visit</t>
  </si>
  <si>
    <t>Purpose of visit</t>
  </si>
  <si>
    <t>Attach Proof (Photo or Any Certificate Issued)</t>
  </si>
  <si>
    <t>Program Description</t>
  </si>
  <si>
    <t>Date</t>
  </si>
  <si>
    <t>Place</t>
  </si>
  <si>
    <t>Proof(Photos/Certificate Issued)</t>
  </si>
  <si>
    <t>Leadership Role</t>
  </si>
  <si>
    <t>Start Date</t>
  </si>
  <si>
    <t>Proof if any</t>
  </si>
  <si>
    <t>End Date</t>
  </si>
  <si>
    <t>Company Name</t>
  </si>
  <si>
    <t>Appointment Date</t>
  </si>
  <si>
    <t>Proof (Appointment Order)</t>
  </si>
  <si>
    <t>Salary Package Per Annum</t>
  </si>
  <si>
    <t>FROM</t>
  </si>
  <si>
    <t>TO</t>
  </si>
  <si>
    <t>SEMESTERS</t>
  </si>
  <si>
    <t>AI and Applications</t>
  </si>
  <si>
    <t>2hrs</t>
  </si>
  <si>
    <t>Dr KV Kadambari</t>
  </si>
  <si>
    <t>Dr P Satheesh</t>
  </si>
  <si>
    <t>https://drive.google.com/open?id=1FDgWJRLG-0YmUX-Ho8W9BzIF5VOe8920</t>
  </si>
  <si>
    <t>satish@mvgrce.edu.in</t>
  </si>
  <si>
    <t>Business Model innovation using digital platforms</t>
  </si>
  <si>
    <t>Mr P Ramesh, Microsoft</t>
  </si>
  <si>
    <t>Dr P Satheesh and Dr P Ravi Kiran Varma</t>
  </si>
  <si>
    <t>https://drive.google.com/open?id=16hFTXxdc9QEZmhVAzu2w4tuF05DhDNfC</t>
  </si>
  <si>
    <t>Kundrapu Jayanth Naidu</t>
  </si>
  <si>
    <t>18331A0582</t>
  </si>
  <si>
    <t>2018-2019</t>
  </si>
  <si>
    <t>Conference</t>
  </si>
  <si>
    <t>International Conference on Cognitive Science and Artificial Intelligence</t>
  </si>
  <si>
    <t>Institute of Bioinformatics and computational Biology</t>
  </si>
  <si>
    <t xml:space="preserve">Dr P.SATHEESH </t>
  </si>
  <si>
    <t>International</t>
  </si>
  <si>
    <t>Free</t>
  </si>
  <si>
    <t>https://drive.google.com/open?id=1GzSlloib5_ZjM3U8BaXAS0iZVY4Qvefl</t>
  </si>
  <si>
    <t>18331a0582@mvgrce.edu.in</t>
  </si>
  <si>
    <t>2019-2020</t>
  </si>
  <si>
    <t>State level 2nd Position in Python Programming</t>
  </si>
  <si>
    <t>SAE INDIA</t>
  </si>
  <si>
    <t>https://drive.google.com/open?id=1gn3ikCIhs-dev83eRRxjViW8zJF-T-k7</t>
  </si>
  <si>
    <t>Guest Lecture on "Futuristic IoT Solutions"</t>
  </si>
  <si>
    <t>1 Hour</t>
  </si>
  <si>
    <t>Dr. Ajay Pratap, IIT BHU, Varanasi</t>
  </si>
  <si>
    <t>Dr. Ravi Kiran Varma P</t>
  </si>
  <si>
    <t>https://drive.google.com/open?id=1ifa6yjOXG4TtdUNUSfZBrITLDK4L2_f0</t>
  </si>
  <si>
    <t>ravikiranvarmap@mvgrce.edu.in</t>
  </si>
  <si>
    <t>BHUPATHIRAJU S S SOWJANYA LAKSHMI</t>
  </si>
  <si>
    <t>19331D8401</t>
  </si>
  <si>
    <t>2020-2021</t>
  </si>
  <si>
    <t>Webinar</t>
  </si>
  <si>
    <t>IPR Strategy for startups and MSMEs</t>
  </si>
  <si>
    <t>MSME- Development Institute, Visakhapatnam &amp; MVGR College Of Engineering</t>
  </si>
  <si>
    <t>1.	Dr. Dayanada Murthy 
2.	Dr. B.K Sahu
3.	Shri. Ravi Gadde
4.	G.V.R. Naidu
5.	Shri. Satish Kumar
6.	Dr.R.Ramesh</t>
  </si>
  <si>
    <t>National</t>
  </si>
  <si>
    <t>https://drive.google.com/open?id=1nOXIgsmw_1iZ20dMcolXCnFpxNh3geu6</t>
  </si>
  <si>
    <t>placementcse@mvgrce.edu.in</t>
  </si>
  <si>
    <t>CHENDA ARUN HYDE</t>
  </si>
  <si>
    <t>19331D8402</t>
  </si>
  <si>
    <t xml:space="preserve">1.	Dr. Dayanada Murthy C P director,Academic Affairs and Research,DSNLU
2.	Dr. B.K Sahu,Regional Manager and Officer Incharge IPFC&amp; TISC,NRDC,GOVT OF INDIA.
3.	Shri. Ravi Gadde,Joint Director,MSME Development Institute,Visakhapatnam.
4.	G.V.R. Naidu,Asst. Director, MSME Development Institute,Visakhapatnam.
5.	Shri. Satish Kumar,Asst.DirectorIPR Cell,O/o DC(MSME),New Delhi.
6.	Dr.R.Ramesh,Dean R&amp;D,MVGR College of Engineering,Vizianagaram.
</t>
  </si>
  <si>
    <t>https://drive.google.com/open?id=1afo59aMa85woopBPrtJmp_56u-PY7HTs</t>
  </si>
  <si>
    <t>LOLLA KIRAN KUMAR</t>
  </si>
  <si>
    <t>19331D8403</t>
  </si>
  <si>
    <t xml:space="preserve">IPR Strategy for startups and MSMEs </t>
  </si>
  <si>
    <t>1.	Dr. Dayanada Murthy C P director,Academic Affairs and Research,DSNLU
2.	Dr. B.K Sahu,Regional Manager and Officer Incharge IPFC&amp; TISC,NRDC,GOVT OF INDIA.
3.	Shri. Ravi Gadde,Joint Director,MSME Development Institute,Visakhapatnam.
4.	G.V.R. Naidu,Asst. Director, MSME Development Institute,Visakhapatnam.
5.	Shri. Satish Kumar,Asst.DirectorIPR Cell,O/o DC(MSME),New Delhi.
6.	Dr.R.Ramesh,Dean R&amp;D,MVGR College of Engineering,Vizianagaram.</t>
  </si>
  <si>
    <t>https://drive.google.com/open?id=1QmIkUIxHvdzBAcki1wIXRP47a-PU77Kk</t>
  </si>
  <si>
    <t xml:space="preserve">TADELA PRADEEP </t>
  </si>
  <si>
    <t>19331D8404</t>
  </si>
  <si>
    <t>1.	Dr. Dayanada Murthy C P director,Academic Affairs and Research,DSNLU
2.	Dr. B.K Sahu,Regional Manager and Officer Incharge IPFC&amp; TISC,NRDC,GOVT OF INDIA.
3.	Shri. Ravi Gadde,Joint Director,MSME Development Institute,Visakhapatnam.
4.	G.V.R. Naidu,Asst. Director, MSME Development Institute,Visakhapatnam.
5.	Shri. Satish Kumar,Asst.DirectorIPR Cell,O/o DC(MSME),New Delhi.
6.	Dr.R.Ramesh,Dean R&amp;D,MVGR College of Engineering,Vizianagaram</t>
  </si>
  <si>
    <t>https://drive.google.com/open?id=1Pe0T8pWf12QdeQ2l38yTmPICsIyeZbQy</t>
  </si>
  <si>
    <t>UPPALAPATI BHARATHI</t>
  </si>
  <si>
    <t>19331D8405</t>
  </si>
  <si>
    <t>https://drive.google.com/open?id=1W3oS3s45iTQmlMEJQi1z29zqvH6WU2Oe</t>
  </si>
  <si>
    <t>International Womens Day</t>
  </si>
  <si>
    <t>1 day</t>
  </si>
  <si>
    <t>Dr.Nandini</t>
  </si>
  <si>
    <t>P.Parimala</t>
  </si>
  <si>
    <t>https://drive.google.com/open?id=1-v8R8caNSpd9aQqqGDaTIf13ETG7x4f_</t>
  </si>
  <si>
    <t>parimala.palli@mvgrce.edu.in</t>
  </si>
  <si>
    <t xml:space="preserve">Intellectual Property Rights (IPRs)-Trademarks and Copyrights </t>
  </si>
  <si>
    <t xml:space="preserve">1.	Dr. H.Purushotham,DPIIT-IPR Chair,Andhra University EX-CMD,NRDC.
2.	Dr. S.K kar Head(marketing and consultancy),MSMETC,Bhubaneshwar.
3.	Shri. Ravi Gadde,Joint Director,MSME Development Institute,Visakhapatnam.
4.	Shri. G.V.R. Naidu,Asst. Director, MSME Development Institute,Visakhapatnam.
5.	Shri. Satish Kumar,Asst.DirectorIPR Cell,O/o DC(MSME),New Delhi.
6.	Dr.R.Ramesh,Dean R&amp;D,MVGR College of Engineering,Vizianagaram.
</t>
  </si>
  <si>
    <t>https://drive.google.com/open?id=1RgZ80kmSdlvQtzc3UJScqGgKGkzKnbfI</t>
  </si>
  <si>
    <t>narendrakumar@mvgrce.edu.in</t>
  </si>
  <si>
    <t>https://drive.google.com/open?id=1dK_D_RDE24bPlmDiUo1YrkdeeNUXFGV-</t>
  </si>
  <si>
    <t xml:space="preserve">19331D8403	</t>
  </si>
  <si>
    <t>https://drive.google.com/open?id=1TYqCMYsPfhi8HRht_jC-sxycUMe9HGFz</t>
  </si>
  <si>
    <t xml:space="preserve">19331D8404	</t>
  </si>
  <si>
    <t>Intellectual Property Rights (IPRs)-Trademarks and Copyrights</t>
  </si>
  <si>
    <t>1.	Dr. H.Purushotham,DPIIT-IPR Chair,Andhra University EX-CMD,NRDC.
2.	Dr. S.K kar Head(marketing and consultancy),MSMETC,Bhubaneshwar.
3.	Shri. Ravi Gadde,Joint Director,MSME Development Institute,Visakhapatnam.
4.	Shri. G.V.R. Naidu,Asst. Director, MSME Development Institute,Visakhapatnam.
5.	Shri. Satish Kumar,Asst.DirectorIPR Cell,O/o DC(MSME),New Delhi.
6.	Dr.R.Ramesh,Dean R&amp;D,MVGR College of Engineering,Vizianagaram.</t>
  </si>
  <si>
    <t>https://drive.google.com/open?id=1uuWNhUbL1MBPVA0Q1VgPjVpSFZOEDzao</t>
  </si>
  <si>
    <t xml:space="preserve">19331D8405	</t>
  </si>
  <si>
    <t>https://drive.google.com/open?id=1uAFAwt3dYk4mRC_UPUBn5AW5Zxo56IkM</t>
  </si>
  <si>
    <t xml:space="preserve">Sprint 2021 </t>
  </si>
  <si>
    <t>24 hours</t>
  </si>
  <si>
    <t xml:space="preserve">Sripath roy(Gen. Secretary, Swecha AP) </t>
  </si>
  <si>
    <t>M. Vamsi Krishna</t>
  </si>
  <si>
    <t>https://drive.google.com/open?id=1LoHF43KbwnVo_okD5d4L7957XnqQvQmj</t>
  </si>
  <si>
    <t>mvamsi@mvgrce.edu.in</t>
  </si>
  <si>
    <t xml:space="preserve">Cisco Women Rock-IT </t>
  </si>
  <si>
    <t>Corien Vermaak, Swati Handa</t>
  </si>
  <si>
    <t>Mrs B.Sujata</t>
  </si>
  <si>
    <t>https://drive.google.com/open?id=1qg0PxyqcGhx6JTmOlDsBiPQ91aW-JAjo</t>
  </si>
  <si>
    <t>bsujata@mvgrce.edu.in</t>
  </si>
  <si>
    <t>Registration and Orientation Program on Hacker Rank &amp; Hacker Earth Coding Platforms</t>
  </si>
  <si>
    <t>Mr. K. Suraj Varma</t>
  </si>
  <si>
    <t>Mr. K. Leela Prasad</t>
  </si>
  <si>
    <t>https://drive.google.com/open?id=14_kjEFWXuvWr-8EVjs6NZleSOjYppHsb</t>
  </si>
  <si>
    <t xml:space="preserve">Meghana Pusapati </t>
  </si>
  <si>
    <t>16331A05D4</t>
  </si>
  <si>
    <t>MS in Computer and Information Sciences</t>
  </si>
  <si>
    <t>Syracuse University,  New York</t>
  </si>
  <si>
    <t>https://drive.google.com/open?id=1PjR39K2HwkwQPNZ5t-nniB3dOKXMOnAs</t>
  </si>
  <si>
    <t>pusapatimeghana@gmail.com</t>
  </si>
  <si>
    <t>Prudhvi teja bandaru</t>
  </si>
  <si>
    <t>17331A0509</t>
  </si>
  <si>
    <t>MBA</t>
  </si>
  <si>
    <t>Amity University Lucknow</t>
  </si>
  <si>
    <t>https://drive.google.com/open?id=1c_dom1yBEfrg7AcSOQr54fVgwxMKaGJK</t>
  </si>
  <si>
    <t>prudhvibandaru1990@gmail.com</t>
  </si>
  <si>
    <t>VVNS Sai Kiriti</t>
  </si>
  <si>
    <t>17331A05G7</t>
  </si>
  <si>
    <t>MS</t>
  </si>
  <si>
    <t>Vanderbilt University, Nashville, TN, USA</t>
  </si>
  <si>
    <t>https://drive.google.com/open?id=1lmrb71Nm-41_5xPCanOYRZqI2qrZVI5Q</t>
  </si>
  <si>
    <t>skischaos@gmail.com</t>
  </si>
  <si>
    <t>Shaik abdul khayyam sahib</t>
  </si>
  <si>
    <t>14331A05E9</t>
  </si>
  <si>
    <t xml:space="preserve">Northwest Missouri State University/ Maryville, Missouri </t>
  </si>
  <si>
    <t>https://drive.google.com/open?id=1QIXtVuPtDJ-tn8Cng1QKSSt3CNyRaikQ</t>
  </si>
  <si>
    <t>abdulkhayyum38@gmail.com</t>
  </si>
  <si>
    <t>LATCHUBUKTHA SUTESH</t>
  </si>
  <si>
    <t>18331A0588</t>
  </si>
  <si>
    <t>Capgemini</t>
  </si>
  <si>
    <t>82 days</t>
  </si>
  <si>
    <t>Yes</t>
  </si>
  <si>
    <t>No</t>
  </si>
  <si>
    <t>https://drive.google.com/open?id=18tBNcfZaqHL51fcmdpFuOp4AHku-Sq8d</t>
  </si>
  <si>
    <t>latchubukthasutesh9@gmail.com</t>
  </si>
  <si>
    <t>SEM-8</t>
  </si>
  <si>
    <t>Pooja Madhurima Salapu</t>
  </si>
  <si>
    <t>18331A05D5</t>
  </si>
  <si>
    <t>Nineleaps</t>
  </si>
  <si>
    <t>6 months</t>
  </si>
  <si>
    <t>https://drive.google.com/open?id=1KMcNy8oz1aK5J5G9aU2Se0gUADC6l5Ra</t>
  </si>
  <si>
    <t>poojasalapu@gmail.com</t>
  </si>
  <si>
    <t xml:space="preserve">Kondeti Chandrika </t>
  </si>
  <si>
    <t>18331A0580</t>
  </si>
  <si>
    <t>TCS</t>
  </si>
  <si>
    <t>https://drive.google.com/open?id=1QPnvEQXm9CbOANLie0JsDZIWVPyOyVKW</t>
  </si>
  <si>
    <t>chandrika9229@gmail.com</t>
  </si>
  <si>
    <t>11 students</t>
  </si>
  <si>
    <t xml:space="preserve"> Swecha AP 3rd State Conference</t>
  </si>
  <si>
    <t xml:space="preserve"> Swecha</t>
  </si>
  <si>
    <t>Sripath Roy
General Secretary
Swecha AP</t>
  </si>
  <si>
    <t>State</t>
  </si>
  <si>
    <t>https://drive.google.com/open?id=18nREiU1AqlhbNSEtT3q_qfWZ3kD-lLE5</t>
  </si>
  <si>
    <t>SEM-7</t>
  </si>
  <si>
    <t xml:space="preserve">Savitribai Phule Day </t>
  </si>
  <si>
    <t>Faculty In-charge &amp; Students</t>
  </si>
  <si>
    <t>M.Vamsi Krishna</t>
  </si>
  <si>
    <t>https://drive.google.com/open?id=1pFZMSg0U5JTeBIAvD-st02kTb3uFM-8Z</t>
  </si>
  <si>
    <t>SEM-6</t>
  </si>
  <si>
    <t>Republic Day</t>
  </si>
  <si>
    <t>Students &amp; Faculty</t>
  </si>
  <si>
    <t>https://drive.google.com/open?id=1A27DXNoiss-Gco3r7lf4BKFY1X0B1UjN</t>
  </si>
  <si>
    <t>WOMEN'S DAY</t>
  </si>
  <si>
    <t xml:space="preserve">MVGR Alumni </t>
  </si>
  <si>
    <t>M.B.Rani</t>
  </si>
  <si>
    <t>https://drive.google.com/open?id=1JdfIuSWEbOy-mVPSaH9DMtIU1XBJuDkC</t>
  </si>
  <si>
    <t>mbrani@mvgrce.edu.in</t>
  </si>
  <si>
    <t xml:space="preserve">Aaron Day </t>
  </si>
  <si>
    <t>Mr. M.Vamsi Krishna</t>
  </si>
  <si>
    <t>https://drive.google.com/open?id=1Kwci2O8yMxhrJdcfh3GEfc9JIKNlizun</t>
  </si>
  <si>
    <t>BOOT CAMP</t>
  </si>
  <si>
    <t>2 DAYS</t>
  </si>
  <si>
    <t>Mr. K. Sai Kumar(TCS), Mr. K. Hemanth(Amazon), Ms. P. L. Prasanna(Amazon), Mr. Rama Reddy(Amazon), Mr. K. Rupeshwar and Mr. K. Suraj</t>
  </si>
  <si>
    <t>https://drive.google.com/open?id=1BEZt90cEEdzOA0qkKyqNAyG_fheG72hZ</t>
  </si>
  <si>
    <t>Boddapati Rajesh</t>
  </si>
  <si>
    <t>18331A0515</t>
  </si>
  <si>
    <t>GATE</t>
  </si>
  <si>
    <t>https://drive.google.com/open?id=1RxQJURGeMsrUZuJpXuO9L3e9voYAgdDo</t>
  </si>
  <si>
    <t>rajeshboddapati37@gmail.com</t>
  </si>
  <si>
    <t>Amazon Web services (AWS)</t>
  </si>
  <si>
    <t>10 weeks</t>
  </si>
  <si>
    <t>https://drive.google.com/open?id=1v0PJfUgzklpFem93YovVNEesCalXmLlk</t>
  </si>
  <si>
    <t>Red hat</t>
  </si>
  <si>
    <t>Indefinite</t>
  </si>
  <si>
    <t>https://drive.google.com/open?id=1mgQJ7PVKKoZmV-qGrfd_y3l9_VsLB2Xd</t>
  </si>
  <si>
    <t>BUKA PRUDHVI RAJ</t>
  </si>
  <si>
    <t>19335A0503</t>
  </si>
  <si>
    <t>AICTE</t>
  </si>
  <si>
    <t>2 months</t>
  </si>
  <si>
    <t>https://drive.google.com/open?id=1MvkXMoGjwziiWPG0OmXyCZDmkQEV6b6_</t>
  </si>
  <si>
    <t>prudhviraj.buka99@gmail.com</t>
  </si>
  <si>
    <t>2021-2022</t>
  </si>
  <si>
    <t>How to get placement in Multinational Companies</t>
  </si>
  <si>
    <t>IIT madras</t>
  </si>
  <si>
    <t>IIT madras training department</t>
  </si>
  <si>
    <t>https://drive.google.com/open?id=1a0rY2N1aRx84OJCd0TO_zTJMfUd5I30t</t>
  </si>
  <si>
    <t>Joshini Sabbavarapu</t>
  </si>
  <si>
    <t>19335A0515</t>
  </si>
  <si>
    <t>2 Months</t>
  </si>
  <si>
    <t>https://drive.google.com/open?id=1VnotBEkB8oNas5leG5dtem61RtWiI3Ml</t>
  </si>
  <si>
    <t>joshini747@gmail.com</t>
  </si>
  <si>
    <t>SEM-4</t>
  </si>
  <si>
    <t>Career in Emerging Technologies – Big Data, Cloud Computing, AI/ML</t>
  </si>
  <si>
    <t>TCS Moderator</t>
  </si>
  <si>
    <t>Debashish khan</t>
  </si>
  <si>
    <t>https://drive.google.com/open?id=1t2RW8Ou2_Z21Ub-FmXX3n8O8MdXYovhZ</t>
  </si>
  <si>
    <t>C Tutorial Course</t>
  </si>
  <si>
    <t xml:space="preserve">Solo learn </t>
  </si>
  <si>
    <t>Self learning</t>
  </si>
  <si>
    <t>https://drive.google.com/open?id=14eo9gXW8eOYIUYK44iYmyknAgotMtBCt</t>
  </si>
  <si>
    <t>AWS Academy Graduate</t>
  </si>
  <si>
    <t>Canvas</t>
  </si>
  <si>
    <t>P. Ravi Kiran Varma</t>
  </si>
  <si>
    <t>https://drive.google.com/open?id=17F5rPbYSDTPITykm_JNA5_0jp_oZ9XnU</t>
  </si>
  <si>
    <t>Introduction To Networks</t>
  </si>
  <si>
    <t>CISCO</t>
  </si>
  <si>
    <t xml:space="preserve"> 2 months</t>
  </si>
  <si>
    <t>Subba Raju K V</t>
  </si>
  <si>
    <t>https://drive.google.com/open?id=1gwdqE6sXsNJcPK7gyGzJeWLjYnJvNtJD</t>
  </si>
  <si>
    <t>SEM-5</t>
  </si>
  <si>
    <t>BUKA  PRUDHVI RAJ</t>
  </si>
  <si>
    <t>https://drive.google.com/open?id=1e27Wps8S69r38ou72yivHyRDm3jqGar8</t>
  </si>
  <si>
    <t>Programming for Everybody</t>
  </si>
  <si>
    <t>Coursera</t>
  </si>
  <si>
    <t>https://drive.google.com/open?id=1B4eqhT6xtlTOUszrwY6nfoBTshlHSD4l</t>
  </si>
  <si>
    <t>Programming Essentials in Python</t>
  </si>
  <si>
    <t>2months</t>
  </si>
  <si>
    <t>Subba Raju K  V</t>
  </si>
  <si>
    <t>https://drive.google.com/open?id=10uhrouQE2aJzqQfW3d72BRVy0pAyt6B0</t>
  </si>
  <si>
    <t>Cybersecurity Essentials</t>
  </si>
  <si>
    <t>https://drive.google.com/open?id=1Mac7rF7rgHOPwkrJYolg2b5WVbaFmM4I</t>
  </si>
  <si>
    <t>https://drive.google.com/open?id=1sfxhRoYOsW8VWhJuHLcbG3HvHaFmXux_</t>
  </si>
  <si>
    <t>Introduction to IoT</t>
  </si>
  <si>
    <t>https://drive.google.com/open?id=1KqskbhHVrDUN2HojQEHtK5JZwT3Tmxoz</t>
  </si>
  <si>
    <t>Introduction to Packet Tracer</t>
  </si>
  <si>
    <t>https://drive.google.com/open?id=1cIMtORVa3wnEsp897bTMvo0w3xH7ckoV</t>
  </si>
  <si>
    <t>https://drive.google.com/open?id=1u3KBvWfE8m3AhT0STmxwE86UySa-Bsr1</t>
  </si>
  <si>
    <t>https://drive.google.com/open?id=1kdGC3HxK8cyPhg5MkQpXA8YVXgwBKdYF</t>
  </si>
  <si>
    <t>https://drive.google.com/open?id=1TQNt9O5qvayRmvqgmj3pkfr5flOfdDtl</t>
  </si>
  <si>
    <t>securing 1st postion in the competition named PLACEAZA QUIZZ</t>
  </si>
  <si>
    <t>GMR Institute of Technology</t>
  </si>
  <si>
    <t>https://drive.google.com/open?id=1mtbP1QQNgrt8Quklkt73D96IAgRWsd43</t>
  </si>
  <si>
    <t>Programming for Python</t>
  </si>
  <si>
    <t>.</t>
  </si>
  <si>
    <t>https://drive.google.com/open?id=1oq2V-UqMhKBxHOEtz1AKdg2zDHkd5tBq</t>
  </si>
  <si>
    <t>what is data science</t>
  </si>
  <si>
    <t>https://drive.google.com/open?id=13TAkbd6WvVwYJiXluYi4yvFFwTDCz6uT</t>
  </si>
  <si>
    <t>What is Data Science</t>
  </si>
  <si>
    <t>2  months</t>
  </si>
  <si>
    <t>https://drive.google.com/open?id=1ig_8iP1h4iycn08YAtmzeVSpDUbm7gtY</t>
  </si>
  <si>
    <t>Couursera</t>
  </si>
  <si>
    <t>https://drive.google.com/open?id=1FEcFbJNoMZeOSZ2XRUcnIxmPYpN1mJKR</t>
  </si>
  <si>
    <t xml:space="preserve">Datla Vasanth Gopal Raju </t>
  </si>
  <si>
    <t>18331A05H5</t>
  </si>
  <si>
    <t>CLA: Programming essentials with c</t>
  </si>
  <si>
    <t>Cisco</t>
  </si>
  <si>
    <t>4 months</t>
  </si>
  <si>
    <t>Dr.P.Ravi Kiran varma</t>
  </si>
  <si>
    <t>https://drive.google.com/open?id=1Jb6MGZ2hFrOwp_ZbSYhLyHoB_QRaMyRJ</t>
  </si>
  <si>
    <t>vasanthdatla@gmail.com</t>
  </si>
  <si>
    <t>SEM-2</t>
  </si>
  <si>
    <t>SANAPALA SAI NEERAJ</t>
  </si>
  <si>
    <t>18331A05D6</t>
  </si>
  <si>
    <t>NCC  - "B" CERTIFICATE</t>
  </si>
  <si>
    <t>MINISTRY OF DEFENCE(INDIA)</t>
  </si>
  <si>
    <t>https://drive.google.com/open?id=1ePQdQjmHPiagxHQtHPNkmgkhs0CpKRVk</t>
  </si>
  <si>
    <t>sanapala.saineeraj4000@gmail.com</t>
  </si>
  <si>
    <t>yashwanth boggarapu</t>
  </si>
  <si>
    <t>18331A0517</t>
  </si>
  <si>
    <t>10 Weeks</t>
  </si>
  <si>
    <t>https://drive.google.com/open?id=12y2JfnPITi1EgRwDeBbP2weo5du5Dfw_</t>
  </si>
  <si>
    <t>yashwanthboggarapu2000@gmail.com</t>
  </si>
  <si>
    <t>P.Ravi Kiran Varma</t>
  </si>
  <si>
    <t>https://drive.google.com/open?id=1o97LtgjQqJ36vf4k-pOxjw_spMpmlq0J</t>
  </si>
  <si>
    <t>Programming For Everybody</t>
  </si>
  <si>
    <t>Self Learning</t>
  </si>
  <si>
    <t>https://drive.google.com/open?id=1TygJTBULgKD7q8GeQR5toar9zOHjDVEh</t>
  </si>
  <si>
    <t>Programming Essentials In Python</t>
  </si>
  <si>
    <t>https://drive.google.com/open?id=1nfPh1Cv_7Q_0fIvYBaESrOMN0havByVR</t>
  </si>
  <si>
    <t>https://drive.google.com/open?id=1cXf0pIBBC1kOVLsyX-_DetYOgp09YzA_</t>
  </si>
  <si>
    <t>GANTA MOUNIKA</t>
  </si>
  <si>
    <t>18331A0543</t>
  </si>
  <si>
    <t>https://drive.google.com/open?id=19o5Qm4OqpYUbu8u3Ot2KY7B0CHQfQKNe</t>
  </si>
  <si>
    <t>mounikaganta2001@gmail.com</t>
  </si>
  <si>
    <t>G manojkumar</t>
  </si>
  <si>
    <t>18331A0542</t>
  </si>
  <si>
    <t>cyber security essentials</t>
  </si>
  <si>
    <t>cisco</t>
  </si>
  <si>
    <t>1month</t>
  </si>
  <si>
    <t>ravikiran varma</t>
  </si>
  <si>
    <t>https://drive.google.com/open?id=1XowCNI-6kjv_bJYJ1OROc-hXPvbArvwA</t>
  </si>
  <si>
    <t>gmanoj2k08@gmail.com</t>
  </si>
  <si>
    <t>SEM-1</t>
  </si>
  <si>
    <t>ganta manoj kumar</t>
  </si>
  <si>
    <t>amazon</t>
  </si>
  <si>
    <t>3months</t>
  </si>
  <si>
    <t>https://drive.google.com/open?id=18-E87WQWNLxgSe6O5CdCHwihnb5pegwi</t>
  </si>
  <si>
    <t>participation in hackathon</t>
  </si>
  <si>
    <t>virtusa</t>
  </si>
  <si>
    <t>https://drive.google.com/open?id=1G4WFlSvqJ_jZjUheUgUalNNZL1kQmzhN</t>
  </si>
  <si>
    <t>AWS Academy Graduate - AWS Academy Cloud Foundations</t>
  </si>
  <si>
    <t>aws academy</t>
  </si>
  <si>
    <t xml:space="preserve">aws academy </t>
  </si>
  <si>
    <t>https://drive.google.com/open?id=1ScZ7IOZPdhhfDJUXPF-CMEI1xDbJyAAv</t>
  </si>
  <si>
    <t>workshop on Dart Programming</t>
  </si>
  <si>
    <t>Brainovision Solutions</t>
  </si>
  <si>
    <t xml:space="preserve"> V.Nagesh</t>
  </si>
  <si>
    <t>https://drive.google.com/open?id=1302qP7fBAPWTJKjCTBqpo-demIxhqNXY</t>
  </si>
  <si>
    <t>Venkata Jaswanth Potnuru</t>
  </si>
  <si>
    <t>19335A0513</t>
  </si>
  <si>
    <t>DATA ANALYST: The Booming  Technology In IT</t>
  </si>
  <si>
    <t>National Skill Development Corporation</t>
  </si>
  <si>
    <t>EXCELR SOLUTIONS</t>
  </si>
  <si>
    <t>https://drive.google.com/open?id=1DJ2JnCvQr30lA7e1yMtsehGcovvjzUil</t>
  </si>
  <si>
    <t>venkatajaswanth10@gmail.com</t>
  </si>
  <si>
    <t>IP Awareness/Training program</t>
  </si>
  <si>
    <t>Intellectual Property Office</t>
  </si>
  <si>
    <t>M vamsiKrishna</t>
  </si>
  <si>
    <t>https://drive.google.com/open?id=1bymUP6eHfxlufPNEm_LBn01j8OdUH3ZD</t>
  </si>
  <si>
    <t>Jayanth Naidu Kundrapu</t>
  </si>
  <si>
    <t>AWS Cloud Virtual Internship</t>
  </si>
  <si>
    <t>EduSkills</t>
  </si>
  <si>
    <t>3 Months</t>
  </si>
  <si>
    <t>Dr. Ravi Kiran Varma Penmatsa</t>
  </si>
  <si>
    <t>https://drive.google.com/open?id=1Eri7YtVm9NkUJ8-580CvasGTHTCxPe_F</t>
  </si>
  <si>
    <t>jayanth.kundrapu013@gmail.com</t>
  </si>
  <si>
    <t>Lalita Manoj Kumar Banisetty</t>
  </si>
  <si>
    <t>18331A0586</t>
  </si>
  <si>
    <t>3 months</t>
  </si>
  <si>
    <t>https://drive.google.com/open?id=1nCmT-2MVzYJ2cSjKXQ-RXQr60oPUlD_K</t>
  </si>
  <si>
    <t>mano.benesetti@gmail.com</t>
  </si>
  <si>
    <t>Bogapurapu Rahul</t>
  </si>
  <si>
    <t>18331A0516</t>
  </si>
  <si>
    <t>Soft Skills</t>
  </si>
  <si>
    <t>NPTEL</t>
  </si>
  <si>
    <t>12 Weeks</t>
  </si>
  <si>
    <t>https://drive.google.com/open?id=1piWHs3Y2Ya4_4oUq9AiKaWdJA4SIpaiH</t>
  </si>
  <si>
    <t>rrahul94772@gmail.com</t>
  </si>
  <si>
    <t>https://drive.google.com/open?id=1rz9AnQm86uagR_pAMig6v7gRhPmsjPD5</t>
  </si>
  <si>
    <t>5th international5th International Conference on Cognitive Science and Artificial Intelligence</t>
  </si>
  <si>
    <t>Institute of Bioinformatics and Computational Biology</t>
  </si>
  <si>
    <t>Dr. P Satheesh, Dr. Ch Divakar, Prof. Allam Appa Rao</t>
  </si>
  <si>
    <t>https://drive.google.com/open?id=1L1Qo1Mxhgikalx904HBgg4GAs8INbe9I</t>
  </si>
  <si>
    <t xml:space="preserve">2nd Position in TIER 2 Python Programming Competition </t>
  </si>
  <si>
    <t>https://drive.google.com/open?id=1ERO6TVwxYl1AFWaNaYPJyUygy_Alj8rw</t>
  </si>
  <si>
    <t>L.Kavya</t>
  </si>
  <si>
    <t>18331A0585</t>
  </si>
  <si>
    <t>Communication Skills</t>
  </si>
  <si>
    <t xml:space="preserve">AVS College of Arts and Science </t>
  </si>
  <si>
    <t>5 days</t>
  </si>
  <si>
    <t>-</t>
  </si>
  <si>
    <t>https://drive.google.com/open?id=1_fCZDqKNIBX0w3m-dkaM6PGiYSEGIZC1</t>
  </si>
  <si>
    <t>lakhanapuramkavya@gmail.com</t>
  </si>
  <si>
    <t>12 weeks</t>
  </si>
  <si>
    <t>https://drive.google.com/open?id=10hLmuCevcj4rym65LtXH_pBpFzZsdz2h</t>
  </si>
  <si>
    <t>B.Samiksha</t>
  </si>
  <si>
    <t>18331A0510</t>
  </si>
  <si>
    <t>https://drive.google.com/open?id=1lCQIP6NcvtwOI3Qp-ygztSrRYNle8Fno</t>
  </si>
  <si>
    <t>bsamiksha1469@gmail.com</t>
  </si>
  <si>
    <t xml:space="preserve">Ganta Manoj Kumar </t>
  </si>
  <si>
    <t>Matlab on ramp</t>
  </si>
  <si>
    <t>Mathworks</t>
  </si>
  <si>
    <t>5months</t>
  </si>
  <si>
    <t xml:space="preserve">Prasad rao </t>
  </si>
  <si>
    <t>https://drive.google.com/open?id=1jyPW79fPV6fSlK6LANHzYP9sopxjR-lO</t>
  </si>
  <si>
    <t>VUGGINA VEERA VENKATA SATYA VARAHA AYYAPPA</t>
  </si>
  <si>
    <t>19335A0518</t>
  </si>
  <si>
    <t>https://drive.google.com/open?id=1rWOtnSib5pNevDKPrBsgqUJemwthqMRE</t>
  </si>
  <si>
    <t>ayyappa.vuggina01@gmail.com</t>
  </si>
  <si>
    <t>8 Weeks</t>
  </si>
  <si>
    <t>K. Ravi Kiran Varma</t>
  </si>
  <si>
    <t>https://drive.google.com/open?id=1qLwO9j6QWJqkrVFTFe1r7bBOvBWyxMrR</t>
  </si>
  <si>
    <t xml:space="preserve">TIP Community </t>
  </si>
  <si>
    <t>1 month</t>
  </si>
  <si>
    <t>https://drive.google.com/open?id=1hifjuFihTXKbIiF-5nCra9V0PPc36URt</t>
  </si>
  <si>
    <t>Ravi Kiran Varma</t>
  </si>
  <si>
    <t>https://drive.google.com/open?id=1xi_3_KryNHfhuwsF0rmwH-Qd-mqYuTLU</t>
  </si>
  <si>
    <t>AWS Academy Cloud Foundations</t>
  </si>
  <si>
    <t>AWS</t>
  </si>
  <si>
    <t>https://drive.google.com/open?id=1y5dyz-4_Rx96Ob2UHhlEn0uTeO_arITJ</t>
  </si>
  <si>
    <t>Introduction to Cybersecurity</t>
  </si>
  <si>
    <t>3 MONTHS</t>
  </si>
  <si>
    <t>https://drive.google.com/open?id=1GoETtWDzIgW_oAaP0040Hr6PSwh-t3GB</t>
  </si>
  <si>
    <t>Amazon Web services (AWS) CLOUD</t>
  </si>
  <si>
    <t>AICET</t>
  </si>
  <si>
    <t>https://drive.google.com/open?id=11rW9SYSxFKwYAVVe4rjhiUeQzmiKRoi5</t>
  </si>
  <si>
    <t>B SAMIKSHA</t>
  </si>
  <si>
    <t>2 MONTHS</t>
  </si>
  <si>
    <t>https://drive.google.com/open?id=1FbWAOVoOljNV934Luz8kVJsk5CN-9IFP</t>
  </si>
  <si>
    <t>https://drive.google.com/open?id=1QJRz-EbuXy_d6ZWpHTsrEjjdIKElpk0-</t>
  </si>
  <si>
    <t>https://drive.google.com/open?id=1nv45MlqTCMcGUrLqupfue2-EpTWrTG8c</t>
  </si>
  <si>
    <t>NDG LINUX ESSENTIALS Unhatched</t>
  </si>
  <si>
    <t>https://drive.google.com/open?id=1x3HYhUw40jhSMb8RRJ3qW95BZmPslygK</t>
  </si>
  <si>
    <t xml:space="preserve">Alluri Vishnu Vardhan Varma </t>
  </si>
  <si>
    <t>18331A0504</t>
  </si>
  <si>
    <t xml:space="preserve">Capgemini </t>
  </si>
  <si>
    <t>https://drive.google.com/open?id=1CeOQ59qmlzNyT1Esv4h5TV6_GBYNxX3G</t>
  </si>
  <si>
    <t>vvvarma2001@gmail.com</t>
  </si>
  <si>
    <t>Internet Connection: How to Get Online?</t>
  </si>
  <si>
    <t>45 days</t>
  </si>
  <si>
    <t>NA</t>
  </si>
  <si>
    <t>https://drive.google.com/open?id=1cPx_WF0s9doUfM1_GkZe3bOU5GdjrSt5</t>
  </si>
  <si>
    <t>Dr.Ravi Kiran Varma</t>
  </si>
  <si>
    <t>https://drive.google.com/open?id=1yr0kBqoZsc_zc9qQEBxEHDJokNdQsJKu</t>
  </si>
  <si>
    <t xml:space="preserve">Gorle Jayasri </t>
  </si>
  <si>
    <t>19335A0505</t>
  </si>
  <si>
    <t>https://drive.google.com/open?id=1iHQ_OzGdGwvuj_6h5n4_UoHjYIdeFruP</t>
  </si>
  <si>
    <t>gorlejayasri99@gmail.com</t>
  </si>
  <si>
    <t xml:space="preserve">Programming for Everybody </t>
  </si>
  <si>
    <t>https://drive.google.com/open?id=1snLSTDItYM6XqrV7D2RDPUr_OFCaKzBn</t>
  </si>
  <si>
    <t>Matlab</t>
  </si>
  <si>
    <t>MathWorks</t>
  </si>
  <si>
    <t>https://drive.google.com/open?id=1DXcdXzCkOcbyhBhLXOKT4jhAX9XdM3_G</t>
  </si>
  <si>
    <t>Gorle Jayasri</t>
  </si>
  <si>
    <t>https://drive.google.com/open?id=17WoFN9WMB3spWhb84feUEwJqfHh35LmO</t>
  </si>
  <si>
    <t>Classical Cryptosystems and Core Concepts</t>
  </si>
  <si>
    <t>https://drive.google.com/open?id=1sQlYEdwj_KjmRMuHxd_Ck5LyLI73v53O</t>
  </si>
  <si>
    <t>https://drive.google.com/open?id=1RxUqwi4Bbgsj0-AYaZjFPewNmTLYF7RM</t>
  </si>
  <si>
    <t>Getting Started with Python</t>
  </si>
  <si>
    <t>https://drive.google.com/open?id=1rvgWR3i5McsxAnq_-ne6ZbqkJcF31fxr</t>
  </si>
  <si>
    <t>Python Data Structures</t>
  </si>
  <si>
    <t xml:space="preserve">Self Learning </t>
  </si>
  <si>
    <t>https://drive.google.com/open?id=1bH4XKH46QEMsaBFlfL864MyY17Fp4rhR</t>
  </si>
  <si>
    <t>Machine Learning for All</t>
  </si>
  <si>
    <t>https://drive.google.com/open?id=1e_2MubAzEkdFujWjr27BAhXJYOS91CyG</t>
  </si>
  <si>
    <t xml:space="preserve">AI for Everyone </t>
  </si>
  <si>
    <t>https://drive.google.com/open?id=1bXQldzL7MuT1C-ThtJPgBjxOiWEm41c6</t>
  </si>
  <si>
    <t>AWS academy</t>
  </si>
  <si>
    <t>https://drive.google.com/open?id=1ziKEhcb8WGR6GcExGyLs1lCuko-zHEY-</t>
  </si>
  <si>
    <t>Programming in C</t>
  </si>
  <si>
    <t>8 weeks</t>
  </si>
  <si>
    <t>https://drive.google.com/open?id=1Rv0duWK5org1VQf4Lv2k64_LZkKBgSPi</t>
  </si>
  <si>
    <t>SEM-3</t>
  </si>
  <si>
    <t>Programming in java</t>
  </si>
  <si>
    <t>https://drive.google.com/open?id=1Ljw76TOEBELwkGryhr8VqCI-2coBs_iX</t>
  </si>
  <si>
    <t>https://drive.google.com/open?id=12iVb3sqWGWkU7FaU42aPFyT_SieeG7QH</t>
  </si>
  <si>
    <t>DR. RAVI KIRAN VARMA PENMATSA</t>
  </si>
  <si>
    <t>https://drive.google.com/open?id=16P-7gXP6ohJrWg3eywzto-usP9EqpkTz</t>
  </si>
  <si>
    <t>vuggina veera venkata satya varaha ayyappa</t>
  </si>
  <si>
    <t>https://drive.google.com/open?id=1XFI_7JiumZfW1wC0twlAbqOlOW7O9NH4</t>
  </si>
  <si>
    <t>Top performer in tcs hackathon</t>
  </si>
  <si>
    <t xml:space="preserve">TCS </t>
  </si>
  <si>
    <t>https://drive.google.com/open?id=1bBYyu0DE3yVgrgfKcr-yZxyqJ5zXhHaF</t>
  </si>
  <si>
    <t>Introduction to Networks</t>
  </si>
  <si>
    <t>https://drive.google.com/open?id=1jjoaRfGp6aVW5F5X17X0ibtIlEwpilm3</t>
  </si>
  <si>
    <t>Swecha AP</t>
  </si>
  <si>
    <t>https://drive.google.com/open?id=1rf12jICt3hys1pme1JN7hTvyeY64jQ6o</t>
  </si>
  <si>
    <t>18331a05d5@mvgrce.edu.in</t>
  </si>
  <si>
    <t>CCNAv7: Introduction to Networks</t>
  </si>
  <si>
    <t>https://drive.google.com/open?id=1wZ6vEmX8t7uRppb1rzrUDY46gzb-WT52</t>
  </si>
  <si>
    <t>https://drive.google.com/open?id=1e6ubDzw6OCuboHa_eyBRGvgpGre_nTHs</t>
  </si>
  <si>
    <t>subba Raju K V</t>
  </si>
  <si>
    <t>https://drive.google.com/open?id=1lZco-aVK73UFtLeAGDTmSu_dhNTddkX_</t>
  </si>
  <si>
    <t xml:space="preserve">Swecha AP </t>
  </si>
  <si>
    <t>https://drive.google.com/open?id=1nEPbTa1t2UWNNR8RZde4eRKLEX8WqBpZ</t>
  </si>
  <si>
    <t>https://drive.google.com/open?id=1hYqGjr9QMT_lw_DWcv9xguMH_Dqhm_0P</t>
  </si>
  <si>
    <t xml:space="preserve">AWS </t>
  </si>
  <si>
    <t>Ravi kumar penmatsa</t>
  </si>
  <si>
    <t>https://drive.google.com/open?id=1juW1leyKoY2adY4coW49zQc9Xn91Wi_l</t>
  </si>
  <si>
    <t>AWS Academy</t>
  </si>
  <si>
    <t>Ravi Kiran Varma Penmatsa</t>
  </si>
  <si>
    <t>https://drive.google.com/open?id=1mnD5N7GnMRQCd8jftZCsJHHiDgkeDE3Q</t>
  </si>
  <si>
    <t>AWS Academy Graduate - AWS Academy Cloud Architecting</t>
  </si>
  <si>
    <t>https://drive.google.com/open?id=127AW0C839nzZAdcqYaMw-UrY4OUnaC49</t>
  </si>
  <si>
    <t xml:space="preserve">AWS Academy </t>
  </si>
  <si>
    <t>https://drive.google.com/open?id=1BmT1EtI1k5GIYrLz2ZgDUKZUyM-VraZb</t>
  </si>
  <si>
    <t>AWS Academy Cloud Architecting</t>
  </si>
  <si>
    <t>https://drive.google.com/open?id=1PaevZzctwiNstawvOgA2hOnh0j81xwO7</t>
  </si>
  <si>
    <t>Coursera(HTML,CSS,Python and AI)</t>
  </si>
  <si>
    <t>https://drive.google.com/open?id=1BgGg5XwToZYoBNupMBn0U5mPe5X9DExJ</t>
  </si>
  <si>
    <t>Coderiders</t>
  </si>
  <si>
    <t>https://drive.google.com/open?id=1E8e34JvVoXED8RuuRU8oxi4f1e4Dsafs</t>
  </si>
  <si>
    <t>BTech</t>
  </si>
  <si>
    <t>https://drive.google.com/open?id=1Ym3ufoG5hrPBXiCbrihB5TaL3YXbLlNc</t>
  </si>
  <si>
    <t xml:space="preserve">AICTE </t>
  </si>
  <si>
    <t>https://drive.google.com/open?id=1TAH1SbQQA-KZ2zRXCfxGzvrNvcAAWpPd</t>
  </si>
  <si>
    <t>Cyber Security</t>
  </si>
  <si>
    <t>Andhra Pradesh State Skill Development Corporation(APSSDC)</t>
  </si>
  <si>
    <t>Dr. Rajesh Nimmagadda</t>
  </si>
  <si>
    <t>https://drive.google.com/open?id=1k-RdzvCgtdevHdpknc1frcI8zeceBy31</t>
  </si>
  <si>
    <t>Red Hat System Administration I (RH124)</t>
  </si>
  <si>
    <t>SUBBARAJU SIR</t>
  </si>
  <si>
    <t>https://drive.google.com/open?id=1EqVwWxFgPBJOHvjZA0jScf8rURHuLvfM</t>
  </si>
  <si>
    <t>Antennas</t>
  </si>
  <si>
    <t xml:space="preserve"> Andhra Pradesh State Skill Development Corporation(APSSDC)</t>
  </si>
  <si>
    <t>Dr. Kiran Kumar Nallamekala</t>
  </si>
  <si>
    <t>https://drive.google.com/open?id=1u9whwEgeafFtxo1K4e69WtfCHd4-5x7u</t>
  </si>
  <si>
    <t>Trending technologies by EXCELR APSSDC</t>
  </si>
  <si>
    <t>APSSDC EXCELR</t>
  </si>
  <si>
    <t>https://drive.google.com/open?id=1Y9_qqWpPAcz7k69iFzE4GAdFFfx03ljx</t>
  </si>
  <si>
    <t>D2C</t>
  </si>
  <si>
    <t>https://drive.google.com/open?id=1xqCzYUBCGabD8rGLakUdkhtRCClEnZlj</t>
  </si>
  <si>
    <t>National intellectual property awareness mission</t>
  </si>
  <si>
    <t>NIPAM</t>
  </si>
  <si>
    <t>https://drive.google.com/open?id=1f68sWt-5rGKluE20-P2Im7xMMD-04opV</t>
  </si>
  <si>
    <t>GANTA  GAYATRI</t>
  </si>
  <si>
    <t>18331A0541</t>
  </si>
  <si>
    <t>CCNA</t>
  </si>
  <si>
    <t>https://drive.google.com/open?id=1y973qex__okkEKPhMTgBO-JPj-KbUioj</t>
  </si>
  <si>
    <t>gantagayatri490@gmail.com</t>
  </si>
  <si>
    <t>https://drive.google.com/open?id=1LuMxZ-WwCiFoEhTdZYsi4aKvomUYNSG1</t>
  </si>
  <si>
    <t>TechnoGen</t>
  </si>
  <si>
    <t>34 Days</t>
  </si>
  <si>
    <t>https://drive.google.com/open?id=1Ypb6w_HDPXntjJUJ4tTBW_VXaSaaBTlB</t>
  </si>
  <si>
    <t>1 Month</t>
  </si>
  <si>
    <t>https://drive.google.com/open?id=1OIEpS1he-XvUXsBSIAw6J0qTP92jKwkr</t>
  </si>
  <si>
    <t>SWECHA FREEDOM FEST</t>
  </si>
  <si>
    <t>SWECHA</t>
  </si>
  <si>
    <t>Vamsi Krishna</t>
  </si>
  <si>
    <t>Paid</t>
  </si>
  <si>
    <t>https://drive.google.com/open?id=13LkRJTs4XF0_4gVHPtBDYYbiBl1B3cT3</t>
  </si>
  <si>
    <t>Sai Sakti Vamsi Kolli</t>
  </si>
  <si>
    <t>18331A05D1</t>
  </si>
  <si>
    <t>Wipro Earthian Sustainability Quiz,  Information Security Annual Training</t>
  </si>
  <si>
    <t>Wipro</t>
  </si>
  <si>
    <t>6 Days</t>
  </si>
  <si>
    <t>Mr.P Ram Santosh Naidu</t>
  </si>
  <si>
    <t>https://drive.google.com/open?id=1dI8_tPOHSzCb74KkjRi3HCoy2-bfgU5I</t>
  </si>
  <si>
    <t>saishaktikolli@gmail.com</t>
  </si>
  <si>
    <t>Cybersecurity Foundation</t>
  </si>
  <si>
    <t>Palo Alto Networks Cybersecurity Academy</t>
  </si>
  <si>
    <t>https://drive.google.com/open?id=1GBl0nnG0xx1XN603Yge18K4HSJemYzOJ</t>
  </si>
  <si>
    <t>Sai Sakthi Vamsi Kolli</t>
  </si>
  <si>
    <t>https://drive.google.com/open?id=1_o4CsmjyYrEXDlK98Mo745yDuPAPbOyo</t>
  </si>
  <si>
    <t>Python</t>
  </si>
  <si>
    <t>Log2Base2</t>
  </si>
  <si>
    <t>2 Month</t>
  </si>
  <si>
    <t>Mr P Ram Santosh Naidu</t>
  </si>
  <si>
    <t>https://drive.google.com/open?id=1sCRyjn5e_QQuDBpkeNhqnyLnFdCEWrBp</t>
  </si>
  <si>
    <t>C , C++</t>
  </si>
  <si>
    <t>50 days</t>
  </si>
  <si>
    <t>https://drive.google.com/open?id=1hmBDFEQubi1xdeD9NNZO5E6rwOHsO1Ky</t>
  </si>
  <si>
    <t>https://drive.google.com/open?id=1njaOo2FQclLRPfdKvfW1gZpxGn7_94Ih</t>
  </si>
  <si>
    <t>Hyderabad</t>
  </si>
  <si>
    <t>3.5 LPA</t>
  </si>
  <si>
    <t>Wipro Earthain Sustainabilty Quiz</t>
  </si>
  <si>
    <t>1 Day</t>
  </si>
  <si>
    <t>https://drive.google.com/open?id=1weMVHWhGnk2_8xnEmWSlproEiy_09tE9</t>
  </si>
  <si>
    <t>https://drive.google.com/open?id=1GDwNFQwwbcvfERxsS__5FKPalkASwhN9</t>
  </si>
  <si>
    <t>Code Riders 2021</t>
  </si>
  <si>
    <t xml:space="preserve"> 1 Month</t>
  </si>
  <si>
    <t>https://drive.google.com/open?id=1LdzmjOYq2KIe8nkrqSa5ThZwK1bqixZg</t>
  </si>
  <si>
    <t xml:space="preserve"> CISCO</t>
  </si>
  <si>
    <t>https://drive.google.com/open?id=15m24HTsvhmCHTfpddNph-bNu08e1k0k_</t>
  </si>
  <si>
    <t>CCNAv7: Switching, Routing, and Wireless Essentials</t>
  </si>
  <si>
    <t>https://drive.google.com/open?id=1Ubp8_c4h7akiK0B3O4DqW0FOv0a_NPLu</t>
  </si>
  <si>
    <t xml:space="preserve"> AWS Academy Cloud Foundations</t>
  </si>
  <si>
    <t>20 hours</t>
  </si>
  <si>
    <t>https://drive.google.com/open?id=1hWZ3IU_hEzghk26-0Zy6EkmUgvGEumIh</t>
  </si>
  <si>
    <t>https://drive.google.com/open?id=17fDZDgI0IUlTGAQR7Oh1MKbR9td1xQNL</t>
  </si>
  <si>
    <t>https://drive.google.com/open?id=1OI6bpCgYEzw1K9uQUhVrnzdx_wk7OzEw</t>
  </si>
  <si>
    <t>Introduction to IOT</t>
  </si>
  <si>
    <t>Jackson Smith</t>
  </si>
  <si>
    <t>https://drive.google.com/open?id=1Iz5WGeW5_Pf7x4xtRu9jFfSAZJGtPWoT</t>
  </si>
  <si>
    <t>NDG LINUX Essentials</t>
  </si>
  <si>
    <t>Mark Williams</t>
  </si>
  <si>
    <t>https://drive.google.com/open?id=1L1zMhfxTvNoi-qU4SQcbTr004amwsT8L</t>
  </si>
  <si>
    <t>chandra mohan ganivada</t>
  </si>
  <si>
    <t>18331A0540</t>
  </si>
  <si>
    <t>0000</t>
  </si>
  <si>
    <t>https://drive.google.com/open?id=1Nr448mqqr1NBrnVWdEOvPsyTfKkRoX6E</t>
  </si>
  <si>
    <t>ganivasniz20852@gmail.com</t>
  </si>
  <si>
    <t>CPA: Programming Essentials in C++</t>
  </si>
  <si>
    <t>https://drive.google.com/open?id=1vMGLeUrSR3Dh6GgANjUHAzVvzXnuXo0B</t>
  </si>
  <si>
    <t>PCAP: Programming Essentials in Python</t>
  </si>
  <si>
    <t>https://drive.google.com/open?id=1DNSPS149gUyqLMTKWt0qSnJScql9abxN</t>
  </si>
  <si>
    <t>https://drive.google.com/open?id=11O2rotzNzFdvp3cPl2KcpFSbjJsThz21</t>
  </si>
  <si>
    <t>Networking Essentials</t>
  </si>
  <si>
    <t>https://drive.google.com/open?id=1fSSORdeD8acofYQiHurdHVIzDt6LzyPy</t>
  </si>
  <si>
    <t>V Sowdamini</t>
  </si>
  <si>
    <t>19335A0517</t>
  </si>
  <si>
    <t xml:space="preserve">Amazo </t>
  </si>
  <si>
    <t>https://drive.google.com/open?id=1wt9s597GXQ644bd2PXLfHEfaSSeztFVo</t>
  </si>
  <si>
    <t>sowdaminivanamali5931@gmail.com</t>
  </si>
  <si>
    <t xml:space="preserve">IP Awareness/Training program </t>
  </si>
  <si>
    <t>Intellectual property office india</t>
  </si>
  <si>
    <t>M VAMSI krishna</t>
  </si>
  <si>
    <t>https://drive.google.com/open?id=1MN72QEOBlsJEpBytw8ieoI5Y1fdvvO8B</t>
  </si>
  <si>
    <t>1 MONTH</t>
  </si>
  <si>
    <t>https://drive.google.com/open?id=157mtY3fc8QYuVIVtyTbeJ4QX-mMTiq2I</t>
  </si>
  <si>
    <t>https://drive.google.com/open?id=1PZnuH5tSVB26pRmJlwb2FJMFv4qiaUM3</t>
  </si>
  <si>
    <t>https://drive.google.com/open?id=1W3R9v_hup1LUCJiss5p917DRrA5R7EIv</t>
  </si>
  <si>
    <t>https://drive.google.com/open?id=14fV7fxncmH55U2ozhPZT7Y_pjan6yvMR</t>
  </si>
  <si>
    <t>https://drive.google.com/open?id=1Eh1ZtTa1QnOLiqHCU_Xtc1vAhcsYeqNY</t>
  </si>
  <si>
    <t>https://drive.google.com/open?id=1gac_Nud4F4G8I9PCCa9D0Btcm3uOxWZQ</t>
  </si>
  <si>
    <t>Foundations of artificial intelligence and machine learning</t>
  </si>
  <si>
    <t>Anucet Ieee subsection</t>
  </si>
  <si>
    <t>K Chaitanya</t>
  </si>
  <si>
    <t>https://drive.google.com/open?id=1mmZ91l860Gob8yBSsKcYE-clugg18T9H</t>
  </si>
  <si>
    <t>Aws academy cloud architecting</t>
  </si>
  <si>
    <t>Aws academy</t>
  </si>
  <si>
    <t>20hrs</t>
  </si>
  <si>
    <t>Dr p Ravikiran varma</t>
  </si>
  <si>
    <t>https://drive.google.com/open?id=1KxtjneWk-xmDymWeFiQvMkzvSpLeO477</t>
  </si>
  <si>
    <t>syed ali zulfekar</t>
  </si>
  <si>
    <t>18331A05E9</t>
  </si>
  <si>
    <t>CLA: Programming Essentials in C</t>
  </si>
  <si>
    <t>https://drive.google.com/open?id=1lz_Bl-sFcaCSf5bLkeZNU00wIlLysyUY</t>
  </si>
  <si>
    <t>tillu812@gmail.com</t>
  </si>
  <si>
    <t>ravi kiran varma</t>
  </si>
  <si>
    <t>https://drive.google.com/open?id=1Xptl1fq8dz1QeoTmoamjU_iN5PqHa11t</t>
  </si>
  <si>
    <t>https://drive.google.com/open?id=1p8mCPDMdTmkYsb9TbiBpyzyVeoOg4PP8</t>
  </si>
  <si>
    <t>dr.ravi kiran varma</t>
  </si>
  <si>
    <t>https://drive.google.com/open?id=15xS7hw95edEQiA3Z0-2edZvwijii28YG</t>
  </si>
  <si>
    <t>CCNAv7: Enterprise Networking, Security, and Automation</t>
  </si>
  <si>
    <t>https://drive.google.com/open?id=181GeCtBVogSFrpfprg4RD4Ah_1lWhBn7</t>
  </si>
  <si>
    <t>https://drive.google.com/open?id=1Mty3rxcbLKf2IeeWugKzvR_8RUp42v3Y</t>
  </si>
  <si>
    <t>aws</t>
  </si>
  <si>
    <t>https://drive.google.com/open?id=12MytZyqxTtur7HDjKk7tzk42J7to-H0B</t>
  </si>
  <si>
    <t>aicte</t>
  </si>
  <si>
    <t>https://drive.google.com/open?id=1f0LvrIQaf3gHFF_9bh-qodDIZzGE6k5J</t>
  </si>
  <si>
    <t>Syed ali zulfekar</t>
  </si>
  <si>
    <t>Seminar</t>
  </si>
  <si>
    <t>Ethical hacking</t>
  </si>
  <si>
    <t>azure skynet</t>
  </si>
  <si>
    <t>Manish bhardwaj</t>
  </si>
  <si>
    <t>https://drive.google.com/open?id=1ERDbRT7AXsv2WVl9XVABo_pFFLRjA9xp</t>
  </si>
  <si>
    <t xml:space="preserve">Yasaswi Dendukuri </t>
  </si>
  <si>
    <t>18331A0531</t>
  </si>
  <si>
    <t xml:space="preserve">AWS academy </t>
  </si>
  <si>
    <t>https://drive.google.com/open?id=1KSJLjeKsDdThgf6G9SNIh-_WIZEN-1Be</t>
  </si>
  <si>
    <t>dendukuri.16@gmail.com</t>
  </si>
  <si>
    <t>GRE</t>
  </si>
  <si>
    <t>https://drive.google.com/open?id=1pXi0t5byqcGcH9faXaSFlImJi7ZXoM8S</t>
  </si>
  <si>
    <t>sruthi</t>
  </si>
  <si>
    <t>18331A05C5</t>
  </si>
  <si>
    <t>10WEEKS</t>
  </si>
  <si>
    <t>https://drive.google.com/open?id=1kghyJdNeldS3J2SiTzRELjTjV3CbYhOw</t>
  </si>
  <si>
    <t>sruthirokalla369@gmail.com</t>
  </si>
  <si>
    <t>MUKHEE JYOTHSNA</t>
  </si>
  <si>
    <t>18331A05A2</t>
  </si>
  <si>
    <t>AWS AICTE</t>
  </si>
  <si>
    <t>https://drive.google.com/open?id=1rH9_Xv4bqvDtpQ9t64MpU_vTDvA5hrFu</t>
  </si>
  <si>
    <t>jyothsnamukhee03@gmail.com</t>
  </si>
  <si>
    <t>Sruthi</t>
  </si>
  <si>
    <t>DATA SCIENCE TECHNOLOGIES</t>
  </si>
  <si>
    <t>KYRION TECHNOLOGIES</t>
  </si>
  <si>
    <t>IITH</t>
  </si>
  <si>
    <t>https://drive.google.com/open?id=1lwSOwIwTVqpRGpHUzE0w7n6RB76vPn-L</t>
  </si>
  <si>
    <t>SWECHA FEST</t>
  </si>
  <si>
    <t>VAMSI KRISHNA M</t>
  </si>
  <si>
    <t>https://drive.google.com/open?id=1YJN4rRyY1B01XvUq4hn70_L_LIvcg3Kv</t>
  </si>
  <si>
    <t>Yuvaraj Chowdary Ratnala</t>
  </si>
  <si>
    <t>18331A05C3</t>
  </si>
  <si>
    <t>CCNA module 1</t>
  </si>
  <si>
    <t>Dr. Ravi Kiran Varma</t>
  </si>
  <si>
    <t>https://drive.google.com/open?id=1rdisy0xDoX3c9uFLxKm_19fszA7Dhi4f</t>
  </si>
  <si>
    <t>18331A05C3@mvgrce.edu.in</t>
  </si>
  <si>
    <t>CREATIVE AD MAKING</t>
  </si>
  <si>
    <t>MVGR</t>
  </si>
  <si>
    <t>https://drive.google.com/open?id=1fgbpRkkKznyY-PKI5Dnda_W7Byo0CdFa</t>
  </si>
  <si>
    <t>Yuvaraj Chowdary Ratnals</t>
  </si>
  <si>
    <t>CCNA module 2</t>
  </si>
  <si>
    <t>https://drive.google.com/open?id=1tHgTeOmv4x6dEn_N61Fd6rPcGaAfx2RS</t>
  </si>
  <si>
    <t>https://drive.google.com/open?id=1Q2FKudakYyie6V-kEbVzxtvuNVTgPpRj</t>
  </si>
  <si>
    <t>CCNA module 3</t>
  </si>
  <si>
    <t>https://drive.google.com/open?id=1hRUVOirhtpE6w5Buo_hQrdNvEfdzHtBY</t>
  </si>
  <si>
    <t xml:space="preserve">sruthi </t>
  </si>
  <si>
    <t>KOSMOS</t>
  </si>
  <si>
    <t>3MONTHS</t>
  </si>
  <si>
    <t>https://drive.google.com/open?id=1o80YrSS6nw-p4ji1xpt0DwyY0GaDNIcM</t>
  </si>
  <si>
    <t>Python Programming</t>
  </si>
  <si>
    <t>https://drive.google.com/open?id=1h9YhIgUXtK2rBnqbP6g_f9Dx3QrR_pnD</t>
  </si>
  <si>
    <t>Linux Essentials</t>
  </si>
  <si>
    <t>https://drive.google.com/open?id=1Ya1eh77EFYh1RmxrFdj0Bgk9t3YDTADS</t>
  </si>
  <si>
    <t>C++ essestials</t>
  </si>
  <si>
    <t>https://drive.google.com/open?id=140nJceU32DcUPhZT_yhidWWeYTPZkYVC</t>
  </si>
  <si>
    <t>C programming</t>
  </si>
  <si>
    <t>https://drive.google.com/open?id=1Yf2zDUoI8_xkNYtSbliWFcbfmxkzIlSp</t>
  </si>
  <si>
    <t>Introduction to CyberSecurity</t>
  </si>
  <si>
    <t>https://drive.google.com/open?id=1VKlnt2b-FZFjBtRvA1PX9qSc4nwCLvid</t>
  </si>
  <si>
    <t>Hackathon</t>
  </si>
  <si>
    <t>ANITS</t>
  </si>
  <si>
    <t>https://drive.google.com/open?id=12KkFitX19-ii4YF7cu-Zw7LKTTP6wTY1</t>
  </si>
  <si>
    <t>2 monthS</t>
  </si>
  <si>
    <t>https://drive.google.com/open?id=1sBRIOvnXlhUEOwhmWjBi2OIKVVyG4RDh</t>
  </si>
  <si>
    <t>ayyappa.vuggina001@gmail.com</t>
  </si>
  <si>
    <t>Yuvaraj Chowday Ratnala</t>
  </si>
  <si>
    <t>Cyber security Essestials</t>
  </si>
  <si>
    <t>https://drive.google.com/open?id=1-7cOBptRB-DD8CcNF69wOnEx9CBw8ZuN</t>
  </si>
  <si>
    <t>Introduction to Packet tracer</t>
  </si>
  <si>
    <t>https://drive.google.com/open?id=1rafPhd2JGq6PbQEtzK_z-f8bXhTqly8M</t>
  </si>
  <si>
    <t>VOLUNTEER</t>
  </si>
  <si>
    <t>https://drive.google.com/open?id=1JDkbWTWW31HZtahRtdxiRWL1l2STgDcF</t>
  </si>
  <si>
    <t xml:space="preserve">Manukonda Royal Frederick </t>
  </si>
  <si>
    <t>18331A0595</t>
  </si>
  <si>
    <t xml:space="preserve">AWS Cloud Foundation </t>
  </si>
  <si>
    <t>10weeks</t>
  </si>
  <si>
    <t>https://drive.google.com/open?id=13oDkQ5eszOIASYc_IZHqIC-kEbAMo6TT</t>
  </si>
  <si>
    <t>royalfrederickmanukonda@gmail.com</t>
  </si>
  <si>
    <t>Swecha Freedom Fest</t>
  </si>
  <si>
    <t>MVGR GLUG</t>
  </si>
  <si>
    <t>Mr. M. Vamsi Krishna</t>
  </si>
  <si>
    <t>https://drive.google.com/open?id=1_AmuudImeuAke-60a-pwhO2xVaxGX9rn</t>
  </si>
  <si>
    <t>METTA VAMSI PRANAV</t>
  </si>
  <si>
    <t>18331A0598</t>
  </si>
  <si>
    <t>Intellectual Property Office, India</t>
  </si>
  <si>
    <t>https://drive.google.com/open?id=1v5U4mH5Q8y5JkinMsVnRQk6Qam2Nz3kX</t>
  </si>
  <si>
    <t>vamsipranav9948@gmail.com</t>
  </si>
  <si>
    <t>Summer Camp</t>
  </si>
  <si>
    <t>Swecha</t>
  </si>
  <si>
    <t>Mr. M Vamsi Krishna</t>
  </si>
  <si>
    <t>https://drive.google.com/open?id=1dMNxi_Or7UhKxJPL3YEinENFdowglzpI</t>
  </si>
  <si>
    <t>18331A05C33</t>
  </si>
  <si>
    <t>Maths Day</t>
  </si>
  <si>
    <t>Department of Mathematics</t>
  </si>
  <si>
    <t>Dr. M. Krishna Sastry</t>
  </si>
  <si>
    <t>https://drive.google.com/open?id=19Ka6YBVza_JMpDFUmAyufew4waw_D5y0</t>
  </si>
  <si>
    <t>AL For Everyone</t>
  </si>
  <si>
    <t>https://drive.google.com/open?id=13C09EPcX1B9VGsXLB2h1XTf93qbuA80k</t>
  </si>
  <si>
    <t>Kusuma Patnaik Murahari</t>
  </si>
  <si>
    <t>18331A0584</t>
  </si>
  <si>
    <t>AICTE AWS Cloud Virtual Internship</t>
  </si>
  <si>
    <t>https://drive.google.com/open?id=1gXlcLwDfPm-ZNDcW9x18d9Dv5fS8zPdT</t>
  </si>
  <si>
    <t>muraharikusum2000@gmail.com</t>
  </si>
  <si>
    <t xml:space="preserve"> Java</t>
  </si>
  <si>
    <t>Self Learn</t>
  </si>
  <si>
    <t>https://drive.google.com/open?id=1IWEHEfz3lbGYZAmHqbWoBE51TIggD5nL</t>
  </si>
  <si>
    <t>CLA Programming Essentials in C</t>
  </si>
  <si>
    <t>VAMSI KRISHNA MAHABHASHYAM</t>
  </si>
  <si>
    <t>https://drive.google.com/open?id=1JY06WZOLqu14PhonWHVOlvTMYjZ6411P</t>
  </si>
  <si>
    <t>https://drive.google.com/open?id=1byWGeZTZx-0YwRF5T9ijQuTz8yqdfnDb</t>
  </si>
  <si>
    <t>POTNURU VENKATA NARASIMHA RAJU</t>
  </si>
  <si>
    <t>19331A05D4</t>
  </si>
  <si>
    <t>https://drive.google.com/open?id=1VuTH7Tgo0Pk_ScTpkx1b4YGJX5R6P5Zn</t>
  </si>
  <si>
    <t>pvenkatanarasimharaju2214@gmail.com</t>
  </si>
  <si>
    <t>https://drive.google.com/open?id=1Xt0pIDVap4OLOIehCGYbKilh3Ncco4Ld</t>
  </si>
  <si>
    <t>Programming for Everybody(Python)</t>
  </si>
  <si>
    <t>University Of MICHIGAN</t>
  </si>
  <si>
    <t>https://drive.google.com/open?id=1SHO-5VD9JUEPjog22cWO832kaqajphQy</t>
  </si>
  <si>
    <t>https://drive.google.com/open?id=1o8gU9LI-eJ4hrwHkz7b6V6vX8bc2YFb7</t>
  </si>
  <si>
    <t>Joy of Computing using Python</t>
  </si>
  <si>
    <t>https://drive.google.com/open?id=1tzckmNokaVHGruMN6Hc_EC3u6-od9oOJ</t>
  </si>
  <si>
    <t>IT Essentials</t>
  </si>
  <si>
    <t>Dr. Suvarna Kumar Gogula</t>
  </si>
  <si>
    <t>https://drive.google.com/open?id=1EfuGEnP_eBHvTjbT1pv_KO0PWBL4P-GW</t>
  </si>
  <si>
    <t>KARUMURI SRI RAJ ARYAN</t>
  </si>
  <si>
    <t>18331A0571</t>
  </si>
  <si>
    <t>MATLAB</t>
  </si>
  <si>
    <t>MATLAB ONRAMP</t>
  </si>
  <si>
    <t>SELF-LEARN</t>
  </si>
  <si>
    <t>https://drive.google.com/open?id=1YonZ6olGOZrggM5XjJjW_MC2fOeFo4X9</t>
  </si>
  <si>
    <t>aryankarumuri@gmail.com</t>
  </si>
  <si>
    <t>https://drive.google.com/open?id=1piUk9daAxG9HHSX9eiVkZqbXZtLN3M-g</t>
  </si>
  <si>
    <t>https://drive.google.com/open?id=1AmiFS0aMD7bwcYvbhng9RsATTG5f7YaR</t>
  </si>
  <si>
    <t>AICTE in collaboration with NEAT, Eduskills</t>
  </si>
  <si>
    <t>https://drive.google.com/open?id=1nbfLYFI3vQYDxQ8JKspWb0auP9vnyZst</t>
  </si>
  <si>
    <t>AWS Academy - Cloud Foundations</t>
  </si>
  <si>
    <t>https://drive.google.com/open?id=1VUHajIfvsA2_Is5Aem3vaPKQ5aK14Pgy</t>
  </si>
  <si>
    <t>ANDHRA PRADESH STATE SKILL DEVELOPMENT CORPORATION(APSSDC)</t>
  </si>
  <si>
    <t>ONLINE WEBINAR</t>
  </si>
  <si>
    <t>3 HOURS</t>
  </si>
  <si>
    <t>https://drive.google.com/open?id=1kpORz2olsLac_KiQt0KQ39YxBR7-BvWk</t>
  </si>
  <si>
    <t>https://drive.google.com/open?id=1kKr1bqJud7rueQacoJtL1uRgQoDkwQuk</t>
  </si>
  <si>
    <t>Red Hat System Administration I</t>
  </si>
  <si>
    <t>Red Hat</t>
  </si>
  <si>
    <t>https://drive.google.com/open?id=1w0iKuQmyjwGbJ7rYkESG66j1--K7Kw9x</t>
  </si>
  <si>
    <t>https://drive.google.com/open?id=15fJA4e5vCmqFwiHh6LlpgGNYDCeSn6_o</t>
  </si>
  <si>
    <t>Biology for Engineers and other Non-biologists</t>
  </si>
  <si>
    <t>4 weeks</t>
  </si>
  <si>
    <t>https://drive.google.com/open?id=1rNKTlVQ1Mg-UyM2vSMSBZCEV7h0azLbL</t>
  </si>
  <si>
    <t>TechLearn</t>
  </si>
  <si>
    <t>https://drive.google.com/open?id=1L8QvenQSbBbS_qby0dpkOU-60lBMdQqT</t>
  </si>
  <si>
    <t>Developing Soft Skills and Personality</t>
  </si>
  <si>
    <t>https://drive.google.com/open?id=1mGpPuvf5TuUWPtLTJqcAplQbHfswZDei</t>
  </si>
  <si>
    <t>https://drive.google.com/open?id=19ICyEx7TvltSMYYTihknjAb2kVuwFTJ0</t>
  </si>
  <si>
    <t>https://drive.google.com/open?id=1xXaz0acVeXLlZtQK5bAkaIcj6gP9tmUW</t>
  </si>
  <si>
    <t>JP MORGAN CHASE &amp; Co.</t>
  </si>
  <si>
    <t>https://drive.google.com/open?id=1yhkjwAcobRnGlwhZoJOOSTwHDCLEjMxE</t>
  </si>
  <si>
    <t>https://drive.google.com/open?id=1lBR2uMs4Crdx2pUdhIF8OqE50WSzxF0M</t>
  </si>
  <si>
    <t>PrepInsta</t>
  </si>
  <si>
    <t>https://drive.google.com/open?id=1ng0Lk9SymFgR_16TJjdbejLvtYazcoUx</t>
  </si>
  <si>
    <t>https://drive.google.com/open?id=1BGZMlDUnSEgkcWuFeTdo9Q6hmkRpWqxk</t>
  </si>
  <si>
    <t>Cyber Security Foundation</t>
  </si>
  <si>
    <t>Palo Alto Networks Cyber Security Academy</t>
  </si>
  <si>
    <t>https://drive.google.com/open?id=1IqL4FoPNCX1j8hfwDq8zIaDgZf34hk3P</t>
  </si>
  <si>
    <t>The Women Rock-IT Program</t>
  </si>
  <si>
    <t>Cisco Networking Academy</t>
  </si>
  <si>
    <t>Emma Reid</t>
  </si>
  <si>
    <t>https://drive.google.com/open?id=1snuULu0HwVOJ687g5nrp_n5xXeDOBAOD</t>
  </si>
  <si>
    <t>How UBER Saves Your Time?</t>
  </si>
  <si>
    <t>Tech Learn</t>
  </si>
  <si>
    <t>Kishore Reddy</t>
  </si>
  <si>
    <t>https://drive.google.com/open?id=1Wm4MnZKWaOo8kn9bpOgiuXGTJuxbVBfo</t>
  </si>
  <si>
    <t>https://drive.google.com/open?id=1b3VHZTk5JSmej9BlE4_egVB0SC9_mGf8</t>
  </si>
  <si>
    <t>Implementation Of AL bot for a two player game(TIC TAC TOE)</t>
  </si>
  <si>
    <t>https://drive.google.com/open?id=1UW4JMALPhi0QZwc7UJeLomfBEpWwBMSu</t>
  </si>
  <si>
    <t>https://drive.google.com/open?id=1IZY82G5m3K69SqYjyhhh8SYU1Lr1Ps6M</t>
  </si>
  <si>
    <t>How Tesla Self Car Driving Works?</t>
  </si>
  <si>
    <t>https://drive.google.com/open?id=1Xa6M5OzsQg1V9f_t8BfVNYGChbG7C8wf</t>
  </si>
  <si>
    <t>https://drive.google.com/open?id=1KVm4N3gzrXfXIagHc0ay7TGiDHr14cyf</t>
  </si>
  <si>
    <t>Implement Playlist Generator For Spotify</t>
  </si>
  <si>
    <t>https://drive.google.com/open?id=1WASeusBpiMpHwN8Tc4olsQAqUnPt0BGt</t>
  </si>
  <si>
    <t xml:space="preserve">   Solo senior dance competition</t>
  </si>
  <si>
    <t>Maks dance studio and fitness</t>
  </si>
  <si>
    <t>https://drive.google.com/open?id=1TV9WHLuDDCpqYakrw3vT8Q4B94v1NnqP</t>
  </si>
  <si>
    <t>Implementing Social Media Login Using Facebook API</t>
  </si>
  <si>
    <t>https://drive.google.com/open?id=1-5ulWFAkRwnJeAKm0eIUioBG-oDd3-t6</t>
  </si>
  <si>
    <t>Create Your Portfolio Using Angular and Material UI</t>
  </si>
  <si>
    <t>https://drive.google.com/open?id=1zvZKnreh3OXHMk5VhsXTjp2KaWv929to</t>
  </si>
  <si>
    <t>C PROGRAMMING</t>
  </si>
  <si>
    <t>K.V. Subba Raju</t>
  </si>
  <si>
    <t>https://drive.google.com/open?id=1K0hyaMAaPsme28BcbSbWerGiglJgibIZ</t>
  </si>
  <si>
    <t>PYTHON</t>
  </si>
  <si>
    <t>https://drive.google.com/open?id=1ng_BFT84CIRQXxhWSzRE95sFg53StfXT</t>
  </si>
  <si>
    <t>CODE RIDERS 2021</t>
  </si>
  <si>
    <t>https://drive.google.com/open?id=1mdMxQKViLW6ytSLD-Vbdi4e36jaHSc9u</t>
  </si>
  <si>
    <t>Korlapu.Neelima</t>
  </si>
  <si>
    <t>19335A0508</t>
  </si>
  <si>
    <t>AWS cloud solution architecture</t>
  </si>
  <si>
    <t>P.Ravikiranvarma</t>
  </si>
  <si>
    <t>https://drive.google.com/open?id=17Z1Pj0_3s3CNdVQcwfvjW-EQpt6p9MI8</t>
  </si>
  <si>
    <t>kneelima2001@gmail.com</t>
  </si>
  <si>
    <t>Korlapu. Neelima</t>
  </si>
  <si>
    <t>paloalto</t>
  </si>
  <si>
    <t>paloalto networks cybersecurity academy</t>
  </si>
  <si>
    <t>p. Ravikiranvarma</t>
  </si>
  <si>
    <t>https://drive.google.com/open?id=12xA8tdA87ytI4YDWfbXDbBh_21lGhlC6</t>
  </si>
  <si>
    <t>certificate for appreciation</t>
  </si>
  <si>
    <t>Vignan's Institute of Engineering For Women</t>
  </si>
  <si>
    <t>https://drive.google.com/open?id=1a7_i4mBy91rc-1wnj7fXUZe2lgdZ_dUp</t>
  </si>
  <si>
    <t>Ch Yashwanth</t>
  </si>
  <si>
    <t>21331A0530</t>
  </si>
  <si>
    <t>MEDICAL IMAGE &amp; SIGNAL PROCESSING USING PYTHON MIS2P'22</t>
  </si>
  <si>
    <t>IEEE VIZAG BAY SECTION</t>
  </si>
  <si>
    <t>Dr. M V S S Nagendranath</t>
  </si>
  <si>
    <t>https://drive.google.com/open?id=1QnUhsVy-V9By4eiuivhfai7KsnOFOEpg</t>
  </si>
  <si>
    <t>nissirao7@gmail.com</t>
  </si>
  <si>
    <t>CHINNI HEMANTH KUMAR</t>
  </si>
  <si>
    <t>21331A0529</t>
  </si>
  <si>
    <t>IEEE, VIZAG BAY SECTION</t>
  </si>
  <si>
    <t>Dr. M v s s nagendranath</t>
  </si>
  <si>
    <t>https://drive.google.com/open?id=1lxAJST8TXOy3XcL_6b_yYdnKszShgTct</t>
  </si>
  <si>
    <t>Chinnihemanth89@gmail.com</t>
  </si>
  <si>
    <t>Nalli Anusha</t>
  </si>
  <si>
    <t>18331A05A7</t>
  </si>
  <si>
    <t>SQL e-QUIZ</t>
  </si>
  <si>
    <t>VIGNAN'S INSTITUTE OF ENGINEERING FOR WOMEN</t>
  </si>
  <si>
    <t>https://drive.google.com/open?id=1cj6KMrfRUN35LIBGgAZrYmyvlNpJT8rK</t>
  </si>
  <si>
    <t>anushanalli18@gmail.com</t>
  </si>
  <si>
    <t>SUBHASH VADLANA</t>
  </si>
  <si>
    <t>18331A05G3</t>
  </si>
  <si>
    <t>https://drive.google.com/open?id=1UCYsFcfdCkQbSjAfAGs7hvKdplw9pvJo</t>
  </si>
  <si>
    <t>subhash12345696@gmail.com</t>
  </si>
  <si>
    <t>https://drive.google.com/open?id=1yH6xTcHoOf9YKgRhzLt1vsdSEVe9vBnF</t>
  </si>
  <si>
    <t>https://drive.google.com/open?id=1LhLl8wf-mab2ISMydvdASHJw2x8W0HOp</t>
  </si>
  <si>
    <t>G. Sai Hemanth Kumar</t>
  </si>
  <si>
    <t>21331A0557</t>
  </si>
  <si>
    <t>https://drive.google.com/open?id=1xgPDjIIWtlF8N_AbDktqiqkbj0DwF7lD</t>
  </si>
  <si>
    <t>sainagu9876@gmail.com</t>
  </si>
  <si>
    <t>6 weeks</t>
  </si>
  <si>
    <t>https://drive.google.com/open?id=1iwLu_bWwmWVWWsS1xqwK7HIQDR5WiX5h</t>
  </si>
  <si>
    <t>https://drive.google.com/open?id=1UUOc2bc6eY3QzSTHXsUfbAZ3XLFm1tgt</t>
  </si>
  <si>
    <t>https://drive.google.com/open?id=1jBcezeHcAVh8Ra03iYZ5Gb6UyE3hDAEu</t>
  </si>
  <si>
    <t>https://drive.google.com/open?id=1ma_stHfWBNm3aii_BEU928E9YL2sHdt2</t>
  </si>
  <si>
    <t>YASHWANTH BOGGARAPU</t>
  </si>
  <si>
    <t>Course era</t>
  </si>
  <si>
    <t>https://drive.google.com/open?id=1Dzwq6M6F0MneFVTbr_uNPH4It9kXbuBR</t>
  </si>
  <si>
    <t>Programming Essentials in C</t>
  </si>
  <si>
    <t>https://drive.google.com/open?id=1MECCJigW9kZNViIwA4VPXhY5cUjsAjyS</t>
  </si>
  <si>
    <t>Virtusa Consulting Services Pvt Ltd, India</t>
  </si>
  <si>
    <t>https://drive.google.com/open?id=1uKBfJz5WRxQys5M72Brb5OK10qcss7FK</t>
  </si>
  <si>
    <t>Virtusa</t>
  </si>
  <si>
    <t>https://drive.google.com/open?id=1M75Zuz94mobCB2u7SAfxI6p_Ap3Wqno0</t>
  </si>
  <si>
    <t>Chennai</t>
  </si>
  <si>
    <t>6.5 LPA</t>
  </si>
  <si>
    <t>Bankupalli Srinidhi</t>
  </si>
  <si>
    <t>18331A0511</t>
  </si>
  <si>
    <t xml:space="preserve">Introduction to css, html, JavaScript </t>
  </si>
  <si>
    <t>MR. Ram santhosh Naidu</t>
  </si>
  <si>
    <t>https://drive.google.com/open?id=1UBOwEJ9I9SCa4QjFoguP6K2cUsxIiAtY</t>
  </si>
  <si>
    <t>srinidhivishwanath01@gmail.com</t>
  </si>
  <si>
    <t xml:space="preserve">BORRA VENKATA DURGA RAO </t>
  </si>
  <si>
    <t>21331A0525</t>
  </si>
  <si>
    <t>https://drive.google.com/open?id=1Xw2oJAu2cW0rAc9TPYjclklox-UbSYzd</t>
  </si>
  <si>
    <t>venkatdurgarao7450@gmail.com</t>
  </si>
  <si>
    <t>UMANANDAN SAGAR CHUKKA</t>
  </si>
  <si>
    <t>18331A05G1</t>
  </si>
  <si>
    <t>https://drive.google.com/open?id=1cOOeFbzfVa259sAWKf5ChvDZd0ox5haj</t>
  </si>
  <si>
    <t>cusagar@gmail.com</t>
  </si>
  <si>
    <t>ASHOK KUMAR KORNU</t>
  </si>
  <si>
    <t>19335a0509</t>
  </si>
  <si>
    <t>https://drive.google.com/open?id=1gtaQNNyKbecMF1hVt0kUst-Ow5gy0n_U</t>
  </si>
  <si>
    <t>ashokkumarkornu2000@gmail.com</t>
  </si>
  <si>
    <t>dabbiru haneesh</t>
  </si>
  <si>
    <t>18331A0528</t>
  </si>
  <si>
    <t>Suvidha foundation</t>
  </si>
  <si>
    <t>https://drive.google.com/open?id=1GJg-pY3JFa2WpVzh2cHEFtzk64MkRwv4</t>
  </si>
  <si>
    <t>dabbiruhaneesh@gmail.com</t>
  </si>
  <si>
    <t>Dabbiru haneesh</t>
  </si>
  <si>
    <t>SPARKS FOUNDATION</t>
  </si>
  <si>
    <t>https://drive.google.com/open?id=1ZdqbZz3jeUF3M_MYrqnTTtzHJAcp2G98</t>
  </si>
  <si>
    <t>19335A0509</t>
  </si>
  <si>
    <t>https://drive.google.com/open?id=1JlXIlbw3LU4pvglwII582towmfSEFhKP</t>
  </si>
  <si>
    <t>Dabbiru Haneesh</t>
  </si>
  <si>
    <t>MATLAB Onramp</t>
  </si>
  <si>
    <t>math works</t>
  </si>
  <si>
    <t>patnaik sir</t>
  </si>
  <si>
    <t>https://drive.google.com/open?id=1QcqfuFaHa6H053vRvriHTe-x9DfBwCd5</t>
  </si>
  <si>
    <t>Arisetty Koulini priya</t>
  </si>
  <si>
    <t>18331A0507</t>
  </si>
  <si>
    <t>introduction to cloud identity,HTML,CSS,JavaScript,wed development,advanced styling with responsive design</t>
  </si>
  <si>
    <t>Google cloud,university of Michigan</t>
  </si>
  <si>
    <t>Lakshman rao</t>
  </si>
  <si>
    <t>https://drive.google.com/open?id=1xOtwg-_8p-fxQ4Pa_pf12b4F16TkwHwQ</t>
  </si>
  <si>
    <t>koulinipriya984984@gmail.com</t>
  </si>
  <si>
    <t>python(Basic)</t>
  </si>
  <si>
    <t>hackerrank</t>
  </si>
  <si>
    <t>None</t>
  </si>
  <si>
    <t>https://drive.google.com/open?id=15V76iEt4CxmdQlVon3hNfEC99jdl_76T</t>
  </si>
  <si>
    <t>Dr,Ravi Kiran Varma Penmatsa</t>
  </si>
  <si>
    <t>https://drive.google.com/open?id=1GfiUIYmtc5lHuKVXjJFvcD_dMpiJydpn</t>
  </si>
  <si>
    <t>1 Months</t>
  </si>
  <si>
    <t>https://drive.google.com/open?id=1mDHA3t9wZzaCRSYZW_V_mQyWBk9Pz8ex</t>
  </si>
  <si>
    <t>yegireddi sharmila</t>
  </si>
  <si>
    <t>19335A0519</t>
  </si>
  <si>
    <t>Cisco certification on essential programming in Python</t>
  </si>
  <si>
    <t xml:space="preserve"> Subba raju k v </t>
  </si>
  <si>
    <t xml:space="preserve">Subba raju k v </t>
  </si>
  <si>
    <t>https://drive.google.com/open?id=1eVFF13KuKupbFEOlXh1v8SIRQmQg4b71</t>
  </si>
  <si>
    <t>sharmilayegireddi@gmail.com</t>
  </si>
  <si>
    <t>CCNA on networking</t>
  </si>
  <si>
    <t>Mvgr college of engineering</t>
  </si>
  <si>
    <t>https://drive.google.com/open?id=1w-IsasqP3t24jS8fpAoDARXoUNdVPN0Y</t>
  </si>
  <si>
    <t>https://drive.google.com/open?id=1pnUEp9JInySqXlPxfO-l_p6EtXy4QLJb</t>
  </si>
  <si>
    <t>Web Technology</t>
  </si>
  <si>
    <t>ShapeAi</t>
  </si>
  <si>
    <t>https://drive.google.com/open?id=1C1cf7JpQvnbLHJbkSl_GcfXU09Em_cL1</t>
  </si>
  <si>
    <t>Python Programming For Everyone</t>
  </si>
  <si>
    <t>Sri Venkateswara College of Engineering &amp; Technology</t>
  </si>
  <si>
    <t>https://drive.google.com/open?id=1Rgp9RcpL0amYzwFCwfvoSHP8-_qz7L8J</t>
  </si>
  <si>
    <t>Palo alto on cyber security</t>
  </si>
  <si>
    <t>Ravi kiran varma</t>
  </si>
  <si>
    <t>https://drive.google.com/open?id=1nMcjeDp3LFt1z1cRZug48GyfV1fbyZTG</t>
  </si>
  <si>
    <t>https://drive.google.com/open?id=1_x0w13DUxgU5mRVbSDHa4RMMIgT0_CiY</t>
  </si>
  <si>
    <t>Yegireddi sharmila</t>
  </si>
  <si>
    <t>Amazon aws acadamy</t>
  </si>
  <si>
    <t>https://drive.google.com/open?id=1lEpwiKvCdwRIeNr-XYFINLTXzsZygfTe</t>
  </si>
  <si>
    <t>https://drive.google.com/open?id=1vZ6h6NmWY4HXvyOSIHu-uiERHOWH-pa3</t>
  </si>
  <si>
    <t>https://drive.google.com/open?id=1jdJWtZhz8H41QJNUaf5RtjX52LNo8Api</t>
  </si>
  <si>
    <t>1 st prize in newsreel a contest on current affairs</t>
  </si>
  <si>
    <t xml:space="preserve">GMRIT </t>
  </si>
  <si>
    <t>https://drive.google.com/open?id=13SNgW7VupL2K7SWxmqQnnrjTaqBBbZcq</t>
  </si>
  <si>
    <t>https://drive.google.com/open?id=1nRDBC7pTdfCiYyaiOh-weXyRCKy4G_dh</t>
  </si>
  <si>
    <t>Html</t>
  </si>
  <si>
    <t xml:space="preserve">3 months </t>
  </si>
  <si>
    <t xml:space="preserve">Ram santhosh naidu </t>
  </si>
  <si>
    <t>https://drive.google.com/open?id=10DIYGLHZ9tYfI1fQ5KChqCTvurgWNlZo</t>
  </si>
  <si>
    <t>Javascript</t>
  </si>
  <si>
    <t>Ram santhosh naidu</t>
  </si>
  <si>
    <t>https://drive.google.com/open?id=1Nir40EKmnh1bKY3MAizZPSeaLrKAGV1h</t>
  </si>
  <si>
    <t>SQL QUIZ</t>
  </si>
  <si>
    <t>Vignan’s Institute of Engineering</t>
  </si>
  <si>
    <t>1 DAY</t>
  </si>
  <si>
    <t>https://drive.google.com/open?id=1ZF9MwusSUKSs-S0c6iZa-SxEZTgYzEi5</t>
  </si>
  <si>
    <t>Css</t>
  </si>
  <si>
    <t>https://drive.google.com/open?id=16YuOgPrHQn_L_0OMIhQ71G9-Q5oVq_75</t>
  </si>
  <si>
    <t>Gummaluri A V L Sri Lekha</t>
  </si>
  <si>
    <t>18331A0555</t>
  </si>
  <si>
    <t>Stumagz</t>
  </si>
  <si>
    <t>50days</t>
  </si>
  <si>
    <t>https://drive.google.com/open?id=17IrdOrM5riUDlK7k5Np6O4fQSFI_YiLU</t>
  </si>
  <si>
    <t>lekhasree1430@gmail.com</t>
  </si>
  <si>
    <t>GUMMALURI A V LAKSHMI SRI LEKHA</t>
  </si>
  <si>
    <t>css3</t>
  </si>
  <si>
    <t>University of Michigan</t>
  </si>
  <si>
    <t>1mnth</t>
  </si>
  <si>
    <t>https://drive.google.com/open?id=1wr-9g-h1nNPln7TH18Vd8LrJ__ulov_d</t>
  </si>
  <si>
    <t>https://drive.google.com/open?id=16XuY4EmUqK2kjZQKWp85qX6PVR4EofpK</t>
  </si>
  <si>
    <t>Programming for everybody(getting started with python)</t>
  </si>
  <si>
    <t>University of Michigan(Coursera)</t>
  </si>
  <si>
    <t>https://drive.google.com/open?id=1lkOA7apObZaQGPC_yRymnEcyRs5JFC-y</t>
  </si>
  <si>
    <t>Crash Course on Python</t>
  </si>
  <si>
    <t>https://drive.google.com/open?id=1a01qIrRTj6Es2vSmI86QnjWKufkpZF5_</t>
  </si>
  <si>
    <t>Cloud Identity</t>
  </si>
  <si>
    <t>https://drive.google.com/open?id=1usRNj28J-Yv6kinZKevnEFcpZdFjXnlv</t>
  </si>
  <si>
    <t>Tracking Student Growth using Google Slides</t>
  </si>
  <si>
    <t>https://drive.google.com/open?id=1MX5GaLHjFSuq5PDC4RNThxuwL5EraFCr</t>
  </si>
  <si>
    <t>HTML5</t>
  </si>
  <si>
    <t>https://drive.google.com/open?id=1XD6n55u4083weBmzcpH610mjDGhsoYfd</t>
  </si>
  <si>
    <t>JavaScript</t>
  </si>
  <si>
    <t>https://drive.google.com/open?id=1fr51ofb1W2cxRhP0PDjYmOEyIGpYgfmd</t>
  </si>
  <si>
    <t>Webdevelopment</t>
  </si>
  <si>
    <t>https://drive.google.com/open?id=1DYVycUg39LYXa1MTaM-5hZYiPhY52zHM</t>
  </si>
  <si>
    <t>Gummaluri A V lakshmi Sri lekha</t>
  </si>
  <si>
    <t>2nd prize in National Level Dance Competition</t>
  </si>
  <si>
    <t>Natyaravali Cultural Association</t>
  </si>
  <si>
    <t>https://drive.google.com/open?id=1CGoEV-2e8V_Lk7tS14KxSr7ESQ8kcu19</t>
  </si>
  <si>
    <t>G A V L Sri lekha</t>
  </si>
  <si>
    <t>2nd prize</t>
  </si>
  <si>
    <t>Maharaja prabuthva samskruta kalasala</t>
  </si>
  <si>
    <t>https://drive.google.com/open?id=1J6jQbfJk6dWBsUdK5PdL31TlD2H8n1mi</t>
  </si>
  <si>
    <t>Datapro</t>
  </si>
  <si>
    <t>100days</t>
  </si>
  <si>
    <t>https://drive.google.com/open?id=1jXktun-HZQccdZTo1gydXxzOLTvv5CnM</t>
  </si>
  <si>
    <t>Gummaluri A V Lakshmi Sri Lekha</t>
  </si>
  <si>
    <t>Infor</t>
  </si>
  <si>
    <t>https://drive.google.com/open?id=14_zULZ6Hd6xjm0n-EZCNgOfM0U3palZz</t>
  </si>
  <si>
    <t>GAVL Sri lekha</t>
  </si>
  <si>
    <t>https://drive.google.com/open?id=1n27dXeSQi_XbyI0Qxh545-88cmtBtSqd</t>
  </si>
  <si>
    <t>Sri Lekha</t>
  </si>
  <si>
    <t>Vote for Better india</t>
  </si>
  <si>
    <t>vizianagaram</t>
  </si>
  <si>
    <t>https://drive.google.com/open?id=12g2wjrfUifDh3Gx7TlgWMhP8oc4dxI9d</t>
  </si>
  <si>
    <t>Miss Performer</t>
  </si>
  <si>
    <t>MVGR college of engineering</t>
  </si>
  <si>
    <t>https://drive.google.com/open?id=1uTGVtRaRxKQKLb_Ehjblj80sg5F5loWs</t>
  </si>
  <si>
    <t>Yashwanth Boggarapu</t>
  </si>
  <si>
    <t>Artificial Intelligence Workshop</t>
  </si>
  <si>
    <t>Indian institute of technology, Hyderabad</t>
  </si>
  <si>
    <t>Sujata Mehta</t>
  </si>
  <si>
    <t>https://drive.google.com/open?id=1DhXoFA1w4UZTLOmDgJtSJ8eYXX20ozee</t>
  </si>
  <si>
    <t xml:space="preserve">Chitikana Spandana </t>
  </si>
  <si>
    <t>18331A0527</t>
  </si>
  <si>
    <t>https://drive.google.com/open?id=1wwqvYj7G8Hq9WXoUmmD6Idk6NYqHxAoX</t>
  </si>
  <si>
    <t>spandana1009@gmail.com</t>
  </si>
  <si>
    <t>THE JOY OF COMPUTING WITH PYTHON</t>
  </si>
  <si>
    <t>SWAYAM</t>
  </si>
  <si>
    <t>12 week</t>
  </si>
  <si>
    <t>https://drive.google.com/open?id=16HY80oc6HtCuuvj5JewUNCelUtFbxbkg</t>
  </si>
  <si>
    <t>Srihita Gottimukkala</t>
  </si>
  <si>
    <t>18331A0551</t>
  </si>
  <si>
    <t>DR. Ravi Kiran Varma</t>
  </si>
  <si>
    <t>https://drive.google.com/open?id=1HEFFnq8T2crffT5UhOJ7A7csKpf6EYKP</t>
  </si>
  <si>
    <t>shrivarma29@gmail.com</t>
  </si>
  <si>
    <t>Penumatcha sai vamsi krishna varma</t>
  </si>
  <si>
    <t>18331A05B9</t>
  </si>
  <si>
    <t>The joy of computing python</t>
  </si>
  <si>
    <t>Nptel</t>
  </si>
  <si>
    <t>https://drive.google.com/open?id=1cxNgSdtZCgxXJy14XYM9W6ctcNxeemck</t>
  </si>
  <si>
    <t>varmavamsi38@gmail.com</t>
  </si>
  <si>
    <t>183331A0543</t>
  </si>
  <si>
    <t>GoalStreet</t>
  </si>
  <si>
    <t>https://drive.google.com/open?id=1ZeIF1osrfps_pQKFLERPH1SofXyLhKVp</t>
  </si>
  <si>
    <t>SATHWICK SADANALA</t>
  </si>
  <si>
    <t>18331A05C6</t>
  </si>
  <si>
    <t>Code riders 2021</t>
  </si>
  <si>
    <t xml:space="preserve">Eduskills </t>
  </si>
  <si>
    <t>June-july2021</t>
  </si>
  <si>
    <t>https://drive.google.com/open?id=1uiOk2DJDaRpvDEfg1RYv1Q7VzJqGW4l0</t>
  </si>
  <si>
    <t>sadanalasathwick@gmail.com</t>
  </si>
  <si>
    <t>Dr P Ravi Kiran Varma</t>
  </si>
  <si>
    <t>https://drive.google.com/open?id=1MiDY-YLGQZZKBUxNOYnsMV3T58qcYnWx</t>
  </si>
  <si>
    <t xml:space="preserve">Sathwick Sadanala </t>
  </si>
  <si>
    <t xml:space="preserve">18331A05C6 </t>
  </si>
  <si>
    <t>Ethical Hacking</t>
  </si>
  <si>
    <t xml:space="preserve">IIT hyderabad </t>
  </si>
  <si>
    <t>Workshop conducted by Manish Bharadwaj</t>
  </si>
  <si>
    <t>https://drive.google.com/open?id=1St4ALTYPjBjD_fwPzqO2wiDh4k_BcGAm</t>
  </si>
  <si>
    <t>Iddiboina Bala Kishore</t>
  </si>
  <si>
    <t>18331A0558</t>
  </si>
  <si>
    <t>AWS CLOUD FOUNDATIONS</t>
  </si>
  <si>
    <t>P RAVI KIRAN VARMA</t>
  </si>
  <si>
    <t>https://drive.google.com/open?id=1GHLPz2KKWtbbMW9wN7c_o4y2rt_PJ1IG</t>
  </si>
  <si>
    <t>balakishore810@gmail.com</t>
  </si>
  <si>
    <t>Introduction to packet Tracer</t>
  </si>
  <si>
    <t>https://drive.google.com/open?id=1fppRokg8O_ztDJx0mkm7EqY01BpPMsrL</t>
  </si>
  <si>
    <t>AWS(Amazon)</t>
  </si>
  <si>
    <t>https://drive.google.com/open?id=1XYSKZ49HqIeghBbtItkh5MlLKQtpA4P9</t>
  </si>
  <si>
    <t>Sathwick Sadanala</t>
  </si>
  <si>
    <t>Programming essentials in C</t>
  </si>
  <si>
    <t>Dr.Ravin Kiran Varma Penmatsa</t>
  </si>
  <si>
    <t>https://drive.google.com/open?id=1OD_4ylnlGP-3KVccawhDmymp_XieJ2JT</t>
  </si>
  <si>
    <t xml:space="preserve">AKASAPU HEMANTH KUMAR </t>
  </si>
  <si>
    <t xml:space="preserve">18331A0502 </t>
  </si>
  <si>
    <t>https://drive.google.com/open?id=1EmvpTa5j_6na-7NvTE7ZmRtnvUJ1ecxS</t>
  </si>
  <si>
    <t>akasapuhemanthkumar@gmail.com</t>
  </si>
  <si>
    <t>Palo Alto Networks</t>
  </si>
  <si>
    <t>DR P Ravi Kiran Varma</t>
  </si>
  <si>
    <t>https://drive.google.com/open?id=1_6uI5I0pLhwAN-tYYgmJI22WJ1ACcGYu</t>
  </si>
  <si>
    <t>Cybersecurity essentials</t>
  </si>
  <si>
    <t>https://drive.google.com/open?id=1VRlGOrW3Zj480S4jLzaknk543AyUWlZD</t>
  </si>
  <si>
    <t>KOLLI YASWANTH KUMAR</t>
  </si>
  <si>
    <t>18331A0579</t>
  </si>
  <si>
    <t>Winners in Badminton</t>
  </si>
  <si>
    <t>Jawaharlal Nehru Technological University Vizianagaram , KAKINADA</t>
  </si>
  <si>
    <t>https://drive.google.com/open?id=1GSySQ9XWzPG4_CT4scF7g4D8a1w0HNVg</t>
  </si>
  <si>
    <t>yaswanthroshan1045@gmail.com</t>
  </si>
  <si>
    <t>Dr.Ravi Kiran Varma Penmatsa</t>
  </si>
  <si>
    <t>https://drive.google.com/open?id=1saIgyXhIKHIP0qj41JYjjetOKWSi9XTp</t>
  </si>
  <si>
    <t>Sagirisetty Teja sri</t>
  </si>
  <si>
    <t>18331A05D0</t>
  </si>
  <si>
    <t xml:space="preserve">CCNAv7 </t>
  </si>
  <si>
    <t>RAVI KIRAN VARMA</t>
  </si>
  <si>
    <t>https://drive.google.com/open?id=1iMgoMdOng_18ssDd4lHi-8f00MaO0xdx</t>
  </si>
  <si>
    <t>tejasri.sagirisetty@gmail.com</t>
  </si>
  <si>
    <t>AWS Cloud virtual internship -AICTE</t>
  </si>
  <si>
    <t>https://drive.google.com/open?id=1MlxCiiHa-jCKLhW0mp25BWHjk-pxLFWX</t>
  </si>
  <si>
    <t>AKASAPU HEMANTH KUMAR</t>
  </si>
  <si>
    <t>Coding ninja</t>
  </si>
  <si>
    <t>5days</t>
  </si>
  <si>
    <t>Self learn</t>
  </si>
  <si>
    <t>https://drive.google.com/open?id=1fIttXo-0e7AW-B6zZWeKtI9UqK1Vr7U-</t>
  </si>
  <si>
    <t xml:space="preserve"> BUDIDI SURYA SAI MAHESWAR</t>
  </si>
  <si>
    <t>18331A0521</t>
  </si>
  <si>
    <t>The joy of computing using python</t>
  </si>
  <si>
    <t>https://drive.google.com/open?id=1SWhau6BZsYrQW2m8wvGigOczG7S684k8</t>
  </si>
  <si>
    <t>suryamahesh2000@gmail.com</t>
  </si>
  <si>
    <t>Cybersecurity foundation</t>
  </si>
  <si>
    <t xml:space="preserve">Palo Alto networks Cybersecurity academy </t>
  </si>
  <si>
    <t>https://drive.google.com/open?id=1TE7yeZAMwFyhxq-xeNKV41D9Sw_m3tKg</t>
  </si>
  <si>
    <t>Dr. Ravi Kiran Varma Penamatsa</t>
  </si>
  <si>
    <t>https://drive.google.com/open?id=1-SoacEr93mcC-8vYxjGNQEffwQCJoh-c</t>
  </si>
  <si>
    <t>CLA - C</t>
  </si>
  <si>
    <t>https://drive.google.com/open?id=1PGe_YhDZ1SXbP36ChnZ2JAqpqC42knJJ</t>
  </si>
  <si>
    <t>Programming essesntials in C++</t>
  </si>
  <si>
    <t>https://drive.google.com/open?id=1wwftrjGcCgXc829tPDxaqXf_VUtsK_MT</t>
  </si>
  <si>
    <t>BUDIDI SURYA SAI MAHESWAR</t>
  </si>
  <si>
    <t>Dr. P. Ravi Kiran Varma</t>
  </si>
  <si>
    <t>https://drive.google.com/open?id=1-SvlkiljJgizcW340DsSkgyrIk5El_Fs</t>
  </si>
  <si>
    <t>Python - PCAP</t>
  </si>
  <si>
    <t xml:space="preserve">RAVI KIRAN VARMA </t>
  </si>
  <si>
    <t>https://drive.google.com/open?id=1DWHd-7ka-ee46X0CkP17v6AZjHeQ7aA7</t>
  </si>
  <si>
    <t>https://drive.google.com/open?id=1AeoCf75DFmus-547YYjYZdDtYHiUXCrr</t>
  </si>
  <si>
    <t>Java tutorial course</t>
  </si>
  <si>
    <t>Sololearn</t>
  </si>
  <si>
    <t>https://drive.google.com/open?id=17N3BeMW8Hmh9A0Hdl076geARXIkgtdJg</t>
  </si>
  <si>
    <t>Programming essesntials in Python</t>
  </si>
  <si>
    <t>https://drive.google.com/open?id=12-80y08be4n2P68It-eHdVNU-Tzf5XWU</t>
  </si>
  <si>
    <t xml:space="preserve">KANTUMUTCHU DINESH </t>
  </si>
  <si>
    <t>18331A0569</t>
  </si>
  <si>
    <t xml:space="preserve">COURSERA </t>
  </si>
  <si>
    <t>--</t>
  </si>
  <si>
    <t>https://drive.google.com/open?id=1KKoUmR5Osd9B5_nwo1qlelMAibn-9ZoZ</t>
  </si>
  <si>
    <t>imdinesh26@gmail.com</t>
  </si>
  <si>
    <t>Mindtree</t>
  </si>
  <si>
    <t>https://drive.google.com/open?id=1Qkly311R7TArLslRUrk4QxzeuF6u8THT</t>
  </si>
  <si>
    <t xml:space="preserve">sadanalasathwick@gmail.com </t>
  </si>
  <si>
    <t xml:space="preserve">Introduction to cybersecurity </t>
  </si>
  <si>
    <t>Dr.Ravi kiran varma penmatsa</t>
  </si>
  <si>
    <t>https://drive.google.com/open?id=1lwiSYH1TMda63duErMfjJzJNHJ3lznq7</t>
  </si>
  <si>
    <t>Tcs</t>
  </si>
  <si>
    <t>https://drive.google.com/open?id=1eqRDfKf6TAFamnY0kDJLrMwUjrnB1G6L</t>
  </si>
  <si>
    <t>3.3lpa</t>
  </si>
  <si>
    <t xml:space="preserve">Programming For Everybody Getting Started with Python </t>
  </si>
  <si>
    <t xml:space="preserve">1 month </t>
  </si>
  <si>
    <t>https://drive.google.com/open?id=18ZGvBLENRDpnFtEk8pa5vgpH8LovCSxW</t>
  </si>
  <si>
    <t xml:space="preserve">Python Data Structures </t>
  </si>
  <si>
    <t xml:space="preserve">- </t>
  </si>
  <si>
    <t>https://drive.google.com/open?id=1YYL7ajowjC05hE-1lr9jnWEK3HxBaqXe</t>
  </si>
  <si>
    <t>Introduction to networks</t>
  </si>
  <si>
    <t>Dr.Ravi kiran Varma</t>
  </si>
  <si>
    <t>https://drive.google.com/open?id=1L9wjC6vG7nuYvjdimem2IuS0Bw1r4G8G</t>
  </si>
  <si>
    <t xml:space="preserve">SQL for Data Science </t>
  </si>
  <si>
    <t xml:space="preserve">2 month </t>
  </si>
  <si>
    <t>https://drive.google.com/open?id=1WrZ6G5U0Tk1c9ooBvCrvbKrBvHPNs9mF</t>
  </si>
  <si>
    <t xml:space="preserve">Switching,  routinng and wireless essentials </t>
  </si>
  <si>
    <t>Dr.Ravi kiran varma</t>
  </si>
  <si>
    <t>https://drive.google.com/open?id=1-zCDceZm8HrT2MI98eNitL7FcvuByl22</t>
  </si>
  <si>
    <t xml:space="preserve">Enterprise,networking,security and automation </t>
  </si>
  <si>
    <t>https://drive.google.com/open?id=15XHduGDa7PgoZDaYpRg4GrCbAe0JtMuG</t>
  </si>
  <si>
    <t xml:space="preserve">Kantumutchu Dinesh </t>
  </si>
  <si>
    <t xml:space="preserve">Build a mobile app with Google sheets on Glide and No Coding </t>
  </si>
  <si>
    <t xml:space="preserve">1 day </t>
  </si>
  <si>
    <t>https://drive.google.com/open?id=1ruTJxLfRD91bBKO3FXzsuBZ404E4nE-J</t>
  </si>
  <si>
    <t>3days</t>
  </si>
  <si>
    <t>Vamsi sir(swecha member)</t>
  </si>
  <si>
    <t>https://drive.google.com/open?id=1d3CJEwqnnG0DPf8lZ3jX3U-orHJ8_B2K</t>
  </si>
  <si>
    <t xml:space="preserve">ARTIFICIAL INTELLIGENCE WORKSHOP </t>
  </si>
  <si>
    <t xml:space="preserve">IIT-HYDERABAD </t>
  </si>
  <si>
    <t xml:space="preserve">KYRION TECHNOLOGIES </t>
  </si>
  <si>
    <t>https://drive.google.com/open?id=19Vnr-yfir3mSMfja5hULLq4nv1UtLUFs</t>
  </si>
  <si>
    <t>https://drive.google.com/open?id=1OtmRwww0kHx5VNyzxRZUw9VdnrJnpqf0</t>
  </si>
  <si>
    <t xml:space="preserve">Nukarapu Sai Surya Harshith </t>
  </si>
  <si>
    <t>20331A05C8</t>
  </si>
  <si>
    <t>Workshop</t>
  </si>
  <si>
    <t>Workshop on data analytics using python</t>
  </si>
  <si>
    <t>JNTUGV - UCEV by Dept. Of CSE</t>
  </si>
  <si>
    <t>Sivaramakrishna.T</t>
  </si>
  <si>
    <t>https://drive.google.com/open?id=1b10yQQiqJa5x-8VGCPcRG_CInB4HWbui</t>
  </si>
  <si>
    <t>harshithnukarapu210@yahoo.com</t>
  </si>
  <si>
    <t>Madabathula Padma Praharshitha</t>
  </si>
  <si>
    <t>20331A05A3</t>
  </si>
  <si>
    <t xml:space="preserve">Workshop on data analytics using python </t>
  </si>
  <si>
    <t>JNTUGV -UCEV by department of CSE</t>
  </si>
  <si>
    <t>SIVARAMAKRISHNA.T</t>
  </si>
  <si>
    <t>https://drive.google.com/open?id=1tEBdOaI5D-hDwEhnzhVTlujb8AifOd6E</t>
  </si>
  <si>
    <t>praharshitha210@gmail.com</t>
  </si>
  <si>
    <t>https://drive.google.com/open?id=1qXwc475uw5BmiNnSXgm_E1KoedXTkkgW</t>
  </si>
  <si>
    <t>AWS cloud foundations</t>
  </si>
  <si>
    <t>Dr.Ravi Kiran varma</t>
  </si>
  <si>
    <t>https://drive.google.com/open?id=14K6nY5Zmu7aYFBOqjAHAjykSQh084Liz</t>
  </si>
  <si>
    <t>Madhavi Latha Maduthuri</t>
  </si>
  <si>
    <t>18331A0590</t>
  </si>
  <si>
    <t>Cisci Introduction to packet tracker</t>
  </si>
  <si>
    <t>Cisco Introduction to packet Tracker</t>
  </si>
  <si>
    <t>https://drive.google.com/open?id=1Sa0mof6HF9WoRTINJHjV102SRQUn-hmg</t>
  </si>
  <si>
    <t>madhavimaduthuri5@gmail.com</t>
  </si>
  <si>
    <t>1 week</t>
  </si>
  <si>
    <t>https://drive.google.com/open?id=1GUfl4mlnXROBrfPau_24WDQdpP5kWsjX</t>
  </si>
  <si>
    <t>https://drive.google.com/open?id=12i9WYJZrumjVke4Oq75AvPlAIc806ql5</t>
  </si>
  <si>
    <t>https://drive.google.com/open?id=1WWEp-QqOIqYjBMhmUKbPZ36vniwhr2Av</t>
  </si>
  <si>
    <t>Kalivarapu Nikitha</t>
  </si>
  <si>
    <t>18331A0563</t>
  </si>
  <si>
    <t>Red Hat system administration I</t>
  </si>
  <si>
    <t>Red academy</t>
  </si>
  <si>
    <t xml:space="preserve">K.V . Subba Raju </t>
  </si>
  <si>
    <t>https://drive.google.com/open?id=1P1eIRxNbNnIakpXu7ay-bcjoV6kb1-qp</t>
  </si>
  <si>
    <t>nikithakalivarapu0404@gmail.com</t>
  </si>
  <si>
    <t>Telaprolu Anusha</t>
  </si>
  <si>
    <t>18331A05F3</t>
  </si>
  <si>
    <t>DEVELOPING SOFT SKILLS AND PERSONALITY</t>
  </si>
  <si>
    <t>18 WEEKS</t>
  </si>
  <si>
    <t>https://drive.google.com/open?id=10ICl2iGnFmohHhEghsK1kCY2vbKE3S4V</t>
  </si>
  <si>
    <t>anushatelaprolu04@gmail.com</t>
  </si>
  <si>
    <t>https://drive.google.com/open?id=1aFiyWg3nKicVjRiTTKmWpmr6wrfEAy7Y</t>
  </si>
  <si>
    <t>DATABASE MANAGEMENT SYSTEM</t>
  </si>
  <si>
    <t>https://drive.google.com/open?id=1CgkJja-xS0LqyyIfSu4y9kgIUYuvt0gx</t>
  </si>
  <si>
    <t xml:space="preserve">Karuna Sri Pithani </t>
  </si>
  <si>
    <t xml:space="preserve">18331A0572 </t>
  </si>
  <si>
    <t xml:space="preserve">Cybersecurity essentials </t>
  </si>
  <si>
    <t xml:space="preserve">Cisco networking academy </t>
  </si>
  <si>
    <t xml:space="preserve">2 months </t>
  </si>
  <si>
    <t>K. V. Subba Raju</t>
  </si>
  <si>
    <t>https://drive.google.com/open?id=1bmxenqMP3W4gpKKmI_TSTLICeQwEwlpP</t>
  </si>
  <si>
    <t>pithanikarunasri2001@gmail.com</t>
  </si>
  <si>
    <t>https://drive.google.com/open?id=1nARL6r93gj8v1ZcpPA2aTvnZZw4YZEE2</t>
  </si>
  <si>
    <t>Arun Prasad</t>
  </si>
  <si>
    <t>18331A0564</t>
  </si>
  <si>
    <t>Applied Data Science Specialization</t>
  </si>
  <si>
    <t>Joseph Santarcangelo</t>
  </si>
  <si>
    <t>https://drive.google.com/open?id=1L-6Rmu3CgF-8_Se78N5N2LfPSpaEXXgt</t>
  </si>
  <si>
    <t>arunprasadkalla@gmail.com</t>
  </si>
  <si>
    <t>PROGRAMMING IN JAVA</t>
  </si>
  <si>
    <t>12 WEEKS</t>
  </si>
  <si>
    <t>https://drive.google.com/open?id=1ZG1YYMjQ4TXCkBaoZqizj2_VmRSfoIKO</t>
  </si>
  <si>
    <t>Buddharaju Pragna</t>
  </si>
  <si>
    <t>18331A05H2</t>
  </si>
  <si>
    <t>AI For Everyone</t>
  </si>
  <si>
    <t>20 days</t>
  </si>
  <si>
    <t>online</t>
  </si>
  <si>
    <t>https://drive.google.com/open?id=1mXWQ22tEBum6Qeqx3u3J2UDzE1iF6z0M</t>
  </si>
  <si>
    <t>pragnabuddharaju@gmail.com</t>
  </si>
  <si>
    <t>THE JOY OF COMPUTING USING PYTHON</t>
  </si>
  <si>
    <t>https://drive.google.com/open?id=1TA671kxGBe6lEKNctxZgT38P8oIqNMJb</t>
  </si>
  <si>
    <t>cybersecurity essentials</t>
  </si>
  <si>
    <t>DR. RAVI KIRAN VARMA</t>
  </si>
  <si>
    <t>https://drive.google.com/open?id=1ZP05LU2PnFrGBLhaKojrsGTwG9mpwlyI</t>
  </si>
  <si>
    <t>S sairam</t>
  </si>
  <si>
    <t>17331a05e8</t>
  </si>
  <si>
    <t>Runners in basketball</t>
  </si>
  <si>
    <t>Raghu college of engineering</t>
  </si>
  <si>
    <t>https://drive.google.com/open?id=14qjDpxA_-qxw3L62ORAV10i6-yrPoJ82</t>
  </si>
  <si>
    <t>saikiller0110@gmail.com</t>
  </si>
  <si>
    <t>INTRODUCTION TO NETWORKS</t>
  </si>
  <si>
    <t>5/1/0020</t>
  </si>
  <si>
    <t>K V SUBBA RAJU</t>
  </si>
  <si>
    <t>https://drive.google.com/open?id=1aUFVkujqx_v1nB1Enlhrf5_3ygCp9yAP</t>
  </si>
  <si>
    <t>https://drive.google.com/open?id=1DkiGuPWNrrJ17ziZzyj9FJD6S56uqueV</t>
  </si>
  <si>
    <t>PROGRAMMING ESSENTIALS IN C</t>
  </si>
  <si>
    <t>https://drive.google.com/open?id=1yGuzfZwmMNrNPTASHcdU8xTj7U-OG277</t>
  </si>
  <si>
    <t>Python for Everybody</t>
  </si>
  <si>
    <t>Charles Severance</t>
  </si>
  <si>
    <t>https://drive.google.com/open?id=18ppfmiEPyncUUVBWULW5JrOKj_WdGpMZ</t>
  </si>
  <si>
    <t>DATA SCIENCE</t>
  </si>
  <si>
    <t>COURSERA</t>
  </si>
  <si>
    <t>20 DAYS</t>
  </si>
  <si>
    <t>NIL</t>
  </si>
  <si>
    <t>https://drive.google.com/open?id=1EEn3-aKrMe4UR2gUR2znSArjTP68kM0u</t>
  </si>
  <si>
    <t>https://drive.google.com/open?id=1gSqponAO_29zt3P0egTKxJUtj0kBDxM5</t>
  </si>
  <si>
    <t>Sagi Gayathri</t>
  </si>
  <si>
    <t>18331A05C7</t>
  </si>
  <si>
    <t>Introduction to Cyber Attacks</t>
  </si>
  <si>
    <t>coursera</t>
  </si>
  <si>
    <t>28 days</t>
  </si>
  <si>
    <t>Online</t>
  </si>
  <si>
    <t>https://drive.google.com/open?id=1nPbHAHelH1Rzus_6GXDSVERUuLB1-m_y</t>
  </si>
  <si>
    <t>sagigayathri02@gmail.com</t>
  </si>
  <si>
    <t>30 days</t>
  </si>
  <si>
    <t>https://drive.google.com/open?id=1_zRhbWe-ZIATBTKnt5Wrb3e5ad6h5zy4</t>
  </si>
  <si>
    <t>AI FOR EVERYONE</t>
  </si>
  <si>
    <t>https://drive.google.com/open?id=1NpMNOiwnBkrEYraqidO1Z-98GkhJaxhJ</t>
  </si>
  <si>
    <t>29 days</t>
  </si>
  <si>
    <t>https://drive.google.com/open?id=1jkM9Pz_-gM1Q-WaB6KkKawPZ14FeI4li</t>
  </si>
  <si>
    <t>IBM Ai Engineering</t>
  </si>
  <si>
    <t>Romeo Kienzler</t>
  </si>
  <si>
    <t>https://drive.google.com/open?id=1gsrEmS1hLfncbXA-rvRGaO_R2PbZQppF</t>
  </si>
  <si>
    <t>Deep Learning</t>
  </si>
  <si>
    <t>Andrew Ng</t>
  </si>
  <si>
    <t>https://drive.google.com/open?id=1yN5JNH56TE1t4RD3Q3mNwVCDsSXRiUpQ</t>
  </si>
  <si>
    <t>36 days</t>
  </si>
  <si>
    <t>https://drive.google.com/open?id=1ZQNdDhW7QVnMU3V3fNKSjWx8KRbBE20y</t>
  </si>
  <si>
    <t>Deep Learning.Ai</t>
  </si>
  <si>
    <t>Course</t>
  </si>
  <si>
    <t>Subba Raju.k</t>
  </si>
  <si>
    <t>https://drive.google.com/open?id=1RJuokXaS3doZU8nzhvmSWD7IgeoPV_x4</t>
  </si>
  <si>
    <t>Web Design for Everybody</t>
  </si>
  <si>
    <t>Colleen Van Lent</t>
  </si>
  <si>
    <t>https://drive.google.com/open?id=1oBQG3ddsVRj9xP203FS0eowppN38tU9h</t>
  </si>
  <si>
    <t>C Programming</t>
  </si>
  <si>
    <t>J.J.College of Engineering and Technology</t>
  </si>
  <si>
    <t>https://drive.google.com/open?id=1KaG8ifl87vZVdinj78aAvxxBCvmdzON0</t>
  </si>
  <si>
    <t>Web Applications for Everybody</t>
  </si>
  <si>
    <t>https://drive.google.com/open?id=1IIBfarkDFsZ9NAt0KrRtpOVyEgmB92Za</t>
  </si>
  <si>
    <t xml:space="preserve">MEESALA UPENDRA VENKATA AKHIL </t>
  </si>
  <si>
    <t>18331A0597</t>
  </si>
  <si>
    <t>Aws AICTE</t>
  </si>
  <si>
    <t xml:space="preserve">10 weeks </t>
  </si>
  <si>
    <t>https://drive.google.com/open?id=1C_pOOqVb4BweyXOmoWqjvKoBG_jRZya9</t>
  </si>
  <si>
    <t>meesalaakhil2000@gmail.com</t>
  </si>
  <si>
    <t>Sanapathi Parimala</t>
  </si>
  <si>
    <t>18331A05D8</t>
  </si>
  <si>
    <t>https://drive.google.com/open?id=1_MKGKDwRsGQXTZXyb1XI02-gZj3wRvhZ</t>
  </si>
  <si>
    <t>parichari2000@gmail.com</t>
  </si>
  <si>
    <t>Praseeda Gayatri Jakkula</t>
  </si>
  <si>
    <t xml:space="preserve">18331A0559 </t>
  </si>
  <si>
    <t xml:space="preserve">Self learning </t>
  </si>
  <si>
    <t>https://drive.google.com/open?id=1DSJt6tFJ4O2jHUYmy6vh-Xa-G0Ke0L7V</t>
  </si>
  <si>
    <t>jakkulapraseeda8@gmail.com</t>
  </si>
  <si>
    <t>Verzeo</t>
  </si>
  <si>
    <t>https://drive.google.com/open?id=1jMO4xex9aLpQ4Gd4CThhIclPonr9dDQn</t>
  </si>
  <si>
    <t xml:space="preserve">Cisco </t>
  </si>
  <si>
    <t xml:space="preserve">Self learning  </t>
  </si>
  <si>
    <t>https://drive.google.com/open?id=16y1iF3l2MA9mQJEl_Y8S7lqApti--mOm</t>
  </si>
  <si>
    <t xml:space="preserve">Ravi Kiran Varma </t>
  </si>
  <si>
    <t>https://drive.google.com/open?id=18TIirDTEcMvezXQ8kG1pGurYT2PnZ9xW</t>
  </si>
  <si>
    <t>Linux</t>
  </si>
  <si>
    <t>Ret Hat Academy</t>
  </si>
  <si>
    <t>https://drive.google.com/open?id=1LsdtgiAGWx7Vab0obt7ZLMgD7sa7LOIh</t>
  </si>
  <si>
    <t>Ravi Kumar Varma</t>
  </si>
  <si>
    <t>https://drive.google.com/open?id=1unNQDUrlO24WN9Qw-Oz_biIXQnl2FzTf</t>
  </si>
  <si>
    <t xml:space="preserve">Programming essentials in python </t>
  </si>
  <si>
    <t>https://drive.google.com/open?id=1Te42C1BjAkSS5lPVsAkrwzxRDe3HYG1t</t>
  </si>
  <si>
    <t>https://drive.google.com/open?id=12YJ5IMud9HHYs3B98G5gZFsYH0UVkzhJ</t>
  </si>
  <si>
    <t>https://drive.google.com/open?id=1S_xIhpWCnipqO8l3vqfjrx7_gB06fmn1</t>
  </si>
  <si>
    <t>Introduction to cybersecurity</t>
  </si>
  <si>
    <t>DR.Ravi Kiran Varma Penmatsa</t>
  </si>
  <si>
    <t>https://drive.google.com/open?id=163j5j2XeooYEkwlKvEJ11gq6V3MU9zTa</t>
  </si>
  <si>
    <t xml:space="preserve">Python for beginners </t>
  </si>
  <si>
    <t>Udemy</t>
  </si>
  <si>
    <t>5hr</t>
  </si>
  <si>
    <t>https://drive.google.com/open?id=1YxvWo0-QXKLcKQzguE7dv8y65JIh9gKX</t>
  </si>
  <si>
    <t xml:space="preserve">Aws Academy Cloud Foundation </t>
  </si>
  <si>
    <t>https://drive.google.com/open?id=1de7x2fVjRWzN06eIg7w4V41EJ0irYQnv</t>
  </si>
  <si>
    <t>Introduction to Artificial intelligence</t>
  </si>
  <si>
    <t>https://drive.google.com/open?id=1iO3XouAEkbdhcbi2x1DPtekEr2EXacSH</t>
  </si>
  <si>
    <t>The complete  2021 php full stack web developer bootcamp</t>
  </si>
  <si>
    <t>49 hrs</t>
  </si>
  <si>
    <t>https://drive.google.com/open?id=1nGRXkId6o5cqj3xIaeRBqo0koBoDqQqF</t>
  </si>
  <si>
    <t>Aws Academy cloud architecting</t>
  </si>
  <si>
    <t xml:space="preserve">Aws Academy </t>
  </si>
  <si>
    <t xml:space="preserve">20 hours </t>
  </si>
  <si>
    <t>https://drive.google.com/open?id=14-6G2e_21ywg6bnLAmBUKYzIZlJF7i-X</t>
  </si>
  <si>
    <t>Cousera</t>
  </si>
  <si>
    <t>https://drive.google.com/open?id=1TEMftiyrdghPbyJBdcw26PbaHhraB9Gt</t>
  </si>
  <si>
    <t xml:space="preserve">Data science  for non data scientists </t>
  </si>
  <si>
    <t>5 hrs</t>
  </si>
  <si>
    <t>https://drive.google.com/open?id=1D_K3ZQUUgJStHoH0_5tpdXyvMvpvv40N</t>
  </si>
  <si>
    <t xml:space="preserve">VADLAPUDI DHEERAJ KUMAR </t>
  </si>
  <si>
    <t>18331A05G4</t>
  </si>
  <si>
    <t>AMAZON</t>
  </si>
  <si>
    <t>https://drive.google.com/open?id=1JaMGYAXjB8A_wX0xWqvSLF4SkKfTv8wQ</t>
  </si>
  <si>
    <t>vdkumar1200@gmail.com</t>
  </si>
  <si>
    <t xml:space="preserve">Web technologies </t>
  </si>
  <si>
    <t>Swecha freedom fesr</t>
  </si>
  <si>
    <t>Vamsi krishna</t>
  </si>
  <si>
    <t>https://drive.google.com/open?id=1sWMBO_Kz5DIB1sTOzC2ljXUUNi-6Jj7w</t>
  </si>
  <si>
    <t>Jakkula Praseeda</t>
  </si>
  <si>
    <t>https://drive.google.com/open?id=1mmIxRh7KV6AuPrt8ko_SCJfjgabXIUqI</t>
  </si>
  <si>
    <t xml:space="preserve">Programming for everybody </t>
  </si>
  <si>
    <t xml:space="preserve">K.V.Subba Raju </t>
  </si>
  <si>
    <t>https://drive.google.com/open?id=1zn_3aP5fg2NK4Sa2zP-gGo0Bdj0__thB</t>
  </si>
  <si>
    <t>MEESALA UPENDRA VENKATA AKHIL</t>
  </si>
  <si>
    <t>NCC "C" Certificate</t>
  </si>
  <si>
    <t>National Cadet Corps (NCC)</t>
  </si>
  <si>
    <t>https://drive.google.com/open?id=1u4P98AFX96-DheFXYHueISXv5rFBW69n</t>
  </si>
  <si>
    <t>Deep learning.AI</t>
  </si>
  <si>
    <t>Subba Raju</t>
  </si>
  <si>
    <t>https://drive.google.com/open?id=1zpmm0W3UGpW7gPZdfB1tomu7zAu655rf</t>
  </si>
  <si>
    <t>Programming essential in Python</t>
  </si>
  <si>
    <t>2 month</t>
  </si>
  <si>
    <t xml:space="preserve">Ravi Kiran Varma Penmasta </t>
  </si>
  <si>
    <t>https://drive.google.com/open?id=1vT3ht79J_rL3R2Y6cNERNbj2zqtKCjbQ</t>
  </si>
  <si>
    <t>Jampana Harshini</t>
  </si>
  <si>
    <t>18331A0561</t>
  </si>
  <si>
    <t xml:space="preserve">Artificial Internship Workshop </t>
  </si>
  <si>
    <t xml:space="preserve">IIT Hyderabad </t>
  </si>
  <si>
    <t>https://drive.google.com/open?id=1Btn5Fd1QtPh7OtnhdJFnojpZJ3vuU6is</t>
  </si>
  <si>
    <t>harshini.jampana@gmail.com</t>
  </si>
  <si>
    <t xml:space="preserve">Cybersecurity Essentials </t>
  </si>
  <si>
    <t>DR.RAVI KIRAN VARMA PENMATSA</t>
  </si>
  <si>
    <t>https://drive.google.com/open?id=1QXxIknCStY1FADfkr_8n33MRValOUXhr</t>
  </si>
  <si>
    <t>NCC "B" Certificate</t>
  </si>
  <si>
    <t>National Cadet Crops(NCC) Unit</t>
  </si>
  <si>
    <t>https://drive.google.com/open?id=1HwOWXJMOaF_1InxGLgLG3n7bJEc8Wqoy</t>
  </si>
  <si>
    <t xml:space="preserve">Winners in Football, Inter-College sports competition </t>
  </si>
  <si>
    <t xml:space="preserve">MVGR COLLEGE OF ENGINEERING </t>
  </si>
  <si>
    <t>https://drive.google.com/open?id=1v0hWKNZmunFG-b1zOpH2nMicycDJXoC2</t>
  </si>
  <si>
    <t>Harshini Jampana</t>
  </si>
  <si>
    <t>Programming for everybody (python)</t>
  </si>
  <si>
    <t xml:space="preserve">Subba Raju </t>
  </si>
  <si>
    <t>https://drive.google.com/open?id=1xj8sKmz3AYv0ZHoz3yUKwCxwhKOie9j4</t>
  </si>
  <si>
    <t>Zensar</t>
  </si>
  <si>
    <t>https://drive.google.com/open?id=1TzKAWwUItopmdVYKWq0Fxz3cBchc2C9s</t>
  </si>
  <si>
    <t>Not told yet</t>
  </si>
  <si>
    <t>4LPA</t>
  </si>
  <si>
    <t>https://drive.google.com/open?id=1P_kXvTodQgrAxLcYoHJL7hFzaXkWsdjp</t>
  </si>
  <si>
    <t xml:space="preserve">Cybersecurity Foundation </t>
  </si>
  <si>
    <t xml:space="preserve">Palo Alto Networks </t>
  </si>
  <si>
    <t>https://drive.google.com/open?id=1StTaZaaV_ip8ZODPg62FDxhm_OrJUdMv</t>
  </si>
  <si>
    <t>Harshini jampana</t>
  </si>
  <si>
    <t>https://drive.google.com/open?id=1uVtJF_NIxSsHhdA36qHb5H9Q1jIBSLHj</t>
  </si>
  <si>
    <t>Applied Machine Learning in Python</t>
  </si>
  <si>
    <t>https://drive.google.com/open?id=1gYjOMzNjOvKJepuv6ao08mqXhsq92C1T</t>
  </si>
  <si>
    <t xml:space="preserve">Subba Raju K V </t>
  </si>
  <si>
    <t>https://drive.google.com/open?id=11bQE7iUqWXnUTU6vjyfJICAwQh-lTG5q</t>
  </si>
  <si>
    <t>Joy of computing in Python</t>
  </si>
  <si>
    <t>NPTL</t>
  </si>
  <si>
    <t>https://drive.google.com/open?id=1Un1H0AIrb1uOW-ZLxouxeSlD51o_s6yJ</t>
  </si>
  <si>
    <t>https://drive.google.com/open?id=1Xd2y5nlg-K0Q_Dueeqz6RuQsBFdomNzX</t>
  </si>
  <si>
    <t xml:space="preserve">Kalivarapu Nikitha </t>
  </si>
  <si>
    <t>https://drive.google.com/open?id=1KiMO9-8cXk6324UORr6IxuY-KUyyORrZ</t>
  </si>
  <si>
    <t>18831A0561</t>
  </si>
  <si>
    <t>https://drive.google.com/open?id=1Fn17WcnzXqqx_gbD7qzad0N3XQCVJX-T</t>
  </si>
  <si>
    <t>IoT Fundamentals: Connecting Things</t>
  </si>
  <si>
    <t>https://drive.google.com/open?id=11vOXoyyj2R4fsgYVAYNT-egC_Om5iX96</t>
  </si>
  <si>
    <t>Giduturi Sneha Latha</t>
  </si>
  <si>
    <t>18331A0547</t>
  </si>
  <si>
    <t>C for Everyone: Programming Fundamentals</t>
  </si>
  <si>
    <t>https://drive.google.com/open?id=1KJE6jTvg3cwUXAjwv6DyLbIhO_2sf296</t>
  </si>
  <si>
    <t>snehalathagiduturi@gmail.com</t>
  </si>
  <si>
    <t>Yasaswi Dendukuri</t>
  </si>
  <si>
    <t>https://drive.google.com/open?id=1KmNugm_XisKqjzAylIcY0aqZxNJlRQzk</t>
  </si>
  <si>
    <t xml:space="preserve">Dandu Sravani </t>
  </si>
  <si>
    <t>18331A0529</t>
  </si>
  <si>
    <t>Coursera python for everybody</t>
  </si>
  <si>
    <t xml:space="preserve">Seven weeks </t>
  </si>
  <si>
    <t xml:space="preserve">P. Satheesh </t>
  </si>
  <si>
    <t>https://drive.google.com/open?id=1ToU8ynlyYDOTVYC4oabKICXuq5AnKW3p</t>
  </si>
  <si>
    <t>sravyadandu200@gmail.com</t>
  </si>
  <si>
    <t xml:space="preserve"> Yasaswi Dendukuri</t>
  </si>
  <si>
    <t>Html5</t>
  </si>
  <si>
    <t>Na</t>
  </si>
  <si>
    <t>https://drive.google.com/open?id=1pcLpbVr2HuqKqMGYfZNDpRDZ5rGJa3qz</t>
  </si>
  <si>
    <t>SAI VENKATA ROHIT NAIK BHUKYA</t>
  </si>
  <si>
    <t>18331A05D3</t>
  </si>
  <si>
    <t xml:space="preserve">Web Development </t>
  </si>
  <si>
    <t xml:space="preserve">6 months </t>
  </si>
  <si>
    <t xml:space="preserve">Colleen van lent </t>
  </si>
  <si>
    <t>https://drive.google.com/open?id=1__g9ayAlDo4o5BLco3HRndl_PozQVYIF</t>
  </si>
  <si>
    <t>rohitbhukya@gmail.com</t>
  </si>
  <si>
    <t>Introduction to Web development</t>
  </si>
  <si>
    <t>https://drive.google.com/open?id=1kJPv0I6H9Kk9nyK1ZXr0M2XPCPxfRoTd</t>
  </si>
  <si>
    <t>Coursera introduction to html5</t>
  </si>
  <si>
    <t>Three weeks</t>
  </si>
  <si>
    <t>https://drive.google.com/open?id=1ywwRx2BTwuQhj21kkoPE0IoFic1e0lG4</t>
  </si>
  <si>
    <t>Introduction to HTML5</t>
  </si>
  <si>
    <t>https://drive.google.com/open?id=1JQ5wy0mFP75VcieLkSgUlKUHipxnVgZB</t>
  </si>
  <si>
    <t>Major leak hacking</t>
  </si>
  <si>
    <t>GMRIT</t>
  </si>
  <si>
    <t>https://drive.google.com/open?id=1KNB5mdpBylr3Sq-X6G2GSjH6Uo6pYECQ</t>
  </si>
  <si>
    <t>18331A0539</t>
  </si>
  <si>
    <t xml:space="preserve">Coursera Python Data structures </t>
  </si>
  <si>
    <t>https://drive.google.com/open?id=1E7huDsRdgt5PdBLlOHyYPh6mOB9NeyoA</t>
  </si>
  <si>
    <t>HEXAWARE</t>
  </si>
  <si>
    <t>https://drive.google.com/open?id=1LCsKkG24i9wmznr03mspYdIeItEzVxqQ</t>
  </si>
  <si>
    <t>CHENNAI</t>
  </si>
  <si>
    <t>https://drive.google.com/open?id=1n9PlgNueWUsKnTR51cXZAMTfxtOvAthK</t>
  </si>
  <si>
    <t>K.Neelima</t>
  </si>
  <si>
    <t>National Intellectul Property Awareness Mision</t>
  </si>
  <si>
    <t>https://drive.google.com/open?id=15KfSnOojoq7cgldAyhisNnYZCXghX_TB</t>
  </si>
  <si>
    <t>KADAGALA RAVIKUAMR</t>
  </si>
  <si>
    <t>19335A0506</t>
  </si>
  <si>
    <t>https://drive.google.com/open?id=1cyFS3Sp1zfHCceCD48s7AXEP-jYbJ1bb</t>
  </si>
  <si>
    <t>ravikadagala9494@gmail.com</t>
  </si>
  <si>
    <t>CCNAv7 Introduction to Networks</t>
  </si>
  <si>
    <t>https://drive.google.com/open?id=1h9mBg40srAoiXjTsWHdo3xEaW2L5sHlk</t>
  </si>
  <si>
    <t>K. Neelima</t>
  </si>
  <si>
    <t>Neural Hack2021-season 5</t>
  </si>
  <si>
    <t>Team Virtusa</t>
  </si>
  <si>
    <t>https://drive.google.com/open?id=19jrZAI10BQmb-sfpxY5DRbl_KKgFEZOd</t>
  </si>
  <si>
    <t>CCNAv7: Switching, Routing and Wireless Essentials</t>
  </si>
  <si>
    <t>https://drive.google.com/open?id=1tDOHp__OtFWbzJDmUCm6oh-7tDAAm6WE</t>
  </si>
  <si>
    <t>NEELAPU MANISH REDDY</t>
  </si>
  <si>
    <t>18331A05B2</t>
  </si>
  <si>
    <t xml:space="preserve">Internship </t>
  </si>
  <si>
    <t xml:space="preserve">1stop </t>
  </si>
  <si>
    <t>Megha singh</t>
  </si>
  <si>
    <t>https://drive.google.com/open?id=1a89jgZ_mpPNAvxA-fn3pEpDnpQyYxyZM</t>
  </si>
  <si>
    <t>manish18200011@gmail.com</t>
  </si>
  <si>
    <t>PALO ALTO ON CYBER SECURITY</t>
  </si>
  <si>
    <t>PALO ALTO NETWORKS</t>
  </si>
  <si>
    <t>RAVI KIRAN VARMA P</t>
  </si>
  <si>
    <t>https://drive.google.com/open?id=1Oa6VnPsSdeAhKvr7XSPH2ZBfnjOkfsDN</t>
  </si>
  <si>
    <t xml:space="preserve">CCNAv7: Enterprise Networking, Security and Automation </t>
  </si>
  <si>
    <t>https://drive.google.com/open?id=119hO-WqLyV7FzJ2-_hIX5dSvmZUDHsU-</t>
  </si>
  <si>
    <t>https://drive.google.com/open?id=1rRH2ZCJXnOgm37WwXkGf_PG02fe6BEU5</t>
  </si>
  <si>
    <t xml:space="preserve">Bangalore </t>
  </si>
  <si>
    <t>4 lpa</t>
  </si>
  <si>
    <t>BLOOD DONATION CAMP</t>
  </si>
  <si>
    <t>MVGR COLLEGE OF ENGINEERING</t>
  </si>
  <si>
    <t>https://drive.google.com/open?id=1WUmGmLGyf8ZbZCJ8S4Y5ZUMjDsGOZsFK</t>
  </si>
  <si>
    <t>NCC "B" CERTIFICATE</t>
  </si>
  <si>
    <t>MINISTRY OF DEFENCE, GOVERNMENT OF INDIA</t>
  </si>
  <si>
    <t>https://drive.google.com/open?id=1B0HiC2xPJwhIF3MC1nGrmuBGAsKXTckG</t>
  </si>
  <si>
    <t>Gayatri Devi Datla</t>
  </si>
  <si>
    <t>18331A0545</t>
  </si>
  <si>
    <t xml:space="preserve">Development of softskills and personality </t>
  </si>
  <si>
    <t>https://drive.google.com/open?id=1TUDXE9LzcTF8LfMkXxNqJqzwyfWVxVjM</t>
  </si>
  <si>
    <t>gayatridevidatla2001@gmail.com</t>
  </si>
  <si>
    <t>Mummudivarapu Narendra</t>
  </si>
  <si>
    <t>19335A0511</t>
  </si>
  <si>
    <t>Programming for Everybody (Getting Started with Python), University of Michigan in  Coursera • Python Data Structures, University of Michigan in Coursera • AI For Everyone, DeepLearning.AI in Coursera • What is Data Science? IBM in Coursera, COVID19 Data Analysis Using Python</t>
  </si>
  <si>
    <t xml:space="preserve">Coursera </t>
  </si>
  <si>
    <t>100 %</t>
  </si>
  <si>
    <t>NO</t>
  </si>
  <si>
    <t>https://drive.google.com/open?id=1I6zZ9K06c1wCT1L431NBOjkohm3g5IhF</t>
  </si>
  <si>
    <t>shanmukhanarendra3@gmail.com</t>
  </si>
  <si>
    <t>Cisco - c programming essentials</t>
  </si>
  <si>
    <t>70 days</t>
  </si>
  <si>
    <t>A grade</t>
  </si>
  <si>
    <t>RAVI KIRAN  VARMA PENMATSA</t>
  </si>
  <si>
    <t>https://drive.google.com/open?id=1T_NXKMeQmB7MiH4olcxYiiU7HYwI_m2z</t>
  </si>
  <si>
    <t>SUBBA RAJU K V</t>
  </si>
  <si>
    <t>https://drive.google.com/open?id=1bJOZk-Z-twZuGoL4UVAoKmqU_iTREof7</t>
  </si>
  <si>
    <t>IELTS</t>
  </si>
  <si>
    <t>https://drive.google.com/open?id=1kQAU-tOs-0tvu_Vylj2B4e_FYdYkkup4</t>
  </si>
  <si>
    <t>https://drive.google.com/open?id=1iix9taZqOSqzBb3UlKmCC1uecq-qn_xj</t>
  </si>
  <si>
    <t>https://drive.google.com/open?id=1Lku-n1N6xKb4YeQ2ISDrulg3EnW8yOlb</t>
  </si>
  <si>
    <t>Pimpri Chinchwad College of Engineering</t>
  </si>
  <si>
    <t>https://drive.google.com/open?id=1zWfCKVgNCwM-_UZ2Ju37CgfKQENuNThd</t>
  </si>
  <si>
    <t xml:space="preserve">Softskills </t>
  </si>
  <si>
    <t>12weeks</t>
  </si>
  <si>
    <t>https://drive.google.com/open?id=1GYGDiZixLyORKX67jOnV6DN7WueVpLsm</t>
  </si>
  <si>
    <t>Mvgr college of Engineering</t>
  </si>
  <si>
    <t>B vamsi krishna</t>
  </si>
  <si>
    <t>https://drive.google.com/open?id=165gm2cIFcNxj5zaOUv4C6bN2YlDlYYeR</t>
  </si>
  <si>
    <t>Python Data Structures, University of Michigan in Coursera</t>
  </si>
  <si>
    <t>https://drive.google.com/open?id=1woLJmmeh4K84uqSqrMp4r-wGbeA2Wlh2</t>
  </si>
  <si>
    <t>PALO ALTO NETWORKS CYBERSECURITY ACADAMEY</t>
  </si>
  <si>
    <t>https://drive.google.com/open?id=1nafLwFRJBG-q1nNRHwDX29EsbpCu0eL7</t>
  </si>
  <si>
    <t>What is Data Science? IBM in Coursera</t>
  </si>
  <si>
    <t xml:space="preserve"> Coursera</t>
  </si>
  <si>
    <t>https://drive.google.com/open?id=1AmH3w3-44GU5sGNa3DzDod4lpkTUtORf</t>
  </si>
  <si>
    <t>Devadula N C S CH Sudhakar</t>
  </si>
  <si>
    <t>19335A0504</t>
  </si>
  <si>
    <t xml:space="preserve">Palo Alto networks cyber security </t>
  </si>
  <si>
    <t>palo alto</t>
  </si>
  <si>
    <t>https://drive.google.com/open?id=11kUcBBqKkglYBl2WjxBweseQQrqhNbiJ</t>
  </si>
  <si>
    <t>naveendevadula706@gmail.com</t>
  </si>
  <si>
    <t>https://drive.google.com/open?id=1jfXVxuerdSjvFtlEZeWYwfurTz0AqxaO</t>
  </si>
  <si>
    <t>COVID19 Data Analysis Using Python in Coursera Project Network</t>
  </si>
  <si>
    <t>7 days</t>
  </si>
  <si>
    <t>https://drive.google.com/open?id=1jiIJU8ZvyKMBVP_vkvOEkTVZRG6nYWi9</t>
  </si>
  <si>
    <t>AI For Everyone, DeepLearning.AI in Coursera</t>
  </si>
  <si>
    <t>99 %</t>
  </si>
  <si>
    <t>https://drive.google.com/open?id=1g4cAStMYWAGWLinDZd771nGBJDVj-ByV</t>
  </si>
  <si>
    <t>Programming for Everybody (Getting Started with Python), University of Michigan in Coursera</t>
  </si>
  <si>
    <t>96 %</t>
  </si>
  <si>
    <t>https://drive.google.com/open?id=18o0SK3peIRcyf0MCpt0WbB7IFzl3U_3J</t>
  </si>
  <si>
    <t>Gulla Sai Bhavana</t>
  </si>
  <si>
    <t>18331A0552</t>
  </si>
  <si>
    <t>Ravi Kiran varma</t>
  </si>
  <si>
    <t>https://drive.google.com/open?id=16Z5RdP2vQp6lMUtgglv2xjoJf6auni2F</t>
  </si>
  <si>
    <t>saibhavana.as16@gmail.com</t>
  </si>
  <si>
    <t>https://drive.google.com/open?id=1iaMcD70_naH6KRFWv5NG0ZCyOjxcUoAW</t>
  </si>
  <si>
    <t>Gre</t>
  </si>
  <si>
    <t>https://drive.google.com/open?id=1stKWQG_enFOYdDbP2puflITk4RHtpwWk</t>
  </si>
  <si>
    <t>https://drive.google.com/open?id=13EvQ81i34w8bEj766A-Fa-CyNC1ob9za</t>
  </si>
  <si>
    <t>Basics of C</t>
  </si>
  <si>
    <t>1Hour</t>
  </si>
  <si>
    <t>https://drive.google.com/open?id=1buShck1TZ1p1G5nDkhqST59D4U3bZYLH</t>
  </si>
  <si>
    <t>Gorle Shri Aiswarya</t>
  </si>
  <si>
    <t>18331A0549</t>
  </si>
  <si>
    <t>https://drive.google.com/open?id=1l9MmNe4Fq8SyQw1-9vTljhFxhOoq0gf_</t>
  </si>
  <si>
    <t>aiswarya15112000@gmail.com</t>
  </si>
  <si>
    <t>https://drive.google.com/open?id=182CeUHgul8js2A2Xhtd4IrhsNNqCMqVI</t>
  </si>
  <si>
    <t>Not given</t>
  </si>
  <si>
    <t>https://drive.google.com/open?id=1R4u3fohaTi7TEZxouCeFMmE0I7vah8Pd</t>
  </si>
  <si>
    <t>https://drive.google.com/open?id=1AdnImYkBMQpTsxJI24rJgH5FhywglYup</t>
  </si>
  <si>
    <t>Ganta Gayatri</t>
  </si>
  <si>
    <t>https://drive.google.com/open?id=1vqeGJy-iKtS4guA_6gnC5j3DBV2QdXDU</t>
  </si>
  <si>
    <t>AICTE Internship</t>
  </si>
  <si>
    <t>https://drive.google.com/open?id=1G-l2_HdaTZMDsWqoGZ4rN5EPJbHtt5E_</t>
  </si>
  <si>
    <t>MOUNIKA GANTA</t>
  </si>
  <si>
    <t>https://drive.google.com/open?id=1bRPpbfZ6VF2nNspGaENIdFCxpIgOX3Wf</t>
  </si>
  <si>
    <t>N K V SRIHARSHA</t>
  </si>
  <si>
    <t>18331A05A4</t>
  </si>
  <si>
    <t>Cyber security</t>
  </si>
  <si>
    <t>https://drive.google.com/open?id=15Pk_sGZWE6Flko1Wb2O2twwEnxSdKUX2</t>
  </si>
  <si>
    <t>sriharshankv312001@gmail.com</t>
  </si>
  <si>
    <t>IBM</t>
  </si>
  <si>
    <t>https://drive.google.com/open?id=1oKlHFLgb197iFG06xERQ80MBgMyQFlCO</t>
  </si>
  <si>
    <t>Bangalore</t>
  </si>
  <si>
    <t>https://drive.google.com/open?id=1pxy4YbkI-sDS6ij1d0Nqu69p9VIc-cBR</t>
  </si>
  <si>
    <t>https://drive.google.com/open?id=1SQnF_8DCN91WHC55Or2_3svZTsc2qfWR</t>
  </si>
  <si>
    <t xml:space="preserve">Ichapurapu C S V Krishna Devarayalu </t>
  </si>
  <si>
    <t>18331A0557</t>
  </si>
  <si>
    <t>https://drive.google.com/open?id=193Wgb8wmC7lrSq_ixj5T9weuc-l9Xeb8</t>
  </si>
  <si>
    <t>devarayalu29@gmail.com</t>
  </si>
  <si>
    <t>ICICI prudential life insurance</t>
  </si>
  <si>
    <t>https://drive.google.com/open?id=1MyYAqkRZDWCeVSdVFKaTl8YKOzJnYgtW</t>
  </si>
  <si>
    <t>Mumbai</t>
  </si>
  <si>
    <t>Ichapurapu C S V Krishna Devarayalu</t>
  </si>
  <si>
    <t>https://drive.google.com/open?id=1ND4We0vstlu_HdYGx2G6nGW02_8BM1Aj</t>
  </si>
  <si>
    <t>Machine learning with Verzeo</t>
  </si>
  <si>
    <t>Verzei</t>
  </si>
  <si>
    <t>https://drive.google.com/open?id=1w3Q2vDhXD7K6JmivRgDShFYxy502g-7Z</t>
  </si>
  <si>
    <t>Copyright</t>
  </si>
  <si>
    <t>1. Dr. Dayanada Murthy C P director,Academic Affairs and Research,DSNLU
2. Dr. B.K Sahu,Regional Manager and Officer Incharge IPFC&amp; TISC,NRDC,GOVT OF INDIA.
3. Shri. Ravi Gadde,Joint Director,MSME Development Institute,Visakhapatnam.
4. G.V.R. Naidu,Asst. Director, MSME Development Institute,Visakhapatnam.
5. Shri. Satish Kumar,Asst.DirectorIPR Cell,O/o DC(MSME),New Delhi.
6. Dr.R.Ramesh,Dean R&amp;D,MVGR College of Engineering,Vizianagaram</t>
  </si>
  <si>
    <t>https://drive.google.com/open?id=1N7m8oEXhRnGzxG2-xw3itirH2SvkA6r9</t>
  </si>
  <si>
    <t>PYTHON BASICS</t>
  </si>
  <si>
    <t>https://drive.google.com/open?id=1DR6n0B5vS7rx8FgO0IsPV3YHM7XgoHqq</t>
  </si>
  <si>
    <t>anushaakkena@gmail.com</t>
  </si>
  <si>
    <t>Akkena Anusha</t>
  </si>
  <si>
    <t>18331A0503</t>
  </si>
  <si>
    <t>https://drive.google.com/open?id=15v-MfMEFmUzEFJ3ZTLKtrm2EVBoDx79w</t>
  </si>
  <si>
    <t>Not mentioned</t>
  </si>
  <si>
    <t>Basics of c programming</t>
  </si>
  <si>
    <t>60 mins</t>
  </si>
  <si>
    <t>https://drive.google.com/open?id=1qnoXfzoIm_xbQw2fRc9wW-eeTtUjs97_</t>
  </si>
  <si>
    <t>Data Structures Concepts and Singly Linked List</t>
  </si>
  <si>
    <t>90mins</t>
  </si>
  <si>
    <t>https://drive.google.com/open?id=1XZPrlwYuQ8RNAX-qNAdMU_fytsLHWrYs</t>
  </si>
  <si>
    <t>AWS cloud</t>
  </si>
  <si>
    <t>https://drive.google.com/open?id=149ESPV0oXnCADUJfxkqG3CkaYT08LuIp</t>
  </si>
  <si>
    <t>Udemy c programming</t>
  </si>
  <si>
    <t>60mins</t>
  </si>
  <si>
    <t>https://drive.google.com/open?id=104yQPZ9U-vypFW9lO_evhFhRF4jQHd61</t>
  </si>
  <si>
    <t>Dumpa Divakar Reddy</t>
  </si>
  <si>
    <t>18331A0536</t>
  </si>
  <si>
    <t>Mvgr</t>
  </si>
  <si>
    <t>https://drive.google.com/open?id=1tOHKevKif4koHSLOdb0tc4-Ry3FHkosy</t>
  </si>
  <si>
    <t>dumpadivakarreddy22@gmail.com</t>
  </si>
  <si>
    <t>Angular Js to develop web apps faster</t>
  </si>
  <si>
    <t>BRAIN O VISION</t>
  </si>
  <si>
    <t>1. Dr. Datchana Moorthy Ramu
2. Dr. V. Nagesh
3. Ganesh Nag Doddi</t>
  </si>
  <si>
    <t>https://drive.google.com/open?id=1IrAvW02zQnWaBoFjCxeNvfNtAZnO5_n7</t>
  </si>
  <si>
    <t>React Js</t>
  </si>
  <si>
    <t>Dr. Datachana Murthy
Ganesh Nag Doddi
Dr.S.N.Tirumala Rao
Dr.M.Sreenivasa Kumar</t>
  </si>
  <si>
    <t>https://drive.google.com/open?id=1JTnzJnLZbGd66fe_TL_fryOq94tevmAZ</t>
  </si>
  <si>
    <t>Programming for Everybody (Getting Started with Python)</t>
  </si>
  <si>
    <t>Certified</t>
  </si>
  <si>
    <t>https://drive.google.com/open?id=1IHDuFGK8kbwPdBAfTzfr3Yms7U5O4m0P</t>
  </si>
  <si>
    <t>https://drive.google.com/open?id=13jDW6BHQVmmW42YSPFBqxRreQFVJWysf</t>
  </si>
  <si>
    <t>Machine Learning With Python</t>
  </si>
  <si>
    <t>APSSDC</t>
  </si>
  <si>
    <t>College</t>
  </si>
  <si>
    <t>https://drive.google.com/open?id=16x3z72xdhCk6YK9A67W_yXtuyx05bPN1</t>
  </si>
  <si>
    <t>Introduction to Programming in C</t>
  </si>
  <si>
    <t>https://drive.google.com/open?id=100ON6FXXFJQCTUfsWvvxEkja3pplX6TH</t>
  </si>
  <si>
    <t>B.Himavarsha</t>
  </si>
  <si>
    <t>18331A0509</t>
  </si>
  <si>
    <t>WAC workshop</t>
  </si>
  <si>
    <t>IIT Hyderabad</t>
  </si>
  <si>
    <t>Sujata mehta</t>
  </si>
  <si>
    <t>https://drive.google.com/open?id=1skgTASfCSWO8hGQPc6u4CIRldHi6rvWf</t>
  </si>
  <si>
    <t>varuhima20@gmail.com</t>
  </si>
  <si>
    <t xml:space="preserve">Dr. Ravi Kiran Varma </t>
  </si>
  <si>
    <t>https://drive.google.com/open?id=1lyip7oxDkH1x2-lP8ojF2p4l2zLatMLF</t>
  </si>
  <si>
    <t>K V Subba Raju</t>
  </si>
  <si>
    <t>https://drive.google.com/open?id=1vcHf6jIBARYMnFgJ8qweSZMkRjKwh6qh</t>
  </si>
  <si>
    <t>B Himavarsha</t>
  </si>
  <si>
    <t>Interactivity with javascript</t>
  </si>
  <si>
    <t>https://drive.google.com/open?id=1KtTbj7IeX1qRiGMk6w-TrmpeGOo0SNxk</t>
  </si>
  <si>
    <t>https://drive.google.com/open?id=1WgcdOGmJehGo22q_Q3xA0nKWoCTqTHG6</t>
  </si>
  <si>
    <t>https://drive.google.com/open?id=1QS0nQI88rgIEiYjj7TO4KU58qQvkytVU</t>
  </si>
  <si>
    <t>https://drive.google.com/open?id=1JG2cKnTAt6FFwBtdLaOvidtCwg1Gx4CN</t>
  </si>
  <si>
    <t>https://drive.google.com/open?id=1B45LHuXyosLJYJfrfizCUPhkpMVKLUxC</t>
  </si>
  <si>
    <t>https://drive.google.com/open?id=1nw46DLHTIhvxTqAm5_dB1SW8mAcDAZgU</t>
  </si>
  <si>
    <t>AI &amp; ML, Data Science</t>
  </si>
  <si>
    <t>Next Wave</t>
  </si>
  <si>
    <t>4 Months</t>
  </si>
  <si>
    <t>https://drive.google.com/open?id=1yXWfjkTzVJACdP3CmygqEhe8TFipaIH7</t>
  </si>
  <si>
    <t>10 WEEKS</t>
  </si>
  <si>
    <t>https://drive.google.com/open?id=13U9yk399AL7BvTvwZ1ytE-le7410_VoI</t>
  </si>
  <si>
    <t>coderiders</t>
  </si>
  <si>
    <t>https://drive.google.com/open?id=1QfD3YoKwUmM276CZ53kxVi9fxuGdfYai</t>
  </si>
  <si>
    <t>Implement OOPS using JAVA with Data Structures and Beyond</t>
  </si>
  <si>
    <t>Simplilearn</t>
  </si>
  <si>
    <t>https://drive.google.com/open?id=1JKiX_JHVCRcuVNSyJyJaAbmdcYd1jhGE</t>
  </si>
  <si>
    <t>https://drive.google.com/open?id=1-YPdD-Vl_sybYqQmOafz3bTBgBWsgVDU</t>
  </si>
  <si>
    <t>Sai Sri Priya Prasanthi Pulipati</t>
  </si>
  <si>
    <t>18331A05D2</t>
  </si>
  <si>
    <t>100/100</t>
  </si>
  <si>
    <t>https://drive.google.com/open?id=1AUlxpqtAYLI6dnxM8-qKO9Qz_T3OjvE4</t>
  </si>
  <si>
    <t>Priyaprasanthi.pulipati@gmail.com</t>
  </si>
  <si>
    <t>5 Months</t>
  </si>
  <si>
    <t>https://drive.google.com/open?id=19aeJwC8b5XnMxqmN3pfcrhfeawrRDQwJ</t>
  </si>
  <si>
    <t>https://drive.google.com/open?id=1VaUH-A22cfvXSe2NQUv3nyEdsF86eyPR</t>
  </si>
  <si>
    <t>Introduction to Web Development</t>
  </si>
  <si>
    <t>4 Weeks</t>
  </si>
  <si>
    <t>90/100</t>
  </si>
  <si>
    <t>Daniel Randall</t>
  </si>
  <si>
    <t>https://drive.google.com/open?id=1P8w8GvyxqUANvL9Jmnanhtu3FmIqQJiy</t>
  </si>
  <si>
    <t>Cybersecurity and the Internet of Things</t>
  </si>
  <si>
    <t>Dr. Traci Carte</t>
  </si>
  <si>
    <t>https://drive.google.com/open?id=1Ck3LnQotgKdjvrT_F1Y9zbynAxV3l9Ys</t>
  </si>
  <si>
    <t>3 weeks</t>
  </si>
  <si>
    <t>https://drive.google.com/open?id=1i8HHuCsfFOoOcbEvNBTOAB_bxCKoXHKN</t>
  </si>
  <si>
    <t>https://drive.google.com/open?id=1UBPcUGu-Eetauau5woeM7YBFkiac-EWx</t>
  </si>
  <si>
    <t>Mudili Kavya</t>
  </si>
  <si>
    <t>18331A05A1</t>
  </si>
  <si>
    <t>SQL - quiz</t>
  </si>
  <si>
    <t>Vignan institute of engineering for women</t>
  </si>
  <si>
    <t>Aruna Kumari</t>
  </si>
  <si>
    <t>https://drive.google.com/open?id=19Bz4-TSyMFGw2NJTz2LV242aaUzJXp0-</t>
  </si>
  <si>
    <t>kavyamudili2001@gmail.com</t>
  </si>
  <si>
    <t>Juspay</t>
  </si>
  <si>
    <t>Dare2Compete</t>
  </si>
  <si>
    <t>50/100</t>
  </si>
  <si>
    <t>R.Ravi Kumar</t>
  </si>
  <si>
    <t>https://drive.google.com/open?id=1_3Y3Dn-fAuceIAkVOsN3hfSh-z_L91wz</t>
  </si>
  <si>
    <t>mohammad riyazul haneef sharief</t>
  </si>
  <si>
    <t>18331A05H6</t>
  </si>
  <si>
    <t>hod</t>
  </si>
  <si>
    <t>https://drive.google.com/open?id=19h15cFhPipW5vUj08jHS_uz6zvL_TrVJ</t>
  </si>
  <si>
    <t>haneefleo10@gmail.com</t>
  </si>
  <si>
    <t>https://drive.google.com/open?id=1rlINLdDNg-MSnn6DBnOVVMwxnH4wwjcj</t>
  </si>
  <si>
    <t>Vizianagaram</t>
  </si>
  <si>
    <t>Unpaid internship</t>
  </si>
  <si>
    <t>https://drive.google.com/open?id=1gL1-pFaJTVb4ekmp6tbUST46T9MTOiEa</t>
  </si>
  <si>
    <t>Palo Alto Netwoks Cybersecurity Academy</t>
  </si>
  <si>
    <t>5 Weeks</t>
  </si>
  <si>
    <t>P.Ravi Kian Varma</t>
  </si>
  <si>
    <t>https://drive.google.com/open?id=1z3bh4S-82Zij-0NQjhYOYn9onXj1uIj5</t>
  </si>
  <si>
    <t>eduskills</t>
  </si>
  <si>
    <t>oct-dec</t>
  </si>
  <si>
    <t>https://drive.google.com/open?id=1dSLAOq_qHDJ33dDwkguw-lP3lSBua3Rv</t>
  </si>
  <si>
    <t>ipr</t>
  </si>
  <si>
    <t>nipam Intellectual  Property Office, India</t>
  </si>
  <si>
    <t>https://drive.google.com/open?id=1o9CmMMPo4x_cPDqfR1uAC4229rmDrOlE</t>
  </si>
  <si>
    <t>nptel</t>
  </si>
  <si>
    <t>programming</t>
  </si>
  <si>
    <t>13 weeks</t>
  </si>
  <si>
    <t>https://drive.google.com/open?id=1j1LJB0cHO3-M56_bgxFu7Uv7ZXpyg8IL</t>
  </si>
  <si>
    <t>redhat</t>
  </si>
  <si>
    <t>networking</t>
  </si>
  <si>
    <t>15 days</t>
  </si>
  <si>
    <t>https://drive.google.com/open?id=1DX0D2SIWhzLk7FMpUnFIMNLM8oPjm0_4</t>
  </si>
  <si>
    <t>WAC</t>
  </si>
  <si>
    <t>kyrion</t>
  </si>
  <si>
    <t>2 days</t>
  </si>
  <si>
    <t>https://drive.google.com/open?id=1yoWewoCcYE_mAq1cw9T2GlSjw8VorDod</t>
  </si>
  <si>
    <t>udemy</t>
  </si>
  <si>
    <t>html and css</t>
  </si>
  <si>
    <t>https://drive.google.com/open?id=1nco6whHmoSoug69oD_HlGJml4LsO4Mtu</t>
  </si>
  <si>
    <t>SOWMYA SHREE KALIDINDI</t>
  </si>
  <si>
    <t>18331A0562</t>
  </si>
  <si>
    <t>Red Hat system Administration</t>
  </si>
  <si>
    <t>Red Hat ACADEMY</t>
  </si>
  <si>
    <t xml:space="preserve">k v Subba Raju </t>
  </si>
  <si>
    <t>https://drive.google.com/open?id=1Fx3MGZMylb2KB4VQ8-8ri0r51KfCvmQ4</t>
  </si>
  <si>
    <t>sowmyakalidindi.01@gmail.com</t>
  </si>
  <si>
    <t xml:space="preserve"> Mallavarapu Tejaswi</t>
  </si>
  <si>
    <t>18331A0591</t>
  </si>
  <si>
    <t>Red Hat System Administration</t>
  </si>
  <si>
    <t>Red Hat Academy</t>
  </si>
  <si>
    <t xml:space="preserve">K.Subbaraju </t>
  </si>
  <si>
    <t>https://drive.google.com/open?id=1Hus_hZaH_wddVaJby0dqKYREGOtrx7re</t>
  </si>
  <si>
    <t>Mallavarapu.tejaswi@gmail.com</t>
  </si>
  <si>
    <t>Introduction to Quantum Computing</t>
  </si>
  <si>
    <t>https://drive.google.com/open?id=1Om5mTkeCm46j56W_vD94EOFJ_nV1AU5X</t>
  </si>
  <si>
    <t>l4g</t>
  </si>
  <si>
    <t>coursera International Cyber Conflicts</t>
  </si>
  <si>
    <t>https://drive.google.com/open?id=1oWasJFEXhwahVIPRB8q_8btbTW7ApZkQ</t>
  </si>
  <si>
    <t>LG4</t>
  </si>
  <si>
    <t>HOD</t>
  </si>
  <si>
    <t>https://drive.google.com/open?id=1xt5LEu5bBb-4_0oISAlYRhZxRlhgQLfX</t>
  </si>
  <si>
    <t>L4G</t>
  </si>
  <si>
    <t>Internet of Things: Communication Technologies</t>
  </si>
  <si>
    <t>https://drive.google.com/open?id=1RweKqsvzDX5niTTmixe4L1DXbfBCvLMk</t>
  </si>
  <si>
    <t>CHANDANA PITLA</t>
  </si>
  <si>
    <t>18331A05C1</t>
  </si>
  <si>
    <t>N/A</t>
  </si>
  <si>
    <t>https://drive.google.com/open?id=1DS6ZBes_FtFimJEeFfznz8YwMYxneyMB</t>
  </si>
  <si>
    <t>pitlachandana@gmail.com</t>
  </si>
  <si>
    <t>https://drive.google.com/open?id=1rOpA9Qf3MkBT8yJhdUGsZiyuUl0f6ufw</t>
  </si>
  <si>
    <t>https://drive.google.com/open?id=1fzMlUctlFglMIqKFJADBsK49j0d5pd8G</t>
  </si>
  <si>
    <t>1833A05C1</t>
  </si>
  <si>
    <t>4 WEEKS</t>
  </si>
  <si>
    <t>https://drive.google.com/open?id=1eCpyWkLyc-6dr-tMZugc9DkqbKcpQtVl</t>
  </si>
  <si>
    <t>Mallavarapu Tejaswi</t>
  </si>
  <si>
    <t>Web Technologies</t>
  </si>
  <si>
    <t>M.Vamsi krisha</t>
  </si>
  <si>
    <t>https://drive.google.com/open?id=1f7ZdZP0Y8ylvFDgvbt3EbAAAlwQBCWbP</t>
  </si>
  <si>
    <t xml:space="preserve">KALIDINDI SOWMYA SHREE </t>
  </si>
  <si>
    <t>ARTIFICIAL INTELLIGENE WORKSHOP</t>
  </si>
  <si>
    <t xml:space="preserve">Kyrion Technologies pvt </t>
  </si>
  <si>
    <t>Rishabh Mehta</t>
  </si>
  <si>
    <t>https://drive.google.com/open?id=135Q2r1gTVjaVA3KaRMDJ0K-zgdyfsFgO</t>
  </si>
  <si>
    <t>Design Thinking for the Greater Good: Innovation in the Social Sector</t>
  </si>
  <si>
    <t>https://drive.google.com/open?id=1lbtq1ot8rFAJUeIqnZAXSgTiy6gaVoOc</t>
  </si>
  <si>
    <t>tadisatishreddy2000@gmail.com</t>
  </si>
  <si>
    <t>Tadi Satish Reddy</t>
  </si>
  <si>
    <t>18331A05F0</t>
  </si>
  <si>
    <t>Hyundai Mobis</t>
  </si>
  <si>
    <t>https://drive.google.com/open?id=1oE8-5Rv1pgHd2n7iM2-tekmBSDdmdp1X</t>
  </si>
  <si>
    <t>4.5 LPA</t>
  </si>
  <si>
    <t>Swecha(FSM-AP)</t>
  </si>
  <si>
    <t>https://drive.google.com/open?id=1Ul6j1tdopkDnXwGZ284vPMkX5WE8h6-k</t>
  </si>
  <si>
    <t>Web Design for Everybody Capstone</t>
  </si>
  <si>
    <t>6 WEEKS</t>
  </si>
  <si>
    <t>https://drive.google.com/open?id=1Ctfpt_XIN9hAYn3bHXijID1hrcsz-gMV</t>
  </si>
  <si>
    <t>DR RAVI KIRAN VARMA PENMATSA</t>
  </si>
  <si>
    <t>https://drive.google.com/open?id=1ewXXWm2TWYbNSnabislMMRorrSBEDccP</t>
  </si>
  <si>
    <t>Speak English Professionally: In Person, Online &amp; On the Phone</t>
  </si>
  <si>
    <t>5 WEEKS</t>
  </si>
  <si>
    <t>https://drive.google.com/open?id=18dAxoIXFcIgmNM697BE2ZyWofCJK-k-S</t>
  </si>
  <si>
    <t>INTRODUCTION TO CYBERSECURITY</t>
  </si>
  <si>
    <t>https://drive.google.com/open?id=1KmZO2SOcVkXhna0Y1SSTfbCAazPqP9wm</t>
  </si>
  <si>
    <t>Dr.P Ravikiran Varma</t>
  </si>
  <si>
    <t>https://drive.google.com/open?id=1KsJQ4g2v1OiJ-Y3MxO_I9mqFmrJrAW7S</t>
  </si>
  <si>
    <t>7 WEEKS</t>
  </si>
  <si>
    <t>https://drive.google.com/open?id=1CAgQLguOwJiwiLffS2m5njKmzhOeqroo</t>
  </si>
  <si>
    <t>Dr. P Ravi kiran Varma</t>
  </si>
  <si>
    <t>https://drive.google.com/open?id=1EoNPL_1E82X1InuZl-Fo7mxvYqTLOY7X</t>
  </si>
  <si>
    <t>pitla chandana</t>
  </si>
  <si>
    <t>Dart Programming Language</t>
  </si>
  <si>
    <t>https://drive.google.com/open?id=18qYGJEXtnFFuODV51Xsx6ukkfnK9x7e_</t>
  </si>
  <si>
    <t>COGNIZANT</t>
  </si>
  <si>
    <t>https://drive.google.com/open?id=15n55aEqfKyP6UPUXflhsoxybtRV7Im2Z</t>
  </si>
  <si>
    <t>HYDERABAD</t>
  </si>
  <si>
    <t>4 LAC</t>
  </si>
  <si>
    <t>20DAYS</t>
  </si>
  <si>
    <t>https://drive.google.com/open?id=1I3FsKgZVcxoWW5NeYzNV2ZxGBoIbCnKe</t>
  </si>
  <si>
    <t>SOWMYA SHREE</t>
  </si>
  <si>
    <t>DEEP LEARNING.AI</t>
  </si>
  <si>
    <t>https://drive.google.com/open?id=1kFaXnM7AKbPqvJ7OkEBuEez0r0yNOk4J</t>
  </si>
  <si>
    <t xml:space="preserve"> Programming Essentials in C</t>
  </si>
  <si>
    <t>https://drive.google.com/open?id=18pgc0gm0hmGPJP9oH8JCJDHPND5ntMnR</t>
  </si>
  <si>
    <t>CYBERSECURITY essentials</t>
  </si>
  <si>
    <t>RAVIKIRAN VARMA</t>
  </si>
  <si>
    <t>https://drive.google.com/open?id=1mLca-pf2cnjAaPzLwB8dZU0P4r-iP5-v</t>
  </si>
  <si>
    <t>python programming</t>
  </si>
  <si>
    <t>na</t>
  </si>
  <si>
    <t>https://drive.google.com/open?id=1fD-93RwXXhC0K5ycSPrdDptYbiWhn34J</t>
  </si>
  <si>
    <t xml:space="preserve">SOWMYA SHREE </t>
  </si>
  <si>
    <t>Programming for everybody</t>
  </si>
  <si>
    <t>https://drive.google.com/open?id=1I29xo311bxhhi0UhASwQ_9tsxhTs0JSF</t>
  </si>
  <si>
    <t>https://drive.google.com/open?id=1rXxIP0-ycjvngDbWwuTy-ueH2NHTPTs_</t>
  </si>
  <si>
    <t xml:space="preserve"> AI For Everyone</t>
  </si>
  <si>
    <t>https://drive.google.com/open?id=1napAuTrFY6jTxUg6igWVS81ratYpZGNx</t>
  </si>
  <si>
    <t>CLA : programming essentials with c</t>
  </si>
  <si>
    <t>4 MONTHS</t>
  </si>
  <si>
    <t>DR.P.RAVI KIRAN VARMA</t>
  </si>
  <si>
    <t>https://drive.google.com/open?id=10jN8ft_iXeXc4DHwstW5z-1I0QAWcWtR</t>
  </si>
  <si>
    <t>Design Thinking for Innovation</t>
  </si>
  <si>
    <t>JEANNE M LIEDTKA</t>
  </si>
  <si>
    <t>https://drive.google.com/open?id=1BEfNeiiEu9LMjljlAsteG1kp_wTycme-</t>
  </si>
  <si>
    <t>KARUNA SRI PITHANI</t>
  </si>
  <si>
    <t>18331A0572</t>
  </si>
  <si>
    <t xml:space="preserve">K.V. Subba Raju </t>
  </si>
  <si>
    <t>https://drive.google.com/open?id=1V3fybC-DGobMr_SsQLb8jGq39MBPwary</t>
  </si>
  <si>
    <t>https://drive.google.com/open?id=1zD8mOZDCOPlEwskVEI9iFlOwZiKFVwqA</t>
  </si>
  <si>
    <t>SOWMYA KALIDINDI</t>
  </si>
  <si>
    <t>https://drive.google.com/open?id=1DmPs353d-h_k805KpRM5_WLtihWEXRzd</t>
  </si>
  <si>
    <t xml:space="preserve">Mvgr Dean </t>
  </si>
  <si>
    <t>B.Sujatha</t>
  </si>
  <si>
    <t>https://drive.google.com/open?id=1GbkxbsFGmye-z56y_xPiRNG9eToM2ch7</t>
  </si>
  <si>
    <t>Switching, Routing, and Wireless Essentials</t>
  </si>
  <si>
    <t>https://drive.google.com/open?id=1CDB0KVbPqd39RcXbdpdW2pLBV-s3QZtu</t>
  </si>
  <si>
    <t>https://drive.google.com/open?id=1XzpEHnmsRo1Uja7H4Ago-dTSgB7E3juT</t>
  </si>
  <si>
    <t>https://drive.google.com/open?id=16gZmeUvS9zZULTRIPtzvstcoMURbbR7z</t>
  </si>
  <si>
    <t>Math Quiz</t>
  </si>
  <si>
    <t>K.RAMAKRISHNAN college of technology</t>
  </si>
  <si>
    <t>https://drive.google.com/open?id=1sGz2Ht7iO4CJXa-dYUGiz7pcwTQPBs37</t>
  </si>
  <si>
    <t>DR. P. Ravi Kiran Varma</t>
  </si>
  <si>
    <t>https://drive.google.com/open?id=1RnC2GbH-CfcVWrmFfeFFuPPZWipJe-1V</t>
  </si>
  <si>
    <t>Partner: PCAP - Programming Essentials in Python</t>
  </si>
  <si>
    <t>https://drive.google.com/open?id=1Sx1ZyD2BHcQN0GDSRkGEnVP0HUCSDu2X</t>
  </si>
  <si>
    <t>https://drive.google.com/open?id=1FrmD4FrVsbwjfv3n3SsjPWzxbBvJl3aH</t>
  </si>
  <si>
    <t>https://drive.google.com/open?id=1yvAZgwQQ0WAUyCgbaDFF-bYA-saESrT9</t>
  </si>
  <si>
    <t>Partner: CLA - Programming Essentials in C</t>
  </si>
  <si>
    <t>https://drive.google.com/open?id=1vP7XB9PLCSVA5x3_RS9FgkgZg7Yg90Kh</t>
  </si>
  <si>
    <t>Swathi Paluri</t>
  </si>
  <si>
    <t>19335A0516</t>
  </si>
  <si>
    <t>https://drive.google.com/open?id=1GMChl2S9RjFtG0f56onc7V-grHCA0_D-</t>
  </si>
  <si>
    <t>swathich164@gmail.com</t>
  </si>
  <si>
    <t>https://drive.google.com/open?id=1hxMUQFll5RKAmvU_5YVnns8Ot4gix8Ew</t>
  </si>
  <si>
    <t>https://drive.google.com/open?id=1tluUCTW5833qn2Y2I016fUFLNcvU9wQN</t>
  </si>
  <si>
    <t>https://drive.google.com/open?id=1dKrpoYYtE0hUM6zbt2JQ32HhCmpAw7eb</t>
  </si>
  <si>
    <t>https://drive.google.com/open?id=1BSdn0sj7sm_8k8qnMWJVLWe2eDruQRFu</t>
  </si>
  <si>
    <t>https://drive.google.com/open?id=11I6_ATL91tvllYsQB01c8ZC_aPNM__yt</t>
  </si>
  <si>
    <t>https://drive.google.com/open?id=1KVLd8bu3XroEMIX5eGBRLp0Ny1PYDFLa</t>
  </si>
  <si>
    <t>EDUSKILLS</t>
  </si>
  <si>
    <t>OCT - DEC</t>
  </si>
  <si>
    <t>https://drive.google.com/open?id=185yq5reXH52Tg4xzEngzlZp5G3H3apQs</t>
  </si>
  <si>
    <t>https://drive.google.com/open?id=1dclhAY9hOiRHeG2Veptfo-i5Pl2ti7ub</t>
  </si>
  <si>
    <t>https://drive.google.com/open?id=1V-ZHoqUtAElJvV2UCSkugzD7cF6D22cX</t>
  </si>
  <si>
    <t>https://drive.google.com/open?id=1ijOUB7VQ2hNHPGHW72G42Z4NKaQLEOd1</t>
  </si>
  <si>
    <t>Introduction to Microsoft Azure Cloud Services</t>
  </si>
  <si>
    <t>https://drive.google.com/open?id=1Ag7a8-iLv_jbwDS4g5LMfd_Qm1mYghCP</t>
  </si>
  <si>
    <t>183331A0572</t>
  </si>
  <si>
    <t>K. Prasad Rao</t>
  </si>
  <si>
    <t>https://drive.google.com/open?id=1DGq3Z9Hv6wdsfDLdxFHWrkfim1dk2reA</t>
  </si>
  <si>
    <t>The Science of Well-Being</t>
  </si>
  <si>
    <t>Laurie Santos</t>
  </si>
  <si>
    <t>https://drive.google.com/open?id=1jRQLjFUB42L-7lWbY9cFdYdWHXICyjt1</t>
  </si>
  <si>
    <t>Science of Exercise</t>
  </si>
  <si>
    <t>Robert Mazzeo</t>
  </si>
  <si>
    <t>https://drive.google.com/open?id=1xuoVqr0QMgCsvz5rFTo9SVoMb5UeU67O</t>
  </si>
  <si>
    <t>Dart Programming</t>
  </si>
  <si>
    <t>https://drive.google.com/open?id=1GYI3beS34UKdwNxyKDCVgA7e5RJ2y8RA</t>
  </si>
  <si>
    <t>DR.P.Ravi Kiran Varma</t>
  </si>
  <si>
    <t>https://drive.google.com/open?id=1VksBdV3ybINuVdznQDBP-Cr4O1vi219V</t>
  </si>
  <si>
    <t>https://drive.google.com/open?id=1WPQVCAEf6avo8QyVvfSh5zhD9uLCPNij</t>
  </si>
  <si>
    <t>Python Data Structure</t>
  </si>
  <si>
    <t>https://drive.google.com/open?id=1ST4b8Hp_jhQRMiO7hFlz-QG0wtYMcjcr</t>
  </si>
  <si>
    <t>https://drive.google.com/open?id=149E4ROiJYHPw5OBN0KsGUY5hFPqL8gfC</t>
  </si>
  <si>
    <t>https://drive.google.com/open?id=1KZYZ-Lb9-WgsfgcK-Baipk7HTxVfU9w-</t>
  </si>
  <si>
    <t>https://drive.google.com/open?id=1NQc3uCU_vybJQ93r1wFSyFbEWe15DgTn</t>
  </si>
  <si>
    <t>Modern Art &amp; Ideas</t>
  </si>
  <si>
    <t>Lisa Mazzola</t>
  </si>
  <si>
    <t>https://drive.google.com/open?id=1GZ6HmXd0Z96Lgo4uEZ3qL3WT5kxQ6Pde</t>
  </si>
  <si>
    <t>https://drive.google.com/open?id=1iOl5zk8jwAhdEaC20sFGrBDFkqGX_xRy</t>
  </si>
  <si>
    <t>Introduction to Philosophy</t>
  </si>
  <si>
    <t>Dave Ward</t>
  </si>
  <si>
    <t>https://drive.google.com/open?id=15zLmiPTwGlB263x4Rbuxp5ft-FbLEaKg</t>
  </si>
  <si>
    <t>Influencing People</t>
  </si>
  <si>
    <t>Scott DeRue</t>
  </si>
  <si>
    <t>https://drive.google.com/open?id=1lDoQoKhSD4BIbKrcvBDXhksloXGEnkvG</t>
  </si>
  <si>
    <t>Anatomy: Musculoskeletal and Integumentary Systems</t>
  </si>
  <si>
    <t>Kathleen Alsup</t>
  </si>
  <si>
    <t>https://drive.google.com/open?id=1idI9O8jYBlqxO8yVanfpu18hvzSMfcj_</t>
  </si>
  <si>
    <t>Adjunct Professor Andrew Ng</t>
  </si>
  <si>
    <t>https://drive.google.com/open?id=1YXipXLsc-4Z-v_4cuaF6acWtj_t6PegX</t>
  </si>
  <si>
    <t>1 hr</t>
  </si>
  <si>
    <t>https://drive.google.com/open?id=12vI9Z20YOFsMeRIFDcYp1nDbnAFwzEYW</t>
  </si>
  <si>
    <t>https://drive.google.com/open?id=1uYuYXkdEWryncIHec1p4qelhklqO9KIq</t>
  </si>
  <si>
    <t>National Intellectual Property Awareness Mission</t>
  </si>
  <si>
    <t>1hr</t>
  </si>
  <si>
    <t>Kalyan Chakravarthi</t>
  </si>
  <si>
    <t>https://drive.google.com/open?id=1WKQ6Zat4I6cv91_KTvrVBOEV6xr2MpY5</t>
  </si>
  <si>
    <t>Kasi Suresh</t>
  </si>
  <si>
    <t>18331A0573</t>
  </si>
  <si>
    <t>Crash course on python</t>
  </si>
  <si>
    <t>https://drive.google.com/open?id=1LlmpZ_qnGbwpVaiBXux7TglB4Rh5Ters</t>
  </si>
  <si>
    <t>sureshkasi06@gmail.com</t>
  </si>
  <si>
    <t>Cisco Cybersecurity essentials</t>
  </si>
  <si>
    <t>KV SUBBARAJU</t>
  </si>
  <si>
    <t>https://drive.google.com/open?id=1snsrBX1UnEHDW1ZYLbuttCJHV_PROQ0g</t>
  </si>
  <si>
    <t>Naveen Kumar Penta</t>
  </si>
  <si>
    <t>18331A05B7</t>
  </si>
  <si>
    <t>Introduction to programming in C</t>
  </si>
  <si>
    <t>Nptel online certification</t>
  </si>
  <si>
    <t>Subbaraju</t>
  </si>
  <si>
    <t>https://drive.google.com/open?id=1UtdWvpvtlF3ujQ68A99h3BMwzhOk8LTf</t>
  </si>
  <si>
    <t>naveenkumarpenta15@gmail.com</t>
  </si>
  <si>
    <t>Cisco, CLA</t>
  </si>
  <si>
    <t>Above 60%</t>
  </si>
  <si>
    <t>Subbaraju k v</t>
  </si>
  <si>
    <t>https://drive.google.com/open?id=1Gwih3gqGq6Q54ZAYZdM5T7GpIxCh4skf</t>
  </si>
  <si>
    <t>Cyber security essentials</t>
  </si>
  <si>
    <t>Cisco netacad</t>
  </si>
  <si>
    <t>Subbaraju K V</t>
  </si>
  <si>
    <t>https://drive.google.com/open?id=18LI4k02AlcJkQR7kYxO2sU6TvLjZRnR2</t>
  </si>
  <si>
    <t>Programming essentials in python</t>
  </si>
  <si>
    <t>Cisco Netacad</t>
  </si>
  <si>
    <t>https://drive.google.com/open?id=1TIANKWZqybsJ4s54dnDKxsWmd6fSGmzv</t>
  </si>
  <si>
    <t xml:space="preserve">Dbms SQL online quiz </t>
  </si>
  <si>
    <t>Vignan's institute of engineering womens</t>
  </si>
  <si>
    <t>https://drive.google.com/open?id=134UiPRoXaCxJnCMdOhg1Gql8_3OtEd_z</t>
  </si>
  <si>
    <t>Swecha volunteers</t>
  </si>
  <si>
    <t>https://drive.google.com/open?id=1Q-7YhkSF7m4wLi3K0CVmURJR9q2aTB2J</t>
  </si>
  <si>
    <t>GNU/Linux Admin and Programming with python</t>
  </si>
  <si>
    <t>Hemanth,Prasanna,Sai kumar</t>
  </si>
  <si>
    <t>https://drive.google.com/open?id=1nHKEpBmLzwDIC7-hYAYMG2_dJItDviPX</t>
  </si>
  <si>
    <t>chandra sekhar naidu</t>
  </si>
  <si>
    <t>20331A05A8</t>
  </si>
  <si>
    <t>Professor Ira Pohl, PhD,</t>
  </si>
  <si>
    <t>https://drive.google.com/open?id=19J4nmDFGt6M9WCEJQNAyedpsrJrnPnSO</t>
  </si>
  <si>
    <t>naiduchandrasekhar23@gmail.com</t>
  </si>
  <si>
    <t>Savant Venkata Sai Mullapudi</t>
  </si>
  <si>
    <t>18331A05G7</t>
  </si>
  <si>
    <t>10/10</t>
  </si>
  <si>
    <t>Mr. Ravi Kiran Varma</t>
  </si>
  <si>
    <t>https://drive.google.com/open?id=1ag8xXp9J_hg2avLex4CCudLV_lqvxbz9</t>
  </si>
  <si>
    <t>savant.mullapudi@gmail.com</t>
  </si>
  <si>
    <t>Pro Digital Worx</t>
  </si>
  <si>
    <t>https://drive.google.com/open?id=1XQxkvsPZxMq63zzQhpUlzZHGT-30Giml</t>
  </si>
  <si>
    <t xml:space="preserve">Savant Venkata Sai Mullapudi </t>
  </si>
  <si>
    <t>AWS Virtual internship</t>
  </si>
  <si>
    <t>https://drive.google.com/open?id=1lThSYHiqJHzqahEuh_3YUwc0a9q2IBhp</t>
  </si>
  <si>
    <t>Cisco Certifications</t>
  </si>
  <si>
    <t>https://drive.google.com/open?id=1Ajs9l4X8WbxrWo2002eOfyCA9CGdMv9p</t>
  </si>
  <si>
    <t>Cybersecurity course</t>
  </si>
  <si>
    <t>Palo Alto Acdemy</t>
  </si>
  <si>
    <t>https://drive.google.com/open?id=1I6lz0VHdmJ63xafnDKePv1Nz0ganYjql</t>
  </si>
  <si>
    <t>Programming essentials on Python</t>
  </si>
  <si>
    <t>https://drive.google.com/open?id=16oKlg_rKMdoqmLF-Q6oHHqpa3u5Ey7al</t>
  </si>
  <si>
    <t>Virtusa Nueral Hack</t>
  </si>
  <si>
    <t>https://drive.google.com/open?id=1uTswfh5k6-rIOfPskt7WzSag8mhnF2uE</t>
  </si>
  <si>
    <t>https://drive.google.com/open?id=1WqlqoKN7RCPaHZu3tKUP64aR1eTIIRms</t>
  </si>
  <si>
    <t>Unknown</t>
  </si>
  <si>
    <t>https://drive.google.com/open?id=1DeZf8Izquo12knJ7xhM8jkqs47vI9VAG</t>
  </si>
  <si>
    <t xml:space="preserve">VADAPALLI  HASITHA   </t>
  </si>
  <si>
    <t>18331A05G2</t>
  </si>
  <si>
    <t>https://drive.google.com/open?id=1iddx6GiyzoGylhxCDI-E-V5ifL8jy-ki</t>
  </si>
  <si>
    <t>hasithavarma1234@gmail.com</t>
  </si>
  <si>
    <t>https://drive.google.com/open?id=1mupstIOV7geibVsKyebzZh5v-A2TfVam</t>
  </si>
  <si>
    <t>Vadapalli Hasitha</t>
  </si>
  <si>
    <t xml:space="preserve"> AWS Academy </t>
  </si>
  <si>
    <t>https://drive.google.com/open?id=1fjnwkCATs7XldWAR7MZNuQUb05pDdhNb</t>
  </si>
  <si>
    <t>30 Days</t>
  </si>
  <si>
    <t>https://drive.google.com/open?id=1mn0SSjIJN5TMndifLbcIyvt7Gn7ZzLDt</t>
  </si>
  <si>
    <t>AI WORKSHOP</t>
  </si>
  <si>
    <t>Kyrion Technologies at IIT Hyderabad</t>
  </si>
  <si>
    <t>2 Days</t>
  </si>
  <si>
    <t>No Exam</t>
  </si>
  <si>
    <t>https://drive.google.com/open?id=1oGd0TgPMSs2_aUaC7MhhXkTdYXkrrSp8</t>
  </si>
  <si>
    <t>Vattikulla Sharmila</t>
  </si>
  <si>
    <t>18331A05H8</t>
  </si>
  <si>
    <t>National Level Student Workshop on ReactJs</t>
  </si>
  <si>
    <t>Brainovision solution India pvt.ltd</t>
  </si>
  <si>
    <t>Vishnu</t>
  </si>
  <si>
    <t>https://drive.google.com/open?id=1KloXdaVGNkXol7VQk2g9ENDnLuu-Zmt5</t>
  </si>
  <si>
    <t>sharmilavattikulla@gmail.com</t>
  </si>
  <si>
    <t>https://drive.google.com/open?id=107KWl7vHy4JvgbFp97Q2TqLetMA7I7ZT</t>
  </si>
  <si>
    <t>Eduskills</t>
  </si>
  <si>
    <t>https://drive.google.com/open?id=1gKXf64OaYsX91n6YGp_dwGAQ9rb5W9na</t>
  </si>
  <si>
    <t>https://drive.google.com/open?id=1Sc50u7O2yN6wdOggs836WOqMRMciijHi</t>
  </si>
  <si>
    <t>Not yet known</t>
  </si>
  <si>
    <t>Python progmming Quiz</t>
  </si>
  <si>
    <t>Siddhartha Institute of Engineering &amp; Technology</t>
  </si>
  <si>
    <t>1Day</t>
  </si>
  <si>
    <t>https://drive.google.com/open?id=1erC_GJzEFzMEUrIt7RCB1gE5rOo1vD_9</t>
  </si>
  <si>
    <t>Vignan's Institute of Engineering for Women</t>
  </si>
  <si>
    <t>https://drive.google.com/open?id=1hK2pBkdTZDKlPOmiNsZBHAE_l9PK0ReV</t>
  </si>
  <si>
    <t>5/2/2019</t>
  </si>
  <si>
    <t>https://drive.google.com/open?id=1UH29DWZ7mNJAc3hFq7J6-52l9vH-o75V</t>
  </si>
  <si>
    <t>Vadapalli  Hasitha</t>
  </si>
  <si>
    <t>https://drive.google.com/open?id=1gwt9YnCs_Mw_5hdc2VLXTf3wKncfuc6Q</t>
  </si>
  <si>
    <t>Hari Ramakrishna Turpati</t>
  </si>
  <si>
    <t>18331A05F9</t>
  </si>
  <si>
    <t>C</t>
  </si>
  <si>
    <t>Netacad</t>
  </si>
  <si>
    <t>https://drive.google.com/open?id=1MaIstHqnDkNHBOsPBnH7PCPqV-V-vA3u</t>
  </si>
  <si>
    <t>thriramakrishna95@gmail.com</t>
  </si>
  <si>
    <t>Sravani Sreepada</t>
  </si>
  <si>
    <t>19331A05G1</t>
  </si>
  <si>
    <t>https://drive.google.com/open?id=1R_crjsy8Lbn26MMooTRDEIdrtwv0l2F0</t>
  </si>
  <si>
    <t>sreepadasravani@gmail.com</t>
  </si>
  <si>
    <t>Introduction to packet tracer</t>
  </si>
  <si>
    <t>https://drive.google.com/open?id=1kCej-tFd2U_21HOqTq7dkkunOSUkz9PY</t>
  </si>
  <si>
    <t>https://drive.google.com/open?id=12D6tVmvoLlsK_hHZi7DYhiLtuyKu3-k3</t>
  </si>
  <si>
    <t>Switching Routing and wireless essentials</t>
  </si>
  <si>
    <t>https://drive.google.com/open?id=1f4IbL3inliT5llRVq8Zb-tsbD5AxG-bz</t>
  </si>
  <si>
    <t>https://drive.google.com/open?id=1sGwuj9VRKy0EKAY8yVgQ1Dcof6o5oKcu</t>
  </si>
  <si>
    <t>Dr. Ravi kiran varma</t>
  </si>
  <si>
    <t>https://drive.google.com/open?id=1j1-oZeZS2g_ZOxn2CBPUDerYewVdGTrB</t>
  </si>
  <si>
    <t>Introduction to cyber security</t>
  </si>
  <si>
    <t>https://drive.google.com/open?id=17YaiJ7jsRQYYiWUOAI1WTjDUII1YWA80</t>
  </si>
  <si>
    <t>Palo alto networks</t>
  </si>
  <si>
    <t>https://drive.google.com/open?id=1TUx6HI9v0Krubux7DA1wOgRCNkWizT7H</t>
  </si>
  <si>
    <t>AWS certified Solutions architect- associate</t>
  </si>
  <si>
    <t>Amazon Web Services</t>
  </si>
  <si>
    <t>Amazon Organisation exam</t>
  </si>
  <si>
    <t>https://drive.google.com/open?id=1Oon8p6ylgk_W4ZWn769axktQh7m85hqJ</t>
  </si>
  <si>
    <t>7 weeks</t>
  </si>
  <si>
    <t xml:space="preserve"> Charles Russell Severance</t>
  </si>
  <si>
    <t>https://drive.google.com/open?id=1a5C1fy7ElXVeE8z6o5zy1tZ2Ook-dC0p</t>
  </si>
  <si>
    <t>Hari Rama Krishna Turpati</t>
  </si>
  <si>
    <t>Internet of things</t>
  </si>
  <si>
    <t>IIT- Hyderabad</t>
  </si>
  <si>
    <t>Rishab Mehta</t>
  </si>
  <si>
    <t>https://drive.google.com/open?id=1_Ond_jtt-d4exjAneB4sKCd2EikihoCK</t>
  </si>
  <si>
    <t>Hari Rama krishna Turpati</t>
  </si>
  <si>
    <t>ProDigital Worx</t>
  </si>
  <si>
    <t>https://drive.google.com/open?id=1iT_54ac8mHt0eNjUvGQm683y9KsMKAtY</t>
  </si>
  <si>
    <t>jamiharshini123@gmail.com</t>
  </si>
  <si>
    <t>Jami Harshini</t>
  </si>
  <si>
    <t>18331A0560</t>
  </si>
  <si>
    <t>https://drive.google.com/open?id=1ygSpxfiwRrg2HFxEQJvY4dUJ1FceX5cU</t>
  </si>
  <si>
    <t>3.36 LPA</t>
  </si>
  <si>
    <t>Sai Yogesh Bhasuru</t>
  </si>
  <si>
    <t>18331A05D4</t>
  </si>
  <si>
    <t>GATE 2022</t>
  </si>
  <si>
    <t>https://drive.google.com/open?id=1dSDVLhcrt7gnGStAc0MGnLY3tlUVTYjV</t>
  </si>
  <si>
    <t>saiyogeshbhasuru16@gmail.com</t>
  </si>
  <si>
    <t>yarusha lavanya</t>
  </si>
  <si>
    <t>18331A05E4</t>
  </si>
  <si>
    <t>deep learning</t>
  </si>
  <si>
    <t>https://drive.google.com/open?id=1ZZA504_CZJJomGE-VQrhHmlKo50Jlrb8</t>
  </si>
  <si>
    <t>lavanyayarusha25@gmail.com</t>
  </si>
  <si>
    <t>CYBER SECURITY</t>
  </si>
  <si>
    <t>PALO ALTO NETWORKS CYBERSECURITY ACADEMY</t>
  </si>
  <si>
    <t>https://drive.google.com/open?id=1ySydhHPSGF509jC_hYDhMEh1dGCh1YnY</t>
  </si>
  <si>
    <t>Joy of Computing with Python</t>
  </si>
  <si>
    <t>https://drive.google.com/open?id=1ycpGI9ww9o25WRe9xh6ExTvdOLI-e72k</t>
  </si>
  <si>
    <t>Runners in C Quiz Competition</t>
  </si>
  <si>
    <t>BITS VIZAG</t>
  </si>
  <si>
    <t>https://drive.google.com/open?id=1OZDw1MRW-j1Pk_z6DL1I2axO9gKAPHzB</t>
  </si>
  <si>
    <t xml:space="preserve">Mandadi Bharathi naga sri sai prathyusha </t>
  </si>
  <si>
    <t>18331A0593</t>
  </si>
  <si>
    <t>First prize in ppt</t>
  </si>
  <si>
    <t xml:space="preserve">Mvgr college of engineering </t>
  </si>
  <si>
    <t>https://drive.google.com/open?id=1WU1m7CU_TcognuKDh7Q7HrvZgSOLydXL</t>
  </si>
  <si>
    <t>mandadi.prathyusha@gmail.com</t>
  </si>
  <si>
    <t>IEEE AI WORKSHOP</t>
  </si>
  <si>
    <t>MVGR College of Engineering</t>
  </si>
  <si>
    <t>Mr</t>
  </si>
  <si>
    <t>https://drive.google.com/open?id=1YuVsBrH8JGCYk8UYHg-tqKCJZ8AOJa3k</t>
  </si>
  <si>
    <t>Now and me</t>
  </si>
  <si>
    <t>https://drive.google.com/open?id=1pWiCeUui6TF-dBkqKuF1k9wm-ZuQPQmy</t>
  </si>
  <si>
    <t>cyberattacks</t>
  </si>
  <si>
    <t>https://drive.google.com/open?id=1m4BTv5Etd4b2TIO038QhUJcszrtjqWra</t>
  </si>
  <si>
    <t>62 nd rank</t>
  </si>
  <si>
    <t>IEEE</t>
  </si>
  <si>
    <t>https://drive.google.com/open?id=1qP9qZmE22ppsqqe3S3RAkzkCzz1VlT7d</t>
  </si>
  <si>
    <t>Html course</t>
  </si>
  <si>
    <t>https://drive.google.com/open?id=19GI5qFSQHScSiFk4Ywd1RnR0wG0_hQVG</t>
  </si>
  <si>
    <t>PRAJYULITHA LAKKOJU</t>
  </si>
  <si>
    <t>20331A0598</t>
  </si>
  <si>
    <t>https://drive.google.com/open?id=1oBsoHCUqyikc8mDOXNplplxNdc8rspMh</t>
  </si>
  <si>
    <t>sonalakkoju6@gmail.com</t>
  </si>
  <si>
    <t xml:space="preserve">Ethical hacking </t>
  </si>
  <si>
    <t>Satra university</t>
  </si>
  <si>
    <t>https://drive.google.com/open?id=1hsdS8x6QAkr093ZKVQozx_VW02UX_ciT</t>
  </si>
  <si>
    <t>c</t>
  </si>
  <si>
    <t>https://drive.google.com/open?id=1a3rZb27uIXa2apvbeh2nvyIEJUoZY8CP</t>
  </si>
  <si>
    <t>cyber security</t>
  </si>
  <si>
    <t>https://drive.google.com/open?id=1RbHsvYG8Vr-xXkN-ACZybU3Su2tqODs8</t>
  </si>
  <si>
    <t xml:space="preserve">Dr P.Ravi Kiran varma </t>
  </si>
  <si>
    <t>https://drive.google.com/open?id=133E3GUGhxSo-el8Nj3fbCzJgfrKNEtyF</t>
  </si>
  <si>
    <t>Smart knower</t>
  </si>
  <si>
    <t>https://drive.google.com/open?id=1GcsdzqCzF19-5ITW2e-Qg41q-oUQdwCy</t>
  </si>
  <si>
    <t>Ranked 532 Nationally</t>
  </si>
  <si>
    <t>https://drive.google.com/open?id=1DUCmRPc7cYSEu1VOX3CbZFwMrxdmKmBg</t>
  </si>
  <si>
    <t xml:space="preserve">Sai Yogesh Bhasuru </t>
  </si>
  <si>
    <t>Programming essentials in c++</t>
  </si>
  <si>
    <t>https://drive.google.com/open?id=18tx_x8oqHtl_mYiqbPjDtWxVUocIfhOG</t>
  </si>
  <si>
    <t xml:space="preserve">mandadi.prathyusha@gmail.com </t>
  </si>
  <si>
    <t xml:space="preserve">18331A0593 </t>
  </si>
  <si>
    <t>Carrer guidance post covid 19</t>
  </si>
  <si>
    <t xml:space="preserve">IIIT allahabad </t>
  </si>
  <si>
    <t>Rishab mehta</t>
  </si>
  <si>
    <t>https://drive.google.com/open?id=12mLbgSr8BQGMi1V9Ki3S11KzhbWIS1ne</t>
  </si>
  <si>
    <t>EDU SKILLS</t>
  </si>
  <si>
    <t>https://drive.google.com/open?id=1MMJqoGur-eMCf_7hAzgs-uyOed9kNdHH</t>
  </si>
  <si>
    <t>https://drive.google.com/open?id=1BE7JQdinxMsRNrXWG8ECY6NhXcr3E34U</t>
  </si>
  <si>
    <t>lavanyayausha25@gmail.com</t>
  </si>
  <si>
    <t>https://drive.google.com/open?id=17IHN36wQEF50A9mml5qyjIR9WamldUwy</t>
  </si>
  <si>
    <t>AWS CLOUD ARCHITECT</t>
  </si>
  <si>
    <t>AWS ACADEMY</t>
  </si>
  <si>
    <t>40 HOURS</t>
  </si>
  <si>
    <t>https://drive.google.com/open?id=1_gG2F-FhMtSVQC3MCZ-ZTi5aDHgRVFQw</t>
  </si>
  <si>
    <t>Secret to success after college</t>
  </si>
  <si>
    <t>IIIT allahabad</t>
  </si>
  <si>
    <t>https://drive.google.com/open?id=1uVsSqbzOHsEXd8qtejGTUQkuw-oQqRX2</t>
  </si>
  <si>
    <t xml:space="preserve">Programming essentials in c </t>
  </si>
  <si>
    <t xml:space="preserve">Dr.P.Ravi Kiran varma </t>
  </si>
  <si>
    <t>https://drive.google.com/open?id=1QMfaNPYetS7O2Ru9r_pgzrbBQQ9dHwz0</t>
  </si>
  <si>
    <t>20 HOURS</t>
  </si>
  <si>
    <t>https://drive.google.com/open?id=1_y6iGGdoyvfMVY7JXc1BYWAP6GB_1jpL</t>
  </si>
  <si>
    <t xml:space="preserve">Introduction to cyber security </t>
  </si>
  <si>
    <t>https://drive.google.com/open?id=1akSfmutBOQ2wbe7JeqQbyvifchGO0q9a</t>
  </si>
  <si>
    <t xml:space="preserve">Data science </t>
  </si>
  <si>
    <t>https://drive.google.com/open?id=1CUBc4XwsGKxtG0Gm3o57OEqgjSf_ux31</t>
  </si>
  <si>
    <t xml:space="preserve">Introduction to packet tracer </t>
  </si>
  <si>
    <t xml:space="preserve">Dr.P Ravi Kiran varma </t>
  </si>
  <si>
    <t>https://drive.google.com/open?id=1tu1ObCtNEgwaW1ESur34JpG0BxnEKJ4o</t>
  </si>
  <si>
    <t>PARTICIPATION</t>
  </si>
  <si>
    <t>PUBLICIS SAPIENT</t>
  </si>
  <si>
    <t>https://drive.google.com/open?id=1G7RDq0-LLMZyM_EG-AGSwXh3R1SHMW6k</t>
  </si>
  <si>
    <t>DEVARAJU</t>
  </si>
  <si>
    <t>20331A0592</t>
  </si>
  <si>
    <t>https://drive.google.com/open?id=1A2vochcJvGrHoDWXY64uTyxO0dapzj9a</t>
  </si>
  <si>
    <t>devaraj20112002@gmail.com</t>
  </si>
  <si>
    <t>Second prize in dialogue telling</t>
  </si>
  <si>
    <t>https://drive.google.com/open?id=1R2LLLsbXQwIwW4V-BCvJ1JlshXZWl59-</t>
  </si>
  <si>
    <t xml:space="preserve">Iot fundementals : connecting things </t>
  </si>
  <si>
    <t>https://drive.google.com/open?id=1s2j7xWnBz1z6TvxUo2Crr6p7f5ZN-w9u</t>
  </si>
  <si>
    <t>4th place in creative ad making</t>
  </si>
  <si>
    <t>https://drive.google.com/open?id=1YRzFQEBgsDlYrmKJpQZK7rihv1Ts_b0I</t>
  </si>
  <si>
    <t xml:space="preserve">Switching routing and wireless essentials </t>
  </si>
  <si>
    <t>https://drive.google.com/open?id=1ozV6zBev14iz3yyNal7hj2QhlxhgFLV6</t>
  </si>
  <si>
    <t>Ranked 54th in India</t>
  </si>
  <si>
    <t>https://drive.google.com/open?id=11oFg23t3ZKMD-lJrDa5C7OpBFpQ9H73T</t>
  </si>
  <si>
    <t>Freedom fest</t>
  </si>
  <si>
    <t>Vamsi sir</t>
  </si>
  <si>
    <t>https://drive.google.com/open?id=1wRDnWjVgTMxaH-hngAwYfoHXbiKKZt70</t>
  </si>
  <si>
    <t>ranked 125th in India</t>
  </si>
  <si>
    <t>https://drive.google.com/open?id=1_hWaWfnrw-tMxz7sGcU2vpEumtEmhwt6</t>
  </si>
  <si>
    <t xml:space="preserve">First prize in PPT presentation </t>
  </si>
  <si>
    <t>https://drive.google.com/open?id=1f5fkYcbl5lPC1KzM9l4IKPF55533wJ9L</t>
  </si>
  <si>
    <t xml:space="preserve">Enterprise networking security and automation </t>
  </si>
  <si>
    <t>https://drive.google.com/open?id=1WPfUXhW8cLHgHZxkW5IogO5j-ks-Ep7U</t>
  </si>
  <si>
    <t>Front End Developer Workshop</t>
  </si>
  <si>
    <t>Skill Safari</t>
  </si>
  <si>
    <t>https://drive.google.com/open?id=1fgv5CvK18243Ysu4UJmQrd7eBoTRVQvp</t>
  </si>
  <si>
    <t>Participation</t>
  </si>
  <si>
    <t>Edu Skills</t>
  </si>
  <si>
    <t>https://drive.google.com/open?id=1gFA1lCu4rHLk8s0vfQ6Wa3HEML6MLnnW</t>
  </si>
  <si>
    <t>https://drive.google.com/open?id=1InkIWNhqHwMI_EK22-4sYbdW-AcASCU3</t>
  </si>
  <si>
    <t>Dr.P.Ravi kiran varma</t>
  </si>
  <si>
    <t>https://drive.google.com/open?id=1f_6RyJdXXACjMWev8ca0hIqydzsrtWcs</t>
  </si>
  <si>
    <t>DR.P.Ravi kiran varma</t>
  </si>
  <si>
    <t>https://drive.google.com/open?id=12XH5RrfL2FOuXr7u4fG9Rx1Bs1pYuF3w</t>
  </si>
  <si>
    <t>switching routing and wireless essentials</t>
  </si>
  <si>
    <t>https://drive.google.com/open?id=1u7wm-N97PPXgI3ost1CrXrVe66wKvBsJ</t>
  </si>
  <si>
    <t>https://drive.google.com/open?id=12zEjCujEAx38R7Mcz3Q5dj-Y8ZmURofK</t>
  </si>
  <si>
    <t>Enterprise Networking, Security, and Automation</t>
  </si>
  <si>
    <t>7/6/0202</t>
  </si>
  <si>
    <t>https://drive.google.com/open?id=1qmWYkZ9uNISCKdJ2kUyd6rPe1yQQrs8m</t>
  </si>
  <si>
    <t xml:space="preserve">Venkata Surya Pranay Mamidipalli </t>
  </si>
  <si>
    <t xml:space="preserve">20331A05A5 </t>
  </si>
  <si>
    <t>LINUX VIRTUAL AUTOMATION INTERNSHIP</t>
  </si>
  <si>
    <t>https://drive.google.com/open?id=1rABfJUKRpSqleWAVpC2T3MOprLuyLyPa</t>
  </si>
  <si>
    <t>suryapranaymamidipalli@gmail.com</t>
  </si>
  <si>
    <t xml:space="preserve">Linux essentials </t>
  </si>
  <si>
    <t>https://drive.google.com/open?id=1pWjhSz02aRPeh3Gu2nw87YrCPDMuAnNn</t>
  </si>
  <si>
    <t>https://drive.google.com/open?id=1rUsvBUcqTc4pCRFgLI6clp8DLaNqSU2s</t>
  </si>
  <si>
    <t>https://drive.google.com/open?id=1zNDTOJTa-loY2JzE0YC6MTK-athBsanK</t>
  </si>
  <si>
    <t>Programming Essentials in C++</t>
  </si>
  <si>
    <t>https://drive.google.com/open?id=1EJO0XC5P_pLAqOf-2Q8rbY0TxHWpxzxX</t>
  </si>
  <si>
    <t>Feb-Apr</t>
  </si>
  <si>
    <t>https://drive.google.com/open?id=1alC3TptgmchgQ0Ov9CEIfYpn5FubFyJL</t>
  </si>
  <si>
    <t>IT ESSENTIALS</t>
  </si>
  <si>
    <t>K.V.SUBBARAJU</t>
  </si>
  <si>
    <t>https://drive.google.com/open?id=1QtbtvLWTBhNXZvDVypiun7FhSG7Wn0YN</t>
  </si>
  <si>
    <t xml:space="preserve">Venkata surya pranay Mamidipalli </t>
  </si>
  <si>
    <t>NDG LINUX ESSENTIALS</t>
  </si>
  <si>
    <t>5 months</t>
  </si>
  <si>
    <t xml:space="preserve">K.V.SUBBARAJU </t>
  </si>
  <si>
    <t>https://drive.google.com/open?id=1MyCa2fivlqQ7bcs1S2McWuvIsY-7DS9G</t>
  </si>
  <si>
    <t>Machine Learning Using Python</t>
  </si>
  <si>
    <t>3 Weeks</t>
  </si>
  <si>
    <t>https://drive.google.com/open?id=1oaGjs8hJ2R12P4G98dW9kU2e-yGO4_xl</t>
  </si>
  <si>
    <t>DATA ANALYTICS WITH PYTHON</t>
  </si>
  <si>
    <t xml:space="preserve">JNTUGVU college of engineering </t>
  </si>
  <si>
    <t>SETHU PAVAN</t>
  </si>
  <si>
    <t>https://drive.google.com/open?id=1R7MqIRs3YZOruWBtAqBzwhgUzbDpw4tb</t>
  </si>
  <si>
    <t>Kavya Mudili</t>
  </si>
  <si>
    <t>Cyber Security  Essentials</t>
  </si>
  <si>
    <t>https://drive.google.com/open?id=1Wawjw-L04QCVpBY0em0_Y1SQLmOVcqrO</t>
  </si>
  <si>
    <t xml:space="preserve">MACHINE LEARNING </t>
  </si>
  <si>
    <t>NATIONAL INSTITUTION OF TECHNOLOGY, TIRUCHIRAPALLI</t>
  </si>
  <si>
    <t>E.SIVA SHANKAR</t>
  </si>
  <si>
    <t>https://drive.google.com/open?id=1ANx1BaRz1AoBB0EdoUoNP7vJe5AVsnVV</t>
  </si>
  <si>
    <t xml:space="preserve">Sravanthi </t>
  </si>
  <si>
    <t xml:space="preserve">20331A0594 </t>
  </si>
  <si>
    <t>Eduskill</t>
  </si>
  <si>
    <t>https://drive.google.com/open?id=1Jbbts9ceS-YQiXZrGgp3WKwz8lNH1LZO</t>
  </si>
  <si>
    <t>sravanthikumarapu.88@gmail.com</t>
  </si>
  <si>
    <t>MD.Halima</t>
  </si>
  <si>
    <t>20331A05B1</t>
  </si>
  <si>
    <t>2montha</t>
  </si>
  <si>
    <t>https://drive.google.com/open?id=18oE2vDGu9afNUFdwWn5qMx4nqei6-7E9</t>
  </si>
  <si>
    <t>md138halima@gmail.com</t>
  </si>
  <si>
    <t>https://drive.google.com/open?id=18rsWLMQxRgogo3XfG981SyQXesg61x9O</t>
  </si>
  <si>
    <t>Matcha Priyanka</t>
  </si>
  <si>
    <t>20331A05A7</t>
  </si>
  <si>
    <t>https://drive.google.com/open?id=1YFVlenXh3kc0nHj0cl5g9MGId9HzR25u</t>
  </si>
  <si>
    <t>priyamatcha03@gmail.com</t>
  </si>
  <si>
    <t>NDG Linux Essentials</t>
  </si>
  <si>
    <t>K .V .SubbaRaju</t>
  </si>
  <si>
    <t>https://drive.google.com/open?id=1Z1JVlWAsHNb0NSCqusVw79G3BCC4Y88H</t>
  </si>
  <si>
    <t>Imandi swathi</t>
  </si>
  <si>
    <t>20331A0572</t>
  </si>
  <si>
    <t>NDG Linux</t>
  </si>
  <si>
    <t>K V subbaraju</t>
  </si>
  <si>
    <t>https://drive.google.com/open?id=1cqxllut2Fduqdqm6ZeBOazCpG_Pq87iB</t>
  </si>
  <si>
    <t>imandiswathi821@gmail.com</t>
  </si>
  <si>
    <t>Gara Ranjeet kumar</t>
  </si>
  <si>
    <t>18331A0544</t>
  </si>
  <si>
    <t>Introduction to programing in C</t>
  </si>
  <si>
    <t>https://drive.google.com/open?id=1g39anyffvpUh0R9NdOuTGXraa6W7E7g-</t>
  </si>
  <si>
    <t>ranjeetgara123@gmail.com</t>
  </si>
  <si>
    <t>Gara Ranjeet</t>
  </si>
  <si>
    <t xml:space="preserve">Winner in Intra Collage Football </t>
  </si>
  <si>
    <t>https://drive.google.com/open?id=1exrzR0Tq1AAGjjixli_wHi2BLmsP9l2J</t>
  </si>
  <si>
    <t>https://drive.google.com/open?id=1f6QUzmNI0NAK3xQ4rBtytOxYcgP1jjNk</t>
  </si>
  <si>
    <t xml:space="preserve">Gara Ranjeet </t>
  </si>
  <si>
    <t>Runners in C-Quencz</t>
  </si>
  <si>
    <t>BITS Vizag</t>
  </si>
  <si>
    <t>https://drive.google.com/open?id=1VBFzDwiftdcDb4NNTOQzmJZ83ltxNxGZ</t>
  </si>
  <si>
    <t>Participated in Jumpstart</t>
  </si>
  <si>
    <t>Publicis Sapient</t>
  </si>
  <si>
    <t>https://drive.google.com/open?id=18DQ-a_SgSwwQNnJR71iVduvkRog5eD4i</t>
  </si>
  <si>
    <t>Participated in Flikart Griid 3.0</t>
  </si>
  <si>
    <t>Flipkart</t>
  </si>
  <si>
    <t>https://drive.google.com/open?id=12CWg_r8JF53cf3Baygsp9xmHsKumoWl6</t>
  </si>
  <si>
    <t>Participated in Juspay Hiring Challenge</t>
  </si>
  <si>
    <t>https://drive.google.com/open?id=1JJuiFEf9tPTTCoSLFcd05jYGhtg__3XX</t>
  </si>
  <si>
    <t>Infrasoft</t>
  </si>
  <si>
    <t>https://drive.google.com/open?id=1b_sBzr_AVYvGHgUPUw4RBFGXzGbjNYxw</t>
  </si>
  <si>
    <t>5 LPA</t>
  </si>
  <si>
    <t>https://drive.google.com/open?id=164PkLKDM0UG_ADq-iyJk3eLt2LeK4efP</t>
  </si>
  <si>
    <t>Participated in Craze-Athon</t>
  </si>
  <si>
    <t>Anther Energy</t>
  </si>
  <si>
    <t>https://drive.google.com/open?id=1lielZ9SCE8IidGkSQqOF6wsdXvjIU3iV</t>
  </si>
  <si>
    <t>https://drive.google.com/open?id=10PSNFfo7CjwjQLY7Gx8EcRI6qf5g1DH5</t>
  </si>
  <si>
    <t>Participated in IEEE Xtreme 14.0</t>
  </si>
  <si>
    <t>https://drive.google.com/open?id=1zjAe8X2zfPzNCJ-qrVbm0yKxYzq2Ms1A</t>
  </si>
  <si>
    <t>Web design for web developers</t>
  </si>
  <si>
    <t>3 hours</t>
  </si>
  <si>
    <t>Jonas Schmedtmann</t>
  </si>
  <si>
    <t>https://drive.google.com/open?id=1sDjV3n0ZaZV91dbGI3HkFjaboiqhhNg-</t>
  </si>
  <si>
    <t>Python Basics</t>
  </si>
  <si>
    <t>5 hours</t>
  </si>
  <si>
    <t>Paul Resnick</t>
  </si>
  <si>
    <t>https://drive.google.com/open?id=1OtVz7NJkJOxhAlctniZAXLM5rkioRXHd</t>
  </si>
  <si>
    <t>Secured 4313rd positiono in Google KickStart 2020</t>
  </si>
  <si>
    <t>Google</t>
  </si>
  <si>
    <t>https://drive.google.com/open?id=1sDwciOtEuxq5IPhQZaT5VEoNzXGiQgdN</t>
  </si>
  <si>
    <t>IOT using thingspeak</t>
  </si>
  <si>
    <t>Executive committee</t>
  </si>
  <si>
    <t>https://drive.google.com/open?id=1FPX2QrZLTvGZfjzHUBavNjiV9l1kTGPq</t>
  </si>
  <si>
    <t>Techmihirnaik</t>
  </si>
  <si>
    <t>https://drive.google.com/open?id=1Cf5Nc45YCsAU9q1zOQiHHUx4XaxKGJuX</t>
  </si>
  <si>
    <t xml:space="preserve">Subba Raju K </t>
  </si>
  <si>
    <t>https://drive.google.com/open?id=1l7eoNt7hRn6fxUZXYc909qxPbl4HUAbA</t>
  </si>
  <si>
    <t>10 hours</t>
  </si>
  <si>
    <t>https://drive.google.com/open?id=1aq0xsrL_B-iQeN4e4rF3P7OQXUecsNFJ</t>
  </si>
  <si>
    <t>https://drive.google.com/open?id=18j-pZ12BOZQwFqc_2u-9vRh6F7tBoz_M</t>
  </si>
  <si>
    <t>participated in Quiz on C programming with data structures</t>
  </si>
  <si>
    <t>https://drive.google.com/open?id=15fShLSYa95M1CMx2QjXwiLnXqFK26po5</t>
  </si>
  <si>
    <t>Trn Digital</t>
  </si>
  <si>
    <t>https://drive.google.com/open?id=1nZEMt24baX0onTXz2Liyrd92-XxHFnF0</t>
  </si>
  <si>
    <t>Bengulur</t>
  </si>
  <si>
    <t>5lpa</t>
  </si>
  <si>
    <t>React JS</t>
  </si>
  <si>
    <t>Dr.Datachana Murthy</t>
  </si>
  <si>
    <t>Ganesh Nag Doddi</t>
  </si>
  <si>
    <t>https://drive.google.com/open?id=1P_SDynCHaaW72tBwCIbXv8UEO8NUopEk</t>
  </si>
  <si>
    <t>K.V.Subba Raju</t>
  </si>
  <si>
    <t>https://drive.google.com/open?id=12U8nlGkFFj4wHZie88BUI6ywlqI9YugT</t>
  </si>
  <si>
    <t>https://drive.google.com/open?id=17NyakmZ6ZsZ83DGgRdjSksxJJRHvzLvv</t>
  </si>
  <si>
    <t>Angular JS to develop web apps faster</t>
  </si>
  <si>
    <t>Dr.Datchana Moorthy</t>
  </si>
  <si>
    <t>Ganesh Nag doddi</t>
  </si>
  <si>
    <t>https://drive.google.com/open?id=134P2I3pD2SS-W20-g3ud9BmBsVEiO2FR</t>
  </si>
  <si>
    <t>Intellectual Property office</t>
  </si>
  <si>
    <t>https://drive.google.com/open?id=12Aw9JBnVJ5rWOQ2L_VqcpXMWITfO6AgA</t>
  </si>
  <si>
    <t>National IP Awareness Mission</t>
  </si>
  <si>
    <t>NIPAM Team</t>
  </si>
  <si>
    <t>https://drive.google.com/open?id=1BoUN3WLMggs9Bm6YOfMVjkHpYDJ16YUP</t>
  </si>
  <si>
    <t>International  day of yoga</t>
  </si>
  <si>
    <t>Kamlesh D patel</t>
  </si>
  <si>
    <t>Heartfulness institute</t>
  </si>
  <si>
    <t>https://drive.google.com/open?id=1-VEYMCW3l0PXFEtYFpD3jldSLz6PLv8l</t>
  </si>
  <si>
    <t>Neural Hack 2021 - season 5</t>
  </si>
  <si>
    <t>Murali Padmanabhan</t>
  </si>
  <si>
    <t>https://drive.google.com/open?id=1hPgl68HaJ-zzV1WqFQtYWNEhmfy5PCLs</t>
  </si>
  <si>
    <t>c(intermediate)</t>
  </si>
  <si>
    <t>Hackerrank</t>
  </si>
  <si>
    <t>https://drive.google.com/open?id=10QvYm-wuVcxAqSNrdtWB0ZlUg8veOEdU</t>
  </si>
  <si>
    <t>Capstone: Retrieving, Processing, and Visualizing Data with Python</t>
  </si>
  <si>
    <t>https://drive.google.com/open?id=136LdQUNtmF9QaTM1zTx2W11doFVWTOLE</t>
  </si>
  <si>
    <t>Medi Prasuna</t>
  </si>
  <si>
    <t>18331A0596</t>
  </si>
  <si>
    <t xml:space="preserve">BNY Mellon Technology </t>
  </si>
  <si>
    <t>6 Months</t>
  </si>
  <si>
    <t>https://drive.google.com/open?id=16K0OjAGBT3DmHR5mzjJrBu_od50A5jWJ</t>
  </si>
  <si>
    <t>prasunamedi5@gmail.com</t>
  </si>
  <si>
    <t>https://drive.google.com/open?id=1KuNBmpMZS_uA0_73kYuTsGnKJkSaxJNR</t>
  </si>
  <si>
    <t>6 LPA</t>
  </si>
  <si>
    <t>Koyya Aswini</t>
  </si>
  <si>
    <t>20331A0593</t>
  </si>
  <si>
    <t>NDG LINUX</t>
  </si>
  <si>
    <t>K v subbaraju</t>
  </si>
  <si>
    <t>https://drive.google.com/open?id=1kAHHiXHPPzDaVNvKd1i1qugvelPnBGd5</t>
  </si>
  <si>
    <t>kaswini206@gmail.com</t>
  </si>
  <si>
    <t>INDU KAMBAPU</t>
  </si>
  <si>
    <t>18331A0565</t>
  </si>
  <si>
    <t>Dr. P.Ravi Kiran Varma</t>
  </si>
  <si>
    <t>https://drive.google.com/open?id=1jwEjX1eg1cjLCJcQyUFV20AYaopM1Rj_</t>
  </si>
  <si>
    <t>kambapuindu@gmail.com</t>
  </si>
  <si>
    <t>TIRUMALARAJU VIJAYARAMA MOHITH VARMA</t>
  </si>
  <si>
    <t>18331A05F8</t>
  </si>
  <si>
    <t>C LANGUAGE</t>
  </si>
  <si>
    <t>90 DAYS</t>
  </si>
  <si>
    <t>COMPLETED</t>
  </si>
  <si>
    <t>https://drive.google.com/open?id=1UdFcBbraR4eMfq9v89NSg0Rw00m1jrLa</t>
  </si>
  <si>
    <t>vijayaramaraju1999@gmail.com</t>
  </si>
  <si>
    <t>CYBERSECURITY  ESSENTIALS</t>
  </si>
  <si>
    <t>https://drive.google.com/open?id=1kB2dETgK9HrOxigXiDFEsWXGRNUPqNBB</t>
  </si>
  <si>
    <t xml:space="preserve">CISCO </t>
  </si>
  <si>
    <t>https://drive.google.com/open?id=16gk4EJQdxCN0zUM15j7dKfdYYeYJjiMQ</t>
  </si>
  <si>
    <t>CYBERSECURITY FOUNDATION</t>
  </si>
  <si>
    <t>PALO ALTO</t>
  </si>
  <si>
    <t>https://drive.google.com/open?id=1Q_mxllZmRvTLTbcdP2WbjAIWSoLVVgED</t>
  </si>
  <si>
    <t>MICROSOFT AZURE ESSENTIALS</t>
  </si>
  <si>
    <t>GREAT LEARNING</t>
  </si>
  <si>
    <t>30 DAYS</t>
  </si>
  <si>
    <t>https://drive.google.com/open?id=1kUCKamDQvSydly64EJmnG0x75hW8ZcJl</t>
  </si>
  <si>
    <t>https://drive.google.com/open?id=1gb03XodkHPhoZhmWCb4BYT9_AYiuwvXC</t>
  </si>
  <si>
    <t>MANAGEMENT</t>
  </si>
  <si>
    <t>15 DAYS</t>
  </si>
  <si>
    <t>https://drive.google.com/open?id=16PngkmY2MrkDIn-g-e6sl8BNXl8J7Lpi</t>
  </si>
  <si>
    <t>ADVANCED EXCEL TUTORIAL</t>
  </si>
  <si>
    <t>ELEARNMARKETS</t>
  </si>
  <si>
    <t>60 DAYS</t>
  </si>
  <si>
    <t>https://drive.google.com/open?id=1qG4yKD0AhX79KjzGNKXGiMINRg-6-e_d</t>
  </si>
  <si>
    <t>WIPRO</t>
  </si>
  <si>
    <t>https://drive.google.com/open?id=17si7cirUmJndpGWo3GtEYCMGrK38dDoV</t>
  </si>
  <si>
    <t xml:space="preserve">Yogesh Vardhan Duvvi </t>
  </si>
  <si>
    <t>18331A0538</t>
  </si>
  <si>
    <t>Prodigital worx</t>
  </si>
  <si>
    <t>https://drive.google.com/open?id=1Dj1IHiJpi9Lf7RMiYSSBntVBnyCoemGO</t>
  </si>
  <si>
    <t>yogeshvardhanduvvi@gmail.com</t>
  </si>
  <si>
    <t>ANGULAR JS TO DEVELOP WEB APPS FASTER</t>
  </si>
  <si>
    <t>BY CSE AND IT  IN ASSOCIATION WITH NYCI&amp; BRAIN-O-VISION-</t>
  </si>
  <si>
    <t>DR.V.NAGESH, GANESH NAG DODDI,DR.DATCHANA MOORTHY RAMU</t>
  </si>
  <si>
    <t>https://drive.google.com/open?id=12oZBqNOCdGscf-2Q9CeT0JV9-npaxoEZ</t>
  </si>
  <si>
    <t>HEAD START TO MERN STACK WITH REACT PROJECT -2 DAYS BOOTCAMP</t>
  </si>
  <si>
    <t>SKILL SAFARI</t>
  </si>
  <si>
    <t>https://drive.google.com/open?id=1QhCd4X2faGs2frmeSijuspb-SsA1hgvh</t>
  </si>
  <si>
    <t>TECHFEST IIT BOMBAY- CYBER SECURITY</t>
  </si>
  <si>
    <t>1STOP.AI</t>
  </si>
  <si>
    <t>PAUL MATHEW.I</t>
  </si>
  <si>
    <t>https://drive.google.com/open?id=135lffPeuyEr33WeMtI8SWpmgcErped5g</t>
  </si>
  <si>
    <t>SQL</t>
  </si>
  <si>
    <t>Charles severance</t>
  </si>
  <si>
    <t>https://drive.google.com/open?id=1K7re4F4sjorGSy4xdqaaQ9iR-eljFBmp</t>
  </si>
  <si>
    <t>TECHFEST IIT BOMBAY-IOT</t>
  </si>
  <si>
    <t>https://drive.google.com/open?id=1xHB7KlbUemK4WT97QXCv1wmS6wBM8Ib9</t>
  </si>
  <si>
    <t>wipro</t>
  </si>
  <si>
    <t>https://drive.google.com/open?id=1hBqV4sg4Pw3O_UkYZNPEOc25dVaFCQ2c</t>
  </si>
  <si>
    <t>hyderabad</t>
  </si>
  <si>
    <t xml:space="preserve">PHP </t>
  </si>
  <si>
    <t>https://drive.google.com/open?id=1egre4J8ROMfoWUd7u6ooYPskcd26Yji0</t>
  </si>
  <si>
    <t>https://drive.google.com/open?id=12IpAFvbUR9zj0mziUqWU7AgiiGFeWJDn</t>
  </si>
  <si>
    <t>CLA</t>
  </si>
  <si>
    <t>https://drive.google.com/open?id=1z5KkDpjCjsM7cmCqgb6ch6Zw6xDrHH7K</t>
  </si>
  <si>
    <t>TIRUMALARAJU VVIJAYARAMA MOHITH VARMA</t>
  </si>
  <si>
    <t>NCC</t>
  </si>
  <si>
    <t>2(A) CTR NCC,VSP</t>
  </si>
  <si>
    <t>https://drive.google.com/open?id=1dxsEMUXbJMfkH09yBl3V1nbaVPYmlu0q</t>
  </si>
  <si>
    <t>Hari Krishna Saripalli</t>
  </si>
  <si>
    <t>18331A05D9</t>
  </si>
  <si>
    <t>Aicte</t>
  </si>
  <si>
    <t>https://drive.google.com/open?id=1tjRps7JVzvJ4U_8NLhIsGXmohocnwFRC</t>
  </si>
  <si>
    <t>harikrishnasaripalli99@gmail.com</t>
  </si>
  <si>
    <t xml:space="preserve">Cybersecurity </t>
  </si>
  <si>
    <t>https://drive.google.com/open?id=1v01EIsd16wQQu_jl1eRzigztb8ixsaaB</t>
  </si>
  <si>
    <t>NATINAL INTELLECTUAL PROPERTY AWARENESS MISSION</t>
  </si>
  <si>
    <t>INTELLECTUAL PROPERTY OFFICE,INDIA</t>
  </si>
  <si>
    <t>https://drive.google.com/open?id=1SITLo59BA2g6jPYZieToe5GLnG9g9zbO</t>
  </si>
  <si>
    <t>PCAP</t>
  </si>
  <si>
    <t>Subba raju k v</t>
  </si>
  <si>
    <t>https://drive.google.com/open?id=14M2s0Yb5IrkGYbOl1tHOF2UOlYrDb6lf</t>
  </si>
  <si>
    <t>7 months</t>
  </si>
  <si>
    <t>https://drive.google.com/open?id=1-2XRNFWqoYlC4fMcw_b0gR2AoUtJrEB5</t>
  </si>
  <si>
    <t xml:space="preserve">Sai Venkata rohit naik bhukya </t>
  </si>
  <si>
    <t xml:space="preserve">Revature </t>
  </si>
  <si>
    <t>https://drive.google.com/open?id=1x1vPPgHRokfeWxX4IGrK3rtEMoNuxZ4y</t>
  </si>
  <si>
    <t>Kalyana Chakravarthy Chilukuri</t>
  </si>
  <si>
    <t>https://drive.google.com/open?id=1-Kh2b0Mccdp5ibZVzDcX7rSa2CN-NJG8</t>
  </si>
  <si>
    <t>Collen van lent</t>
  </si>
  <si>
    <t>https://drive.google.com/open?id=1LY1yS5lHsPfg_pPppzxlb8enwNd2sr7N</t>
  </si>
  <si>
    <t>manoj varma sagi</t>
  </si>
  <si>
    <t>18331A05C8</t>
  </si>
  <si>
    <t>DR Ravi kiran varmA</t>
  </si>
  <si>
    <t>https://drive.google.com/open?id=1hPn17VP27yhvydDTY9traLQ1wHwZmrox</t>
  </si>
  <si>
    <t>manojvarmaaa13@gmail.com</t>
  </si>
  <si>
    <t>K V Subba raju</t>
  </si>
  <si>
    <t>https://drive.google.com/open?id=1BKGViztp3IVXKGp0QsPQ8GzQD5egv4tn</t>
  </si>
  <si>
    <t>SUBBARAJU K V</t>
  </si>
  <si>
    <t>https://drive.google.com/open?id=12RL8c1eDxOxloOcL-nQ5Q8_yqlWmTs1j</t>
  </si>
  <si>
    <t>DR Ravi kiran varma</t>
  </si>
  <si>
    <t>https://drive.google.com/open?id=1lJpU6p4HauFCn44XN7EJcAWZpal2R1b5</t>
  </si>
  <si>
    <t>IOT</t>
  </si>
  <si>
    <t>IIT HYDERABAD</t>
  </si>
  <si>
    <t>https://drive.google.com/open?id=1Ra_1aYRguclV2sJfGLJG3mjP_04GJuSP</t>
  </si>
  <si>
    <t>Manoj varma sagi</t>
  </si>
  <si>
    <t>Blood donation camp</t>
  </si>
  <si>
    <t>CSE dept</t>
  </si>
  <si>
    <t>https://drive.google.com/open?id=1_fR-LdhuKTTzZxiOKp3PDnIv3EijWFWW</t>
  </si>
  <si>
    <t>Revature</t>
  </si>
  <si>
    <t>https://drive.google.com/open?id=18CSIBf0DwDGccDZjuZgC5i44VXJQgrE0</t>
  </si>
  <si>
    <t>5L</t>
  </si>
  <si>
    <t>Subbaraju KV</t>
  </si>
  <si>
    <t>https://drive.google.com/open?id=1jJoTU4sgyRGXMbpfu72l4atFy68iFGgx</t>
  </si>
  <si>
    <t>https://drive.google.com/open?id=1oATV4z38uVsk4DRsCVGk1JQtK1jyN3h9</t>
  </si>
  <si>
    <t>4.0 Tech Online Boot Camp</t>
  </si>
  <si>
    <t xml:space="preserve">CCBP 4.0 Tech Community </t>
  </si>
  <si>
    <t>https://drive.google.com/open?id=1zl0FM32wwsGqc5vNeMZ_jEgkKuRia6S2</t>
  </si>
  <si>
    <t>https://drive.google.com/open?id=1o8ldw801tLElIfAhRl2UosClrwPyDlUF</t>
  </si>
  <si>
    <t>Essay Writing -3rd Prize on the eve of Women's Day</t>
  </si>
  <si>
    <t xml:space="preserve">MVGR College of Engineering </t>
  </si>
  <si>
    <t>https://drive.google.com/open?id=1rur1MIBRmakoHW0PG-WRkLUbz7xGtELk</t>
  </si>
  <si>
    <t>SoloLearn</t>
  </si>
  <si>
    <t>https://drive.google.com/open?id=1OD1v1NPhwpIGDw1egj5-f8gTMb_M7LZF</t>
  </si>
  <si>
    <t>18341A0585</t>
  </si>
  <si>
    <t>Tata Imagination Challenge 2021</t>
  </si>
  <si>
    <t xml:space="preserve">Dare To Complete </t>
  </si>
  <si>
    <t>3 days</t>
  </si>
  <si>
    <t>https://drive.google.com/open?id=1EnSLOaNxEjnCT7OoDfIeiqBqy8uy1FsZ</t>
  </si>
  <si>
    <t>Microsoft Azure Fundamentals</t>
  </si>
  <si>
    <t xml:space="preserve">Microsoft </t>
  </si>
  <si>
    <t>700/1000</t>
  </si>
  <si>
    <t>https://drive.google.com/open?id=10E2Ll4SUAfNR9h_MRcegXemaUXhuQ-LK</t>
  </si>
  <si>
    <t>https://drive.google.com/open?id=1OcrvTBzPmFZ0bGCM7fryutUkjhGhJYh5</t>
  </si>
  <si>
    <t>Thudumu Soni kumar</t>
  </si>
  <si>
    <t>18331A05F6</t>
  </si>
  <si>
    <t>https://drive.google.com/open?id=1KfBxR3zT_qNZ6b0gk50CYbmZIJNudz2s</t>
  </si>
  <si>
    <t>tsksoni1@gmail.com</t>
  </si>
  <si>
    <t>SRIHARI NAIDU POGIRI</t>
  </si>
  <si>
    <t>18331A05E6</t>
  </si>
  <si>
    <t>Programming essesntials in c</t>
  </si>
  <si>
    <t>https://drive.google.com/open?id=1icNJAJuu3Wy4ss4bug7-BgODwv2t1xhH</t>
  </si>
  <si>
    <t>sriharismart0000@gmail.com</t>
  </si>
  <si>
    <t>Co-Author in Meri Jubani Book</t>
  </si>
  <si>
    <t>Droplets of Ink Publications</t>
  </si>
  <si>
    <t>https://drive.google.com/open?id=1SJ77RbJvhha7Ixqu9_K1Mj891gesr6jJ</t>
  </si>
  <si>
    <t>Uday sai Kiran Abbiredddy</t>
  </si>
  <si>
    <t>18331A05G0</t>
  </si>
  <si>
    <t>https://drive.google.com/open?id=1BH-PRg3x3i8kT7ptfZj5TSMnBWA5QRY1</t>
  </si>
  <si>
    <t>abbireddy8300@gmail.com</t>
  </si>
  <si>
    <t>6monrhs</t>
  </si>
  <si>
    <t>https://drive.google.com/open?id=1h8NrepugU0ydNIsSDDJourgUc70hRnYH</t>
  </si>
  <si>
    <t>Uday sai kiran Abbireddy</t>
  </si>
  <si>
    <t>18331A05G0.</t>
  </si>
  <si>
    <t>https://drive.google.com/open?id=1Xf4evwkfBW0R1l-NdlxYWV8qBgHehXF5</t>
  </si>
  <si>
    <t>CYBER SECURITY ESSENTIALS</t>
  </si>
  <si>
    <t>https://drive.google.com/open?id=17tn4juU4_DUYU4WxjeD0_gQdnDwsFK4O</t>
  </si>
  <si>
    <t>MOYYA VENKATESWARA NAIDU</t>
  </si>
  <si>
    <t>20331A05B5</t>
  </si>
  <si>
    <t>It Essentials</t>
  </si>
  <si>
    <t>K Subba Raju</t>
  </si>
  <si>
    <t>https://drive.google.com/open?id=1zIvJBF_xQ5S9qMEkM3UqEPmg3JTGPRFk</t>
  </si>
  <si>
    <t>venkateswaranaidumoyya@gmail.com</t>
  </si>
  <si>
    <t>Uday sai Kiran Abbireddy</t>
  </si>
  <si>
    <t>Cyber Security Essentials</t>
  </si>
  <si>
    <t>https://drive.google.com/open?id=1Ug5t3VNci3uyoMfvLwu4DoJcudtXmz6n</t>
  </si>
  <si>
    <t>PROGRAMMING ESSESNTIALS IN PYTHON</t>
  </si>
  <si>
    <t>https://drive.google.com/open?id=1tZvwC6rzsQDCj5lbFaKWVh3P1rWKOafa</t>
  </si>
  <si>
    <t>https://drive.google.com/open?id=1xIIq1nYwFHorwLkBW_zDqAC1A5tdIh8Q</t>
  </si>
  <si>
    <t>Switching, Routing, and Wireless Networks</t>
  </si>
  <si>
    <t>https://drive.google.com/open?id=1GUXYnrxGrBjKWI0LoOXMDiraPHF9jeui</t>
  </si>
  <si>
    <t>Enterprise Networking, Security, And Automation.</t>
  </si>
  <si>
    <t>https://drive.google.com/open?id=1cxSMeC_FJlUsEbswkGYBB-f3dR41ySBU</t>
  </si>
  <si>
    <t>NGD Linux Essentials</t>
  </si>
  <si>
    <t>https://drive.google.com/open?id=1RKfLsFt74vnUJHLq7UFknSc1hSnykayV</t>
  </si>
  <si>
    <t>https://drive.google.com/open?id=1cSM7x8o4W_E3LFnpiS_Jm2WLq9tnhRZ2</t>
  </si>
  <si>
    <t>https://drive.google.com/open?id=1jQmw3Ie7xSNvHnUNz9e96ERK-Ud-Slz5</t>
  </si>
  <si>
    <t>Kuppili Pratyusha</t>
  </si>
  <si>
    <t>18331A0583</t>
  </si>
  <si>
    <t>https://drive.google.com/open?id=1XJ6SeZ_hy3OjpGyqWE0RO2fvlFNqQ9wb</t>
  </si>
  <si>
    <t>pratyukuppili2001@gmail.com</t>
  </si>
  <si>
    <t>Uday saoi kiran Abbireddy</t>
  </si>
  <si>
    <t>AWS Acadamey</t>
  </si>
  <si>
    <t>https://drive.google.com/open?id=1vKa_n_oyI4AoCh9UTGclxRUxxe2U_WzG</t>
  </si>
  <si>
    <t>Ravi kiran Varma Penmatsa</t>
  </si>
  <si>
    <t>https://drive.google.com/open?id=1Dzn2hpi1Qp9w0A9xUJxLMx6IhlI2QGuk</t>
  </si>
  <si>
    <t>https://drive.google.com/open?id=1xnS1kpvZ4yuMLZLTiAlOP-A_y-Vyza1i</t>
  </si>
  <si>
    <t xml:space="preserve">Internet of things </t>
  </si>
  <si>
    <t>Kyrion Technologies PVT.LTD at IIT Hyderabad</t>
  </si>
  <si>
    <t>Kyrion</t>
  </si>
  <si>
    <t>https://drive.google.com/open?id=16U575sMRpFQYinxQDwYYXgmIvOKTrbCr</t>
  </si>
  <si>
    <t>Kolluru Sai Venkata Ravi Sastry</t>
  </si>
  <si>
    <t>20331A0588</t>
  </si>
  <si>
    <t>LINUX  AUTOMATION VIRTUAL INTERNSHIP</t>
  </si>
  <si>
    <t>Redhat enterprises</t>
  </si>
  <si>
    <t>K.V Subbaraju</t>
  </si>
  <si>
    <t>https://drive.google.com/open?id=1TZeRWDVvLRWDIxlmQfpSSmfVPpff27yt</t>
  </si>
  <si>
    <t>ravisastrykolluru2021@gmail.com</t>
  </si>
  <si>
    <t>Uday sai kIran Abbireddy</t>
  </si>
  <si>
    <t>Ncc B certificate</t>
  </si>
  <si>
    <t>Ministry of Defence</t>
  </si>
  <si>
    <t>https://drive.google.com/open?id=1RqkczE9AyMhEK147VBBtVh5cSdIieWKN</t>
  </si>
  <si>
    <t>4.0 tech boot camp</t>
  </si>
  <si>
    <t>Ccbp 4.0 tech community</t>
  </si>
  <si>
    <t>12 hrs</t>
  </si>
  <si>
    <t>https://drive.google.com/open?id=1SU1986z5Bl7T2ntuXWAw2vduIF4Z19lT</t>
  </si>
  <si>
    <t xml:space="preserve">workshop </t>
  </si>
  <si>
    <t>M Vamsi Krishna</t>
  </si>
  <si>
    <t>https://drive.google.com/open?id=1NowfernrLisMsTjXwN2MTz0gb5_43kXk</t>
  </si>
  <si>
    <t>https://drive.google.com/open?id=1lSazFEIzDqFFXObzM2CoBuKoIgGVlXCw</t>
  </si>
  <si>
    <t>sumitha.donthamsetti@gmail.com</t>
  </si>
  <si>
    <t>Donthamsetti Sumitha</t>
  </si>
  <si>
    <t>18331A0535</t>
  </si>
  <si>
    <t>https://drive.google.com/open?id=1kI4PwakFQ2t4yeEjeLQQ1x8M8NSXTHlj</t>
  </si>
  <si>
    <t>4 LPA</t>
  </si>
  <si>
    <t>Web Design for Everybody: Basics of Web Development &amp; Coding</t>
  </si>
  <si>
    <t>Colleen Van lent PhD</t>
  </si>
  <si>
    <t>https://drive.google.com/open?id=1paBUJfz_M4Gigm8Veby7U8NWn40KrzpW</t>
  </si>
  <si>
    <t xml:space="preserve">Programming essentials in C Language </t>
  </si>
  <si>
    <t>6months</t>
  </si>
  <si>
    <t>https://drive.google.com/open?id=1LrTwKTVFOygHJ8gHCJ2OlPA3e0ySb62H</t>
  </si>
  <si>
    <t xml:space="preserve">Redhat System Administration </t>
  </si>
  <si>
    <t xml:space="preserve">Redhat </t>
  </si>
  <si>
    <t>https://drive.google.com/open?id=198sBy60ZJuhV2m216INIEmBsIzHPJOir</t>
  </si>
  <si>
    <t>Building web applications in php</t>
  </si>
  <si>
    <t>https://drive.google.com/open?id=1CraJr1Nid3rqoJ1bVL8eBdrZi1yQ-kpC</t>
  </si>
  <si>
    <t>JNTU Kakinada</t>
  </si>
  <si>
    <t>not given</t>
  </si>
  <si>
    <t>National level online quiz</t>
  </si>
  <si>
    <t>https://drive.google.com/open?id=1pMTutEHS8VT2lEPvgSLuKWua8eBbMpnz</t>
  </si>
  <si>
    <t>Introduction to Structured query language</t>
  </si>
  <si>
    <t>https://drive.google.com/open?id=1d5VMkEdhOE6wUBXgCuli559i34T1JNFq</t>
  </si>
  <si>
    <t>AWS Academy Certificate</t>
  </si>
  <si>
    <t>AICTE Edu skills</t>
  </si>
  <si>
    <t>https://drive.google.com/open?id=1pJnAHkwhsnPJtQBH37JAkhjqh901yg2r</t>
  </si>
  <si>
    <t>Online Summer Training - Kyrion technology</t>
  </si>
  <si>
    <t>https://drive.google.com/open?id=1ML-AQBPz_j8-clf9teLqwOuIGI7Dcpfg</t>
  </si>
  <si>
    <t>Python Online Workshop</t>
  </si>
  <si>
    <t>Kyrion technologies</t>
  </si>
  <si>
    <t>https://drive.google.com/open?id=1NXOPsyh955aIGZjzTRRVIr0FWUw4rpis</t>
  </si>
  <si>
    <t>Karanam yeswanth teja</t>
  </si>
  <si>
    <t>20331A0581</t>
  </si>
  <si>
    <t>IT essentials</t>
  </si>
  <si>
    <t>K.subbaraju</t>
  </si>
  <si>
    <t>https://drive.google.com/open?id=1yOJySaImIeqzV8zvtN7zLCZ8rTzC6P4y</t>
  </si>
  <si>
    <t>tejacherry0611@gmail.com</t>
  </si>
  <si>
    <t>GUMMA VENKATA SRIVATHSA</t>
  </si>
  <si>
    <t>20331A0568</t>
  </si>
  <si>
    <t>K.SUBBARAJU</t>
  </si>
  <si>
    <t>https://drive.google.com/open?id=1kXrytMYKsJLrS-3i_-DaB6hKP07r6KbC</t>
  </si>
  <si>
    <t>gvsrivathsa@gmail.com</t>
  </si>
  <si>
    <t>NDG Linux essentials</t>
  </si>
  <si>
    <t>https://drive.google.com/open?id=1NiIHfvJgm5gpPCpKbnhOuxmv4ZnfWpQW</t>
  </si>
  <si>
    <t>MACHINE LEARNING</t>
  </si>
  <si>
    <t>NIT TRICHY</t>
  </si>
  <si>
    <t>M.SRI KRISHNA</t>
  </si>
  <si>
    <t>https://drive.google.com/open?id=1g38x1n1M60apvsFzB3wZCCoaSepNDmv9</t>
  </si>
  <si>
    <t>https://drive.google.com/open?id=1yt2Df3VcW_0AB69NaxXNmKcQZRhjv1TI</t>
  </si>
  <si>
    <t>Gudala Lalitha Maheswari</t>
  </si>
  <si>
    <t>20331A0565</t>
  </si>
  <si>
    <t>https://drive.google.com/open?id=1AJghTvCvOYf2111qo8ySsjxTH-es7gtq</t>
  </si>
  <si>
    <t>gudalalalithamaheswari4180@gmail.com</t>
  </si>
  <si>
    <t>Cybersecurity and ethical Hacking</t>
  </si>
  <si>
    <t>https://drive.google.com/open?id=1VIjxi_MlNnA9ugQx67YvTGsEQC5oDd4y</t>
  </si>
  <si>
    <t>M. Tarun Kumar</t>
  </si>
  <si>
    <t>20331A05B0</t>
  </si>
  <si>
    <t>K Subba raju</t>
  </si>
  <si>
    <t>https://drive.google.com/open?id=1mxzJH-OG4In_VvdEQaVkfMt6-qVrqc3K</t>
  </si>
  <si>
    <t>mt790191@gmail.com</t>
  </si>
  <si>
    <t>https://drive.google.com/open?id=1zlp-hU7vPBWUBXOs7s5t0l2yaDufQLfH</t>
  </si>
  <si>
    <t>https://drive.google.com/open?id=17Sl_rQ_ag42spqyJh38eNM10mb_mPENE</t>
  </si>
  <si>
    <t>Redhat</t>
  </si>
  <si>
    <t>https://drive.google.com/open?id=10vYy2yRzwiezw6ByqFwZcrerK8gpogGu</t>
  </si>
  <si>
    <t>Nune.Veera Narayanamma</t>
  </si>
  <si>
    <t>20331A05C9</t>
  </si>
  <si>
    <t xml:space="preserve"> NDG</t>
  </si>
  <si>
    <t>https://drive.google.com/open?id=1ULzhn86Os22MLlFB0nnAUp6trn1SlqXA</t>
  </si>
  <si>
    <t>vasavinune24@gmail.com</t>
  </si>
  <si>
    <t>REDHAT</t>
  </si>
  <si>
    <t>https://drive.google.com/open?id=1cr5DGy03nmFmZFMxy1SU8HLUYkTAtxEu</t>
  </si>
  <si>
    <t>M. Tarun kumar</t>
  </si>
  <si>
    <t>https://drive.google.com/open?id=1_7V9WKQdECrYmJ4B1k45Qyokl2hvYj3d</t>
  </si>
  <si>
    <t>CISCO ONLINE COURSE</t>
  </si>
  <si>
    <t>K.V SUBBARAJU</t>
  </si>
  <si>
    <t>https://drive.google.com/open?id=1czIzAGfCjQHXOg3WrEvdsBQ0ELMRPG0z</t>
  </si>
  <si>
    <t>https://drive.google.com/open?id=1vinEl0B5tg4rSvGazB6MyvSNVNZm97dS</t>
  </si>
  <si>
    <t>Killana Gayatri Venkata Manikanta</t>
  </si>
  <si>
    <t>18331A0576</t>
  </si>
  <si>
    <t>C certitficate</t>
  </si>
  <si>
    <t>https://drive.google.com/open?id=1n51ksBrcJzu8FL6s0RaMBBoDHsOxzL4B</t>
  </si>
  <si>
    <t>manikantakillana22@gmail.com</t>
  </si>
  <si>
    <t>KONA THARUN SREE SAI</t>
  </si>
  <si>
    <t>20331A0590</t>
  </si>
  <si>
    <t>https://drive.google.com/open?id=1U4zNBqKNThAe54o7icr_2AYBW3oeP86E</t>
  </si>
  <si>
    <t>tharunkona111@gmail.com</t>
  </si>
  <si>
    <t>Thota vineetha</t>
  </si>
  <si>
    <t>18331A05F5</t>
  </si>
  <si>
    <t>Artificial intelligence workshop</t>
  </si>
  <si>
    <t>Sujatha mehta</t>
  </si>
  <si>
    <t>https://drive.google.com/open?id=1VTe8G3ag7QW6ZX3AXCtEh60hSBycfJ4w</t>
  </si>
  <si>
    <t>vineethathota50@gmail.com</t>
  </si>
  <si>
    <t xml:space="preserve">GUDIVADA VASUDEVARAJU </t>
  </si>
  <si>
    <t>20331A0567</t>
  </si>
  <si>
    <t xml:space="preserve">Linux automation virtual internship </t>
  </si>
  <si>
    <t>https://drive.google.com/open?id=1RW0cM3DT5GM0oQ8k3Q0cM-pY3Bkzk4xa</t>
  </si>
  <si>
    <t>vasuvpk2330@gmail.com</t>
  </si>
  <si>
    <t>Vineetha thota</t>
  </si>
  <si>
    <t>2017-2018</t>
  </si>
  <si>
    <t>1st prize dring independence day competition</t>
  </si>
  <si>
    <t>https://drive.google.com/open?id=1E8igZRSp5FI396jnkfTgwu5IJlHZfWol</t>
  </si>
  <si>
    <t>Programming Esentials in C</t>
  </si>
  <si>
    <t>one month</t>
  </si>
  <si>
    <t>Vamsi Krishna Mahabhasyam</t>
  </si>
  <si>
    <t>https://drive.google.com/open?id=1Qc5AqfMve3ctBRZ_w3MfmS_ctS2EU0GC</t>
  </si>
  <si>
    <t xml:space="preserve">  18331A0576</t>
  </si>
  <si>
    <t>Cyber Security Essemtials</t>
  </si>
  <si>
    <t>https://drive.google.com/open?id=1nH8TaKBldh6ZDc0sW1vjSxEoDNNHr6gI</t>
  </si>
  <si>
    <t>Programming Essentials in python</t>
  </si>
  <si>
    <t>https://drive.google.com/open?id=10YCOw4UsW0uhFlhA-QSLmEDz3KUDJMRG</t>
  </si>
  <si>
    <t xml:space="preserve"> 18331A0576</t>
  </si>
  <si>
    <t>SubbaRaju k v</t>
  </si>
  <si>
    <t>https://drive.google.com/open?id=1g1PPciummGlsJydx6Kye9TuF6hVVOtLV</t>
  </si>
  <si>
    <t>KONA.THARUN SREE SAI</t>
  </si>
  <si>
    <t xml:space="preserve">NDG LINUX  ESSENTIAL </t>
  </si>
  <si>
    <t xml:space="preserve">K.subba Raj </t>
  </si>
  <si>
    <t>https://drive.google.com/open?id=1jXQvw4zGqm7fBrhjrUC98L7_ZuN9JyzH</t>
  </si>
  <si>
    <t>sql certificate</t>
  </si>
  <si>
    <t>vignan institute of technology</t>
  </si>
  <si>
    <t>https://drive.google.com/open?id=1rFAppWC-72fQPrU4o8uPvGih8eD1oEDz</t>
  </si>
  <si>
    <t>10 days</t>
  </si>
  <si>
    <t>SubbaRaju K V</t>
  </si>
  <si>
    <t>https://drive.google.com/open?id=1KvXPRrtHu5Ev8HODK-1xhlS1_HnHyN_5</t>
  </si>
  <si>
    <t>MOBILE APPLICATION DEVELOPMENT</t>
  </si>
  <si>
    <t xml:space="preserve">SQUARE SB SOFTWARE SOLUTIONS </t>
  </si>
  <si>
    <t>Bharat</t>
  </si>
  <si>
    <t>https://drive.google.com/open?id=1g0QXVO9noo4etUmIUP_oXpwHqMjRE4Bt</t>
  </si>
  <si>
    <t>INTERNET OF THINGS</t>
  </si>
  <si>
    <t>THE_ORIGIN</t>
  </si>
  <si>
    <t>https://drive.google.com/open?id=1u3NS11v0fvpPHhZMHMMRQxaGA8DySqfG</t>
  </si>
  <si>
    <t xml:space="preserve">Prajyulitha Lakkoju </t>
  </si>
  <si>
    <t>Cisco it essentials</t>
  </si>
  <si>
    <t>NDG</t>
  </si>
  <si>
    <t>Dr suvarna Kumar gogula</t>
  </si>
  <si>
    <t>https://drive.google.com/open?id=1NSplG2ly1V3XE_WGlxIRc7GYvwZOmQk4</t>
  </si>
  <si>
    <t>Pavanteja sepana</t>
  </si>
  <si>
    <t>18331A05H4</t>
  </si>
  <si>
    <t>Cisco networking academy</t>
  </si>
  <si>
    <t>Ravi Kiran varama penmatsa</t>
  </si>
  <si>
    <t>https://drive.google.com/open?id=1qt7a5B2-6G4JsDP0xvOkYugdloNW3pP6</t>
  </si>
  <si>
    <t>tejpavan68@gmail.com</t>
  </si>
  <si>
    <t xml:space="preserve">Subba raju kv </t>
  </si>
  <si>
    <t>https://drive.google.com/open?id=1r6kjgn0k81G9upoY_aZZXrU3VZdSNE-5</t>
  </si>
  <si>
    <t>Assesment skill python</t>
  </si>
  <si>
    <t>Hacker rank</t>
  </si>
  <si>
    <t>https://drive.google.com/open?id=1YP4_waRixUhOZpsEhOc70FDSoErnVSsW</t>
  </si>
  <si>
    <t>Mohammed Imran</t>
  </si>
  <si>
    <t>20335A0509</t>
  </si>
  <si>
    <t>Blue Prism</t>
  </si>
  <si>
    <t>https://drive.google.com/open?id=1I10ymDocU9KshULXlkbs_MaLEpV-PeAS</t>
  </si>
  <si>
    <t>md116imran@gmail.com</t>
  </si>
  <si>
    <t>Jyothirmayi Manapuram</t>
  </si>
  <si>
    <t>20335A0507</t>
  </si>
  <si>
    <t>https://drive.google.com/open?id=1Nd4eGUqv6sSL8MquViyInvt8UdolPuv1</t>
  </si>
  <si>
    <t>jyothirmaimanapuram4@gmail.com</t>
  </si>
  <si>
    <t>Subba raju kv</t>
  </si>
  <si>
    <t>https://drive.google.com/open?id=1lZlrMRlBl-ZLTW1m78YX4pxu7K-6bUBi</t>
  </si>
  <si>
    <t>Kuriti Ravindra naidu</t>
  </si>
  <si>
    <t>20331A0597</t>
  </si>
  <si>
    <t>https://drive.google.com/open?id=16zd3VBlO3IdfTICh8JOvZbYDTeh7-442</t>
  </si>
  <si>
    <t>ravindranaidukuriti@gmail.com</t>
  </si>
  <si>
    <t>Programming for everybody (getting started with python)</t>
  </si>
  <si>
    <t xml:space="preserve">University of Michigan </t>
  </si>
  <si>
    <t>https://drive.google.com/open?id=1suhghNE_gGxnd0mnesNV1ieJ0Rzs88iu</t>
  </si>
  <si>
    <t xml:space="preserve">Kondeti Geetanjali </t>
  </si>
  <si>
    <t xml:space="preserve">20331A0591 </t>
  </si>
  <si>
    <t xml:space="preserve">IT essentials </t>
  </si>
  <si>
    <t xml:space="preserve">Cisco Networking academy </t>
  </si>
  <si>
    <t>https://drive.google.com/open?id=14LIehmwYyGdyv-HF6cs2pf9kDT6oLxKO</t>
  </si>
  <si>
    <t>kondetigeetanjali2003@gmail.com</t>
  </si>
  <si>
    <t>Dr.Suvarna kumar gogula</t>
  </si>
  <si>
    <t>https://drive.google.com/open?id=1d0KR6IQNBkDE-A4-SJmWZRoAXQxrhI1_</t>
  </si>
  <si>
    <t>ELURU DIVYA DEEPTHI</t>
  </si>
  <si>
    <t>20335A0503</t>
  </si>
  <si>
    <t>https://drive.google.com/open?id=1M6-zSpYjgfr0BASlp2QUzn_c4XjO8T6i</t>
  </si>
  <si>
    <t>eluruneelaveni@gmail.com</t>
  </si>
  <si>
    <t>K . Subbaraj</t>
  </si>
  <si>
    <t>https://drive.google.com/open?id=1wLqkG0B7CZj2enTBSaRevw6zhdZ39qcw</t>
  </si>
  <si>
    <t>Chinthapalli. Geetha sree</t>
  </si>
  <si>
    <t>19331A0537</t>
  </si>
  <si>
    <t>https://drive.google.com/open?id=19zlUndQh5pJmKfNO2-EjhssTuaVWZjGL</t>
  </si>
  <si>
    <t>sreegeetha794@gmail.com</t>
  </si>
  <si>
    <t>BANDARU BHANU SAI PRAKASH</t>
  </si>
  <si>
    <t>20335A0501</t>
  </si>
  <si>
    <t>https://drive.google.com/open?id=1QL9q--_GVEuGWpOC3zPdAKUT_Ha5rhv-</t>
  </si>
  <si>
    <t>bhanusaiprakash04@gmail.com</t>
  </si>
  <si>
    <t xml:space="preserve">LADI ADITYA PRASAD </t>
  </si>
  <si>
    <t>20335A0506</t>
  </si>
  <si>
    <t>https://drive.google.com/open?id=1mYUOK3K-F97GEKgt0CtUJvMCj1Ut9iVR</t>
  </si>
  <si>
    <t>adityaprasadladi@gmail.com</t>
  </si>
  <si>
    <t>https://drive.google.com/open?id=1cURO-VXsTbK6ZoZ8HDDxXySavbQV-XEM</t>
  </si>
  <si>
    <t xml:space="preserve">Jayanthi lahari Katta </t>
  </si>
  <si>
    <t>20335A0505</t>
  </si>
  <si>
    <t>https://drive.google.com/open?id=1sAcrYSuEOcOeoIFyHDZBVlmlqck3MYDm</t>
  </si>
  <si>
    <t>laharijayanthi10@gmail.com</t>
  </si>
  <si>
    <t>Muppaneni Gayatri Srinidhi</t>
  </si>
  <si>
    <t>18331A05A3</t>
  </si>
  <si>
    <t>https://drive.google.com/open?id=1XIuR7daUWGUMTat-Yoq0W9bWN3UpHpcf</t>
  </si>
  <si>
    <t>srinidhimuppaneni@gmail.com</t>
  </si>
  <si>
    <t>BHARAT HARI</t>
  </si>
  <si>
    <t>20331A0570</t>
  </si>
  <si>
    <t>oct-dec 2021</t>
  </si>
  <si>
    <t>https://drive.google.com/open?id=1xGu6fOJRvDMwRLBNU3Kd0Ulose5pqrjf</t>
  </si>
  <si>
    <t>bharat.haristudent@gmail.com</t>
  </si>
  <si>
    <t xml:space="preserve">Kuriti Ravindra naidu </t>
  </si>
  <si>
    <t>NDG linux</t>
  </si>
  <si>
    <t>Dr . Subbaraju sir</t>
  </si>
  <si>
    <t>https://drive.google.com/open?id=1AmK6gtlJvyR9Zvdm5oy-YUJo4zmpxEwh</t>
  </si>
  <si>
    <t>Nukarapu Sai Surya Harshith</t>
  </si>
  <si>
    <t>IT Essentials course</t>
  </si>
  <si>
    <t>CISCO Networking Academy</t>
  </si>
  <si>
    <t xml:space="preserve">Subha Raju </t>
  </si>
  <si>
    <t>https://drive.google.com/open?id=1o3_ZxR1dQRBZMIFc6vqFHPGas0qFe5A1</t>
  </si>
  <si>
    <t>Jahnavi Kadagala</t>
  </si>
  <si>
    <t>20331A0576</t>
  </si>
  <si>
    <t>k.Subbaraju</t>
  </si>
  <si>
    <t>https://drive.google.com/open?id=1dZnSV-pHqcDQWPTUvehAvOrIez_YMVqD</t>
  </si>
  <si>
    <t>jahnavi200305@gmail.com</t>
  </si>
  <si>
    <t xml:space="preserve">National intellectual property awareness mission </t>
  </si>
  <si>
    <t xml:space="preserve">Intellectual property office, India </t>
  </si>
  <si>
    <t xml:space="preserve">Vamsi sir </t>
  </si>
  <si>
    <t>https://drive.google.com/open?id=1EkYPRhT0FUNeDhx1N_rR_eAwme2sNrD8</t>
  </si>
  <si>
    <t xml:space="preserve">Madabathula Padma Praharshitha </t>
  </si>
  <si>
    <t xml:space="preserve">It essentials </t>
  </si>
  <si>
    <t>K V Subha Raju</t>
  </si>
  <si>
    <t>https://drive.google.com/open?id=1h1KZYLbmTaYH0uVr8nGP_oBlO4Por7L8</t>
  </si>
  <si>
    <t>Tejaswikarthik Nistala</t>
  </si>
  <si>
    <t>20331A05C7</t>
  </si>
  <si>
    <t>It essentials</t>
  </si>
  <si>
    <t>K. V. Subbaraju</t>
  </si>
  <si>
    <t>https://drive.google.com/open?id=161gAY9xCIyUZGV70Ss5tKQa6hhdg7zkq</t>
  </si>
  <si>
    <t>tejaswikarthiknistala@gmail.com</t>
  </si>
  <si>
    <t>PIRADHI YASWANTH KUMAR</t>
  </si>
  <si>
    <t>20335A0514</t>
  </si>
  <si>
    <t>https://drive.google.com/open?id=11dwcyzHKey-Qjswz26kVyFcRmb_znhxm</t>
  </si>
  <si>
    <t>yashdarling14@gmail.com</t>
  </si>
  <si>
    <t>Google developer group devfest 2021</t>
  </si>
  <si>
    <t>Devfest india</t>
  </si>
  <si>
    <t>https://drive.google.com/open?id=18KJNAHlNOgi39ODIHQNwA6UZDkEVrb_G</t>
  </si>
  <si>
    <t>BHAVANI GUDE</t>
  </si>
  <si>
    <t>20331A0566</t>
  </si>
  <si>
    <t>MR K.SUBBARAJU</t>
  </si>
  <si>
    <t>https://drive.google.com/open?id=1xkg2nR2j_Anot_YEWevxyZVOJDL07W8H</t>
  </si>
  <si>
    <t>gudebhavani9@gmail.com</t>
  </si>
  <si>
    <t>Passed</t>
  </si>
  <si>
    <t xml:space="preserve">K V Subha Raju </t>
  </si>
  <si>
    <t>https://drive.google.com/open?id=1oFxnyj1h9VS2-8ETGMPGTcUZGcAYN4ZL</t>
  </si>
  <si>
    <t>suryaharshith210@gmail.com</t>
  </si>
  <si>
    <t>Preetam Kurella</t>
  </si>
  <si>
    <t>20331A0596</t>
  </si>
  <si>
    <t>https://drive.google.com/open?id=1kD3Hcy00znGez18lUtVsEhAYtW5COimF</t>
  </si>
  <si>
    <t>preetamkurella@gmail.com</t>
  </si>
  <si>
    <t>Jntuk central zone football tournament secured 4th place</t>
  </si>
  <si>
    <t>Lakireddy Bali Reddy college of engineering</t>
  </si>
  <si>
    <t>https://drive.google.com/open?id=1hstXQ_rkvbzK5KWZpu81SJe3YLtZFkJm</t>
  </si>
  <si>
    <t>https://drive.google.com/open?id=1McGay_zEnuYV7_C0DLAirQ8wZ8zoD7xk</t>
  </si>
  <si>
    <t>KURELLA AMAR SAI PREETAM</t>
  </si>
  <si>
    <t>Redhat linux (RH-124)</t>
  </si>
  <si>
    <t>Redhat system administration</t>
  </si>
  <si>
    <t>K.V. Subbaraju</t>
  </si>
  <si>
    <t>https://drive.google.com/open?id=1i_ODEw_dzDJaiYVMOS22Ce2GY3djlGfQ</t>
  </si>
  <si>
    <t>Pavan Teja sepana</t>
  </si>
  <si>
    <t>Winner in football inter College sports competition</t>
  </si>
  <si>
    <t>Mvgr College of engineering</t>
  </si>
  <si>
    <t>https://drive.google.com/open?id=1p5-HbiZyGgZdl2vroKQPYUKklhEWweY-</t>
  </si>
  <si>
    <t>BOCHA MANYA SAI RAMA AKSHAYA</t>
  </si>
  <si>
    <t>20331A0519</t>
  </si>
  <si>
    <t xml:space="preserve">IT Essentials </t>
  </si>
  <si>
    <t>https://drive.google.com/open?id=1fnmAoSjTrUozP-Ro7MU303VLcipK9HKc</t>
  </si>
  <si>
    <t>bochamsrakshaya@gmail.com</t>
  </si>
  <si>
    <t xml:space="preserve">Redhatlinux(RH-124) </t>
  </si>
  <si>
    <t>Redhatsystem administration</t>
  </si>
  <si>
    <t>https://drive.google.com/open?id=1pCYnpmlYoFMaw-kdno5tsj-86aWCShCa</t>
  </si>
  <si>
    <t>https://drive.google.com/open?id=1BM7zfaq9nhB2UA45kz0lUnEv5gHDG3Gd</t>
  </si>
  <si>
    <t>Redhat Linux (124)</t>
  </si>
  <si>
    <t xml:space="preserve">Passed </t>
  </si>
  <si>
    <t>K.V . Subbaraju</t>
  </si>
  <si>
    <t>https://drive.google.com/open?id=1-gdyTvGMF5N5gPtaMIfHkTXB0qOBPXGF</t>
  </si>
  <si>
    <t xml:space="preserve">Redhat linux(RH-134) </t>
  </si>
  <si>
    <t>https://drive.google.com/open?id=1_IwNi8vxw7ykR1mhqexmx1rJV-IOttVY</t>
  </si>
  <si>
    <t>Redhat linux (RH-134)</t>
  </si>
  <si>
    <t>https://drive.google.com/open?id=1EKvphQSKtq5f-ziSqUg4ooo8NU3Fu-42</t>
  </si>
  <si>
    <t>https://drive.google.com/open?id=1oDdwHExZvZNkf4-RZUZoekLUWPiO_iWN</t>
  </si>
  <si>
    <t>K. Charan Teja</t>
  </si>
  <si>
    <t>20331A0587</t>
  </si>
  <si>
    <t>K.V.Subbaraju sir</t>
  </si>
  <si>
    <t>https://drive.google.com/open?id=15firB2U7LSHc09kBS6Z0FyxPPWcjqaVm</t>
  </si>
  <si>
    <t>devadeepkolla211@gmail.com</t>
  </si>
  <si>
    <t xml:space="preserve">KARANAM HARIKA DEVI </t>
  </si>
  <si>
    <t>20335A0504</t>
  </si>
  <si>
    <t>https://drive.google.com/open?id=1C15t6nORIzHNmH0Srb6akMdRBN_UHjiv</t>
  </si>
  <si>
    <t>harikaappalaraju7413@gmail.com</t>
  </si>
  <si>
    <t>Aws</t>
  </si>
  <si>
    <t>https://drive.google.com/open?id=15jQXeRCr_UZiP-hfR59DPeR33fQ64tnE</t>
  </si>
  <si>
    <t>Redhat Linux (134)</t>
  </si>
  <si>
    <t>https://drive.google.com/open?id=1ePKgLP0s2vCDChjGVBCeA6ZJpzBik2bC</t>
  </si>
  <si>
    <t xml:space="preserve">Bankapalli Bhargavi </t>
  </si>
  <si>
    <t>20335A0502</t>
  </si>
  <si>
    <t>https://drive.google.com/open?id=1pwG9BM12sfB_tRjhDTqD7cY1CDD1QwDY</t>
  </si>
  <si>
    <t>bhargavicme003@gmail.com</t>
  </si>
  <si>
    <t>IT-YUKTA-2K22</t>
  </si>
  <si>
    <t>Jntu vizianagaram</t>
  </si>
  <si>
    <t>G. jayasuma</t>
  </si>
  <si>
    <t>https://drive.google.com/open?id=1K4YvXyrOQTuJ2FfJ45B5JuJcD8DQ_fTh</t>
  </si>
  <si>
    <t>K.Charan Teja</t>
  </si>
  <si>
    <t xml:space="preserve">Red Hat organization </t>
  </si>
  <si>
    <t xml:space="preserve">Red Hat System Administration </t>
  </si>
  <si>
    <t>K.V.Subbaraj sir</t>
  </si>
  <si>
    <t>https://drive.google.com/open?id=1A-N-7jEjlW6kHxSpgtnAohojK6S_jEE3</t>
  </si>
  <si>
    <t>Redhat linux(RH 124)</t>
  </si>
  <si>
    <t>Redhat System Administration</t>
  </si>
  <si>
    <t>passed</t>
  </si>
  <si>
    <t>K.V.SubhaRaju</t>
  </si>
  <si>
    <t>https://drive.google.com/open?id=1oyxRrs_mpa1Wr7ea1u-YP_v0wp8XFQ7X</t>
  </si>
  <si>
    <t>ITYUKTHA-2K22</t>
  </si>
  <si>
    <t>JNTUGV</t>
  </si>
  <si>
    <t>G.jayasuma</t>
  </si>
  <si>
    <t>https://drive.google.com/open?id=1lMJZ3oZCH0qJpBElyfqLRPrXbwiJjMEP</t>
  </si>
  <si>
    <t>BOMMI HARSHITGA</t>
  </si>
  <si>
    <t>20331A0524</t>
  </si>
  <si>
    <t xml:space="preserve">K.SUBBARAJU </t>
  </si>
  <si>
    <t>https://drive.google.com/open?id=1LiMEyuEmNEP-JyQwa4-lr4x0Z7NOQKKZ</t>
  </si>
  <si>
    <t>bommiharshitha0603@gmail.com</t>
  </si>
  <si>
    <t>Redhat linux(RH134)</t>
  </si>
  <si>
    <t>Redhat system Administration</t>
  </si>
  <si>
    <t>https://drive.google.com/open?id=1d9vD1QBmDfwIF3W6hIiCWW4h5GHAugI0</t>
  </si>
  <si>
    <t>Linux Automation Virtual Internship</t>
  </si>
  <si>
    <t xml:space="preserve">Redhat Academy </t>
  </si>
  <si>
    <t xml:space="preserve">K. V. Subbaraju </t>
  </si>
  <si>
    <t>https://drive.google.com/open?id=1TeCR4HLMsWqwveJIj2vvFhZjbq9PpGSV</t>
  </si>
  <si>
    <t>Linux Automation virtual internship</t>
  </si>
  <si>
    <t>Red hat academy</t>
  </si>
  <si>
    <t>https://drive.google.com/open?id=1zx7EtsWxcpgDi3bY2U3OCgWVposD6Bov</t>
  </si>
  <si>
    <t>NDG linux essentials</t>
  </si>
  <si>
    <t>https://drive.google.com/open?id=1aTxFzkWMJR1cFhAQbVY1S978LynkQJJF</t>
  </si>
  <si>
    <t>K.V.Subharaju</t>
  </si>
  <si>
    <t>https://drive.google.com/open?id=1z9FKsD6U7nTC-TQYyGawgWr7RdiTZSd6</t>
  </si>
  <si>
    <t xml:space="preserve">NDG Linux Essentials </t>
  </si>
  <si>
    <t>https://drive.google.com/open?id=1TKvjyjGK_LYjM1Pe4Vg6-icNLcx8xeHU</t>
  </si>
  <si>
    <t>MOHAMMED ANJUMUL HAQUE</t>
  </si>
  <si>
    <t>20331A05B2</t>
  </si>
  <si>
    <t>CISCO NETWORKING ACADEMY</t>
  </si>
  <si>
    <t>K SUBBA RAJU</t>
  </si>
  <si>
    <t>https://drive.google.com/open?id=1Lpp02xPGgkuz4gglZkiLOpSnHOGr7ch_</t>
  </si>
  <si>
    <t>mdh9390646952@gmail.com</t>
  </si>
  <si>
    <t xml:space="preserve">Nimishakavi V S R Srujan </t>
  </si>
  <si>
    <t>20331A05C6</t>
  </si>
  <si>
    <t xml:space="preserve">Cisco Networking Academy </t>
  </si>
  <si>
    <t>K Subbu Raju</t>
  </si>
  <si>
    <t>https://drive.google.com/open?id=1asfdN6lSuj55iV4vkzAY9juwk-RRH0uu</t>
  </si>
  <si>
    <t>srujanraghc@gmail.com</t>
  </si>
  <si>
    <t>GUNTREDDI UDAYCHANDU</t>
  </si>
  <si>
    <t>20331A0569</t>
  </si>
  <si>
    <t>K subharaju</t>
  </si>
  <si>
    <t>https://drive.google.com/open?id=1NufJUKEeVtUmXpXptTvkpK5zq_97wpre</t>
  </si>
  <si>
    <t>udaychandu2001@gmail.com</t>
  </si>
  <si>
    <t xml:space="preserve">Linux Automation Virtual Internship </t>
  </si>
  <si>
    <t>https://drive.google.com/open?id=1U_VxK33JE_p7E3AnkwGdPKTxmcdgNasc</t>
  </si>
  <si>
    <t>K V.SubbaRaju</t>
  </si>
  <si>
    <t>https://drive.google.com/open?id=1jFahULrBJExN0gHP4_RddGjUIpadqYGs</t>
  </si>
  <si>
    <t>Linux automation virtual internships</t>
  </si>
  <si>
    <t>Redhat academy</t>
  </si>
  <si>
    <t>https://drive.google.com/open?id=16ASI1cuPXrKt31VDEX93KvQ581UNata8</t>
  </si>
  <si>
    <t>https://drive.google.com/open?id=1W_NOCuAPkMT5-7uZY2yLpkRH3sDF2yBb</t>
  </si>
  <si>
    <t xml:space="preserve">GUNTREDDI UDAYCHANDU </t>
  </si>
  <si>
    <t>20331A0659</t>
  </si>
  <si>
    <t>K.subharaju</t>
  </si>
  <si>
    <t>https://drive.google.com/open?id=1J1uudxn4EbQFRAxanIm_1_diR2O7kAb6</t>
  </si>
  <si>
    <t>https://drive.google.com/open?id=1O9IChSxdXxCNQaVY-oWkutdb5PWmDKzV</t>
  </si>
  <si>
    <t>Kolipaka Dinesh Venkata Mani Sai</t>
  </si>
  <si>
    <t>20331A0586</t>
  </si>
  <si>
    <t>https://drive.google.com/open?id=1Tg_9Zl6ggrHhx7AJjufvYTUhaC5608Su</t>
  </si>
  <si>
    <t>kolipakadinesh2003@gmail.com</t>
  </si>
  <si>
    <t>https://drive.google.com/open?id=1tVbui3IpKcHFKD1bNKAkcM4ru9WczXoG</t>
  </si>
  <si>
    <t>sachinvenkyindian@gmail.com</t>
  </si>
  <si>
    <t xml:space="preserve">Bevara Venkatesh </t>
  </si>
  <si>
    <t>18331A0513</t>
  </si>
  <si>
    <t>https://drive.google.com/open?id=1SzwVma1bvQzySAMcnIUyR86UB4_jEDZx</t>
  </si>
  <si>
    <t>Dont know</t>
  </si>
  <si>
    <t>4lpa</t>
  </si>
  <si>
    <t>Sumanth Varma Dandu</t>
  </si>
  <si>
    <t>18331A0530</t>
  </si>
  <si>
    <t>APEC</t>
  </si>
  <si>
    <t>Satish</t>
  </si>
  <si>
    <t>https://drive.google.com/open?id=1YYUrz4lf5EsBXTEPXNdUQAuk65vmtV5M</t>
  </si>
  <si>
    <t>dsumanthvarma6@gmail.com</t>
  </si>
  <si>
    <t>https://drive.google.com/open?id=1xh-6CUN_jqOL7YsUT-Wu8T20JJbUj-UT</t>
  </si>
  <si>
    <t>praveen.tarun115@gmail.com</t>
  </si>
  <si>
    <t>Bugata Praveen</t>
  </si>
  <si>
    <t>18331A0523</t>
  </si>
  <si>
    <t>https://drive.google.com/open?id=1oQTlIUlLTU4l6H3Z8lsz7HxqgYeHhzzs</t>
  </si>
  <si>
    <t xml:space="preserve">Hyderabad </t>
  </si>
  <si>
    <t>https://drive.google.com/open?id=1F7iTjzsHnuIodbVpb33cwJfk7_1LM-9l</t>
  </si>
  <si>
    <t>Rithvik Reddy Chantigari</t>
  </si>
  <si>
    <t>18331A0525</t>
  </si>
  <si>
    <t>Wiley-mthree</t>
  </si>
  <si>
    <t>https://drive.google.com/open?id=13J5UeAwZr8LZBFvHLWWmLBzpzuvdaHp2</t>
  </si>
  <si>
    <t>rithvikreddychantigari@gmail.com</t>
  </si>
  <si>
    <t>Kavala jyothsna</t>
  </si>
  <si>
    <t>20331A0582</t>
  </si>
  <si>
    <t>MR.K.Subbaraju</t>
  </si>
  <si>
    <t>https://drive.google.com/open?id=1rqDh4c8AZe0pallC8_DxVS483RzSNSns</t>
  </si>
  <si>
    <t>jyothsnakavala2003@gmail.com</t>
  </si>
  <si>
    <t>Rishabh Mehtha</t>
  </si>
  <si>
    <t>https://drive.google.com/open?id=1WkQtQLdGhQBJEgkiVn1gYaIcUbBhvm13</t>
  </si>
  <si>
    <t>National Institute of Technology Tiruchirapalli</t>
  </si>
  <si>
    <t>https://drive.google.com/open?id=1W3oP3DP3rBsp9RzvPebwIkHwjDigEuNA</t>
  </si>
  <si>
    <t>Prasad B</t>
  </si>
  <si>
    <t>18331A0514</t>
  </si>
  <si>
    <t>https://drive.google.com/open?id=1rlyRDaJkOzJm8bRKFhsUN4GOZtLeTbfr</t>
  </si>
  <si>
    <t>nani.bhogapurapu1106@gmail.com</t>
  </si>
  <si>
    <t xml:space="preserve">Red hat </t>
  </si>
  <si>
    <t>https://drive.google.com/open?id=1Vxws7ZxDedUtYqFillrfxBzIEcuaxcWk</t>
  </si>
  <si>
    <t xml:space="preserve">LOHITH VENKAT ANNAM </t>
  </si>
  <si>
    <t>18331A0506</t>
  </si>
  <si>
    <t xml:space="preserve">Swecha </t>
  </si>
  <si>
    <t>Vamsi</t>
  </si>
  <si>
    <t>https://drive.google.com/open?id=15ej9vscZ0I8ge1ld4LdQpKYaykpN1SaF</t>
  </si>
  <si>
    <t>annam.venkat24a@gmail.com</t>
  </si>
  <si>
    <t>Manac Infotech</t>
  </si>
  <si>
    <t>https://drive.google.com/open?id=1jHinSiZ9D-5a7iuvZ8of0MssCzGQHKS6</t>
  </si>
  <si>
    <t xml:space="preserve">Hexaware </t>
  </si>
  <si>
    <t>https://drive.google.com/open?id=1HxRFFojddfZhy4pNdOKAY6TXBt1DeE3G</t>
  </si>
  <si>
    <t xml:space="preserve">Dont know </t>
  </si>
  <si>
    <t>https://drive.google.com/open?id=1Q7aSFHIxNaHu-8QlEtAsaIFUj0e-lslA</t>
  </si>
  <si>
    <t>https://drive.google.com/open?id=1v9JLEHywb-uUy8bGNC3GjW6SgkJmpS0c</t>
  </si>
  <si>
    <t>Thrilochana Nakkella</t>
  </si>
  <si>
    <t>20331A05C3</t>
  </si>
  <si>
    <t>https://drive.google.com/open?id=1OdCqgTpFdMXyL2wGRwlzJQF7OcVDOTkQ</t>
  </si>
  <si>
    <t>3lochana.nakkella@gmail.com</t>
  </si>
  <si>
    <t>https://drive.google.com/open?id=1HhDM8hSHUy6Hc125dGJEBpi8IbmayzsU</t>
  </si>
  <si>
    <t>AWS Virtual Internship</t>
  </si>
  <si>
    <t>Dr. Ravi kiran Varma</t>
  </si>
  <si>
    <t>https://drive.google.com/open?id=19W1fVIBN315pgzRxfk00KUIixkX4M8-K</t>
  </si>
  <si>
    <t>B Prasad</t>
  </si>
  <si>
    <t>PCAP PYTHON ESSENTIALS</t>
  </si>
  <si>
    <t>https://drive.google.com/open?id=1k94jScnUdPRAllKESfy-MISeNFGATh6u</t>
  </si>
  <si>
    <t xml:space="preserve">A TEJESWARA RAO </t>
  </si>
  <si>
    <t>18331A0505</t>
  </si>
  <si>
    <t>Java and C++ and phython programming in complete course</t>
  </si>
  <si>
    <t>Global code institute</t>
  </si>
  <si>
    <t xml:space="preserve">Kalyana Chakravarthy </t>
  </si>
  <si>
    <t>https://drive.google.com/open?id=107vLh-tHpLz0JFCbzy4bv8VfAWSobwvQ</t>
  </si>
  <si>
    <t>anakapallitejeswararao2000@gmail.com</t>
  </si>
  <si>
    <t>Sumanth varma Dandu</t>
  </si>
  <si>
    <t>Mindtree Limites</t>
  </si>
  <si>
    <t>14-16 weeks</t>
  </si>
  <si>
    <t>https://drive.google.com/open?id=1vLiS16Riy3Hj4jFCZrDTX0Cb76lK2kbJ</t>
  </si>
  <si>
    <t>Artifical Intelligence</t>
  </si>
  <si>
    <t>https://drive.google.com/open?id=1TxqaqLjacyv5BFLhT_3QiJotOsS_nRQa</t>
  </si>
  <si>
    <t xml:space="preserve">Cyber security </t>
  </si>
  <si>
    <t xml:space="preserve">Palo Alto networks </t>
  </si>
  <si>
    <t xml:space="preserve">Ravikiran varama </t>
  </si>
  <si>
    <t>https://drive.google.com/open?id=1Nf0dS9oKIfRUR7U6PeBNEFsfkp5dW3Sh</t>
  </si>
  <si>
    <t>Graphic design certification legendary edition</t>
  </si>
  <si>
    <t>First look digital marketing solutions pvt.ltd</t>
  </si>
  <si>
    <t xml:space="preserve">Kalyan chakravarthy </t>
  </si>
  <si>
    <t>https://drive.google.com/open?id=15KlORbmmEYat07-YtUl0ZAjbTM255VC9</t>
  </si>
  <si>
    <t>https://drive.google.com/open?id=1Gi_5ij4VeUVfCmlwcC-fub9ubQUZaqe2</t>
  </si>
  <si>
    <t>—</t>
  </si>
  <si>
    <t xml:space="preserve">Lohith venkat Annam </t>
  </si>
  <si>
    <t xml:space="preserve">Zensar </t>
  </si>
  <si>
    <t>https://drive.google.com/open?id=1EDQ4Q2i0hjkmh99LPVKvOHUeTL69iJz-</t>
  </si>
  <si>
    <t>https://drive.google.com/open?id=1PRE1qe4Sha5GpZbyDT-TrczxIuR5f2Bv</t>
  </si>
  <si>
    <t>Infosys</t>
  </si>
  <si>
    <t>https://drive.google.com/open?id=10Ku5E62Gd_X9NlW3SyI23bLo1nHVOOTr</t>
  </si>
  <si>
    <t>I.T Essentials</t>
  </si>
  <si>
    <t>https://drive.google.com/open?id=1AEoFVZCs9R_i8Uv2eghRNXDGCyuNGV0o</t>
  </si>
  <si>
    <t>subba raju</t>
  </si>
  <si>
    <t>https://drive.google.com/open?id=10iRRL6oYzg9D17zZeW0XqU0pOWWcmdi0</t>
  </si>
  <si>
    <t>SUBBA RAJU</t>
  </si>
  <si>
    <t>https://drive.google.com/open?id=1p7w2l3SFw28Eb0ibzDAddGFhdRzJjgy2</t>
  </si>
  <si>
    <t>linux automation virtual program</t>
  </si>
  <si>
    <t>AICTE- red hat academy</t>
  </si>
  <si>
    <t>https://drive.google.com/open?id=1T4gMGUJ4XFABiYSCEBCvvtmcUDdii7k5</t>
  </si>
  <si>
    <t>TAMMINANA YASHWANTH</t>
  </si>
  <si>
    <t>18331A05F2</t>
  </si>
  <si>
    <t xml:space="preserve"> CCNA</t>
  </si>
  <si>
    <t>https://drive.google.com/open?id=1wjZLp-d60u1u4pMLRVmZviNunuo4_dWL</t>
  </si>
  <si>
    <t>tammineniyashwanth@gmail.com</t>
  </si>
  <si>
    <t xml:space="preserve">Jammi Sri Sai Yeshwanth </t>
  </si>
  <si>
    <t>20331A0574</t>
  </si>
  <si>
    <t xml:space="preserve">Redhat Enterprises </t>
  </si>
  <si>
    <t>https://drive.google.com/open?id=1zIw39WOTbilnopqS8otfGZVLqjHOITzf</t>
  </si>
  <si>
    <t>yeswanthjammi@gmail.com</t>
  </si>
  <si>
    <t>INFOSYS, WIPRO, COGNIZANT</t>
  </si>
  <si>
    <t>https://drive.google.com/open?id=1aoUkZBcN2ML6PLKzMhKZOLGvSduWTyzX</t>
  </si>
  <si>
    <t>Hyderabad &amp; Chennai</t>
  </si>
  <si>
    <t>5.5 LPA</t>
  </si>
  <si>
    <t xml:space="preserve">Vortex Machine Learning </t>
  </si>
  <si>
    <t xml:space="preserve">National Institute Of Technology Tiruchirapalli </t>
  </si>
  <si>
    <t>https://drive.google.com/open?id=1BiLv-XLj1k_RULgHrqvPtYN3P8kqC0QZ</t>
  </si>
  <si>
    <t xml:space="preserve">N Manikanta Sai Kumar </t>
  </si>
  <si>
    <t>20331A05C2</t>
  </si>
  <si>
    <t>K.V.Subbaraju</t>
  </si>
  <si>
    <t>https://drive.google.com/open?id=1NBVg10eIJsd6sM7PNq1K_ESwEvl-1Z9j</t>
  </si>
  <si>
    <t>manikanta202nmk@gmail.com</t>
  </si>
  <si>
    <t xml:space="preserve">Cisco Networking </t>
  </si>
  <si>
    <t>Dr KV Subba Raju</t>
  </si>
  <si>
    <t>https://drive.google.com/open?id=13O7D2koIVXmXkx9n66CbjBhzklX6JNwE</t>
  </si>
  <si>
    <t>SAI RISHITHA GORANTLA</t>
  </si>
  <si>
    <t>19331A0555</t>
  </si>
  <si>
    <t>https://drive.google.com/open?id=1hkVUsy0h-xVJYXHA9uKl-06xHAobIvjm</t>
  </si>
  <si>
    <t>rishithagorantla23@gmail.com</t>
  </si>
  <si>
    <t>Medisetti Ramya Sahithi</t>
  </si>
  <si>
    <t>20331A05A9</t>
  </si>
  <si>
    <t>https://drive.google.com/open?id=1yglCYVQ199qx5k15o7caTfXUWiGv0Jfi</t>
  </si>
  <si>
    <t>medisettiramyasahithi@gmail.com</t>
  </si>
  <si>
    <t>https://drive.google.com/open?id=1Wd9ZHAz5yyCDZGziuamZ_KhEPJWFqAfM</t>
  </si>
  <si>
    <t>18332A05F0</t>
  </si>
  <si>
    <t>Dr Ravi Kiran varma</t>
  </si>
  <si>
    <t>https://drive.google.com/open?id=1Zb-15iaNboindLGRyqAmWXSM4jrarj4b</t>
  </si>
  <si>
    <t>Dr. Ravi Kiran Verma</t>
  </si>
  <si>
    <t>https://drive.google.com/open?id=1DhSnZ69qVniIEuIV6Sj5XL01lXVYCBSB</t>
  </si>
  <si>
    <t>Dr Ravi Kiran verma</t>
  </si>
  <si>
    <t>https://drive.google.com/open?id=13lGdItF7uLb_QJuHbKFSTIT2NCFM2qOI</t>
  </si>
  <si>
    <t>GRANDHI.VASAVI</t>
  </si>
  <si>
    <t>19331A0558</t>
  </si>
  <si>
    <t>https://drive.google.com/open?id=18seBZorcjr3O70OKP_3pPmnzYScR3v6i</t>
  </si>
  <si>
    <t>vasavigrandhi02@gmail.com</t>
  </si>
  <si>
    <t>Dr Ravi Kiran Verma</t>
  </si>
  <si>
    <t>https://drive.google.com/open?id=1tXo0HN5OLkUMNJa9xtUoZ2zzgNTuxps5</t>
  </si>
  <si>
    <t>C++</t>
  </si>
  <si>
    <t>https://drive.google.com/open?id=1X6ppzp2_RQtZH-sMapbdVUJFv8cshZ_0</t>
  </si>
  <si>
    <t>https://drive.google.com/open?id=1TTKuv1PMBM3byrFdrOA4RuavOgVPs5_j</t>
  </si>
  <si>
    <t>Linux essentials</t>
  </si>
  <si>
    <t>https://drive.google.com/open?id=1yEpNi0SHGl5qQOLJpWfFDSVrtUwOq4Cb</t>
  </si>
  <si>
    <t>Iot</t>
  </si>
  <si>
    <t>https://drive.google.com/open?id=1QKPXuKgvVlA0gZbYZnTSSi7gWTbDZr8t</t>
  </si>
  <si>
    <t>Jaswanth Vajrapu</t>
  </si>
  <si>
    <t>1833A05G5</t>
  </si>
  <si>
    <t>https://drive.google.com/open?id=1Pdt8aypHVSwSzDIWguiP8nWMrEdB33h0</t>
  </si>
  <si>
    <t>jaswanth.vjp13@gmail.com</t>
  </si>
  <si>
    <t>18331A05G5</t>
  </si>
  <si>
    <t>Management</t>
  </si>
  <si>
    <t>Drona</t>
  </si>
  <si>
    <t xml:space="preserve">SIDHARTHAN </t>
  </si>
  <si>
    <t>https://drive.google.com/open?id=1iabDeur9k6QrEoaHZHRARPLPCSvizNGq</t>
  </si>
  <si>
    <t>BHOOMIREDDY KAVYA</t>
  </si>
  <si>
    <t>19331A0517</t>
  </si>
  <si>
    <t>https://drive.google.com/open?id=16c7c1M1MusHqa3fgQVXKq9D00j0pivXc</t>
  </si>
  <si>
    <t>kavyabhoomireddy@gmail.com</t>
  </si>
  <si>
    <t>Redhat Linux(RH-124)</t>
  </si>
  <si>
    <t>https://drive.google.com/open?id=1j1w0c2-FZYLuHintyze78-a8_CcCaP0D</t>
  </si>
  <si>
    <t>Chikkala Sowmya Deepika</t>
  </si>
  <si>
    <t>19331A0535</t>
  </si>
  <si>
    <t>https://drive.google.com/open?id=1Np-pIt1IdoqAq_K8OBZRls1Bm7DjtjSq</t>
  </si>
  <si>
    <t>sowmyadeepika2810@gmail.com</t>
  </si>
  <si>
    <t>Hacker Rank</t>
  </si>
  <si>
    <t>Harishankaran.K</t>
  </si>
  <si>
    <t>https://drive.google.com/open?id=15ob4XbwSyJWO_uug8fiShIJkjG616DJV</t>
  </si>
  <si>
    <t>Redhat Linux (RH-134)</t>
  </si>
  <si>
    <t>https://drive.google.com/open?id=1mQBFKyhqohX-jOzI2tnPUxJ-CqO5aJpf</t>
  </si>
  <si>
    <t xml:space="preserve">Datla V Subhadra Kumari </t>
  </si>
  <si>
    <t xml:space="preserve">19331A0541 </t>
  </si>
  <si>
    <t>https://drive.google.com/open?id=1JN1omyDFwhZ6DQdL14ffHMt9A0htX21g</t>
  </si>
  <si>
    <t>amritha.datla@gmail.com</t>
  </si>
  <si>
    <t>Thatimalla Niveditha</t>
  </si>
  <si>
    <t>19331A05H1</t>
  </si>
  <si>
    <t>https://drive.google.com/open?id=1fkfNt3Enmx67ukXQijvhGeQwlv7OqiGp</t>
  </si>
  <si>
    <t>thatimallaniveditha@gmail.com</t>
  </si>
  <si>
    <t>K V.Subbaraju</t>
  </si>
  <si>
    <t>https://drive.google.com/open?id=1pSs7zzy3eJi0Z95pmNnGfABCvWGgsb_H</t>
  </si>
  <si>
    <t>https://drive.google.com/open?id=1c5Y8DsJ-mMBKjKfPeXEF0JmLY5yb9AvC</t>
  </si>
  <si>
    <t>Siripurapu Sandhya</t>
  </si>
  <si>
    <t xml:space="preserve">19331A05F9 </t>
  </si>
  <si>
    <t>RPA</t>
  </si>
  <si>
    <t xml:space="preserve">MVGR college Of engineering </t>
  </si>
  <si>
    <t>certification</t>
  </si>
  <si>
    <t>Mr.P.Ram Santosh Naidu</t>
  </si>
  <si>
    <t>https://drive.google.com/open?id=1wJBg05qypWnDdgAhRK0R2uvkoJeon6rR</t>
  </si>
  <si>
    <t>siripurapusandhya15@gmail.com</t>
  </si>
  <si>
    <t>Participant in IEEEXTREME 13.0</t>
  </si>
  <si>
    <t>https://drive.google.com/open?id=1-gJsyg_GwG0B9yU1z85C9j7zOc7dCjCb</t>
  </si>
  <si>
    <t>A A S N NISHANTH VARMA PUSAPATI</t>
  </si>
  <si>
    <t>19331A0501</t>
  </si>
  <si>
    <t>https://drive.google.com/open?id=11tvcZC2B6NAxoyFWA5BgpbovXc-a3Nv7</t>
  </si>
  <si>
    <t>nishanthvarma14819@gmail.com</t>
  </si>
  <si>
    <t>Participated in IEEEXtreme 14.0 Programming</t>
  </si>
  <si>
    <t>https://drive.google.com/open?id=1Q123BBUxI1L9zmyqsMZASDg90DO_z1Yz</t>
  </si>
  <si>
    <t>Participated in IEEEXtreme 15.0 Programming</t>
  </si>
  <si>
    <t>https://drive.google.com/open?id=12rTU4jG8tcrAz8LiJ33uRa8PfNT2Qxpw</t>
  </si>
  <si>
    <t xml:space="preserve">AWS Cloud </t>
  </si>
  <si>
    <t>1 moth</t>
  </si>
  <si>
    <t>P.Ravi Kiran Vara</t>
  </si>
  <si>
    <t>https://drive.google.com/open?id=1ph83XLvX3vGd4A97E5ij08uGHbidKf49</t>
  </si>
  <si>
    <t>Varada Naga Praneetha</t>
  </si>
  <si>
    <t xml:space="preserve">19331A05I1 </t>
  </si>
  <si>
    <t>https://drive.google.com/open?id=1iebwTBXwTYrugaMqKMKl6bj1uGidMTeG</t>
  </si>
  <si>
    <t>praneetha.varada@gmail.com</t>
  </si>
  <si>
    <t>Problem Solving in C</t>
  </si>
  <si>
    <t>https://drive.google.com/open?id=1Ge4SRokCJY04Io2zfoiUhLhrAKh00_Ga</t>
  </si>
  <si>
    <t>Successful Presentation</t>
  </si>
  <si>
    <t>William Kuskin</t>
  </si>
  <si>
    <t>https://drive.google.com/open?id=1FnC69aIhT2LBAjYSJwvd29MN09KMBmLd</t>
  </si>
  <si>
    <t>Varada Naga praneetha</t>
  </si>
  <si>
    <t xml:space="preserve"> DR.Ravi kiran varma</t>
  </si>
  <si>
    <t>https://drive.google.com/open?id=1u5W3xc7M36C7uqNkrMs988SSF17BWLHi</t>
  </si>
  <si>
    <t xml:space="preserve">CCNAv7 : Introduction to networks </t>
  </si>
  <si>
    <t>Dr. ravi kiran varma</t>
  </si>
  <si>
    <t>https://drive.google.com/open?id=1sLv63GFElaZzg0tPVD_8qw9BRyVWvQLV</t>
  </si>
  <si>
    <t xml:space="preserve">Sammingi Anju Sai Neha Bhuvya </t>
  </si>
  <si>
    <t xml:space="preserve">19331A05E7 </t>
  </si>
  <si>
    <t>https://drive.google.com/open?id=1zG2hfJx1FiAxx-aMGpfLompju4QVYhBE</t>
  </si>
  <si>
    <t>nehabhuvya@gmail.com</t>
  </si>
  <si>
    <t>Sai Akshaya Kasireddi</t>
  </si>
  <si>
    <t>19331A05E6</t>
  </si>
  <si>
    <t>https://drive.google.com/open?id=1S0p5CNARv6AIh0jkY2b963wPxgWr77iY</t>
  </si>
  <si>
    <t>saiakshaya3042@gmail.com</t>
  </si>
  <si>
    <t>CCNAv7 : SRWE</t>
  </si>
  <si>
    <t>_</t>
  </si>
  <si>
    <t>https://drive.google.com/open?id=1syo7UaH687D-JpxJyPvut1j1pK3BMbje</t>
  </si>
  <si>
    <t>BORRA BHAVYA</t>
  </si>
  <si>
    <t>19331A0525</t>
  </si>
  <si>
    <t>https://drive.google.com/open?id=1eAZkMaFzM15aJQj0CiTTAt64qhQxtlMe</t>
  </si>
  <si>
    <t>bhavyaborra2002@gmail.com</t>
  </si>
  <si>
    <t>CAROLINE CHRISTY THANDU</t>
  </si>
  <si>
    <t>18331A05F4</t>
  </si>
  <si>
    <t>PROGRAMMING ESSENTIALS IN PYTHON</t>
  </si>
  <si>
    <t>https://drive.google.com/open?id=1bEEb_67tfTUMaadwqxyH1kLGgXu06L-o</t>
  </si>
  <si>
    <t>thanducarolinechristy@gmail.com</t>
  </si>
  <si>
    <t>Bondapalli Priyanka</t>
  </si>
  <si>
    <t>19331A0523</t>
  </si>
  <si>
    <t>https://drive.google.com/open?id=1xgzZEYjYgnECYBJzQfcqwASeVfjyLZC-</t>
  </si>
  <si>
    <t>priyankapriya0416@gmail.com</t>
  </si>
  <si>
    <t>indiradarshini126@gmail.com</t>
  </si>
  <si>
    <t xml:space="preserve">Tammineni Rajasree Indira priyadarshini </t>
  </si>
  <si>
    <t xml:space="preserve">19331A05H0 </t>
  </si>
  <si>
    <t>CR</t>
  </si>
  <si>
    <t>MOTAMARRI AKSHAYA</t>
  </si>
  <si>
    <t>19331A05A9</t>
  </si>
  <si>
    <t>https://drive.google.com/open?id=1JyesfyG9sdretzSNeYQ2p7xsGi1Vlmbs</t>
  </si>
  <si>
    <t>akshayamotamarri2108@gmail.com</t>
  </si>
  <si>
    <t>THANDU CAROLINE CHRISTY</t>
  </si>
  <si>
    <t>DR. P. RAVI KIRAN VARMA</t>
  </si>
  <si>
    <t>https://drive.google.com/open?id=1eC1pDXpm6Na2Yw9X6EHoZDI1_VQx9eSV</t>
  </si>
  <si>
    <t>LAKKIMSETTI CHANDRA SIRISHA</t>
  </si>
  <si>
    <t>19331A0594</t>
  </si>
  <si>
    <t>https://drive.google.com/open?id=1Yom3pKy4Tkgt9RrqNFbH2LIJ7nyblof1</t>
  </si>
  <si>
    <t>sirishalakkimsetti1729@gmail.com</t>
  </si>
  <si>
    <t>CYBERSECURITY ESSENTIALS</t>
  </si>
  <si>
    <t>https://drive.google.com/open?id=1foONca1k4A6XjEfgyT-fpPpAfD8E744q</t>
  </si>
  <si>
    <t>https://drive.google.com/open?id=1UR6VzrlXN7BED6ACISPUMmROl_Ggh1qz</t>
  </si>
  <si>
    <t xml:space="preserve">N CHANDRA SEKHAR REDDY </t>
  </si>
  <si>
    <t>19331A05B7</t>
  </si>
  <si>
    <t>https://drive.google.com/open?id=1D9VJrTOe4CseoWGyhcXBEAT02CSp62P6</t>
  </si>
  <si>
    <t>ncsreddy143@gmail.com</t>
  </si>
  <si>
    <t>https://drive.google.com/open?id=1pe3p-2freuWa5Y6VlateFoOG8VVzNEWA</t>
  </si>
  <si>
    <t>SWITCHING ROUTING AND WIRELESS ESSENTIALS</t>
  </si>
  <si>
    <t>https://drive.google.com/open?id=19pm2_Q5iWB3TaA9W5JNLMBYNbUk4cqmc</t>
  </si>
  <si>
    <t>Kalyampudi Sravani</t>
  </si>
  <si>
    <t>20331A0579</t>
  </si>
  <si>
    <t>K.Subbaraju</t>
  </si>
  <si>
    <t>https://drive.google.com/open?id=1DdtP4Jce1Hzh89cx91TIYbMBw-Eoyw6i</t>
  </si>
  <si>
    <t>sravanikalyampudi@gmail.com</t>
  </si>
  <si>
    <t>https://drive.google.com/open?id=12_srua-2bN288erbcYac-deqxTpCBmIW</t>
  </si>
  <si>
    <t xml:space="preserve">BUDDHARAJU  SANJANA </t>
  </si>
  <si>
    <t xml:space="preserve">19331A0526 </t>
  </si>
  <si>
    <t>https://drive.google.com/open?id=1q70iM5ZuSozWqArmkj9LmZgssRwVJcUV</t>
  </si>
  <si>
    <t>sanjanab5j@gmail.com</t>
  </si>
  <si>
    <t xml:space="preserve">MVGR college of engineering </t>
  </si>
  <si>
    <t>https://drive.google.com/open?id=1W-GEi_AHJJKbI5qy-Xka1C4tkYjzijrv</t>
  </si>
  <si>
    <t>https://drive.google.com/open?id=1Ezod3LTtx06q8Nryu-0ZbTaoweFYbeQy</t>
  </si>
  <si>
    <t>https://drive.google.com/open?id=1w7Nn7fnaelGzhVWNrJIoFAwtxc99uNTN</t>
  </si>
  <si>
    <t>3 WEEKS</t>
  </si>
  <si>
    <t>https://drive.google.com/open?id=1RTtyq3k-N2F7MeRaIQQUEPr2Q6jliTEQ</t>
  </si>
  <si>
    <t>chanamalla venkata sai vivek</t>
  </si>
  <si>
    <t>18331a05h3</t>
  </si>
  <si>
    <t>python complete course for python beginners</t>
  </si>
  <si>
    <t>7.5 hours</t>
  </si>
  <si>
    <t>horizon tech</t>
  </si>
  <si>
    <t>https://drive.google.com/open?id=1ZjUgIOn4CrJjrvYAAfjeeemjC-MPDfNq</t>
  </si>
  <si>
    <t>venkatsaivivek007@gmail.com</t>
  </si>
  <si>
    <t>computer architecture &amp; computer organisation</t>
  </si>
  <si>
    <t>12.5hrs</t>
  </si>
  <si>
    <t>yasas sri wickramasinghe</t>
  </si>
  <si>
    <t>https://drive.google.com/open?id=1fOz66l3-hJZ8uJ9WTF7kYbv6x4urVCfn</t>
  </si>
  <si>
    <t>Lekkala Pavani</t>
  </si>
  <si>
    <t xml:space="preserve">20331A05A2 </t>
  </si>
  <si>
    <t>https://drive.google.com/open?id=1-s6hUkyyPvazo85I9mZCbqlJIFZTi6sR</t>
  </si>
  <si>
    <t>pavani.leela15@gmail.com</t>
  </si>
  <si>
    <t>KANDULA VARSHINI</t>
  </si>
  <si>
    <t>19331A0572</t>
  </si>
  <si>
    <t>https://drive.google.com/open?id=1RiYNFJLyXRcHF4OU9iWJ_kKYyQDAByBf</t>
  </si>
  <si>
    <t>kandhulavarshini@gmail.com</t>
  </si>
  <si>
    <t>a complete website development tool without programming</t>
  </si>
  <si>
    <t>1.5 hrs</t>
  </si>
  <si>
    <t>mahesh pratapwar</t>
  </si>
  <si>
    <t>https://drive.google.com/open?id=1jEjFpyfV984wjTf7K6bTamn6PHOO9whM</t>
  </si>
  <si>
    <t xml:space="preserve">Lekkala Pavani </t>
  </si>
  <si>
    <t>https://drive.google.com/open?id=1eKMg0MuP3auzH31G2IsRDH1H5c5-rriI</t>
  </si>
  <si>
    <t>https://drive.google.com/open?id=1d53Z83IH6uTnP6_e1rTc7B2rYFvzwbgs</t>
  </si>
  <si>
    <t>https://drive.google.com/open?id=1l0vq1U6sdFw3l4NRBTGo5zxgvr-9dRuI</t>
  </si>
  <si>
    <t>https://drive.google.com/open?id=18qymJHQtd7_s6vxpDGKyC3Av6MtUIRUq</t>
  </si>
  <si>
    <t>https://drive.google.com/open?id=15uViMoGjxNAkEyV4Y1Q8HhaRwq88LVNU</t>
  </si>
  <si>
    <t>INTERNET OF THINGS WORKSHOP</t>
  </si>
  <si>
    <t>https://drive.google.com/open?id=1eU1ODAZjWmC1lWUo_kbTMctGyyaKRRwt</t>
  </si>
  <si>
    <t>https://drive.google.com/open?id=1FfDpT2xxMiSopeSUAR15TtLoVpZTPc4Q</t>
  </si>
  <si>
    <t>https://drive.google.com/open?id=1qbg09HWRvHvWMuQIuQSJ6sD4O5Mao3IC</t>
  </si>
  <si>
    <t>PALO ALTO NETWORKING ACADEMY</t>
  </si>
  <si>
    <t>DR.P. RAVI KIRAN VARMA</t>
  </si>
  <si>
    <t>https://drive.google.com/open?id=1EvXscih3t8GNcIkdo5_8G4zI0SWazPz8</t>
  </si>
  <si>
    <t>https://drive.google.com/open?id=1RZJGkxLxMIWCLo4siZnkp-f5pBgLSxfj</t>
  </si>
  <si>
    <t>https://drive.google.com/open?id=1f94s200c2aJ8-D01M1jsKM_f5UVJQI4P</t>
  </si>
  <si>
    <t>Manas Trang</t>
  </si>
  <si>
    <t>Y.M.C.Shekar</t>
  </si>
  <si>
    <t>https://drive.google.com/open?id=1PxUOyyuy2MDilQIZtpCG6-BGaxfslHXc</t>
  </si>
  <si>
    <t>DR. P. RAVI KIFRA VARMA</t>
  </si>
  <si>
    <t>https://drive.google.com/open?id=1CDQp-PBZmfOaWRAP94IsgsbraIKHtdWL</t>
  </si>
  <si>
    <t>Harshit Dhanuka</t>
  </si>
  <si>
    <t>20331A0571</t>
  </si>
  <si>
    <t>Red Hat Enterprise</t>
  </si>
  <si>
    <t>https://drive.google.com/open?id=1KKGtaq5GZLret3IA_PBGmysy9nnWrfqb</t>
  </si>
  <si>
    <t>harshitdhanuka92@gmail.com</t>
  </si>
  <si>
    <t>2months 2weeks</t>
  </si>
  <si>
    <t>K V Subbaraju</t>
  </si>
  <si>
    <t>https://drive.google.com/open?id=1V0NQc24We23LH8EhxU-DoWWBxbWP-qw8</t>
  </si>
  <si>
    <t>Gayathri Gondi</t>
  </si>
  <si>
    <t>19331A0553</t>
  </si>
  <si>
    <t>CLA - Programming Essentials in C</t>
  </si>
  <si>
    <t>70 hours</t>
  </si>
  <si>
    <t>https://drive.google.com/open?id=1L9EdbAfI7EPrI4X-M6NqXT4KXwvZicpg</t>
  </si>
  <si>
    <t>gayathrigondi2204@gmail.com</t>
  </si>
  <si>
    <t>Machine Learning</t>
  </si>
  <si>
    <t>NIT, TIRUCHIRAPALLI</t>
  </si>
  <si>
    <t>E. Siva Shankar</t>
  </si>
  <si>
    <t>https://drive.google.com/open?id=1CdIhKOLxHMKon7MhlxfbyeqhVil30Pmz</t>
  </si>
  <si>
    <t>19331a0553</t>
  </si>
  <si>
    <t>T Essentials: PC Hardware and Software</t>
  </si>
  <si>
    <t>https://drive.google.com/open?id=1jZqgHUFv77c-1WLKoijFh6ALBy9Ux1It</t>
  </si>
  <si>
    <t>Python 2019-23 III Sem CSE Sec A</t>
  </si>
  <si>
    <t>75 hours</t>
  </si>
  <si>
    <t xml:space="preserve"> JAYASRI SAI VENKATA ANGARA</t>
  </si>
  <si>
    <t>https://drive.google.com/open?id=1FE0_HvNkyx3uHLZDuU658DZshp-63E4t</t>
  </si>
  <si>
    <t>DATA ANALYTICS USING PYTHON</t>
  </si>
  <si>
    <t>JNTUGV-UCEV</t>
  </si>
  <si>
    <t>V Laxmi Prasad</t>
  </si>
  <si>
    <t>https://drive.google.com/open?id=1RNxNHVErA7ZetNxkkw55UxK_dJZ0frz-</t>
  </si>
  <si>
    <t xml:space="preserve">GNU/ Linux Admin and Programming with Python </t>
  </si>
  <si>
    <t>MVGR College of Engineering (Autonomous)</t>
  </si>
  <si>
    <t>https://drive.google.com/open?id=13ZIfIPothsMAgPWvm_xwT_qHdQfFypAW</t>
  </si>
  <si>
    <t>KADAMANTI SRAVAN</t>
  </si>
  <si>
    <t>20331A0577</t>
  </si>
  <si>
    <t xml:space="preserve">KV SUBBA RAJU </t>
  </si>
  <si>
    <t>https://drive.google.com/open?id=1m23VxHdX4Zs3AvCLywt75uFllkTGKKTd</t>
  </si>
  <si>
    <t>kadamantisravan10@gmail.com</t>
  </si>
  <si>
    <t>RED HAT LINUX ADMINSTRATION (RH134)</t>
  </si>
  <si>
    <t xml:space="preserve">AICT </t>
  </si>
  <si>
    <t>2MONTHS</t>
  </si>
  <si>
    <t>KV SUBBA RAJU</t>
  </si>
  <si>
    <t>https://drive.google.com/open?id=18UCOVjctEmUkeWvKSK3EwxxqYBTuhM8l</t>
  </si>
  <si>
    <t>RED HAT LINUX ADMINSTRATION (RH124)</t>
  </si>
  <si>
    <t>AICT</t>
  </si>
  <si>
    <t>https://drive.google.com/open?id=1Br9osdp4Z29Y2syRxU08Ud0JMlMK7QRZ</t>
  </si>
  <si>
    <t>Chaitra Mudili</t>
  </si>
  <si>
    <t>18331A05A0</t>
  </si>
  <si>
    <t>https://drive.google.com/open?id=1MifZlr4QTyfjCEJejPJbr5s190TAXprE</t>
  </si>
  <si>
    <t>chaitra2026@gmail.com</t>
  </si>
  <si>
    <t>Nakkina Visrutha</t>
  </si>
  <si>
    <t>18331A05A6</t>
  </si>
  <si>
    <t>https://drive.google.com/open?id=1j4dQCVh65KHXq89qFXkKzrxq4tCfzD-j</t>
  </si>
  <si>
    <t>visrutha2001@gmail.com</t>
  </si>
  <si>
    <t>CPA - Programming Essentials in C++</t>
  </si>
  <si>
    <t>https://drive.google.com/open?id=1Gk5FuNyOEn3ZKyId4GWfgMUKEX9yMALO</t>
  </si>
  <si>
    <t>https://drive.google.com/open?id=16FQHEBK1Sq5igP7cNRw9fRLyPnYvM-ms</t>
  </si>
  <si>
    <t>https://drive.google.com/open?id=1TUdexaEHNdOiYPHV3Cha4uQbX5XqPZhW</t>
  </si>
  <si>
    <t>https://drive.google.com/open?id=1pfY5xSV0Jpjkm30jccWxoPYm0rBdu9_6</t>
  </si>
  <si>
    <t>CCNA V7.02 Introduction to Networks</t>
  </si>
  <si>
    <t>https://drive.google.com/open?id=1Ue1zY6fmjTuNMCQ1eMzNM_hDW5JfeMAS</t>
  </si>
  <si>
    <t xml:space="preserve">PCAP - Programming Essentials in Python </t>
  </si>
  <si>
    <t>https://drive.google.com/open?id=1vIBeMPhSVPqi4P2p2StgeIVMPCBYCVJX</t>
  </si>
  <si>
    <t>Web Development</t>
  </si>
  <si>
    <t>Internshala</t>
  </si>
  <si>
    <t>Sarvesh Agarwal</t>
  </si>
  <si>
    <t>https://drive.google.com/open?id=1c29JlK1hYarwHb69KZRXURiOigcjghFZ</t>
  </si>
  <si>
    <t>https://drive.google.com/open?id=1Fq8ntn83IQFZjCmTbG2xuGOFjEVnA7oP</t>
  </si>
  <si>
    <t>Gorsa Uma Mahesh</t>
  </si>
  <si>
    <t>18331A0550</t>
  </si>
  <si>
    <t>https://drive.google.com/open?id=1DEdRuYekCFhzd1erkA9WdK8eaGdsNCPZ</t>
  </si>
  <si>
    <t>gorsaumamahesh@gmail.com</t>
  </si>
  <si>
    <t>90 days</t>
  </si>
  <si>
    <t>https://drive.google.com/open?id=1DtxFggTTAZr71CIcaovN-iBadE1uZmlF</t>
  </si>
  <si>
    <t>https://drive.google.com/open?id=1kl_yv6lEbe4MkUx-7DDutSvZygUj_uo8</t>
  </si>
  <si>
    <t>KARRI SUBBARAO VINEETH</t>
  </si>
  <si>
    <t>19331A0575</t>
  </si>
  <si>
    <t>Robotic process automation virtual internship</t>
  </si>
  <si>
    <t>https://drive.google.com/open?id=1X5-dMidjBHdOyo90FwgFkdU_7hTrD6iR</t>
  </si>
  <si>
    <t>karri.vineeth24@gmail.com</t>
  </si>
  <si>
    <t>NAIK SAMPATH SRINATH</t>
  </si>
  <si>
    <t>19331A05B5</t>
  </si>
  <si>
    <t>ROBOTIC PROCESS AUTOMATION VIRTUAL INTERNSHIP</t>
  </si>
  <si>
    <t>https://drive.google.com/open?id=191m4Py2VmJsLXOuKESJH2Y4SC417zdZa</t>
  </si>
  <si>
    <t>dubla1503@gmail.com</t>
  </si>
  <si>
    <t>https://drive.google.com/open?id=1dum9P0ybRNMtzfRuAqmPvSgnf5YbCylF</t>
  </si>
  <si>
    <t>Mohammed Salman</t>
  </si>
  <si>
    <t>19331A05A8</t>
  </si>
  <si>
    <t>https://drive.google.com/open?id=1zGU_nScoebuJRKY58U95WF0gjYoSO5rU</t>
  </si>
  <si>
    <t>wolverinemds7@gmail.com</t>
  </si>
  <si>
    <t>https://drive.google.com/open?id=1kDF-MB6lGC-Z5LbMtHfLutR5nCFaEE1X</t>
  </si>
  <si>
    <t>Hyderabad, Bangalore, Chennai, Pune</t>
  </si>
  <si>
    <t>https://drive.google.com/open?id=1E5XqRSmk05zWihTMLgZg6Ql9IoaxNiDl</t>
  </si>
  <si>
    <t>Not Mentioned</t>
  </si>
  <si>
    <t>Mandhapati Jagannadha Rohit Varma</t>
  </si>
  <si>
    <t>19331A05A3</t>
  </si>
  <si>
    <t>https://drive.google.com/open?id=1RitpCA1NL59Cr98CXpUkHL0g0_OdEVqI</t>
  </si>
  <si>
    <t>rohitvarmaanrk@gmail.com</t>
  </si>
  <si>
    <t>https://drive.google.com/open?id=1sdkBp2g2wlH95wnFfXO8E9JBzRju_s2I</t>
  </si>
  <si>
    <t>3.6 LPA</t>
  </si>
  <si>
    <t>Killadi.shyam</t>
  </si>
  <si>
    <t>20331A0583</t>
  </si>
  <si>
    <t>Subba raju</t>
  </si>
  <si>
    <t>https://drive.google.com/open?id=1og0LMMSqRPdxLyrHtf_XEsnDTBkDJ4pD</t>
  </si>
  <si>
    <t>shyamkiladi56@gmail.com</t>
  </si>
  <si>
    <t>Mopada Pavithra</t>
  </si>
  <si>
    <t>18331A0599</t>
  </si>
  <si>
    <t>Cybersecurity</t>
  </si>
  <si>
    <t>70 hrs</t>
  </si>
  <si>
    <t>Dr.Ravi Kiran Varma penmatsa</t>
  </si>
  <si>
    <t>https://drive.google.com/open?id=1pXQ52xlKblkbSofigaUXkxIeYb6x4PYn</t>
  </si>
  <si>
    <t>pavithramopada2001@gmail.com</t>
  </si>
  <si>
    <t xml:space="preserve">Manchukonda Gopala krishna </t>
  </si>
  <si>
    <t>19331A05A2</t>
  </si>
  <si>
    <t>https://drive.google.com/open?id=1yyjxs7slZUtmGPGTAvILaie_xjyJu5v0</t>
  </si>
  <si>
    <t>gkrishna6932@gmail.com</t>
  </si>
  <si>
    <t xml:space="preserve">Naguru Jyothsna Priya Chandrika </t>
  </si>
  <si>
    <t>18331A05A5</t>
  </si>
  <si>
    <t>https://drive.google.com/open?id=1G1RlYV30pCbXGPQFAePsPFOPnByNKUBj</t>
  </si>
  <si>
    <t>jyothsnanaguru@gmail.com</t>
  </si>
  <si>
    <t>Jaswanth Kumar Nanubala</t>
  </si>
  <si>
    <t>18331A05B0</t>
  </si>
  <si>
    <t xml:space="preserve">Nanubala Jaswanth Kumar </t>
  </si>
  <si>
    <t>DR. RAVI KUMAR KIRAN VARMA PEMMATSA</t>
  </si>
  <si>
    <t>https://drive.google.com/open?id=1iWb8zN9FhCMzxE4WZdSAZflQ-SsHEGZ3</t>
  </si>
  <si>
    <t>jaswanthsaisubhkar@gmail.com</t>
  </si>
  <si>
    <t>Pathivada Sai jahnavi</t>
  </si>
  <si>
    <t>18331A05B5</t>
  </si>
  <si>
    <t>CLA: programming essentials in C</t>
  </si>
  <si>
    <t>Subba Raju kV</t>
  </si>
  <si>
    <t>https://drive.google.com/open?id=1_837iaXdqKZSRBHMpo4hYm5uxdJYxCes</t>
  </si>
  <si>
    <t>jahnavipathivada123@gmail.com</t>
  </si>
  <si>
    <t>KANTUBHUKTA HEMANTH</t>
  </si>
  <si>
    <t>19331A0573</t>
  </si>
  <si>
    <t>https://drive.google.com/open?id=17iKZtZHoNF9lo8JjU7KDmXE4178ozFA8</t>
  </si>
  <si>
    <t>hemanthkantubhukta2232@gmail.com</t>
  </si>
  <si>
    <t>Varsha Mamidipaka</t>
  </si>
  <si>
    <t>18331A0592</t>
  </si>
  <si>
    <t>70hours</t>
  </si>
  <si>
    <t>https://drive.google.com/open?id=17S0nuZ621-AqdZ9vMxAoKdI3ofBUA95x</t>
  </si>
  <si>
    <t>bhuvanavarsha7701@gmail.com</t>
  </si>
  <si>
    <t>Nandella Pranavi Prathyusha</t>
  </si>
  <si>
    <t>18331A05A8</t>
  </si>
  <si>
    <t>https://drive.google.com/open?id=1vJQH7fGPhFeeAZJ54BPjtBO_OabI-2vI</t>
  </si>
  <si>
    <t>pranaviprathyusha1@gmail.com</t>
  </si>
  <si>
    <t>Naguru Jyothsna Priya Chandrika</t>
  </si>
  <si>
    <t>SQL quiz</t>
  </si>
  <si>
    <t xml:space="preserve">Vignan's institute of engineering </t>
  </si>
  <si>
    <t>Aruna kumari</t>
  </si>
  <si>
    <t>https://drive.google.com/open?id=1-90Ka40C2sh_JsPUKuWSPnoEThIkJSYD</t>
  </si>
  <si>
    <t xml:space="preserve">TARAKESWARA THATU NAIDU MADDALA </t>
  </si>
  <si>
    <t>19331A0597</t>
  </si>
  <si>
    <t>https://drive.google.com/open?id=1TPECwCKNhGQy2a6nSAQeDdhd6N0lrh9U</t>
  </si>
  <si>
    <t>maddalatharakesh@gmail.com</t>
  </si>
  <si>
    <t>Pathivada Sai Jahnavi</t>
  </si>
  <si>
    <t>30 hours</t>
  </si>
  <si>
    <t>DR. Ravi Kiran Varma Penmatsa</t>
  </si>
  <si>
    <t>https://drive.google.com/open?id=1wIkb9l78C23oE0wK1jzdByx3n-fv8k0S</t>
  </si>
  <si>
    <t>https://drive.google.com/open?id=1oHtKKhDC4KQnMG3E3JF_YFX-BuInEMDt</t>
  </si>
  <si>
    <t xml:space="preserve">INTERNET OF THINGS </t>
  </si>
  <si>
    <t xml:space="preserve">Kyrion technologies </t>
  </si>
  <si>
    <t>SUJATHA MEHTA</t>
  </si>
  <si>
    <t>https://drive.google.com/open?id=1i7HvRm7o_Fo5ru2AXb8mglLcWf9bU4VQ</t>
  </si>
  <si>
    <t>https://drive.google.com/open?id=14AuT_Gvb74eDAlwEuQ8_yb8X9RlK6cAF</t>
  </si>
  <si>
    <t>Kyrion technologies pvt.ltd</t>
  </si>
  <si>
    <t>https://drive.google.com/open?id=1KXxLf3kmQ7XkswAbYhV3eiJBIuHbXixm</t>
  </si>
  <si>
    <t>Nandella pranavi prathyusha</t>
  </si>
  <si>
    <t>https://drive.google.com/open?id=1F73gH2TnGuGRWSf3wNPieF-hlO86hBUO</t>
  </si>
  <si>
    <t xml:space="preserve">MAHESH KUCHETTI </t>
  </si>
  <si>
    <t>19331A0588</t>
  </si>
  <si>
    <t>https://drive.google.com/open?id=1gELbIpdDUVgmmrD4wFp7AgfsDpkZGuio</t>
  </si>
  <si>
    <t>maheshkuchetti01@gmail.com</t>
  </si>
  <si>
    <t xml:space="preserve">Kurella venkata surya sailesh </t>
  </si>
  <si>
    <t>19331A0593</t>
  </si>
  <si>
    <t>https://drive.google.com/open?id=1qID5BX52jnZtKx535FHOvcM-YdZpLWUB</t>
  </si>
  <si>
    <t>suryasailesh422@gmail.com</t>
  </si>
  <si>
    <t xml:space="preserve">SQL Quiz </t>
  </si>
  <si>
    <t>1 HOUR</t>
  </si>
  <si>
    <t>https://drive.google.com/open?id=1wGDKh6_IAgs70gC199Ruzn6O_l4R_sjR</t>
  </si>
  <si>
    <t>Veera pavan kumar Narla</t>
  </si>
  <si>
    <t>18331A05B1</t>
  </si>
  <si>
    <t>cybersecurity</t>
  </si>
  <si>
    <t>dr.ravi kiran varma penumatsa</t>
  </si>
  <si>
    <t>https://drive.google.com/open?id=1xHihBp9ffEgJqHIj-0yVXJ4us0-ljW7f</t>
  </si>
  <si>
    <t>narlaveerapavankumar@gmail.com</t>
  </si>
  <si>
    <t xml:space="preserve">First place in music competition </t>
  </si>
  <si>
    <t xml:space="preserve">Sri Adibhatla Foundation </t>
  </si>
  <si>
    <t>https://drive.google.com/open?id=1VqEA1AaA1YYsrUB7lhpw7VddimQkfcmN</t>
  </si>
  <si>
    <t>Vignan's institute of engineering for women</t>
  </si>
  <si>
    <t>B.Aruna kumari</t>
  </si>
  <si>
    <t>https://drive.google.com/open?id=1bQZN1sdfANiS5a7TIxmGbUcEMHCKl7ad</t>
  </si>
  <si>
    <t xml:space="preserve">NANUBALA JASWANTH KUMAR </t>
  </si>
  <si>
    <t xml:space="preserve">VIGNAN'S INSTITUTE OF ENGINEERING </t>
  </si>
  <si>
    <t xml:space="preserve">10 hours </t>
  </si>
  <si>
    <t xml:space="preserve">B. ARUNA KUMARI </t>
  </si>
  <si>
    <t>https://drive.google.com/open?id=1benE_3z7zTx6AB3LHanz1gZmijC1bplb</t>
  </si>
  <si>
    <t>Introduction to Html5</t>
  </si>
  <si>
    <t>https://drive.google.com/open?id=1zdKVzFpKrRvN7sqZM-u0JVTBml7nW9-l</t>
  </si>
  <si>
    <t>N.V.PAVAN KUMAR</t>
  </si>
  <si>
    <t>YOUTH FOR RURAL RECONSTRUCTION CAMPAIGN</t>
  </si>
  <si>
    <t>BODDAVALASA</t>
  </si>
  <si>
    <t>https://drive.google.com/open?id=1uk8fg4IYYCEf7-Gu0dZr-ENgBY6pXBXP</t>
  </si>
  <si>
    <t>https://drive.google.com/open?id=1Z921VLVGL4V-DzPO2qWrsy_sJnIhsHaG</t>
  </si>
  <si>
    <t xml:space="preserve">First prize in janapriya singing competition </t>
  </si>
  <si>
    <t xml:space="preserve">Rotary club - Vizianagaram </t>
  </si>
  <si>
    <t>https://drive.google.com/open?id=1UH4S_W_AVPs96zXmSoZ10StSHm20Vzhf</t>
  </si>
  <si>
    <t>Nalluri sai kiran</t>
  </si>
  <si>
    <t>19331A05B8</t>
  </si>
  <si>
    <t>https://drive.google.com/open?id=10l0klJaXRSSdkEThk-FQbIrJc2ryY74D</t>
  </si>
  <si>
    <t>nsaikiran2411@gmail.com</t>
  </si>
  <si>
    <t>https://drive.google.com/open?id=1IXNg6qLnKfWsK2iqSCIwl14UWLZf5Gng</t>
  </si>
  <si>
    <t>DR. Ravi KIran Varma Penmatsa</t>
  </si>
  <si>
    <t>https://drive.google.com/open?id=1s4rTgaYg372hFb6Ef0SbSzDyX97adY06</t>
  </si>
  <si>
    <t>VIGNAN INSTITUTE OF ENGINEERING FOR WOMEN</t>
  </si>
  <si>
    <t>ARUNA KUAMRI</t>
  </si>
  <si>
    <t>https://drive.google.com/open?id=1DJ9AuQ01JXB1hfVVa6krufEJTLEmmFqF</t>
  </si>
  <si>
    <t>VIGNAN'S Institute of engineering for women</t>
  </si>
  <si>
    <t>1 hour</t>
  </si>
  <si>
    <t>Aruna Kumari mam</t>
  </si>
  <si>
    <t>https://drive.google.com/open?id=1B9ct4MPV1Vcd-RGJ3roeiFas5NsBB8jn</t>
  </si>
  <si>
    <t>varsha mamidipaka</t>
  </si>
  <si>
    <t>Vignan  institute of engineering for women</t>
  </si>
  <si>
    <t>1hour</t>
  </si>
  <si>
    <t>B.Aruna Kumari</t>
  </si>
  <si>
    <t>https://drive.google.com/open?id=1twtW4Nmwd1QXFtq_YqRwnnhHTCc_X3wn</t>
  </si>
  <si>
    <t>National property officer</t>
  </si>
  <si>
    <t>CGPDTM</t>
  </si>
  <si>
    <t>https://drive.google.com/open?id=1MDrSYOioEUHeQwB-6smO-gSyxJqD4CJI</t>
  </si>
  <si>
    <t>Intellectual property office,india</t>
  </si>
  <si>
    <t>Dr.ch.kalyan chakravarti</t>
  </si>
  <si>
    <t>https://drive.google.com/open?id=1cD-nvUkKghHS_22NQ1cJ-jlCn5Gm2Flt</t>
  </si>
  <si>
    <t>N.V. PAVAN KUMAR</t>
  </si>
  <si>
    <t>IP AWARENESS/TRAINING PROPERTY UNDER</t>
  </si>
  <si>
    <t>DR.CH.KALYAN CHAKRAVARTHY</t>
  </si>
  <si>
    <t>https://drive.google.com/open?id=1P39TxcaJYNVH5sxUyMPon24uWCHmo6Qe</t>
  </si>
  <si>
    <t>Varsha mamidipaka</t>
  </si>
  <si>
    <t>IP awarness/training program</t>
  </si>
  <si>
    <t>Intellrctual property office</t>
  </si>
  <si>
    <t>Dr. kalyan chakravarthy</t>
  </si>
  <si>
    <t>https://drive.google.com/open?id=1CXij0NCjjlHixbFN2sf5gEXDE3wvUNSd</t>
  </si>
  <si>
    <t>IP awareness/Training program</t>
  </si>
  <si>
    <t>C Kalyan chakravarthy</t>
  </si>
  <si>
    <t>https://drive.google.com/open?id=1pUeLcOiE1mkVTh4yivLyyXGlkX3NswyC</t>
  </si>
  <si>
    <t>Introduction to Cloud Identity</t>
  </si>
  <si>
    <t>https://drive.google.com/open?id=1HE_sU7ihsjFY9Zn7HSqOddJpEYLzlZUs</t>
  </si>
  <si>
    <t>KILLI SARATHKUMAR</t>
  </si>
  <si>
    <t>20331A0584</t>
  </si>
  <si>
    <t>https://drive.google.com/open?id=19V65fDAsmzYsKtW_7ul6jlT-GZPbdWXF</t>
  </si>
  <si>
    <t>sarathramkilli2003@gmail.com</t>
  </si>
  <si>
    <t>https://drive.google.com/open?id=1gXIqBnIb77E5lKLFiRe5c4MzKWMG64dB</t>
  </si>
  <si>
    <t xml:space="preserve">INDRANI KOTTEDA </t>
  </si>
  <si>
    <t>19331A0586</t>
  </si>
  <si>
    <t>https://drive.google.com/open?id=1ICG5ETUUMpFPZmUS2biNZdsjGYFpT4m6</t>
  </si>
  <si>
    <t>indranikotteda@gmail.com</t>
  </si>
  <si>
    <t>https://drive.google.com/open?id=1S1-BYvEPshWpIzn5DuM-EWLn8stU29xW</t>
  </si>
  <si>
    <t xml:space="preserve">Mora Sruthi </t>
  </si>
  <si>
    <t>20331A05B4</t>
  </si>
  <si>
    <t>https://drive.google.com/open?id=1_EleP57M2daRqNWwka5lH_XUVG8M_4Sl</t>
  </si>
  <si>
    <t>sruthimora5@gmail.com</t>
  </si>
  <si>
    <t>https://drive.google.com/open?id=1q7SXNXWpRzlvsNkvYUhAmGQcta1nQIeb</t>
  </si>
  <si>
    <t xml:space="preserve">Nadimpalli Lakshmi Jyothsna </t>
  </si>
  <si>
    <t xml:space="preserve">20331A05C1 </t>
  </si>
  <si>
    <t>https://drive.google.com/open?id=1-aRoU-1z9hogdqcWkPsTaYGqXpYYH-WD</t>
  </si>
  <si>
    <t>nljyothsna828@gmail.com</t>
  </si>
  <si>
    <t>https://drive.google.com/open?id=1-obNgY-hXWC3p2U3pOjG1UNPfhYv-yOg</t>
  </si>
  <si>
    <t>madeshsandy75204@gmail.com</t>
  </si>
  <si>
    <t xml:space="preserve">K. V. Madesh </t>
  </si>
  <si>
    <t>18331A0581</t>
  </si>
  <si>
    <t>Youth for rural reconstruction campaign</t>
  </si>
  <si>
    <t>Boddavalasa</t>
  </si>
  <si>
    <t>https://drive.google.com/open?id=1tCFSDUGZcL96PWWWsBS3guVCHlFkThUP</t>
  </si>
  <si>
    <t xml:space="preserve">Vignan's institute of engineering for women </t>
  </si>
  <si>
    <t xml:space="preserve">1 hour </t>
  </si>
  <si>
    <t>https://drive.google.com/open?id=1djJ7yt9jsVHRgtdQVcYef5dfrx7mU5yA</t>
  </si>
  <si>
    <t>Sai Gayathri Latchipatula</t>
  </si>
  <si>
    <t>18331A0587</t>
  </si>
  <si>
    <t>Android application development</t>
  </si>
  <si>
    <t>Apssdc</t>
  </si>
  <si>
    <t>Nageswar Rao</t>
  </si>
  <si>
    <t>https://drive.google.com/open?id=1ELPYEE3rpdtKRQRpwVSO-bZmIYuc3FF8</t>
  </si>
  <si>
    <t>latchipatulasaigayathri@gmail.com</t>
  </si>
  <si>
    <t>Advancded Android Application development</t>
  </si>
  <si>
    <t xml:space="preserve">Appsdc </t>
  </si>
  <si>
    <t>nageswara rao</t>
  </si>
  <si>
    <t>https://drive.google.com/open?id=1CHLGWB1XlhaqLC5Og-QimOht_H5MHELK</t>
  </si>
  <si>
    <t>https://drive.google.com/open?id=1FxVftOJQbMTy39xSDZVUrPs4_qt5jlpM</t>
  </si>
  <si>
    <t>Cyber Security essentials</t>
  </si>
  <si>
    <t>no</t>
  </si>
  <si>
    <t>https://drive.google.com/open?id=1RVHBo2QHs2bB2b0WTEiVrErGkm_Wjn46</t>
  </si>
  <si>
    <t>Sai gayathri Latchipatula</t>
  </si>
  <si>
    <t>CCNAv7 introduction to networks</t>
  </si>
  <si>
    <t xml:space="preserve">ravi kiran varma </t>
  </si>
  <si>
    <t>https://drive.google.com/open?id=14afhFOkdnB5rEsja8iGygpazUdl9FQWN</t>
  </si>
  <si>
    <t>CLA Programming essentials in c</t>
  </si>
  <si>
    <t>https://drive.google.com/open?id=1HSQRDFFKCAxJ34V9aVB02tY8b_mh5Dh9</t>
  </si>
  <si>
    <t>sai gayathri Latchipatula</t>
  </si>
  <si>
    <t>Subba Raju KV</t>
  </si>
  <si>
    <t>https://drive.google.com/open?id=1CTAggaGmWTa_Z_oX62ADl7cNoIMHqgFQ</t>
  </si>
  <si>
    <t>Python For Everybody(Specialization)</t>
  </si>
  <si>
    <t>University of Michigan(By Coursera)</t>
  </si>
  <si>
    <t>https://drive.google.com/open?id=1TIC7rZHNZU6MD-QHqtoh3i_iyqz9Hx28</t>
  </si>
  <si>
    <t>18331a05a7@mvgrce.edu.in</t>
  </si>
  <si>
    <t>Google IT Automation with Python Specialization</t>
  </si>
  <si>
    <t>29 Weeks</t>
  </si>
  <si>
    <t>https://drive.google.com/open?id=1-LFn7PcmXIQWpMV6LbdeEcsANKveXTo9</t>
  </si>
  <si>
    <t>IBM AI Engineering</t>
  </si>
  <si>
    <t>https://drive.google.com/open?id=16awzWsVSW6x-uXQz_gNSXT0pJp1ebLvo</t>
  </si>
  <si>
    <t>Deep Learning Specialization</t>
  </si>
  <si>
    <t>17 Weeks</t>
  </si>
  <si>
    <t>https://drive.google.com/open?id=1F0bEQ0NIRcGA9hAz_lnJMgqUTieVjbys</t>
  </si>
  <si>
    <t>https://drive.google.com/open?id=1RmRH9d-znfWB9L3KEO-EuDEVRAiudBDE</t>
  </si>
  <si>
    <t>Machine Learning Specialization</t>
  </si>
  <si>
    <t>25 Weeks</t>
  </si>
  <si>
    <t>https://drive.google.com/open?id=1NlwexNlI5-hIUf2y7wGIhsAvMt8BJJDt</t>
  </si>
  <si>
    <t>Python for Everybody Specialization</t>
  </si>
  <si>
    <t>32 Weeks</t>
  </si>
  <si>
    <t>https://drive.google.com/open?id=1aWdn87-2tElC3hWhZB0tvAKUMOeNeY7x</t>
  </si>
  <si>
    <t>web development with PHP</t>
  </si>
  <si>
    <t>GUVI</t>
  </si>
  <si>
    <t>https://drive.google.com/open?id=1TtXiDIB95NPCallip9Obht9tCrK4fGSF</t>
  </si>
  <si>
    <t>web design for everybody specialization</t>
  </si>
  <si>
    <t>2.5 months</t>
  </si>
  <si>
    <t>https://drive.google.com/open?id=1Dhp6qjthgFEOThTQDTfWho_H-WWT44_b</t>
  </si>
  <si>
    <t>python</t>
  </si>
  <si>
    <t>https://drive.google.com/open?id=1fi0Z1H19IdAX4JGRgcJSA1UhyaJIif94</t>
  </si>
  <si>
    <t>Applied Data Science with Python(Specialization)</t>
  </si>
  <si>
    <t>https://drive.google.com/open?id=1cAMFTLKCHjWkBV2I-GunXg0YeOIJ-00c</t>
  </si>
  <si>
    <t>Introduction to Data Engineering</t>
  </si>
  <si>
    <t>IBM (Coursera)</t>
  </si>
  <si>
    <t>https://drive.google.com/open?id=1i71iub01sPYIBOcM1Koogh6BbkGyxtuM</t>
  </si>
  <si>
    <t>Improve Your English Communication Skills(Specialization)</t>
  </si>
  <si>
    <t>Georgia Tech(Coursera)</t>
  </si>
  <si>
    <t>https://drive.google.com/open?id=1OeXhP9BX7EjRXA4AybYm8u_PnjA2vZD_</t>
  </si>
  <si>
    <t>Communication Strategies for a Virtual Age</t>
  </si>
  <si>
    <t>university of toronto</t>
  </si>
  <si>
    <t>https://drive.google.com/open?id=1xrvdPblNZdieK7Tl45AKSy8hEruk14kh</t>
  </si>
  <si>
    <t>IBM Data Science(Specialization)</t>
  </si>
  <si>
    <t>IBM(Coursera)</t>
  </si>
  <si>
    <t>https://drive.google.com/open?id=1fKww0SyugKLD3tmwY4Wlsn4glHuSBXmG</t>
  </si>
  <si>
    <t>Introduction to Data Science(Specialization)</t>
  </si>
  <si>
    <t>https://drive.google.com/open?id=1WhM43UDaOxHQY-7GS8YGWIJ5hm16RGGe</t>
  </si>
  <si>
    <t>Deep Learning(Specialization)</t>
  </si>
  <si>
    <t>DeepLearning.AI(Coursera)</t>
  </si>
  <si>
    <t>https://drive.google.com/open?id=1a0W0kLYN6X4c54EQ7RRsH55ywL6cAV93</t>
  </si>
  <si>
    <t>DeepLearning.AI TensorFlow Developer(Specialization)</t>
  </si>
  <si>
    <t>https://drive.google.com/open?id=1h2MA5r0Ck1hOcDIAJNWn-uQu9n7mREza</t>
  </si>
  <si>
    <t>https://drive.google.com/open?id=1ODyqIWUkd6i6dH0w4AFh0zSaFqiFfCxW</t>
  </si>
  <si>
    <t>https://drive.google.com/open?id=1nL8AdyHgv4YausgtW3ZE5zV2xptm94I7</t>
  </si>
  <si>
    <t>https://drive.google.com/open?id=1lLxtMRP2ELaLy5b41reH8OKSLYl15arf</t>
  </si>
  <si>
    <t>https://drive.google.com/open?id=1Nkz5PR1YPhs_TLj1JDtDK297yuCOyOj9</t>
  </si>
  <si>
    <t>15 Hours</t>
  </si>
  <si>
    <t>https://drive.google.com/open?id=1IChILDybsyCgmiy0xTgwZRQRNyD1L1iM</t>
  </si>
  <si>
    <t>https://drive.google.com/open?id=1q2e-Y4xZqdTIYqEXbAuYj3OY0mnStQt2</t>
  </si>
  <si>
    <t>Data structures and Algorithms Specialization</t>
  </si>
  <si>
    <t>https://drive.google.com/open?id=1TLVMJLG3Vte-wTocvZp7D-Nq3kFNHmd-</t>
  </si>
  <si>
    <t>https://drive.google.com/open?id=1iT3aQy7f8kCQcjnxTkXNfUB3IGNLj-sQ</t>
  </si>
  <si>
    <t>Mathematics for Machine Learning Specialization</t>
  </si>
  <si>
    <t>https://drive.google.com/open?id=1MEbN5MWCX2wNv3XIVa6p968qPB2__6Wl</t>
  </si>
  <si>
    <t>AWS Fundamentals Specialization</t>
  </si>
  <si>
    <t>https://drive.google.com/open?id=1wockfBLR9-p_ifH9J_TQPOIruR5HqX3x</t>
  </si>
  <si>
    <t>Java for Android</t>
  </si>
  <si>
    <t>Vanderbilt University</t>
  </si>
  <si>
    <t>https://drive.google.com/open?id=16lL8xJ7ia6XBEqe-syiOCaeqpyReCcQ_</t>
  </si>
  <si>
    <t>Chitikana Spandana</t>
  </si>
  <si>
    <t>Programming for everybody(Getting started with Python)</t>
  </si>
  <si>
    <t>https://drive.google.com/open?id=1ydiGn9-TTGx7T-Txl569YI_sFP3n9J_C</t>
  </si>
  <si>
    <t>https://drive.google.com/open?id=1Rhhs-qPEZEVOUicbNK5xhYO7WNkLgKRA</t>
  </si>
  <si>
    <t>Python data structures</t>
  </si>
  <si>
    <t>https://drive.google.com/open?id=1rq61bT7Bx7y7Xz401NzPLnHS4802-wa8</t>
  </si>
  <si>
    <t>Successful presentation</t>
  </si>
  <si>
    <t>1week</t>
  </si>
  <si>
    <t>https://drive.google.com/open?id=1gH1vW6Sntwpf3ODV0cAlRreSK7Udgp9c</t>
  </si>
  <si>
    <t>https://drive.google.com/open?id=1DUtRjF0FYTBKwAhrHP_jsOTf3dXMYtNp</t>
  </si>
  <si>
    <t>https://drive.google.com/open?id=19I4jWirCiejN_NsQQxeD0QGuWIl4a_6d</t>
  </si>
  <si>
    <t>Applied Data Science</t>
  </si>
  <si>
    <t>https://drive.google.com/open?id=1bsMiDlZDRBWq4-h5hseMgfcMaG09BRWx</t>
  </si>
  <si>
    <t>https://drive.google.com/open?id=1vRieVmaby2W5XuKahptQb6fJno4nR5jr</t>
  </si>
  <si>
    <t>Introduction To HTML</t>
  </si>
  <si>
    <t>2 weeks</t>
  </si>
  <si>
    <t>https://drive.google.com/open?id=1phbmltLQEK2mR3kTPLZlKXtmJkqUjbKv</t>
  </si>
  <si>
    <t>Testing and Debugging Python</t>
  </si>
  <si>
    <t>https://drive.google.com/open?id=100PDgqWEA8HbqwvaYupWvx8R42Of-o-H</t>
  </si>
  <si>
    <t>Introduction to Cloud Computing</t>
  </si>
  <si>
    <t>https://drive.google.com/open?id=1wEJyme1v4uefj-4pjZ-EKIdLtaioyXwa</t>
  </si>
  <si>
    <t>https://drive.google.com/open?id=1huanhUtI8JvM0vhCehWdEas9XixByueS</t>
  </si>
  <si>
    <t>Machine Learning Foundations: A Case Study Approach</t>
  </si>
  <si>
    <t>https://drive.google.com/open?id=1DyiaPLijpbCG-XVC9VwD49bqqZ2URv9k</t>
  </si>
  <si>
    <t>What is Data Science?</t>
  </si>
  <si>
    <t>https://drive.google.com/open?id=1TUyODFuA8SDUk4pmlJD0pYlai6s0PrGx</t>
  </si>
  <si>
    <t>https://drive.google.com/open?id=1OzI_clNZODyIGXGq0gPExTdi8hKCS5BN</t>
  </si>
  <si>
    <t>Programming For Everybody (Getting Started With Python)</t>
  </si>
  <si>
    <t>https://drive.google.com/open?id=1kSiwWkQ34BKq0Ei_9oEe4MLdRbI53C-B</t>
  </si>
  <si>
    <t>Html5- From Basics to Advanced level(2021)</t>
  </si>
  <si>
    <t>3.5 hrs</t>
  </si>
  <si>
    <t>https://drive.google.com/open?id=1Ogss-ENczLrCs4d5vr2tJpBAjtiOg7jg</t>
  </si>
  <si>
    <t>Html and css certification course for beginners</t>
  </si>
  <si>
    <t>4 hours</t>
  </si>
  <si>
    <t>https://drive.google.com/open?id=1EDcPrN2JzsFd4R7QWV2jFMn4R53gDygq</t>
  </si>
  <si>
    <t>A Crash Course in Data Science</t>
  </si>
  <si>
    <t>https://drive.google.com/open?id=1P0l-zn9L90WIfJqqqW8e8-0Dp_7Vc2pg</t>
  </si>
  <si>
    <t>https://drive.google.com/open?id=1ZPfIrmV7dCUeaFjoT2l1nJVDvHUuN3Dx</t>
  </si>
  <si>
    <t>Building Web Applications in PHP</t>
  </si>
  <si>
    <t>https://drive.google.com/open?id=1UQv-1XseNPEtsjbnCm_DGGa2REEN7v9Q</t>
  </si>
  <si>
    <t>Kusuma Patnaik Murahar</t>
  </si>
  <si>
    <t>Business English: Management and Leadership</t>
  </si>
  <si>
    <t>https://drive.google.com/open?id=1dlD-oI48yw-XP-Dlyc2dEHZuFm7ytl5h</t>
  </si>
  <si>
    <t>Fundamentals of Reinforcement Learning</t>
  </si>
  <si>
    <t>https://drive.google.com/open?id=1sYnksARkbBRH36DH4LM5fqEX289sdZyx</t>
  </si>
  <si>
    <t>https://drive.google.com/open?id=1FjXr1Ng9TffXmB4XF1qXNJ2ZIcpbIWnl</t>
  </si>
  <si>
    <t>Introduction to Supply Chain Finance &amp; Blockchain Technology</t>
  </si>
  <si>
    <t>1 months</t>
  </si>
  <si>
    <t>https://drive.google.com/open?id=1D_MqyYU6mykNhb6EVNBTre0c9nh9ypiJ</t>
  </si>
  <si>
    <t>Introduction To Swift Programming</t>
  </si>
  <si>
    <t>https://drive.google.com/open?id=1i8sDJwLtpKbK6AFs-xf4UsDOFGjdbMWl</t>
  </si>
  <si>
    <t>Introduction to the Internet of Things and Embedded Systems</t>
  </si>
  <si>
    <t>https://drive.google.com/open?id=1y1fCL2YVjhAfki385uViUN7wTPMWnbzv</t>
  </si>
  <si>
    <t>https://drive.google.com/open?id=1X1i0BWIEiZUQ6fk01-qqsazvTIQhfUSp</t>
  </si>
  <si>
    <t>https://drive.google.com/open?id=1cocAhpT7zGXy2a1UrnMnHWoY1uvn3s-E</t>
  </si>
  <si>
    <t>Using Databases with Python</t>
  </si>
  <si>
    <t>5 weeks</t>
  </si>
  <si>
    <t>https://drive.google.com/open?id=1kn2t1IVtdYwTvsCKKJrPPP0afcMDfMAt</t>
  </si>
  <si>
    <t>Saravani Sreepada</t>
  </si>
  <si>
    <t>University of Michagan</t>
  </si>
  <si>
    <t>https://drive.google.com/open?id=1BMaENX90Y4WR0qcOD1aitqdZuLUI3Y_e</t>
  </si>
  <si>
    <t>Using Python to Access Web Data</t>
  </si>
  <si>
    <t>6 weeks of study</t>
  </si>
  <si>
    <t>https://drive.google.com/open?id=1gDbmkgWMEq04Q5zhILe0mPyQGDKe69Rx</t>
  </si>
  <si>
    <t>AI for Everyone</t>
  </si>
  <si>
    <t>DeepLearning.AI</t>
  </si>
  <si>
    <t>https://drive.google.com/open?id=1MqwlNBjN4GdPpbDSL5mQ0tolJ7I2sXUI</t>
  </si>
  <si>
    <t>https://drive.google.com/open?id=175hZfT5mALbCnDjklXXHfa7xUoGcLVfa</t>
  </si>
  <si>
    <t>Matlab OnRamp</t>
  </si>
  <si>
    <t>https://drive.google.com/open?id=195bDlEcFeF8Dkc1EwuP4HOHcdR4wl_h6</t>
  </si>
  <si>
    <t>AWS Cloud Computing</t>
  </si>
  <si>
    <t>https://drive.google.com/open?id=1AlUvaHkYa-_TmleSQ5sZqJdmTYWxcgK2</t>
  </si>
  <si>
    <t>Botcha Sai Siddhardha</t>
  </si>
  <si>
    <t>18331A0520</t>
  </si>
  <si>
    <t>https://drive.google.com/open?id=1tl3mhFHOZyf6mgjcf4xPv-7-oHQyLmz5</t>
  </si>
  <si>
    <t>MATHWORKS</t>
  </si>
  <si>
    <t>https://drive.google.com/open?id=1cebBPJw2Cag9Y_PrtgN1o5PEGewL-_M-</t>
  </si>
  <si>
    <t>Learn C++ Course</t>
  </si>
  <si>
    <t>CODECADEMY</t>
  </si>
  <si>
    <t>https://drive.google.com/open?id=1-PetfB6Tp194MjK0e-W1uHlAXhoGA3di</t>
  </si>
  <si>
    <t>https://drive.google.com/open?id=1yW-xpepQVwiCMkNuqsgGvt74qKTyQXq_</t>
  </si>
  <si>
    <t>https://drive.google.com/open?id=18mtx8Qh8QHls3niSfI1jM6LKdhvuuQeL</t>
  </si>
  <si>
    <t>https://drive.google.com/open?id=1msBWVmdG51966EXk0B4Mv4FHLbIxwHRY</t>
  </si>
  <si>
    <t>DEEP LEARNING</t>
  </si>
  <si>
    <t>https://drive.google.com/open?id=112veMJq0xzh0LinE6l_JRL7s4NSz_v9u</t>
  </si>
  <si>
    <t>IBM-DATA SCIENCE</t>
  </si>
  <si>
    <t>https://drive.google.com/open?id=1GkJLAiWs5OCkGJFarEqQDBiY9ZkOQXz3</t>
  </si>
  <si>
    <t>INTRODUCTION OF HTML5</t>
  </si>
  <si>
    <t>https://drive.google.com/open?id=1HbBOBFjpWwJUWbWeFISPsLGnbI5b-Rk6</t>
  </si>
  <si>
    <t>Introduction to Programming with MATLAB</t>
  </si>
  <si>
    <t>9 weeks</t>
  </si>
  <si>
    <t>https://drive.google.com/open?id=192CUUib81oebiH3Uwg1EQpKZbzFPu8ch</t>
  </si>
  <si>
    <t>Coursera | DeepLearning.AI</t>
  </si>
  <si>
    <t>https://drive.google.com/open?id=1K2pP69l4IZpEayf9v7vG7Bc3FFkps-Bh</t>
  </si>
  <si>
    <t>Sharpened Visions: A Poetry Workshop</t>
  </si>
  <si>
    <t>Coursera | California Institute of the Arts</t>
  </si>
  <si>
    <t>https://drive.google.com/open?id=1wePIJtkTPBZxuduivAe0mSpK9IJ6_eEh</t>
  </si>
  <si>
    <t>Coursera | University of Michigan</t>
  </si>
  <si>
    <t>https://drive.google.com/open?id=1OMYU9aO2e5oGVHpE80UbbKtuVvO-SPuR</t>
  </si>
  <si>
    <t>https://drive.google.com/open?id=1Siem2AsY6JCok9s2uwpBm_bmhUkH5mib</t>
  </si>
  <si>
    <t>https://drive.google.com/open?id=14dCAhb9W-sYw6z5Dnv2tUAUHwKPQNhfT</t>
  </si>
  <si>
    <t>https://drive.google.com/open?id=1gvIeJBmIWboglyfy7muQNi943qgd3l6N</t>
  </si>
  <si>
    <t>https://drive.google.com/open?id=1l7KFUu-g2M5J8Qrkjw4GQKVPhWKr5RYW</t>
  </si>
  <si>
    <t>Responsive Web Design</t>
  </si>
  <si>
    <t>Coursera | University of London</t>
  </si>
  <si>
    <t>https://drive.google.com/open?id=1z8tJnoJolWBpv8YcnfnaZzeDb5Xdm8zZ</t>
  </si>
  <si>
    <t>Responsive Website Basics: Code with HTML, CSS, and JavaScript</t>
  </si>
  <si>
    <t>https://drive.google.com/open?id=1uMYoubfB8v7-pspQFMkVvPtH4JmIEAP6</t>
  </si>
  <si>
    <t>Coursera | IBM</t>
  </si>
  <si>
    <t>https://drive.google.com/open?id=1-F0i1lHRs4e9kzsaOJlVkCKSC8lyLuhr</t>
  </si>
  <si>
    <t>Tools for Data Science</t>
  </si>
  <si>
    <t>https://drive.google.com/open?id=1qZo9Dc2rM5HaH96_wJI3ejAwSphAT30F</t>
  </si>
  <si>
    <t>Basics of C Programming for Beginners</t>
  </si>
  <si>
    <t>https://drive.google.com/open?id=1MTeM3Sd0EsoYG10fpWvr0ewCGWgFZwd9</t>
  </si>
  <si>
    <t>https://drive.google.com/open?id=1NziKGpNoGVQBJ--vVPZgARNfKMK01KI1</t>
  </si>
  <si>
    <t>https://drive.google.com/open?id=17Xyl8xQNFxBtNZKVP87TJtmMU77hgaS-</t>
  </si>
  <si>
    <t>mano.benesetti@gmail.comn</t>
  </si>
  <si>
    <t>iamsiddhu007@gmail.com</t>
  </si>
  <si>
    <t>Major Indexing Information:</t>
  </si>
  <si>
    <t>Impact Factor: Yes or No</t>
  </si>
  <si>
    <t>If Yes what is the impact factor</t>
  </si>
  <si>
    <t>What is the source of impact factor: (Example for SCI/SCIE, the source is Clarivate Analytics.
 For Scopus, the source is SJR</t>
  </si>
  <si>
    <t>Author position (1, 2, 3, 4, &gt;4)</t>
  </si>
  <si>
    <t>Is college name appear in the paper?</t>
  </si>
  <si>
    <t xml:space="preserve">Conference Name </t>
  </si>
  <si>
    <t>Scopus Indexed or Not</t>
  </si>
  <si>
    <t>How many authors</t>
  </si>
  <si>
    <t>Author Position (1, 2, 3, 4, &gt;4)</t>
  </si>
  <si>
    <t>Any financial support received from college or not</t>
  </si>
  <si>
    <t>Attach copy of application and sanction</t>
  </si>
  <si>
    <t>Stipend payed by the company to student</t>
  </si>
  <si>
    <t>Platform or Organization from whom certificate is issued</t>
  </si>
  <si>
    <t>Seminar/Conference/Webinar/Workshop</t>
  </si>
  <si>
    <t>How many days</t>
  </si>
  <si>
    <t>National or International</t>
  </si>
  <si>
    <t>Event is free to participate or paid</t>
  </si>
  <si>
    <t>If paid: Amount sanctioned by college/paid by the student</t>
  </si>
  <si>
    <t>Offered by</t>
  </si>
  <si>
    <t>Attach Proof: Registration email, Certificate or Score card</t>
  </si>
  <si>
    <t>Acheivement</t>
  </si>
  <si>
    <t>Issuing Authority (Institure name)</t>
  </si>
  <si>
    <t>Attach proof: An email from the student or scanned copy of the admission</t>
  </si>
  <si>
    <t>S1 Student Journal Pub</t>
  </si>
  <si>
    <t>S2 Student Conference Publicati</t>
  </si>
  <si>
    <t>S3 Student Internships</t>
  </si>
  <si>
    <t>S4 Student Certifications</t>
  </si>
  <si>
    <t>S5 Student WorkshopsConf attend</t>
  </si>
  <si>
    <t>S6 Student NPTEL</t>
  </si>
  <si>
    <t>S7 Student Workshops Organized</t>
  </si>
  <si>
    <t>S8 Student Events Organized</t>
  </si>
  <si>
    <t>S9 Student Guest Lectures Organ</t>
  </si>
  <si>
    <t>S10 Student Prof. Body</t>
  </si>
  <si>
    <t>S11 Student Awards</t>
  </si>
  <si>
    <t>S12 Student capabilities enhanc</t>
  </si>
  <si>
    <t>S13 Students Higher Edu.</t>
  </si>
  <si>
    <t>S14 Students Competitive Exams</t>
  </si>
  <si>
    <t>S15 Students Industry Visit</t>
  </si>
  <si>
    <t>S16 Students Social Service Pro</t>
  </si>
  <si>
    <t>S17 Students Leadership &amp; Volun</t>
  </si>
  <si>
    <t>S18 Students Placements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</si>
</sst>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\ h:mm:ss"/>
    <numFmt numFmtId="165" formatCode="m/d/yyyy"/>
  </numFmts>
  <fonts count="29" x14ac:knownFonts="1">
    <font>
      <sz val="10"/>
      <color rgb="FF000000"/>
      <name val="Arial"/>
      <scheme val="minor"/>
    </font>
    <font>
      <b/>
      <sz val="14"/>
      <color theme="0"/>
      <name val="Times New Roman"/>
    </font>
    <font>
      <sz val="10"/>
      <name val="Arial"/>
    </font>
    <font>
      <sz val="10"/>
      <color theme="1"/>
      <name val="Arial"/>
      <scheme val="minor"/>
    </font>
    <font>
      <b/>
      <sz val="10"/>
      <color rgb="FFFFFFFF"/>
      <name val="Times New Roman"/>
    </font>
    <font>
      <b/>
      <sz val="10"/>
      <color theme="1"/>
      <name val="Times New Roman"/>
    </font>
    <font>
      <b/>
      <sz val="10"/>
      <color rgb="FF000000"/>
      <name val="Times New Roman"/>
    </font>
    <font>
      <sz val="11"/>
      <color rgb="FF000000"/>
      <name val="Inconsolata"/>
    </font>
    <font>
      <b/>
      <sz val="10"/>
      <color theme="1"/>
      <name val="Arial"/>
      <scheme val="minor"/>
    </font>
    <font>
      <b/>
      <sz val="10"/>
      <color rgb="FFFFFFFF"/>
      <name val="Arial"/>
      <scheme val="minor"/>
    </font>
    <font>
      <b/>
      <u/>
      <sz val="10"/>
      <color rgb="FF0000FF"/>
      <name val="Arial"/>
    </font>
    <font>
      <b/>
      <u/>
      <sz val="10"/>
      <color rgb="FF0000FF"/>
      <name val="Times New Roman"/>
    </font>
    <font>
      <b/>
      <sz val="10"/>
      <color theme="1"/>
      <name val="Times New Roman"/>
    </font>
    <font>
      <b/>
      <u/>
      <sz val="10"/>
      <color rgb="FF0000FF"/>
      <name val="Times New Roman"/>
    </font>
    <font>
      <u/>
      <sz val="10"/>
      <color rgb="FF0000FF"/>
      <name val="Arial"/>
    </font>
    <font>
      <b/>
      <u/>
      <sz val="10"/>
      <color rgb="FF0000FF"/>
      <name val="Times New Roman"/>
    </font>
    <font>
      <b/>
      <sz val="10"/>
      <color theme="1"/>
      <name val="Arial"/>
    </font>
    <font>
      <b/>
      <u/>
      <sz val="10"/>
      <color rgb="FF0000FF"/>
      <name val="Arial"/>
    </font>
    <font>
      <b/>
      <sz val="12"/>
      <color rgb="FFFFFFFF"/>
      <name val="Calibri"/>
    </font>
    <font>
      <b/>
      <sz val="12"/>
      <color rgb="FFFFFFFF"/>
      <name val="Arial"/>
    </font>
    <font>
      <b/>
      <u/>
      <sz val="10"/>
      <color rgb="FF0000FF"/>
      <name val="Arial"/>
    </font>
    <font>
      <b/>
      <u/>
      <sz val="10"/>
      <color rgb="FF0000FF"/>
      <name val="Arial"/>
    </font>
    <font>
      <b/>
      <u/>
      <sz val="10"/>
      <color rgb="FF0000FF"/>
      <name val="Arial"/>
    </font>
    <font>
      <b/>
      <u/>
      <sz val="10"/>
      <color rgb="FF0000FF"/>
      <name val="Arial"/>
    </font>
    <font>
      <b/>
      <sz val="11"/>
      <color rgb="FFFFFFFF"/>
      <name val="Calibri"/>
    </font>
    <font>
      <b/>
      <u/>
      <sz val="10"/>
      <color rgb="FF0000FF"/>
      <name val="Times New Roman"/>
    </font>
    <font>
      <b/>
      <u/>
      <sz val="10"/>
      <color rgb="FF0000FF"/>
      <name val="Arial"/>
    </font>
    <font>
      <b/>
      <sz val="10"/>
      <color rgb="FFFFFFFF"/>
      <name val="Arial"/>
    </font>
    <font>
      <b/>
      <sz val="10"/>
      <color theme="0"/>
      <name val="Arial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000000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</fills>
  <borders count="7">
    <border>
      <left/>
      <right/>
      <top/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4">
    <xf numFmtId="0" fontId="0" fillId="0" borderId="0" xfId="0" applyFont="1" applyAlignment="1"/>
    <xf numFmtId="0" fontId="3" fillId="0" borderId="0" xfId="0" applyFont="1" applyAlignment="1">
      <alignment vertical="center"/>
    </xf>
    <xf numFmtId="0" fontId="4" fillId="2" borderId="4" xfId="0" applyFont="1" applyFill="1" applyBorder="1" applyAlignment="1">
      <alignment vertical="center"/>
    </xf>
    <xf numFmtId="0" fontId="4" fillId="2" borderId="4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vertical="center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0" fontId="8" fillId="0" borderId="0" xfId="0" applyFont="1" applyAlignment="1">
      <alignment vertical="center"/>
    </xf>
    <xf numFmtId="0" fontId="6" fillId="4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4" fillId="3" borderId="4" xfId="0" applyFont="1" applyFill="1" applyBorder="1" applyAlignment="1">
      <alignment horizontal="left" vertical="center"/>
    </xf>
    <xf numFmtId="0" fontId="4" fillId="3" borderId="4" xfId="0" applyFont="1" applyFill="1" applyBorder="1" applyAlignment="1">
      <alignment horizontal="left" vertical="center"/>
    </xf>
    <xf numFmtId="0" fontId="9" fillId="3" borderId="4" xfId="0" applyFont="1" applyFill="1" applyBorder="1" applyAlignment="1">
      <alignment horizontal="center" vertical="center"/>
    </xf>
    <xf numFmtId="0" fontId="9" fillId="3" borderId="4" xfId="0" applyFont="1" applyFill="1" applyBorder="1" applyAlignment="1">
      <alignment horizontal="center" vertical="center"/>
    </xf>
    <xf numFmtId="164" fontId="5" fillId="0" borderId="0" xfId="0" applyNumberFormat="1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8" fillId="0" borderId="0" xfId="0" applyFont="1"/>
    <xf numFmtId="0" fontId="8" fillId="0" borderId="0" xfId="0" applyFont="1" applyAlignment="1"/>
    <xf numFmtId="14" fontId="8" fillId="0" borderId="0" xfId="0" applyNumberFormat="1" applyFont="1" applyAlignment="1"/>
    <xf numFmtId="0" fontId="10" fillId="0" borderId="0" xfId="0" applyFont="1" applyAlignment="1"/>
    <xf numFmtId="0" fontId="8" fillId="0" borderId="0" xfId="0" applyFont="1" applyAlignment="1"/>
    <xf numFmtId="14" fontId="5" fillId="0" borderId="0" xfId="0" applyNumberFormat="1" applyFont="1" applyAlignment="1">
      <alignment horizontal="left" vertical="center"/>
    </xf>
    <xf numFmtId="0" fontId="11" fillId="0" borderId="0" xfId="0" applyFont="1" applyAlignment="1">
      <alignment horizontal="left" vertical="center"/>
    </xf>
    <xf numFmtId="164" fontId="12" fillId="0" borderId="0" xfId="0" applyNumberFormat="1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14" fontId="12" fillId="0" borderId="0" xfId="0" applyNumberFormat="1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2" fillId="0" borderId="0" xfId="0" quotePrefix="1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3" fillId="0" borderId="0" xfId="0" applyFont="1" applyAlignment="1"/>
    <xf numFmtId="14" fontId="3" fillId="0" borderId="0" xfId="0" applyNumberFormat="1" applyFont="1" applyAlignment="1"/>
    <xf numFmtId="0" fontId="14" fillId="0" borderId="0" xfId="0" applyFont="1" applyAlignment="1"/>
    <xf numFmtId="9" fontId="12" fillId="0" borderId="0" xfId="0" applyNumberFormat="1" applyFont="1" applyAlignment="1">
      <alignment horizontal="left" vertical="center"/>
    </xf>
    <xf numFmtId="10" fontId="12" fillId="0" borderId="0" xfId="0" applyNumberFormat="1" applyFont="1" applyAlignment="1">
      <alignment horizontal="left" vertical="center"/>
    </xf>
    <xf numFmtId="164" fontId="12" fillId="0" borderId="0" xfId="0" applyNumberFormat="1" applyFont="1" applyAlignment="1">
      <alignment vertical="center"/>
    </xf>
    <xf numFmtId="0" fontId="12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164" fontId="12" fillId="0" borderId="0" xfId="0" applyNumberFormat="1" applyFont="1" applyAlignment="1"/>
    <xf numFmtId="0" fontId="12" fillId="0" borderId="0" xfId="0" applyFont="1" applyAlignment="1"/>
    <xf numFmtId="0" fontId="12" fillId="0" borderId="0" xfId="0" applyFont="1"/>
    <xf numFmtId="14" fontId="12" fillId="0" borderId="0" xfId="0" applyNumberFormat="1" applyFont="1" applyAlignment="1"/>
    <xf numFmtId="9" fontId="12" fillId="0" borderId="0" xfId="0" applyNumberFormat="1" applyFont="1" applyAlignment="1"/>
    <xf numFmtId="0" fontId="15" fillId="0" borderId="0" xfId="0" applyFont="1" applyAlignment="1"/>
    <xf numFmtId="164" fontId="3" fillId="0" borderId="0" xfId="0" applyNumberFormat="1" applyFont="1" applyAlignment="1"/>
    <xf numFmtId="9" fontId="3" fillId="0" borderId="0" xfId="0" applyNumberFormat="1" applyFont="1" applyAlignment="1"/>
    <xf numFmtId="0" fontId="16" fillId="0" borderId="6" xfId="0" applyFont="1" applyBorder="1" applyAlignment="1">
      <alignment horizontal="right"/>
    </xf>
    <xf numFmtId="164" fontId="8" fillId="0" borderId="0" xfId="0" applyNumberFormat="1" applyFont="1" applyAlignment="1"/>
    <xf numFmtId="165" fontId="8" fillId="0" borderId="0" xfId="0" applyNumberFormat="1" applyFont="1" applyAlignment="1"/>
    <xf numFmtId="0" fontId="8" fillId="0" borderId="0" xfId="0" applyFont="1" applyAlignment="1">
      <alignment horizontal="center" vertical="center"/>
    </xf>
    <xf numFmtId="165" fontId="8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6" fillId="0" borderId="0" xfId="0" applyFont="1" applyAlignment="1">
      <alignment horizontal="right"/>
    </xf>
    <xf numFmtId="0" fontId="9" fillId="3" borderId="4" xfId="0" applyFont="1" applyFill="1" applyBorder="1" applyAlignment="1">
      <alignment horizontal="left" vertical="center"/>
    </xf>
    <xf numFmtId="0" fontId="18" fillId="3" borderId="4" xfId="0" applyFont="1" applyFill="1" applyBorder="1" applyAlignment="1">
      <alignment horizontal="left" vertical="center"/>
    </xf>
    <xf numFmtId="0" fontId="19" fillId="3" borderId="4" xfId="0" applyFont="1" applyFill="1" applyBorder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19" fillId="2" borderId="4" xfId="0" applyFont="1" applyFill="1" applyBorder="1" applyAlignment="1">
      <alignment vertical="center"/>
    </xf>
    <xf numFmtId="0" fontId="18" fillId="2" borderId="4" xfId="0" applyFont="1" applyFill="1" applyBorder="1" applyAlignment="1">
      <alignment vertical="center"/>
    </xf>
    <xf numFmtId="0" fontId="19" fillId="2" borderId="4" xfId="0" applyFont="1" applyFill="1" applyBorder="1" applyAlignment="1">
      <alignment horizontal="left" vertical="center"/>
    </xf>
    <xf numFmtId="0" fontId="8" fillId="0" borderId="0" xfId="0" applyFont="1" applyAlignment="1">
      <alignment vertical="center"/>
    </xf>
    <xf numFmtId="0" fontId="18" fillId="2" borderId="4" xfId="0" applyFont="1" applyFill="1" applyBorder="1" applyAlignment="1">
      <alignment horizontal="left" vertical="center"/>
    </xf>
    <xf numFmtId="0" fontId="9" fillId="3" borderId="4" xfId="0" applyFont="1" applyFill="1" applyBorder="1" applyAlignment="1">
      <alignment horizontal="left" vertical="center"/>
    </xf>
    <xf numFmtId="0" fontId="8" fillId="5" borderId="0" xfId="0" applyFont="1" applyFill="1" applyAlignment="1">
      <alignment horizontal="left" vertical="center"/>
    </xf>
    <xf numFmtId="14" fontId="8" fillId="5" borderId="0" xfId="0" applyNumberFormat="1" applyFont="1" applyFill="1" applyAlignment="1">
      <alignment horizontal="left" vertical="center"/>
    </xf>
    <xf numFmtId="0" fontId="20" fillId="5" borderId="0" xfId="0" applyFont="1" applyFill="1" applyAlignment="1">
      <alignment horizontal="left" vertical="center"/>
    </xf>
    <xf numFmtId="0" fontId="8" fillId="5" borderId="0" xfId="0" applyFont="1" applyFill="1" applyAlignment="1">
      <alignment vertical="center"/>
    </xf>
    <xf numFmtId="14" fontId="8" fillId="0" borderId="0" xfId="0" applyNumberFormat="1" applyFont="1" applyAlignment="1">
      <alignment horizontal="left" vertical="center"/>
    </xf>
    <xf numFmtId="0" fontId="21" fillId="0" borderId="0" xfId="0" applyFont="1" applyAlignment="1">
      <alignment horizontal="left" vertical="center"/>
    </xf>
    <xf numFmtId="14" fontId="8" fillId="0" borderId="0" xfId="0" applyNumberFormat="1" applyFont="1" applyAlignment="1">
      <alignment vertical="center"/>
    </xf>
    <xf numFmtId="0" fontId="22" fillId="0" borderId="0" xfId="0" applyFont="1" applyAlignment="1">
      <alignment vertical="center"/>
    </xf>
    <xf numFmtId="14" fontId="8" fillId="5" borderId="0" xfId="0" applyNumberFormat="1" applyFont="1" applyFill="1" applyAlignment="1">
      <alignment vertical="center"/>
    </xf>
    <xf numFmtId="0" fontId="23" fillId="5" borderId="0" xfId="0" applyFont="1" applyFill="1" applyAlignment="1">
      <alignment vertical="center"/>
    </xf>
    <xf numFmtId="0" fontId="24" fillId="2" borderId="4" xfId="0" applyFont="1" applyFill="1" applyBorder="1" applyAlignment="1">
      <alignment vertical="center"/>
    </xf>
    <xf numFmtId="0" fontId="24" fillId="2" borderId="4" xfId="0" applyFont="1" applyFill="1" applyBorder="1" applyAlignment="1">
      <alignment vertical="center" wrapText="1"/>
    </xf>
    <xf numFmtId="0" fontId="8" fillId="0" borderId="0" xfId="0" applyFont="1" applyAlignment="1">
      <alignment vertical="center" wrapText="1"/>
    </xf>
    <xf numFmtId="165" fontId="8" fillId="0" borderId="0" xfId="0" applyNumberFormat="1" applyFont="1" applyAlignment="1">
      <alignment vertical="center"/>
    </xf>
    <xf numFmtId="9" fontId="8" fillId="0" borderId="0" xfId="0" applyNumberFormat="1" applyFont="1" applyAlignment="1">
      <alignment vertical="center"/>
    </xf>
    <xf numFmtId="0" fontId="8" fillId="5" borderId="0" xfId="0" applyFont="1" applyFill="1" applyAlignment="1">
      <alignment vertical="center" wrapText="1"/>
    </xf>
    <xf numFmtId="165" fontId="8" fillId="5" borderId="0" xfId="0" applyNumberFormat="1" applyFont="1" applyFill="1" applyAlignment="1">
      <alignment vertical="center"/>
    </xf>
    <xf numFmtId="9" fontId="8" fillId="5" borderId="0" xfId="0" applyNumberFormat="1" applyFont="1" applyFill="1" applyAlignment="1">
      <alignment vertical="center"/>
    </xf>
    <xf numFmtId="14" fontId="5" fillId="0" borderId="0" xfId="0" applyNumberFormat="1" applyFont="1" applyAlignment="1">
      <alignment horizontal="left" vertical="center"/>
    </xf>
    <xf numFmtId="0" fontId="25" fillId="0" borderId="0" xfId="0" applyFont="1" applyAlignment="1">
      <alignment horizontal="left" vertical="center"/>
    </xf>
    <xf numFmtId="0" fontId="18" fillId="3" borderId="4" xfId="0" applyFont="1" applyFill="1" applyBorder="1" applyAlignment="1">
      <alignment vertical="center"/>
    </xf>
    <xf numFmtId="0" fontId="18" fillId="3" borderId="4" xfId="0" applyFont="1" applyFill="1" applyBorder="1" applyAlignment="1">
      <alignment horizontal="left" vertical="center"/>
    </xf>
    <xf numFmtId="0" fontId="18" fillId="3" borderId="4" xfId="0" applyFont="1" applyFill="1" applyBorder="1" applyAlignment="1">
      <alignment horizontal="center" vertical="center"/>
    </xf>
    <xf numFmtId="0" fontId="8" fillId="5" borderId="0" xfId="0" applyFont="1" applyFill="1" applyAlignment="1">
      <alignment horizontal="center" vertical="center"/>
    </xf>
    <xf numFmtId="14" fontId="8" fillId="5" borderId="0" xfId="0" applyNumberFormat="1" applyFont="1" applyFill="1" applyAlignment="1">
      <alignment horizontal="center" vertical="center"/>
    </xf>
    <xf numFmtId="0" fontId="26" fillId="5" borderId="0" xfId="0" applyFont="1" applyFill="1" applyAlignment="1">
      <alignment horizontal="center" vertical="center"/>
    </xf>
    <xf numFmtId="0" fontId="27" fillId="3" borderId="0" xfId="0" applyFont="1" applyFill="1" applyAlignment="1">
      <alignment horizontal="center" vertical="center"/>
    </xf>
    <xf numFmtId="0" fontId="27" fillId="3" borderId="6" xfId="0" applyFont="1" applyFill="1" applyBorder="1" applyAlignment="1">
      <alignment horizontal="center" vertical="center"/>
    </xf>
    <xf numFmtId="0" fontId="9" fillId="2" borderId="4" xfId="0" applyFont="1" applyFill="1" applyBorder="1" applyAlignment="1">
      <alignment vertical="center"/>
    </xf>
    <xf numFmtId="0" fontId="8" fillId="4" borderId="0" xfId="0" applyFont="1" applyFill="1" applyAlignment="1">
      <alignment vertical="center"/>
    </xf>
    <xf numFmtId="0" fontId="9" fillId="3" borderId="0" xfId="0" applyFont="1" applyFill="1" applyAlignment="1"/>
    <xf numFmtId="0" fontId="9" fillId="3" borderId="0" xfId="0" applyFont="1" applyFill="1" applyAlignment="1">
      <alignment vertical="center"/>
    </xf>
    <xf numFmtId="0" fontId="28" fillId="3" borderId="0" xfId="0" applyFont="1" applyFill="1" applyAlignment="1">
      <alignment horizontal="left" vertical="center"/>
    </xf>
    <xf numFmtId="0" fontId="8" fillId="0" borderId="0" xfId="0" applyFont="1" applyAlignment="1">
      <alignment horizontal="left"/>
    </xf>
    <xf numFmtId="0" fontId="8" fillId="5" borderId="0" xfId="0" applyFont="1" applyFill="1" applyAlignment="1">
      <alignment horizontal="left"/>
    </xf>
    <xf numFmtId="0" fontId="1" fillId="2" borderId="1" xfId="0" applyFont="1" applyFill="1" applyBorder="1" applyAlignment="1">
      <alignment horizontal="center" vertical="center"/>
    </xf>
    <xf numFmtId="0" fontId="2" fillId="0" borderId="2" xfId="0" applyFont="1" applyBorder="1"/>
    <xf numFmtId="0" fontId="2" fillId="0" borderId="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uvsai/Library/Containers/com.microsoft.Excel/Data/Documents/S9:%20Student%20Guest%20Lecutres%20Organized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Student Guest Lecutres Organiz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drive.google.com/open?id=1c_dom1yBEfrg7AcSOQr54fVgwxMKaGJK" TargetMode="External"/><Relationship Id="rId170" Type="http://schemas.openxmlformats.org/officeDocument/2006/relationships/hyperlink" Target="https://drive.google.com/open?id=1mmZ91l860Gob8yBSsKcYE-clugg18T9H" TargetMode="External"/><Relationship Id="rId268" Type="http://schemas.openxmlformats.org/officeDocument/2006/relationships/hyperlink" Target="https://drive.google.com/open?id=1uKBfJz5WRxQys5M72Brb5OK10qcss7FK" TargetMode="External"/><Relationship Id="rId475" Type="http://schemas.openxmlformats.org/officeDocument/2006/relationships/hyperlink" Target="https://drive.google.com/open?id=11kUcBBqKkglYBl2WjxBweseQQrqhNbiJ" TargetMode="External"/><Relationship Id="rId682" Type="http://schemas.openxmlformats.org/officeDocument/2006/relationships/hyperlink" Target="https://drive.google.com/open?id=1oBsoHCUqyikc8mDOXNplplxNdc8rspMh" TargetMode="External"/><Relationship Id="rId128" Type="http://schemas.openxmlformats.org/officeDocument/2006/relationships/hyperlink" Target="https://drive.google.com/open?id=1Ym3ufoG5hrPBXiCbrihB5TaL3YXbLlNc" TargetMode="External"/><Relationship Id="rId335" Type="http://schemas.openxmlformats.org/officeDocument/2006/relationships/hyperlink" Target="https://drive.google.com/open?id=1fIttXo-0e7AW-B6zZWeKtI9UqK1Vr7U-" TargetMode="External"/><Relationship Id="rId542" Type="http://schemas.openxmlformats.org/officeDocument/2006/relationships/hyperlink" Target="https://drive.google.com/open?id=1o9CmMMPo4x_cPDqfR1uAC4229rmDrOlE" TargetMode="External"/><Relationship Id="rId987" Type="http://schemas.openxmlformats.org/officeDocument/2006/relationships/hyperlink" Target="https://drive.google.com/open?id=1T4gMGUJ4XFABiYSCEBCvvtmcUDdii7k5" TargetMode="External"/><Relationship Id="rId1172" Type="http://schemas.openxmlformats.org/officeDocument/2006/relationships/hyperlink" Target="https://drive.google.com/open?id=1WhM43UDaOxHQY-7GS8YGWIJ5hm16RGGe" TargetMode="External"/><Relationship Id="rId402" Type="http://schemas.openxmlformats.org/officeDocument/2006/relationships/hyperlink" Target="https://drive.google.com/open?id=18TIirDTEcMvezXQ8kG1pGurYT2PnZ9xW" TargetMode="External"/><Relationship Id="rId847" Type="http://schemas.openxmlformats.org/officeDocument/2006/relationships/hyperlink" Target="https://drive.google.com/open?id=1paBUJfz_M4Gigm8Veby7U8NWn40KrzpW" TargetMode="External"/><Relationship Id="rId1032" Type="http://schemas.openxmlformats.org/officeDocument/2006/relationships/hyperlink" Target="https://drive.google.com/open?id=1bEEb_67tfTUMaadwqxyH1kLGgXu06L-o" TargetMode="External"/><Relationship Id="rId707" Type="http://schemas.openxmlformats.org/officeDocument/2006/relationships/hyperlink" Target="https://drive.google.com/open?id=11oFg23t3ZKMD-lJrDa5C7OpBFpQ9H73T" TargetMode="External"/><Relationship Id="rId914" Type="http://schemas.openxmlformats.org/officeDocument/2006/relationships/hyperlink" Target="https://drive.google.com/open?id=1xkg2nR2j_Anot_YEWevxyZVOJDL07W8H" TargetMode="External"/><Relationship Id="rId43" Type="http://schemas.openxmlformats.org/officeDocument/2006/relationships/hyperlink" Target="https://drive.google.com/open?id=1e27Wps8S69r38ou72yivHyRDm3jqGar8" TargetMode="External"/><Relationship Id="rId192" Type="http://schemas.openxmlformats.org/officeDocument/2006/relationships/hyperlink" Target="https://drive.google.com/open?id=1o80YrSS6nw-p4ji1xpt0DwyY0GaDNIcM" TargetMode="External"/><Relationship Id="rId497" Type="http://schemas.openxmlformats.org/officeDocument/2006/relationships/hyperlink" Target="https://drive.google.com/open?id=1MyYAqkRZDWCeVSdVFKaTl8YKOzJnYgtW" TargetMode="External"/><Relationship Id="rId357" Type="http://schemas.openxmlformats.org/officeDocument/2006/relationships/hyperlink" Target="https://drive.google.com/open?id=1d3CJEwqnnG0DPf8lZ3jX3U-orHJ8_B2K" TargetMode="External"/><Relationship Id="rId1194" Type="http://schemas.openxmlformats.org/officeDocument/2006/relationships/hyperlink" Target="https://drive.google.com/open?id=1phbmltLQEK2mR3kTPLZlKXtmJkqUjbKv" TargetMode="External"/><Relationship Id="rId217" Type="http://schemas.openxmlformats.org/officeDocument/2006/relationships/hyperlink" Target="https://drive.google.com/open?id=1tzckmNokaVHGruMN6Hc_EC3u6-od9oOJ" TargetMode="External"/><Relationship Id="rId564" Type="http://schemas.openxmlformats.org/officeDocument/2006/relationships/hyperlink" Target="https://drive.google.com/open?id=18dAxoIXFcIgmNM697BE2ZyWofCJK-k-S" TargetMode="External"/><Relationship Id="rId771" Type="http://schemas.openxmlformats.org/officeDocument/2006/relationships/hyperlink" Target="https://drive.google.com/open?id=1KuNBmpMZS_uA0_73kYuTsGnKJkSaxJNR" TargetMode="External"/><Relationship Id="rId869" Type="http://schemas.openxmlformats.org/officeDocument/2006/relationships/hyperlink" Target="https://drive.google.com/open?id=1_7V9WKQdECrYmJ4B1k45Qyokl2hvYj3d" TargetMode="External"/><Relationship Id="rId424" Type="http://schemas.openxmlformats.org/officeDocument/2006/relationships/hyperlink" Target="https://drive.google.com/open?id=1QXxIknCStY1FADfkr_8n33MRValOUXhr" TargetMode="External"/><Relationship Id="rId631" Type="http://schemas.openxmlformats.org/officeDocument/2006/relationships/hyperlink" Target="https://drive.google.com/open?id=134UiPRoXaCxJnCMdOhg1Gql8_3OtEd_z" TargetMode="External"/><Relationship Id="rId729" Type="http://schemas.openxmlformats.org/officeDocument/2006/relationships/hyperlink" Target="https://drive.google.com/open?id=1R7MqIRs3YZOruWBtAqBzwhgUzbDpw4tb" TargetMode="External"/><Relationship Id="rId1054" Type="http://schemas.openxmlformats.org/officeDocument/2006/relationships/hyperlink" Target="https://drive.google.com/open?id=1eKMg0MuP3auzH31G2IsRDH1H5c5-rriI" TargetMode="External"/><Relationship Id="rId1261" Type="http://schemas.openxmlformats.org/officeDocument/2006/relationships/hyperlink" Target="https://drive.google.com/open?id=1WhM43UDaOxHQY-7GS8YGWIJ5hm16RGGe" TargetMode="External"/><Relationship Id="rId936" Type="http://schemas.openxmlformats.org/officeDocument/2006/relationships/hyperlink" Target="https://drive.google.com/open?id=1lMJZ3oZCH0qJpBElyfqLRPrXbwiJjMEP" TargetMode="External"/><Relationship Id="rId1121" Type="http://schemas.openxmlformats.org/officeDocument/2006/relationships/hyperlink" Target="https://drive.google.com/open?id=1bQZN1sdfANiS5a7TIxmGbUcEMHCKl7ad" TargetMode="External"/><Relationship Id="rId1219" Type="http://schemas.openxmlformats.org/officeDocument/2006/relationships/hyperlink" Target="https://drive.google.com/open?id=1MqwlNBjN4GdPpbDSL5mQ0tolJ7I2sXUI" TargetMode="External"/><Relationship Id="rId65" Type="http://schemas.openxmlformats.org/officeDocument/2006/relationships/hyperlink" Target="https://drive.google.com/open?id=19o5Qm4OqpYUbu8u3Ot2KY7B0CHQfQKNe" TargetMode="External"/><Relationship Id="rId281" Type="http://schemas.openxmlformats.org/officeDocument/2006/relationships/hyperlink" Target="https://drive.google.com/open?id=1mDHA3t9wZzaCRSYZW_V_mQyWBk9Pz8ex" TargetMode="External"/><Relationship Id="rId141" Type="http://schemas.openxmlformats.org/officeDocument/2006/relationships/hyperlink" Target="https://drive.google.com/open?id=1dI8_tPOHSzCb74KkjRi3HCoy2-bfgU5I" TargetMode="External"/><Relationship Id="rId379" Type="http://schemas.openxmlformats.org/officeDocument/2006/relationships/hyperlink" Target="https://drive.google.com/open?id=14qjDpxA_-qxw3L62ORAV10i6-yrPoJ82" TargetMode="External"/><Relationship Id="rId586" Type="http://schemas.openxmlformats.org/officeDocument/2006/relationships/hyperlink" Target="https://drive.google.com/open?id=1XzpEHnmsRo1Uja7H4Ago-dTSgB7E3juT" TargetMode="External"/><Relationship Id="rId793" Type="http://schemas.openxmlformats.org/officeDocument/2006/relationships/hyperlink" Target="https://drive.google.com/open?id=12IpAFvbUR9zj0mziUqWU7AgiiGFeWJDn" TargetMode="External"/><Relationship Id="rId7" Type="http://schemas.openxmlformats.org/officeDocument/2006/relationships/hyperlink" Target="https://drive.google.com/open?id=1afo59aMa85woopBPrtJmp_56u-PY7HTs" TargetMode="External"/><Relationship Id="rId239" Type="http://schemas.openxmlformats.org/officeDocument/2006/relationships/hyperlink" Target="https://drive.google.com/open?id=1Wm4MnZKWaOo8kn9bpOgiuXGTJuxbVBfo" TargetMode="External"/><Relationship Id="rId446" Type="http://schemas.openxmlformats.org/officeDocument/2006/relationships/hyperlink" Target="https://drive.google.com/open?id=1JQ5wy0mFP75VcieLkSgUlKUHipxnVgZB" TargetMode="External"/><Relationship Id="rId653" Type="http://schemas.openxmlformats.org/officeDocument/2006/relationships/hyperlink" Target="https://drive.google.com/open?id=1erC_GJzEFzMEUrIt7RCB1gE5rOo1vD_9" TargetMode="External"/><Relationship Id="rId1076" Type="http://schemas.openxmlformats.org/officeDocument/2006/relationships/hyperlink" Target="https://drive.google.com/open?id=18UCOVjctEmUkeWvKSK3EwxxqYBTuhM8l" TargetMode="External"/><Relationship Id="rId1283" Type="http://schemas.openxmlformats.org/officeDocument/2006/relationships/hyperlink" Target="https://drive.google.com/open?id=1phbmltLQEK2mR3kTPLZlKXtmJkqUjbKv" TargetMode="External"/><Relationship Id="rId306" Type="http://schemas.openxmlformats.org/officeDocument/2006/relationships/hyperlink" Target="https://drive.google.com/open?id=1fr51ofb1W2cxRhP0PDjYmOEyIGpYgfmd" TargetMode="External"/><Relationship Id="rId860" Type="http://schemas.openxmlformats.org/officeDocument/2006/relationships/hyperlink" Target="https://drive.google.com/open?id=1yt2Df3VcW_0AB69NaxXNmKcQZRhjv1TI" TargetMode="External"/><Relationship Id="rId958" Type="http://schemas.openxmlformats.org/officeDocument/2006/relationships/hyperlink" Target="https://drive.google.com/open?id=1oQTlIUlLTU4l6H3Z8lsz7HxqgYeHhzzs" TargetMode="External"/><Relationship Id="rId1143" Type="http://schemas.openxmlformats.org/officeDocument/2006/relationships/hyperlink" Target="https://drive.google.com/open?id=1_EleP57M2daRqNWwka5lH_XUVG8M_4Sl" TargetMode="External"/><Relationship Id="rId87" Type="http://schemas.openxmlformats.org/officeDocument/2006/relationships/hyperlink" Target="https://drive.google.com/open?id=1y5dyz-4_Rx96Ob2UHhlEn0uTeO_arITJ" TargetMode="External"/><Relationship Id="rId513" Type="http://schemas.openxmlformats.org/officeDocument/2006/relationships/hyperlink" Target="https://drive.google.com/open?id=100ON6FXXFJQCTUfsWvvxEkja3pplX6TH" TargetMode="External"/><Relationship Id="rId720" Type="http://schemas.openxmlformats.org/officeDocument/2006/relationships/hyperlink" Target="https://drive.google.com/open?id=1rABfJUKRpSqleWAVpC2T3MOprLuyLyPa" TargetMode="External"/><Relationship Id="rId818" Type="http://schemas.openxmlformats.org/officeDocument/2006/relationships/hyperlink" Target="https://drive.google.com/open?id=10E2Ll4SUAfNR9h_MRcegXemaUXhuQ-LK" TargetMode="External"/><Relationship Id="rId1003" Type="http://schemas.openxmlformats.org/officeDocument/2006/relationships/hyperlink" Target="https://drive.google.com/open?id=1TTKuv1PMBM3byrFdrOA4RuavOgVPs5_j" TargetMode="External"/><Relationship Id="rId1210" Type="http://schemas.openxmlformats.org/officeDocument/2006/relationships/hyperlink" Target="https://drive.google.com/open?id=1D_MqyYU6mykNhb6EVNBTre0c9nh9ypiJ" TargetMode="External"/><Relationship Id="rId1308" Type="http://schemas.openxmlformats.org/officeDocument/2006/relationships/hyperlink" Target="https://drive.google.com/open?id=1MqwlNBjN4GdPpbDSL5mQ0tolJ7I2sXUI" TargetMode="External"/><Relationship Id="rId14" Type="http://schemas.openxmlformats.org/officeDocument/2006/relationships/hyperlink" Target="https://drive.google.com/open?id=1TYqCMYsPfhi8HRht_jC-sxycUMe9HGFz" TargetMode="External"/><Relationship Id="rId163" Type="http://schemas.openxmlformats.org/officeDocument/2006/relationships/hyperlink" Target="https://drive.google.com/open?id=1MN72QEOBlsJEpBytw8ieoI5Y1fdvvO8B" TargetMode="External"/><Relationship Id="rId370" Type="http://schemas.openxmlformats.org/officeDocument/2006/relationships/hyperlink" Target="https://drive.google.com/open?id=1aFiyWg3nKicVjRiTTKmWpmr6wrfEAy7Y" TargetMode="External"/><Relationship Id="rId230" Type="http://schemas.openxmlformats.org/officeDocument/2006/relationships/hyperlink" Target="https://drive.google.com/open?id=1mGpPuvf5TuUWPtLTJqcAplQbHfswZDei" TargetMode="External"/><Relationship Id="rId468" Type="http://schemas.openxmlformats.org/officeDocument/2006/relationships/hyperlink" Target="https://drive.google.com/open?id=1Lku-n1N6xKb4YeQ2ISDrulg3EnW8yOlb" TargetMode="External"/><Relationship Id="rId675" Type="http://schemas.openxmlformats.org/officeDocument/2006/relationships/hyperlink" Target="https://drive.google.com/open?id=1OZDw1MRW-j1Pk_z6DL1I2axO9gKAPHzB" TargetMode="External"/><Relationship Id="rId882" Type="http://schemas.openxmlformats.org/officeDocument/2006/relationships/hyperlink" Target="https://drive.google.com/open?id=1rFAppWC-72fQPrU4o8uPvGih8eD1oEDz" TargetMode="External"/><Relationship Id="rId1098" Type="http://schemas.openxmlformats.org/officeDocument/2006/relationships/hyperlink" Target="https://drive.google.com/open?id=1sdkBp2g2wlH95wnFfXO8E9JBzRju_s2I" TargetMode="External"/><Relationship Id="rId328" Type="http://schemas.openxmlformats.org/officeDocument/2006/relationships/hyperlink" Target="https://drive.google.com/open?id=1EmvpTa5j_6na-7NvTE7ZmRtnvUJ1ecxS" TargetMode="External"/><Relationship Id="rId535" Type="http://schemas.openxmlformats.org/officeDocument/2006/relationships/hyperlink" Target="https://drive.google.com/open?id=19Bz4-TSyMFGw2NJTz2LV242aaUzJXp0-" TargetMode="External"/><Relationship Id="rId742" Type="http://schemas.openxmlformats.org/officeDocument/2006/relationships/hyperlink" Target="https://drive.google.com/open?id=18DQ-a_SgSwwQNnJR71iVduvkRog5eD4i" TargetMode="External"/><Relationship Id="rId1165" Type="http://schemas.openxmlformats.org/officeDocument/2006/relationships/hyperlink" Target="https://drive.google.com/open?id=1Dhp6qjthgFEOThTQDTfWho_H-WWT44_b" TargetMode="External"/><Relationship Id="rId602" Type="http://schemas.openxmlformats.org/officeDocument/2006/relationships/hyperlink" Target="https://drive.google.com/open?id=1dclhAY9hOiRHeG2Veptfo-i5Pl2ti7ub" TargetMode="External"/><Relationship Id="rId1025" Type="http://schemas.openxmlformats.org/officeDocument/2006/relationships/hyperlink" Target="https://drive.google.com/open?id=1FnC69aIhT2LBAjYSJwvd29MN09KMBmLd" TargetMode="External"/><Relationship Id="rId1232" Type="http://schemas.openxmlformats.org/officeDocument/2006/relationships/hyperlink" Target="https://drive.google.com/open?id=192CUUib81oebiH3Uwg1EQpKZbzFPu8ch" TargetMode="External"/><Relationship Id="rId907" Type="http://schemas.openxmlformats.org/officeDocument/2006/relationships/hyperlink" Target="https://drive.google.com/open?id=1o3_ZxR1dQRBZMIFc6vqFHPGas0qFe5A1" TargetMode="External"/><Relationship Id="rId36" Type="http://schemas.openxmlformats.org/officeDocument/2006/relationships/hyperlink" Target="https://drive.google.com/open?id=1MvkXMoGjwziiWPG0OmXyCZDmkQEV6b6_" TargetMode="External"/><Relationship Id="rId185" Type="http://schemas.openxmlformats.org/officeDocument/2006/relationships/hyperlink" Target="https://drive.google.com/open?id=1lwSOwIwTVqpRGpHUzE0w7n6RB76vPn-L" TargetMode="External"/><Relationship Id="rId392" Type="http://schemas.openxmlformats.org/officeDocument/2006/relationships/hyperlink" Target="https://drive.google.com/open?id=1ZQNdDhW7QVnMU3V3fNKSjWx8KRbBE20y" TargetMode="External"/><Relationship Id="rId697" Type="http://schemas.openxmlformats.org/officeDocument/2006/relationships/hyperlink" Target="https://drive.google.com/open?id=1_y6iGGdoyvfMVY7JXc1BYWAP6GB_1jpL" TargetMode="External"/><Relationship Id="rId252" Type="http://schemas.openxmlformats.org/officeDocument/2006/relationships/hyperlink" Target="https://drive.google.com/open?id=17Z1Pj0_3s3CNdVQcwfvjW-EQpt6p9MI8" TargetMode="External"/><Relationship Id="rId1187" Type="http://schemas.openxmlformats.org/officeDocument/2006/relationships/hyperlink" Target="https://drive.google.com/open?id=1Rhhs-qPEZEVOUicbNK5xhYO7WNkLgKRA" TargetMode="External"/><Relationship Id="rId112" Type="http://schemas.openxmlformats.org/officeDocument/2006/relationships/hyperlink" Target="https://drive.google.com/open?id=1XFI_7JiumZfW1wC0twlAbqOlOW7O9NH4" TargetMode="External"/><Relationship Id="rId557" Type="http://schemas.openxmlformats.org/officeDocument/2006/relationships/hyperlink" Target="https://drive.google.com/open?id=1f7ZdZP0Y8ylvFDgvbt3EbAAAlwQBCWbP" TargetMode="External"/><Relationship Id="rId764" Type="http://schemas.openxmlformats.org/officeDocument/2006/relationships/hyperlink" Target="https://drive.google.com/open?id=12Aw9JBnVJ5rWOQ2L_VqcpXMWITfO6AgA" TargetMode="External"/><Relationship Id="rId971" Type="http://schemas.openxmlformats.org/officeDocument/2006/relationships/hyperlink" Target="https://drive.google.com/open?id=1OdCqgTpFdMXyL2wGRwlzJQF7OcVDOTkQ" TargetMode="External"/><Relationship Id="rId417" Type="http://schemas.openxmlformats.org/officeDocument/2006/relationships/hyperlink" Target="https://drive.google.com/open?id=1sWMBO_Kz5DIB1sTOzC2ljXUUNi-6Jj7w" TargetMode="External"/><Relationship Id="rId624" Type="http://schemas.openxmlformats.org/officeDocument/2006/relationships/hyperlink" Target="https://drive.google.com/open?id=1WKQ6Zat4I6cv91_KTvrVBOEV6xr2MpY5" TargetMode="External"/><Relationship Id="rId831" Type="http://schemas.openxmlformats.org/officeDocument/2006/relationships/hyperlink" Target="https://drive.google.com/open?id=1GUXYnrxGrBjKWI0LoOXMDiraPHF9jeui" TargetMode="External"/><Relationship Id="rId1047" Type="http://schemas.openxmlformats.org/officeDocument/2006/relationships/hyperlink" Target="https://drive.google.com/open?id=1w7Nn7fnaelGzhVWNrJIoFAwtxc99uNTN" TargetMode="External"/><Relationship Id="rId1254" Type="http://schemas.openxmlformats.org/officeDocument/2006/relationships/hyperlink" Target="https://drive.google.com/open?id=1Dhp6qjthgFEOThTQDTfWho_H-WWT44_b" TargetMode="External"/><Relationship Id="rId929" Type="http://schemas.openxmlformats.org/officeDocument/2006/relationships/hyperlink" Target="https://drive.google.com/open?id=1C15t6nORIzHNmH0Srb6akMdRBN_UHjiv" TargetMode="External"/><Relationship Id="rId1114" Type="http://schemas.openxmlformats.org/officeDocument/2006/relationships/hyperlink" Target="https://drive.google.com/open?id=1KXxLf3kmQ7XkswAbYhV3eiJBIuHbXixm" TargetMode="External"/><Relationship Id="rId1321" Type="http://schemas.openxmlformats.org/officeDocument/2006/relationships/hyperlink" Target="https://drive.google.com/open?id=192CUUib81oebiH3Uwg1EQpKZbzFPu8ch" TargetMode="External"/><Relationship Id="rId58" Type="http://schemas.openxmlformats.org/officeDocument/2006/relationships/hyperlink" Target="https://drive.google.com/open?id=1Jb6MGZ2hFrOwp_ZbSYhLyHoB_QRaMyRJ" TargetMode="External"/><Relationship Id="rId274" Type="http://schemas.openxmlformats.org/officeDocument/2006/relationships/hyperlink" Target="https://drive.google.com/open?id=1GJg-pY3JFa2WpVzh2cHEFtzk64MkRwv4" TargetMode="External"/><Relationship Id="rId481" Type="http://schemas.openxmlformats.org/officeDocument/2006/relationships/hyperlink" Target="https://drive.google.com/open?id=1iaMcD70_naH6KRFWv5NG0ZCyOjxcUoAW" TargetMode="External"/><Relationship Id="rId134" Type="http://schemas.openxmlformats.org/officeDocument/2006/relationships/hyperlink" Target="https://drive.google.com/open?id=1xqCzYUBCGabD8rGLakUdkhtRCClEnZlj" TargetMode="External"/><Relationship Id="rId579" Type="http://schemas.openxmlformats.org/officeDocument/2006/relationships/hyperlink" Target="https://drive.google.com/open?id=10jN8ft_iXeXc4DHwstW5z-1I0QAWcWtR" TargetMode="External"/><Relationship Id="rId786" Type="http://schemas.openxmlformats.org/officeDocument/2006/relationships/hyperlink" Target="http://1stop.ai/" TargetMode="External"/><Relationship Id="rId993" Type="http://schemas.openxmlformats.org/officeDocument/2006/relationships/hyperlink" Target="https://drive.google.com/open?id=13O7D2koIVXmXkx9n66CbjBhzklX6JNwE" TargetMode="External"/><Relationship Id="rId341" Type="http://schemas.openxmlformats.org/officeDocument/2006/relationships/hyperlink" Target="https://drive.google.com/open?id=1-SvlkiljJgizcW340DsSkgyrIk5El_Fs" TargetMode="External"/><Relationship Id="rId439" Type="http://schemas.openxmlformats.org/officeDocument/2006/relationships/hyperlink" Target="https://drive.google.com/open?id=1KJE6jTvg3cwUXAjwv6DyLbIhO_2sf296" TargetMode="External"/><Relationship Id="rId646" Type="http://schemas.openxmlformats.org/officeDocument/2006/relationships/hyperlink" Target="https://drive.google.com/open?id=1fjnwkCATs7XldWAR7MZNuQUb05pDdhNb" TargetMode="External"/><Relationship Id="rId1069" Type="http://schemas.openxmlformats.org/officeDocument/2006/relationships/hyperlink" Target="https://drive.google.com/open?id=1L9EdbAfI7EPrI4X-M6NqXT4KXwvZicpg" TargetMode="External"/><Relationship Id="rId1276" Type="http://schemas.openxmlformats.org/officeDocument/2006/relationships/hyperlink" Target="https://drive.google.com/open?id=1Rhhs-qPEZEVOUicbNK5xhYO7WNkLgKRA" TargetMode="External"/><Relationship Id="rId201" Type="http://schemas.openxmlformats.org/officeDocument/2006/relationships/hyperlink" Target="https://drive.google.com/open?id=1rafPhd2JGq6PbQEtzK_z-f8bXhTqly8M" TargetMode="External"/><Relationship Id="rId506" Type="http://schemas.openxmlformats.org/officeDocument/2006/relationships/hyperlink" Target="https://drive.google.com/open?id=104yQPZ9U-vypFW9lO_evhFhRF4jQHd61" TargetMode="External"/><Relationship Id="rId853" Type="http://schemas.openxmlformats.org/officeDocument/2006/relationships/hyperlink" Target="https://drive.google.com/open?id=1pJnAHkwhsnPJtQBH37JAkhjqh901yg2r" TargetMode="External"/><Relationship Id="rId1136" Type="http://schemas.openxmlformats.org/officeDocument/2006/relationships/hyperlink" Target="https://drive.google.com/open?id=1CXij0NCjjlHixbFN2sf5gEXDE3wvUNSd" TargetMode="External"/><Relationship Id="rId713" Type="http://schemas.openxmlformats.org/officeDocument/2006/relationships/hyperlink" Target="https://drive.google.com/open?id=1gFA1lCu4rHLk8s0vfQ6Wa3HEML6MLnnW" TargetMode="External"/><Relationship Id="rId920" Type="http://schemas.openxmlformats.org/officeDocument/2006/relationships/hyperlink" Target="https://drive.google.com/open?id=1p5-HbiZyGgZdl2vroKQPYUKklhEWweY-" TargetMode="External"/><Relationship Id="rId1203" Type="http://schemas.openxmlformats.org/officeDocument/2006/relationships/hyperlink" Target="https://drive.google.com/open?id=1EDcPrN2JzsFd4R7QWV2jFMn4R53gDygq" TargetMode="External"/><Relationship Id="rId296" Type="http://schemas.openxmlformats.org/officeDocument/2006/relationships/hyperlink" Target="https://drive.google.com/open?id=1ZF9MwusSUKSs-S0c6iZa-SxEZTgYzEi5" TargetMode="External"/><Relationship Id="rId156" Type="http://schemas.openxmlformats.org/officeDocument/2006/relationships/hyperlink" Target="https://drive.google.com/open?id=1L1zMhfxTvNoi-qU4SQcbTr004amwsT8L" TargetMode="External"/><Relationship Id="rId363" Type="http://schemas.openxmlformats.org/officeDocument/2006/relationships/hyperlink" Target="https://drive.google.com/open?id=14K6nY5Zmu7aYFBOqjAHAjykSQh084Liz" TargetMode="External"/><Relationship Id="rId570" Type="http://schemas.openxmlformats.org/officeDocument/2006/relationships/hyperlink" Target="https://drive.google.com/open?id=15n55aEqfKyP6UPUXflhsoxybtRV7Im2Z" TargetMode="External"/><Relationship Id="rId223" Type="http://schemas.openxmlformats.org/officeDocument/2006/relationships/hyperlink" Target="https://drive.google.com/open?id=1VUHajIfvsA2_Is5Aem3vaPKQ5aK14Pgy" TargetMode="External"/><Relationship Id="rId430" Type="http://schemas.openxmlformats.org/officeDocument/2006/relationships/hyperlink" Target="https://drive.google.com/open?id=1StTaZaaV_ip8ZODPg62FDxhm_OrJUdMv" TargetMode="External"/><Relationship Id="rId668" Type="http://schemas.openxmlformats.org/officeDocument/2006/relationships/hyperlink" Target="https://drive.google.com/open?id=1_Ond_jtt-d4exjAneB4sKCd2EikihoCK" TargetMode="External"/><Relationship Id="rId875" Type="http://schemas.openxmlformats.org/officeDocument/2006/relationships/hyperlink" Target="https://drive.google.com/open?id=1RW0cM3DT5GM0oQ8k3Q0cM-pY3Bkzk4xa" TargetMode="External"/><Relationship Id="rId1060" Type="http://schemas.openxmlformats.org/officeDocument/2006/relationships/hyperlink" Target="https://drive.google.com/open?id=1FfDpT2xxMiSopeSUAR15TtLoVpZTPc4Q" TargetMode="External"/><Relationship Id="rId1298" Type="http://schemas.openxmlformats.org/officeDocument/2006/relationships/hyperlink" Target="https://drive.google.com/open?id=1FjXr1Ng9TffXmB4XF1qXNJ2ZIcpbIWnl" TargetMode="External"/><Relationship Id="rId528" Type="http://schemas.openxmlformats.org/officeDocument/2006/relationships/hyperlink" Target="https://drive.google.com/open?id=1AUlxpqtAYLI6dnxM8-qKO9Qz_T3OjvE4" TargetMode="External"/><Relationship Id="rId735" Type="http://schemas.openxmlformats.org/officeDocument/2006/relationships/hyperlink" Target="https://drive.google.com/open?id=1YFVlenXh3kc0nHj0cl5g9MGId9HzR25u" TargetMode="External"/><Relationship Id="rId942" Type="http://schemas.openxmlformats.org/officeDocument/2006/relationships/hyperlink" Target="https://drive.google.com/open?id=1z9FKsD6U7nTC-TQYyGawgWr7RdiTZSd6" TargetMode="External"/><Relationship Id="rId1158" Type="http://schemas.openxmlformats.org/officeDocument/2006/relationships/hyperlink" Target="https://drive.google.com/open?id=1-LFn7PcmXIQWpMV6LbdeEcsANKveXTo9" TargetMode="External"/><Relationship Id="rId1018" Type="http://schemas.openxmlformats.org/officeDocument/2006/relationships/hyperlink" Target="https://drive.google.com/open?id=1-gJsyg_GwG0B9yU1z85C9j7zOc7dCjCb" TargetMode="External"/><Relationship Id="rId1225" Type="http://schemas.openxmlformats.org/officeDocument/2006/relationships/hyperlink" Target="https://drive.google.com/open?id=1-PetfB6Tp194MjK0e-W1uHlAXhoGA3di" TargetMode="External"/><Relationship Id="rId71" Type="http://schemas.openxmlformats.org/officeDocument/2006/relationships/hyperlink" Target="https://drive.google.com/open?id=1DJ2JnCvQr30lA7e1yMtsehGcovvjzUil" TargetMode="External"/><Relationship Id="rId802" Type="http://schemas.openxmlformats.org/officeDocument/2006/relationships/hyperlink" Target="https://drive.google.com/open?id=1-Kh2b0Mccdp5ibZVzDcX7rSa2CN-NJG8" TargetMode="External"/><Relationship Id="rId29" Type="http://schemas.openxmlformats.org/officeDocument/2006/relationships/hyperlink" Target="https://drive.google.com/open?id=1A27DXNoiss-Gco3r7lf4BKFY1X0B1UjN" TargetMode="External"/><Relationship Id="rId178" Type="http://schemas.openxmlformats.org/officeDocument/2006/relationships/hyperlink" Target="https://drive.google.com/open?id=12MytZyqxTtur7HDjKk7tzk42J7to-H0B" TargetMode="External"/><Relationship Id="rId385" Type="http://schemas.openxmlformats.org/officeDocument/2006/relationships/hyperlink" Target="https://drive.google.com/open?id=1gSqponAO_29zt3P0egTKxJUtj0kBDxM5" TargetMode="External"/><Relationship Id="rId592" Type="http://schemas.openxmlformats.org/officeDocument/2006/relationships/hyperlink" Target="https://drive.google.com/open?id=1yvAZgwQQ0WAUyCgbaDFF-bYA-saESrT9" TargetMode="External"/><Relationship Id="rId245" Type="http://schemas.openxmlformats.org/officeDocument/2006/relationships/hyperlink" Target="https://drive.google.com/open?id=1WASeusBpiMpHwN8Tc4olsQAqUnPt0BGt" TargetMode="External"/><Relationship Id="rId452" Type="http://schemas.openxmlformats.org/officeDocument/2006/relationships/hyperlink" Target="https://drive.google.com/open?id=1cyFS3Sp1zfHCceCD48s7AXEP-jYbJ1bb" TargetMode="External"/><Relationship Id="rId897" Type="http://schemas.openxmlformats.org/officeDocument/2006/relationships/hyperlink" Target="https://drive.google.com/open?id=1M6-zSpYjgfr0BASlp2QUzn_c4XjO8T6i" TargetMode="External"/><Relationship Id="rId1082" Type="http://schemas.openxmlformats.org/officeDocument/2006/relationships/hyperlink" Target="https://drive.google.com/open?id=1TUdexaEHNdOiYPHV3Cha4uQbX5XqPZhW" TargetMode="External"/><Relationship Id="rId105" Type="http://schemas.openxmlformats.org/officeDocument/2006/relationships/hyperlink" Target="https://drive.google.com/open?id=1e_2MubAzEkdFujWjr27BAhXJYOS91CyG" TargetMode="External"/><Relationship Id="rId312" Type="http://schemas.openxmlformats.org/officeDocument/2006/relationships/hyperlink" Target="https://drive.google.com/open?id=1n27dXeSQi_XbyI0Qxh545-88cmtBtSqd" TargetMode="External"/><Relationship Id="rId757" Type="http://schemas.openxmlformats.org/officeDocument/2006/relationships/hyperlink" Target="https://drive.google.com/open?id=18j-pZ12BOZQwFqc_2u-9vRh6F7tBoz_M" TargetMode="External"/><Relationship Id="rId964" Type="http://schemas.openxmlformats.org/officeDocument/2006/relationships/hyperlink" Target="https://drive.google.com/open?id=1rlyRDaJkOzJm8bRKFhsUN4GOZtLeTbfr" TargetMode="External"/><Relationship Id="rId93" Type="http://schemas.openxmlformats.org/officeDocument/2006/relationships/hyperlink" Target="https://drive.google.com/open?id=1x3HYhUw40jhSMb8RRJ3qW95BZmPslygK" TargetMode="External"/><Relationship Id="rId617" Type="http://schemas.openxmlformats.org/officeDocument/2006/relationships/hyperlink" Target="https://drive.google.com/open?id=1iOl5zk8jwAhdEaC20sFGrBDFkqGX_xRy" TargetMode="External"/><Relationship Id="rId824" Type="http://schemas.openxmlformats.org/officeDocument/2006/relationships/hyperlink" Target="https://drive.google.com/open?id=1h8NrepugU0ydNIsSDDJourgUc70hRnYH" TargetMode="External"/><Relationship Id="rId1247" Type="http://schemas.openxmlformats.org/officeDocument/2006/relationships/hyperlink" Target="https://drive.google.com/open?id=1-LFn7PcmXIQWpMV6LbdeEcsANKveXTo9" TargetMode="External"/><Relationship Id="rId1107" Type="http://schemas.openxmlformats.org/officeDocument/2006/relationships/hyperlink" Target="https://drive.google.com/open?id=1vJQH7fGPhFeeAZJ54BPjtBO_OabI-2vI" TargetMode="External"/><Relationship Id="rId1314" Type="http://schemas.openxmlformats.org/officeDocument/2006/relationships/hyperlink" Target="https://drive.google.com/open?id=1-PetfB6Tp194MjK0e-W1uHlAXhoGA3di" TargetMode="External"/><Relationship Id="rId20" Type="http://schemas.openxmlformats.org/officeDocument/2006/relationships/hyperlink" Target="https://drive.google.com/open?id=1PjR39K2HwkwQPNZ5t-nniB3dOKXMOnAs" TargetMode="External"/><Relationship Id="rId267" Type="http://schemas.openxmlformats.org/officeDocument/2006/relationships/hyperlink" Target="https://drive.google.com/open?id=1MECCJigW9kZNViIwA4VPXhY5cUjsAjyS" TargetMode="External"/><Relationship Id="rId474" Type="http://schemas.openxmlformats.org/officeDocument/2006/relationships/hyperlink" Target="https://drive.google.com/open?id=1AmH3w3-44GU5sGNa3DzDod4lpkTUtORf" TargetMode="External"/><Relationship Id="rId127" Type="http://schemas.openxmlformats.org/officeDocument/2006/relationships/hyperlink" Target="https://drive.google.com/open?id=1E8e34JvVoXED8RuuRU8oxi4f1e4Dsafs" TargetMode="External"/><Relationship Id="rId681" Type="http://schemas.openxmlformats.org/officeDocument/2006/relationships/hyperlink" Target="https://drive.google.com/open?id=19GI5qFSQHScSiFk4Ywd1RnR0wG0_hQVG" TargetMode="External"/><Relationship Id="rId779" Type="http://schemas.openxmlformats.org/officeDocument/2006/relationships/hyperlink" Target="https://drive.google.com/open?id=1gb03XodkHPhoZhmWCb4BYT9_AYiuwvXC" TargetMode="External"/><Relationship Id="rId986" Type="http://schemas.openxmlformats.org/officeDocument/2006/relationships/hyperlink" Target="https://drive.google.com/open?id=1p7w2l3SFw28Eb0ibzDAddGFhdRzJjgy2" TargetMode="External"/><Relationship Id="rId334" Type="http://schemas.openxmlformats.org/officeDocument/2006/relationships/hyperlink" Target="https://drive.google.com/open?id=1MlxCiiHa-jCKLhW0mp25BWHjk-pxLFWX" TargetMode="External"/><Relationship Id="rId541" Type="http://schemas.openxmlformats.org/officeDocument/2006/relationships/hyperlink" Target="https://drive.google.com/open?id=1dSLAOq_qHDJ33dDwkguw-lP3lSBua3Rv" TargetMode="External"/><Relationship Id="rId639" Type="http://schemas.openxmlformats.org/officeDocument/2006/relationships/hyperlink" Target="https://drive.google.com/open?id=1I6lz0VHdmJ63xafnDKePv1Nz0ganYjql" TargetMode="External"/><Relationship Id="rId1171" Type="http://schemas.openxmlformats.org/officeDocument/2006/relationships/hyperlink" Target="https://drive.google.com/open?id=1fKww0SyugKLD3tmwY4Wlsn4glHuSBXmG" TargetMode="External"/><Relationship Id="rId1269" Type="http://schemas.openxmlformats.org/officeDocument/2006/relationships/hyperlink" Target="https://drive.google.com/open?id=1q2e-Y4xZqdTIYqEXbAuYj3OY0mnStQt2" TargetMode="External"/><Relationship Id="rId401" Type="http://schemas.openxmlformats.org/officeDocument/2006/relationships/hyperlink" Target="https://drive.google.com/open?id=16y1iF3l2MA9mQJEl_Y8S7lqApti--mOm" TargetMode="External"/><Relationship Id="rId846" Type="http://schemas.openxmlformats.org/officeDocument/2006/relationships/hyperlink" Target="https://drive.google.com/open?id=1kI4PwakFQ2t4yeEjeLQQ1x8M8NSXTHlj" TargetMode="External"/><Relationship Id="rId1031" Type="http://schemas.openxmlformats.org/officeDocument/2006/relationships/hyperlink" Target="https://drive.google.com/open?id=1eAZkMaFzM15aJQj0CiTTAt64qhQxtlMe" TargetMode="External"/><Relationship Id="rId1129" Type="http://schemas.openxmlformats.org/officeDocument/2006/relationships/hyperlink" Target="https://drive.google.com/open?id=1s4rTgaYg372hFb6Ef0SbSzDyX97adY06" TargetMode="External"/><Relationship Id="rId706" Type="http://schemas.openxmlformats.org/officeDocument/2006/relationships/hyperlink" Target="https://drive.google.com/open?id=1ozV6zBev14iz3yyNal7hj2QhlxhgFLV6" TargetMode="External"/><Relationship Id="rId913" Type="http://schemas.openxmlformats.org/officeDocument/2006/relationships/hyperlink" Target="https://drive.google.com/open?id=18KJNAHlNOgi39ODIHQNwA6UZDkEVrb_G" TargetMode="External"/><Relationship Id="rId42" Type="http://schemas.openxmlformats.org/officeDocument/2006/relationships/hyperlink" Target="https://drive.google.com/open?id=1gwdqE6sXsNJcPK7gyGzJeWLjYnJvNtJD" TargetMode="External"/><Relationship Id="rId191" Type="http://schemas.openxmlformats.org/officeDocument/2006/relationships/hyperlink" Target="https://drive.google.com/open?id=1hRUVOirhtpE6w5Buo_hQrdNvEfdzHtBY" TargetMode="External"/><Relationship Id="rId289" Type="http://schemas.openxmlformats.org/officeDocument/2006/relationships/hyperlink" Target="https://drive.google.com/open?id=1lEpwiKvCdwRIeNr-XYFINLTXzsZygfTe" TargetMode="External"/><Relationship Id="rId496" Type="http://schemas.openxmlformats.org/officeDocument/2006/relationships/hyperlink" Target="https://drive.google.com/open?id=193Wgb8wmC7lrSq_ixj5T9weuc-l9Xeb8" TargetMode="External"/><Relationship Id="rId149" Type="http://schemas.openxmlformats.org/officeDocument/2006/relationships/hyperlink" Target="https://drive.google.com/open?id=1LdzmjOYq2KIe8nkrqSa5ThZwK1bqixZg" TargetMode="External"/><Relationship Id="rId356" Type="http://schemas.openxmlformats.org/officeDocument/2006/relationships/hyperlink" Target="https://drive.google.com/open?id=1ruTJxLfRD91bBKO3FXzsuBZ404E4nE-J" TargetMode="External"/><Relationship Id="rId563" Type="http://schemas.openxmlformats.org/officeDocument/2006/relationships/hyperlink" Target="https://drive.google.com/open?id=1ewXXWm2TWYbNSnabislMMRorrSBEDccP" TargetMode="External"/><Relationship Id="rId770" Type="http://schemas.openxmlformats.org/officeDocument/2006/relationships/hyperlink" Target="https://drive.google.com/open?id=16K0OjAGBT3DmHR5mzjJrBu_od50A5jWJ" TargetMode="External"/><Relationship Id="rId1193" Type="http://schemas.openxmlformats.org/officeDocument/2006/relationships/hyperlink" Target="https://drive.google.com/open?id=1vRieVmaby2W5XuKahptQb6fJno4nR5jr" TargetMode="External"/><Relationship Id="rId216" Type="http://schemas.openxmlformats.org/officeDocument/2006/relationships/hyperlink" Target="https://drive.google.com/open?id=1o8gU9LI-eJ4hrwHkz7b6V6vX8bc2YFb7" TargetMode="External"/><Relationship Id="rId423" Type="http://schemas.openxmlformats.org/officeDocument/2006/relationships/hyperlink" Target="https://drive.google.com/open?id=1Btn5Fd1QtPh7OtnhdJFnojpZJ3vuU6is" TargetMode="External"/><Relationship Id="rId868" Type="http://schemas.openxmlformats.org/officeDocument/2006/relationships/hyperlink" Target="https://drive.google.com/open?id=1cr5DGy03nmFmZFMxy1SU8HLUYkTAtxEu" TargetMode="External"/><Relationship Id="rId1053" Type="http://schemas.openxmlformats.org/officeDocument/2006/relationships/hyperlink" Target="https://drive.google.com/open?id=1jEjFpyfV984wjTf7K6bTamn6PHOO9whM" TargetMode="External"/><Relationship Id="rId1260" Type="http://schemas.openxmlformats.org/officeDocument/2006/relationships/hyperlink" Target="https://drive.google.com/open?id=1fKww0SyugKLD3tmwY4Wlsn4glHuSBXmG" TargetMode="External"/><Relationship Id="rId630" Type="http://schemas.openxmlformats.org/officeDocument/2006/relationships/hyperlink" Target="https://drive.google.com/open?id=1TIANKWZqybsJ4s54dnDKxsWmd6fSGmzv" TargetMode="External"/><Relationship Id="rId728" Type="http://schemas.openxmlformats.org/officeDocument/2006/relationships/hyperlink" Target="https://drive.google.com/open?id=1oaGjs8hJ2R12P4G98dW9kU2e-yGO4_xl" TargetMode="External"/><Relationship Id="rId935" Type="http://schemas.openxmlformats.org/officeDocument/2006/relationships/hyperlink" Target="https://drive.google.com/open?id=1oyxRrs_mpa1Wr7ea1u-YP_v0wp8XFQ7X" TargetMode="External"/><Relationship Id="rId64" Type="http://schemas.openxmlformats.org/officeDocument/2006/relationships/hyperlink" Target="https://drive.google.com/open?id=1cXf0pIBBC1kOVLsyX-_DetYOgp09YzA_" TargetMode="External"/><Relationship Id="rId1120" Type="http://schemas.openxmlformats.org/officeDocument/2006/relationships/hyperlink" Target="https://drive.google.com/open?id=1VqEA1AaA1YYsrUB7lhpw7VddimQkfcmN" TargetMode="External"/><Relationship Id="rId1218" Type="http://schemas.openxmlformats.org/officeDocument/2006/relationships/hyperlink" Target="http://deeplearning.ai/" TargetMode="External"/><Relationship Id="rId280" Type="http://schemas.openxmlformats.org/officeDocument/2006/relationships/hyperlink" Target="https://drive.google.com/open?id=1GfiUIYmtc5lHuKVXjJFvcD_dMpiJydpn" TargetMode="External"/><Relationship Id="rId140" Type="http://schemas.openxmlformats.org/officeDocument/2006/relationships/hyperlink" Target="https://drive.google.com/open?id=13LkRJTs4XF0_4gVHPtBDYYbiBl1B3cT3" TargetMode="External"/><Relationship Id="rId378" Type="http://schemas.openxmlformats.org/officeDocument/2006/relationships/hyperlink" Target="https://drive.google.com/open?id=1ZP05LU2PnFrGBLhaKojrsGTwG9mpwlyI" TargetMode="External"/><Relationship Id="rId585" Type="http://schemas.openxmlformats.org/officeDocument/2006/relationships/hyperlink" Target="https://drive.google.com/open?id=1CDB0KVbPqd39RcXbdpdW2pLBV-s3QZtu" TargetMode="External"/><Relationship Id="rId792" Type="http://schemas.openxmlformats.org/officeDocument/2006/relationships/hyperlink" Target="https://drive.google.com/open?id=1egre4J8ROMfoWUd7u6ooYPskcd26Yji0" TargetMode="External"/><Relationship Id="rId6" Type="http://schemas.openxmlformats.org/officeDocument/2006/relationships/hyperlink" Target="https://drive.google.com/open?id=1nOXIgsmw_1iZ20dMcolXCnFpxNh3geu6" TargetMode="External"/><Relationship Id="rId238" Type="http://schemas.openxmlformats.org/officeDocument/2006/relationships/hyperlink" Target="https://drive.google.com/open?id=1snuULu0HwVOJ687g5nrp_n5xXeDOBAOD" TargetMode="External"/><Relationship Id="rId445" Type="http://schemas.openxmlformats.org/officeDocument/2006/relationships/hyperlink" Target="https://drive.google.com/open?id=1ywwRx2BTwuQhj21kkoPE0IoFic1e0lG4" TargetMode="External"/><Relationship Id="rId652" Type="http://schemas.openxmlformats.org/officeDocument/2006/relationships/hyperlink" Target="https://drive.google.com/open?id=1Sc50u7O2yN6wdOggs836WOqMRMciijHi" TargetMode="External"/><Relationship Id="rId1075" Type="http://schemas.openxmlformats.org/officeDocument/2006/relationships/hyperlink" Target="https://drive.google.com/open?id=1m23VxHdX4Zs3AvCLywt75uFllkTGKKTd" TargetMode="External"/><Relationship Id="rId1282" Type="http://schemas.openxmlformats.org/officeDocument/2006/relationships/hyperlink" Target="https://drive.google.com/open?id=1vRieVmaby2W5XuKahptQb6fJno4nR5jr" TargetMode="External"/><Relationship Id="rId305" Type="http://schemas.openxmlformats.org/officeDocument/2006/relationships/hyperlink" Target="https://drive.google.com/open?id=1XD6n55u4083weBmzcpH610mjDGhsoYfd" TargetMode="External"/><Relationship Id="rId512" Type="http://schemas.openxmlformats.org/officeDocument/2006/relationships/hyperlink" Target="https://drive.google.com/open?id=16x3z72xdhCk6YK9A67W_yXtuyx05bPN1" TargetMode="External"/><Relationship Id="rId957" Type="http://schemas.openxmlformats.org/officeDocument/2006/relationships/hyperlink" Target="https://drive.google.com/open?id=1xh-6CUN_jqOL7YsUT-Wu8T20JJbUj-UT" TargetMode="External"/><Relationship Id="rId1142" Type="http://schemas.openxmlformats.org/officeDocument/2006/relationships/hyperlink" Target="https://drive.google.com/open?id=1S1-BYvEPshWpIzn5DuM-EWLn8stU29xW" TargetMode="External"/><Relationship Id="rId86" Type="http://schemas.openxmlformats.org/officeDocument/2006/relationships/hyperlink" Target="https://drive.google.com/open?id=1xi_3_KryNHfhuwsF0rmwH-Qd-mqYuTLU" TargetMode="External"/><Relationship Id="rId151" Type="http://schemas.openxmlformats.org/officeDocument/2006/relationships/hyperlink" Target="https://drive.google.com/open?id=1Ubp8_c4h7akiK0B3O4DqW0FOv0a_NPLu" TargetMode="External"/><Relationship Id="rId389" Type="http://schemas.openxmlformats.org/officeDocument/2006/relationships/hyperlink" Target="https://drive.google.com/open?id=1jkM9Pz_-gM1Q-WaB6KkKawPZ14FeI4li" TargetMode="External"/><Relationship Id="rId596" Type="http://schemas.openxmlformats.org/officeDocument/2006/relationships/hyperlink" Target="https://drive.google.com/open?id=1tluUCTW5833qn2Y2I016fUFLNcvU9wQN" TargetMode="External"/><Relationship Id="rId817" Type="http://schemas.openxmlformats.org/officeDocument/2006/relationships/hyperlink" Target="https://drive.google.com/open?id=1EnSLOaNxEjnCT7OoDfIeiqBqy8uy1FsZ" TargetMode="External"/><Relationship Id="rId1002" Type="http://schemas.openxmlformats.org/officeDocument/2006/relationships/hyperlink" Target="https://drive.google.com/open?id=1X6ppzp2_RQtZH-sMapbdVUJFv8cshZ_0" TargetMode="External"/><Relationship Id="rId249" Type="http://schemas.openxmlformats.org/officeDocument/2006/relationships/hyperlink" Target="https://drive.google.com/open?id=1K0hyaMAaPsme28BcbSbWerGiglJgibIZ" TargetMode="External"/><Relationship Id="rId456" Type="http://schemas.openxmlformats.org/officeDocument/2006/relationships/hyperlink" Target="https://drive.google.com/open?id=1a89jgZ_mpPNAvxA-fn3pEpDnpQyYxyZM" TargetMode="External"/><Relationship Id="rId663" Type="http://schemas.openxmlformats.org/officeDocument/2006/relationships/hyperlink" Target="https://drive.google.com/open?id=1j1-oZeZS2g_ZOxn2CBPUDerYewVdGTrB" TargetMode="External"/><Relationship Id="rId870" Type="http://schemas.openxmlformats.org/officeDocument/2006/relationships/hyperlink" Target="https://drive.google.com/open?id=1czIzAGfCjQHXOg3WrEvdsBQ0ELMRPG0z" TargetMode="External"/><Relationship Id="rId1086" Type="http://schemas.openxmlformats.org/officeDocument/2006/relationships/hyperlink" Target="https://drive.google.com/open?id=1c29JlK1hYarwHb69KZRXURiOigcjghFZ" TargetMode="External"/><Relationship Id="rId1293" Type="http://schemas.openxmlformats.org/officeDocument/2006/relationships/hyperlink" Target="https://drive.google.com/open?id=1P0l-zn9L90WIfJqqqW8e8-0Dp_7Vc2pg" TargetMode="External"/><Relationship Id="rId1307" Type="http://schemas.openxmlformats.org/officeDocument/2006/relationships/hyperlink" Target="http://deeplearning.ai/" TargetMode="External"/><Relationship Id="rId13" Type="http://schemas.openxmlformats.org/officeDocument/2006/relationships/hyperlink" Target="https://drive.google.com/open?id=1dK_D_RDE24bPlmDiUo1YrkdeeNUXFGV-" TargetMode="External"/><Relationship Id="rId109" Type="http://schemas.openxmlformats.org/officeDocument/2006/relationships/hyperlink" Target="https://drive.google.com/open?id=1Ljw76TOEBELwkGryhr8VqCI-2coBs_iX" TargetMode="External"/><Relationship Id="rId316" Type="http://schemas.openxmlformats.org/officeDocument/2006/relationships/hyperlink" Target="https://drive.google.com/open?id=1wwqvYj7G8Hq9WXoUmmD6Idk6NYqHxAoX" TargetMode="External"/><Relationship Id="rId523" Type="http://schemas.openxmlformats.org/officeDocument/2006/relationships/hyperlink" Target="https://drive.google.com/open?id=1yXWfjkTzVJACdP3CmygqEhe8TFipaIH7" TargetMode="External"/><Relationship Id="rId968" Type="http://schemas.openxmlformats.org/officeDocument/2006/relationships/hyperlink" Target="https://drive.google.com/open?id=1HxRFFojddfZhy4pNdOKAY6TXBt1DeE3G" TargetMode="External"/><Relationship Id="rId1153" Type="http://schemas.openxmlformats.org/officeDocument/2006/relationships/hyperlink" Target="https://drive.google.com/open?id=14afhFOkdnB5rEsja8iGygpazUdl9FQWN" TargetMode="External"/><Relationship Id="rId97" Type="http://schemas.openxmlformats.org/officeDocument/2006/relationships/hyperlink" Target="https://drive.google.com/open?id=1iHQ_OzGdGwvuj_6h5n4_UoHjYIdeFruP" TargetMode="External"/><Relationship Id="rId730" Type="http://schemas.openxmlformats.org/officeDocument/2006/relationships/hyperlink" Target="https://drive.google.com/open?id=1Wawjw-L04QCVpBY0em0_Y1SQLmOVcqrO" TargetMode="External"/><Relationship Id="rId828" Type="http://schemas.openxmlformats.org/officeDocument/2006/relationships/hyperlink" Target="https://drive.google.com/open?id=1Ug5t3VNci3uyoMfvLwu4DoJcudtXmz6n" TargetMode="External"/><Relationship Id="rId1013" Type="http://schemas.openxmlformats.org/officeDocument/2006/relationships/hyperlink" Target="https://drive.google.com/open?id=1JN1omyDFwhZ6DQdL14ffHMt9A0htX21g" TargetMode="External"/><Relationship Id="rId162" Type="http://schemas.openxmlformats.org/officeDocument/2006/relationships/hyperlink" Target="https://drive.google.com/open?id=1wt9s597GXQ644bd2PXLfHEfaSSeztFVo" TargetMode="External"/><Relationship Id="rId467" Type="http://schemas.openxmlformats.org/officeDocument/2006/relationships/hyperlink" Target="https://drive.google.com/open?id=1iix9taZqOSqzBb3UlKmCC1uecq-qn_xj" TargetMode="External"/><Relationship Id="rId1097" Type="http://schemas.openxmlformats.org/officeDocument/2006/relationships/hyperlink" Target="https://drive.google.com/open?id=1RitpCA1NL59Cr98CXpUkHL0g0_OdEVqI" TargetMode="External"/><Relationship Id="rId1220" Type="http://schemas.openxmlformats.org/officeDocument/2006/relationships/hyperlink" Target="https://drive.google.com/open?id=175hZfT5mALbCnDjklXXHfa7xUoGcLVfa" TargetMode="External"/><Relationship Id="rId1318" Type="http://schemas.openxmlformats.org/officeDocument/2006/relationships/hyperlink" Target="https://drive.google.com/open?id=112veMJq0xzh0LinE6l_JRL7s4NSz_v9u" TargetMode="External"/><Relationship Id="rId674" Type="http://schemas.openxmlformats.org/officeDocument/2006/relationships/hyperlink" Target="https://drive.google.com/open?id=1ycpGI9ww9o25WRe9xh6ExTvdOLI-e72k" TargetMode="External"/><Relationship Id="rId881" Type="http://schemas.openxmlformats.org/officeDocument/2006/relationships/hyperlink" Target="https://drive.google.com/open?id=1jXQvw4zGqm7fBrhjrUC98L7_ZuN9JyzH" TargetMode="External"/><Relationship Id="rId979" Type="http://schemas.openxmlformats.org/officeDocument/2006/relationships/hyperlink" Target="https://drive.google.com/open?id=15KlORbmmEYat07-YtUl0ZAjbTM255VC9" TargetMode="External"/><Relationship Id="rId24" Type="http://schemas.openxmlformats.org/officeDocument/2006/relationships/hyperlink" Target="https://drive.google.com/open?id=18tBNcfZaqHL51fcmdpFuOp4AHku-Sq8d" TargetMode="External"/><Relationship Id="rId327" Type="http://schemas.openxmlformats.org/officeDocument/2006/relationships/hyperlink" Target="https://drive.google.com/open?id=1OD_4ylnlGP-3KVccawhDmymp_XieJ2JT" TargetMode="External"/><Relationship Id="rId534" Type="http://schemas.openxmlformats.org/officeDocument/2006/relationships/hyperlink" Target="https://drive.google.com/open?id=1UBPcUGu-Eetauau5woeM7YBFkiac-EWx" TargetMode="External"/><Relationship Id="rId741" Type="http://schemas.openxmlformats.org/officeDocument/2006/relationships/hyperlink" Target="https://drive.google.com/open?id=1VBFzDwiftdcDb4NNTOQzmJZ83ltxNxGZ" TargetMode="External"/><Relationship Id="rId839" Type="http://schemas.openxmlformats.org/officeDocument/2006/relationships/hyperlink" Target="https://drive.google.com/open?id=1xnS1kpvZ4yuMLZLTiAlOP-A_y-Vyza1i" TargetMode="External"/><Relationship Id="rId1164" Type="http://schemas.openxmlformats.org/officeDocument/2006/relationships/hyperlink" Target="https://drive.google.com/open?id=1TtXiDIB95NPCallip9Obht9tCrK4fGSF" TargetMode="External"/><Relationship Id="rId173" Type="http://schemas.openxmlformats.org/officeDocument/2006/relationships/hyperlink" Target="https://drive.google.com/open?id=1Xptl1fq8dz1QeoTmoamjU_iN5PqHa11t" TargetMode="External"/><Relationship Id="rId380" Type="http://schemas.openxmlformats.org/officeDocument/2006/relationships/hyperlink" Target="https://drive.google.com/open?id=1aUFVkujqx_v1nB1Enlhrf5_3ygCp9yAP" TargetMode="External"/><Relationship Id="rId601" Type="http://schemas.openxmlformats.org/officeDocument/2006/relationships/hyperlink" Target="https://drive.google.com/open?id=185yq5reXH52Tg4xzEngzlZp5G3H3apQs" TargetMode="External"/><Relationship Id="rId1024" Type="http://schemas.openxmlformats.org/officeDocument/2006/relationships/hyperlink" Target="https://drive.google.com/open?id=1Ge4SRokCJY04Io2zfoiUhLhrAKh00_Ga" TargetMode="External"/><Relationship Id="rId1231" Type="http://schemas.openxmlformats.org/officeDocument/2006/relationships/hyperlink" Target="https://drive.google.com/open?id=1HbBOBFjpWwJUWbWeFISPsLGnbI5b-Rk6" TargetMode="External"/><Relationship Id="rId240" Type="http://schemas.openxmlformats.org/officeDocument/2006/relationships/hyperlink" Target="https://drive.google.com/open?id=1b3VHZTk5JSmej9BlE4_egVB0SC9_mGf8" TargetMode="External"/><Relationship Id="rId478" Type="http://schemas.openxmlformats.org/officeDocument/2006/relationships/hyperlink" Target="https://drive.google.com/open?id=1g4cAStMYWAGWLinDZd771nGBJDVj-ByV" TargetMode="External"/><Relationship Id="rId685" Type="http://schemas.openxmlformats.org/officeDocument/2006/relationships/hyperlink" Target="https://drive.google.com/open?id=1RbHsvYG8Vr-xXkN-ACZybU3Su2tqODs8" TargetMode="External"/><Relationship Id="rId892" Type="http://schemas.openxmlformats.org/officeDocument/2006/relationships/hyperlink" Target="https://drive.google.com/open?id=1lZlrMRlBl-ZLTW1m78YX4pxu7K-6bUBi" TargetMode="External"/><Relationship Id="rId906" Type="http://schemas.openxmlformats.org/officeDocument/2006/relationships/hyperlink" Target="https://drive.google.com/open?id=1AmK6gtlJvyR9Zvdm5oy-YUJo4zmpxEwh" TargetMode="External"/><Relationship Id="rId1329" Type="http://schemas.openxmlformats.org/officeDocument/2006/relationships/hyperlink" Target="https://drive.google.com/open?id=1z8tJnoJolWBpv8YcnfnaZzeDb5Xdm8zZ" TargetMode="External"/><Relationship Id="rId35" Type="http://schemas.openxmlformats.org/officeDocument/2006/relationships/hyperlink" Target="https://drive.google.com/open?id=1mgQJ7PVKKoZmV-qGrfd_y3l9_VsLB2Xd" TargetMode="External"/><Relationship Id="rId100" Type="http://schemas.openxmlformats.org/officeDocument/2006/relationships/hyperlink" Target="https://drive.google.com/open?id=17WoFN9WMB3spWhb84feUEwJqfHh35LmO" TargetMode="External"/><Relationship Id="rId338" Type="http://schemas.openxmlformats.org/officeDocument/2006/relationships/hyperlink" Target="https://drive.google.com/open?id=1-SoacEr93mcC-8vYxjGNQEffwQCJoh-c" TargetMode="External"/><Relationship Id="rId545" Type="http://schemas.openxmlformats.org/officeDocument/2006/relationships/hyperlink" Target="https://drive.google.com/open?id=1yoWewoCcYE_mAq1cw9T2GlSjw8VorDod" TargetMode="External"/><Relationship Id="rId752" Type="http://schemas.openxmlformats.org/officeDocument/2006/relationships/hyperlink" Target="https://drive.google.com/open?id=1sDwciOtEuxq5IPhQZaT5VEoNzXGiQgdN" TargetMode="External"/><Relationship Id="rId1175" Type="http://schemas.openxmlformats.org/officeDocument/2006/relationships/hyperlink" Target="https://drive.google.com/open?id=1ODyqIWUkd6i6dH0w4AFh0zSaFqiFfCxW" TargetMode="External"/><Relationship Id="rId184" Type="http://schemas.openxmlformats.org/officeDocument/2006/relationships/hyperlink" Target="https://drive.google.com/open?id=1rH9_Xv4bqvDtpQ9t64MpU_vTDvA5hrFu" TargetMode="External"/><Relationship Id="rId391" Type="http://schemas.openxmlformats.org/officeDocument/2006/relationships/hyperlink" Target="https://drive.google.com/open?id=1yN5JNH56TE1t4RD3Q3mNwVCDsSXRiUpQ" TargetMode="External"/><Relationship Id="rId405" Type="http://schemas.openxmlformats.org/officeDocument/2006/relationships/hyperlink" Target="https://drive.google.com/open?id=1Te42C1BjAkSS5lPVsAkrwzxRDe3HYG1t" TargetMode="External"/><Relationship Id="rId612" Type="http://schemas.openxmlformats.org/officeDocument/2006/relationships/hyperlink" Target="https://drive.google.com/open?id=1ST4b8Hp_jhQRMiO7hFlz-QG0wtYMcjcr" TargetMode="External"/><Relationship Id="rId1035" Type="http://schemas.openxmlformats.org/officeDocument/2006/relationships/hyperlink" Target="https://drive.google.com/open?id=1eC1pDXpm6Na2Yw9X6EHoZDI1_VQx9eSV" TargetMode="External"/><Relationship Id="rId1242" Type="http://schemas.openxmlformats.org/officeDocument/2006/relationships/hyperlink" Target="https://drive.google.com/open?id=1-F0i1lHRs4e9kzsaOJlVkCKSC8lyLuhr" TargetMode="External"/><Relationship Id="rId251" Type="http://schemas.openxmlformats.org/officeDocument/2006/relationships/hyperlink" Target="https://drive.google.com/open?id=1mdMxQKViLW6ytSLD-Vbdi4e36jaHSc9u" TargetMode="External"/><Relationship Id="rId489" Type="http://schemas.openxmlformats.org/officeDocument/2006/relationships/hyperlink" Target="https://drive.google.com/open?id=1vqeGJy-iKtS4guA_6gnC5j3DBV2QdXDU" TargetMode="External"/><Relationship Id="rId696" Type="http://schemas.openxmlformats.org/officeDocument/2006/relationships/hyperlink" Target="https://drive.google.com/open?id=1QMfaNPYetS7O2Ru9r_pgzrbBQQ9dHwz0" TargetMode="External"/><Relationship Id="rId917" Type="http://schemas.openxmlformats.org/officeDocument/2006/relationships/hyperlink" Target="https://drive.google.com/open?id=1hstXQ_rkvbzK5KWZpu81SJe3YLtZFkJm" TargetMode="External"/><Relationship Id="rId1102" Type="http://schemas.openxmlformats.org/officeDocument/2006/relationships/hyperlink" Target="https://drive.google.com/open?id=1G1RlYV30pCbXGPQFAePsPFOPnByNKUBj" TargetMode="External"/><Relationship Id="rId46" Type="http://schemas.openxmlformats.org/officeDocument/2006/relationships/hyperlink" Target="https://drive.google.com/open?id=1Mac7rF7rgHOPwkrJYolg2b5WVbaFmM4I" TargetMode="External"/><Relationship Id="rId349" Type="http://schemas.openxmlformats.org/officeDocument/2006/relationships/hyperlink" Target="https://drive.google.com/open?id=1eqRDfKf6TAFamnY0kDJLrMwUjrnB1G6L" TargetMode="External"/><Relationship Id="rId556" Type="http://schemas.openxmlformats.org/officeDocument/2006/relationships/hyperlink" Target="https://drive.google.com/open?id=1eCpyWkLyc-6dr-tMZugc9DkqbKcpQtVl" TargetMode="External"/><Relationship Id="rId763" Type="http://schemas.openxmlformats.org/officeDocument/2006/relationships/hyperlink" Target="https://drive.google.com/open?id=134P2I3pD2SS-W20-g3ud9BmBsVEiO2FR" TargetMode="External"/><Relationship Id="rId1186" Type="http://schemas.openxmlformats.org/officeDocument/2006/relationships/hyperlink" Target="https://drive.google.com/open?id=1ydiGn9-TTGx7T-Txl569YI_sFP3n9J_C" TargetMode="External"/><Relationship Id="rId111" Type="http://schemas.openxmlformats.org/officeDocument/2006/relationships/hyperlink" Target="https://drive.google.com/open?id=16P-7gXP6ohJrWg3eywzto-usP9EqpkTz" TargetMode="External"/><Relationship Id="rId195" Type="http://schemas.openxmlformats.org/officeDocument/2006/relationships/hyperlink" Target="https://drive.google.com/open?id=140nJceU32DcUPhZT_yhidWWeYTPZkYVC" TargetMode="External"/><Relationship Id="rId209" Type="http://schemas.openxmlformats.org/officeDocument/2006/relationships/hyperlink" Target="https://drive.google.com/open?id=1gXlcLwDfPm-ZNDcW9x18d9Dv5fS8zPdT" TargetMode="External"/><Relationship Id="rId416" Type="http://schemas.openxmlformats.org/officeDocument/2006/relationships/hyperlink" Target="https://drive.google.com/open?id=1JaMGYAXjB8A_wX0xWqvSLF4SkKfTv8wQ" TargetMode="External"/><Relationship Id="rId970" Type="http://schemas.openxmlformats.org/officeDocument/2006/relationships/hyperlink" Target="https://drive.google.com/open?id=1v9JLEHywb-uUy8bGNC3GjW6SgkJmpS0c" TargetMode="External"/><Relationship Id="rId1046" Type="http://schemas.openxmlformats.org/officeDocument/2006/relationships/hyperlink" Target="https://drive.google.com/open?id=1Ezod3LTtx06q8Nryu-0ZbTaoweFYbeQy" TargetMode="External"/><Relationship Id="rId1253" Type="http://schemas.openxmlformats.org/officeDocument/2006/relationships/hyperlink" Target="https://drive.google.com/open?id=1TtXiDIB95NPCallip9Obht9tCrK4fGSF" TargetMode="External"/><Relationship Id="rId623" Type="http://schemas.openxmlformats.org/officeDocument/2006/relationships/hyperlink" Target="https://drive.google.com/open?id=1uYuYXkdEWryncIHec1p4qelhklqO9KIq" TargetMode="External"/><Relationship Id="rId830" Type="http://schemas.openxmlformats.org/officeDocument/2006/relationships/hyperlink" Target="https://drive.google.com/open?id=1xIIq1nYwFHorwLkBW_zDqAC1A5tdIh8Q" TargetMode="External"/><Relationship Id="rId928" Type="http://schemas.openxmlformats.org/officeDocument/2006/relationships/hyperlink" Target="https://drive.google.com/open?id=15firB2U7LSHc09kBS6Z0FyxPPWcjqaVm" TargetMode="External"/><Relationship Id="rId57" Type="http://schemas.openxmlformats.org/officeDocument/2006/relationships/hyperlink" Target="https://drive.google.com/open?id=1FEcFbJNoMZeOSZ2XRUcnIxmPYpN1mJKR" TargetMode="External"/><Relationship Id="rId262" Type="http://schemas.openxmlformats.org/officeDocument/2006/relationships/hyperlink" Target="https://drive.google.com/open?id=1iwLu_bWwmWVWWsS1xqwK7HIQDR5WiX5h" TargetMode="External"/><Relationship Id="rId567" Type="http://schemas.openxmlformats.org/officeDocument/2006/relationships/hyperlink" Target="https://drive.google.com/open?id=1CAgQLguOwJiwiLffS2m5njKmzhOeqroo" TargetMode="External"/><Relationship Id="rId1113" Type="http://schemas.openxmlformats.org/officeDocument/2006/relationships/hyperlink" Target="https://drive.google.com/open?id=14AuT_Gvb74eDAlwEuQ8_yb8X9RlK6cAF" TargetMode="External"/><Relationship Id="rId1197" Type="http://schemas.openxmlformats.org/officeDocument/2006/relationships/hyperlink" Target="https://drive.google.com/open?id=1huanhUtI8JvM0vhCehWdEas9XixByueS" TargetMode="External"/><Relationship Id="rId1320" Type="http://schemas.openxmlformats.org/officeDocument/2006/relationships/hyperlink" Target="https://drive.google.com/open?id=1HbBOBFjpWwJUWbWeFISPsLGnbI5b-Rk6" TargetMode="External"/><Relationship Id="rId122" Type="http://schemas.openxmlformats.org/officeDocument/2006/relationships/hyperlink" Target="https://drive.google.com/open?id=1mnD5N7GnMRQCd8jftZCsJHHiDgkeDE3Q" TargetMode="External"/><Relationship Id="rId774" Type="http://schemas.openxmlformats.org/officeDocument/2006/relationships/hyperlink" Target="https://drive.google.com/open?id=1UdFcBbraR4eMfq9v89NSg0Rw00m1jrLa" TargetMode="External"/><Relationship Id="rId981" Type="http://schemas.openxmlformats.org/officeDocument/2006/relationships/hyperlink" Target="https://drive.google.com/open?id=1EDQ4Q2i0hjkmh99LPVKvOHUeTL69iJz-" TargetMode="External"/><Relationship Id="rId1057" Type="http://schemas.openxmlformats.org/officeDocument/2006/relationships/hyperlink" Target="https://drive.google.com/open?id=18qymJHQtd7_s6vxpDGKyC3Av6MtUIRUq" TargetMode="External"/><Relationship Id="rId427" Type="http://schemas.openxmlformats.org/officeDocument/2006/relationships/hyperlink" Target="https://drive.google.com/open?id=1xj8sKmz3AYv0ZHoz3yUKwCxwhKOie9j4" TargetMode="External"/><Relationship Id="rId634" Type="http://schemas.openxmlformats.org/officeDocument/2006/relationships/hyperlink" Target="https://drive.google.com/open?id=19J4nmDFGt6M9WCEJQNAyedpsrJrnPnSO" TargetMode="External"/><Relationship Id="rId841" Type="http://schemas.openxmlformats.org/officeDocument/2006/relationships/hyperlink" Target="https://drive.google.com/open?id=1TZeRWDVvLRWDIxlmQfpSSmfVPpff27yt" TargetMode="External"/><Relationship Id="rId1264" Type="http://schemas.openxmlformats.org/officeDocument/2006/relationships/hyperlink" Target="https://drive.google.com/open?id=1ODyqIWUkd6i6dH0w4AFh0zSaFqiFfCxW" TargetMode="External"/><Relationship Id="rId273" Type="http://schemas.openxmlformats.org/officeDocument/2006/relationships/hyperlink" Target="https://drive.google.com/open?id=1gtaQNNyKbecMF1hVt0kUst-Ow5gy0n_U" TargetMode="External"/><Relationship Id="rId480" Type="http://schemas.openxmlformats.org/officeDocument/2006/relationships/hyperlink" Target="https://drive.google.com/open?id=16Z5RdP2vQp6lMUtgglv2xjoJf6auni2F" TargetMode="External"/><Relationship Id="rId701" Type="http://schemas.openxmlformats.org/officeDocument/2006/relationships/hyperlink" Target="https://drive.google.com/open?id=1G7RDq0-LLMZyM_EG-AGSwXh3R1SHMW6k" TargetMode="External"/><Relationship Id="rId939" Type="http://schemas.openxmlformats.org/officeDocument/2006/relationships/hyperlink" Target="https://drive.google.com/open?id=1TeCR4HLMsWqwveJIj2vvFhZjbq9PpGSV" TargetMode="External"/><Relationship Id="rId1124" Type="http://schemas.openxmlformats.org/officeDocument/2006/relationships/hyperlink" Target="https://drive.google.com/open?id=1uk8fg4IYYCEf7-Gu0dZr-ENgBY6pXBXP" TargetMode="External"/><Relationship Id="rId1331" Type="http://schemas.openxmlformats.org/officeDocument/2006/relationships/hyperlink" Target="https://drive.google.com/open?id=1-F0i1lHRs4e9kzsaOJlVkCKSC8lyLuhr" TargetMode="External"/><Relationship Id="rId68" Type="http://schemas.openxmlformats.org/officeDocument/2006/relationships/hyperlink" Target="https://drive.google.com/open?id=1G4WFlSvqJ_jZjUheUgUalNNZL1kQmzhN" TargetMode="External"/><Relationship Id="rId133" Type="http://schemas.openxmlformats.org/officeDocument/2006/relationships/hyperlink" Target="https://drive.google.com/open?id=1Y9_qqWpPAcz7k69iFzE4GAdFFfx03ljx" TargetMode="External"/><Relationship Id="rId340" Type="http://schemas.openxmlformats.org/officeDocument/2006/relationships/hyperlink" Target="https://drive.google.com/open?id=1wwftrjGcCgXc829tPDxaqXf_VUtsK_MT" TargetMode="External"/><Relationship Id="rId578" Type="http://schemas.openxmlformats.org/officeDocument/2006/relationships/hyperlink" Target="https://drive.google.com/open?id=1napAuTrFY6jTxUg6igWVS81ratYpZGNx" TargetMode="External"/><Relationship Id="rId785" Type="http://schemas.openxmlformats.org/officeDocument/2006/relationships/hyperlink" Target="https://drive.google.com/open?id=1QhCd4X2faGs2frmeSijuspb-SsA1hgvh" TargetMode="External"/><Relationship Id="rId992" Type="http://schemas.openxmlformats.org/officeDocument/2006/relationships/hyperlink" Target="https://drive.google.com/open?id=1NBVg10eIJsd6sM7PNq1K_ESwEvl-1Z9j" TargetMode="External"/><Relationship Id="rId200" Type="http://schemas.openxmlformats.org/officeDocument/2006/relationships/hyperlink" Target="https://drive.google.com/open?id=1-7cOBptRB-DD8CcNF69wOnEx9CBw8ZuN" TargetMode="External"/><Relationship Id="rId438" Type="http://schemas.openxmlformats.org/officeDocument/2006/relationships/hyperlink" Target="https://drive.google.com/open?id=11vOXoyyj2R4fsgYVAYNT-egC_Om5iX96" TargetMode="External"/><Relationship Id="rId645" Type="http://schemas.openxmlformats.org/officeDocument/2006/relationships/hyperlink" Target="https://drive.google.com/open?id=1mupstIOV7geibVsKyebzZh5v-A2TfVam" TargetMode="External"/><Relationship Id="rId852" Type="http://schemas.openxmlformats.org/officeDocument/2006/relationships/hyperlink" Target="https://drive.google.com/open?id=1d5VMkEdhOE6wUBXgCuli559i34T1JNFq" TargetMode="External"/><Relationship Id="rId1068" Type="http://schemas.openxmlformats.org/officeDocument/2006/relationships/hyperlink" Target="https://drive.google.com/open?id=1V0NQc24We23LH8EhxU-DoWWBxbWP-qw8" TargetMode="External"/><Relationship Id="rId1275" Type="http://schemas.openxmlformats.org/officeDocument/2006/relationships/hyperlink" Target="https://drive.google.com/open?id=1ydiGn9-TTGx7T-Txl569YI_sFP3n9J_C" TargetMode="External"/><Relationship Id="rId284" Type="http://schemas.openxmlformats.org/officeDocument/2006/relationships/hyperlink" Target="https://drive.google.com/open?id=1pnUEp9JInySqXlPxfO-l_p6EtXy4QLJb" TargetMode="External"/><Relationship Id="rId491" Type="http://schemas.openxmlformats.org/officeDocument/2006/relationships/hyperlink" Target="https://drive.google.com/open?id=1bRPpbfZ6VF2nNspGaENIdFCxpIgOX3Wf" TargetMode="External"/><Relationship Id="rId505" Type="http://schemas.openxmlformats.org/officeDocument/2006/relationships/hyperlink" Target="https://drive.google.com/open?id=149ESPV0oXnCADUJfxkqG3CkaYT08LuIp" TargetMode="External"/><Relationship Id="rId712" Type="http://schemas.openxmlformats.org/officeDocument/2006/relationships/hyperlink" Target="https://drive.google.com/open?id=1fgv5CvK18243Ysu4UJmQrd7eBoTRVQvp" TargetMode="External"/><Relationship Id="rId1135" Type="http://schemas.openxmlformats.org/officeDocument/2006/relationships/hyperlink" Target="https://drive.google.com/open?id=1P39TxcaJYNVH5sxUyMPon24uWCHmo6Qe" TargetMode="External"/><Relationship Id="rId79" Type="http://schemas.openxmlformats.org/officeDocument/2006/relationships/hyperlink" Target="https://drive.google.com/open?id=1_fCZDqKNIBX0w3m-dkaM6PGiYSEGIZC1" TargetMode="External"/><Relationship Id="rId144" Type="http://schemas.openxmlformats.org/officeDocument/2006/relationships/hyperlink" Target="https://drive.google.com/open?id=1sCRyjn5e_QQuDBpkeNhqnyLnFdCEWrBp" TargetMode="External"/><Relationship Id="rId589" Type="http://schemas.openxmlformats.org/officeDocument/2006/relationships/hyperlink" Target="https://drive.google.com/open?id=1RnC2GbH-CfcVWrmFfeFFuPPZWipJe-1V" TargetMode="External"/><Relationship Id="rId796" Type="http://schemas.openxmlformats.org/officeDocument/2006/relationships/hyperlink" Target="https://drive.google.com/open?id=1tjRps7JVzvJ4U_8NLhIsGXmohocnwFRC" TargetMode="External"/><Relationship Id="rId1202" Type="http://schemas.openxmlformats.org/officeDocument/2006/relationships/hyperlink" Target="https://drive.google.com/open?id=1Ogss-ENczLrCs4d5vr2tJpBAjtiOg7jg" TargetMode="External"/><Relationship Id="rId351" Type="http://schemas.openxmlformats.org/officeDocument/2006/relationships/hyperlink" Target="https://drive.google.com/open?id=1YYL7ajowjC05hE-1lr9jnWEK3HxBaqXe" TargetMode="External"/><Relationship Id="rId449" Type="http://schemas.openxmlformats.org/officeDocument/2006/relationships/hyperlink" Target="https://drive.google.com/open?id=1LCsKkG24i9wmznr03mspYdIeItEzVxqQ" TargetMode="External"/><Relationship Id="rId656" Type="http://schemas.openxmlformats.org/officeDocument/2006/relationships/hyperlink" Target="https://drive.google.com/open?id=1gwt9YnCs_Mw_5hdc2VLXTf3wKncfuc6Q" TargetMode="External"/><Relationship Id="rId863" Type="http://schemas.openxmlformats.org/officeDocument/2006/relationships/hyperlink" Target="https://drive.google.com/open?id=1mxzJH-OG4In_VvdEQaVkfMt6-qVrqc3K" TargetMode="External"/><Relationship Id="rId1079" Type="http://schemas.openxmlformats.org/officeDocument/2006/relationships/hyperlink" Target="https://drive.google.com/open?id=1j4dQCVh65KHXq89qFXkKzrxq4tCfzD-j" TargetMode="External"/><Relationship Id="rId1286" Type="http://schemas.openxmlformats.org/officeDocument/2006/relationships/hyperlink" Target="https://drive.google.com/open?id=1huanhUtI8JvM0vhCehWdEas9XixByueS" TargetMode="External"/><Relationship Id="rId211" Type="http://schemas.openxmlformats.org/officeDocument/2006/relationships/hyperlink" Target="https://drive.google.com/open?id=1JY06WZOLqu14PhonWHVOlvTMYjZ6411P" TargetMode="External"/><Relationship Id="rId295" Type="http://schemas.openxmlformats.org/officeDocument/2006/relationships/hyperlink" Target="https://drive.google.com/open?id=1Nir40EKmnh1bKY3MAizZPSeaLrKAGV1h" TargetMode="External"/><Relationship Id="rId309" Type="http://schemas.openxmlformats.org/officeDocument/2006/relationships/hyperlink" Target="https://drive.google.com/open?id=1J6jQbfJk6dWBsUdK5PdL31TlD2H8n1mi" TargetMode="External"/><Relationship Id="rId516" Type="http://schemas.openxmlformats.org/officeDocument/2006/relationships/hyperlink" Target="https://drive.google.com/open?id=1vcHf6jIBARYMnFgJ8qweSZMkRjKwh6qh" TargetMode="External"/><Relationship Id="rId1146" Type="http://schemas.openxmlformats.org/officeDocument/2006/relationships/hyperlink" Target="https://drive.google.com/open?id=1-obNgY-hXWC3p2U3pOjG1UNPfhYv-yOg" TargetMode="External"/><Relationship Id="rId723" Type="http://schemas.openxmlformats.org/officeDocument/2006/relationships/hyperlink" Target="https://drive.google.com/open?id=1zNDTOJTa-loY2JzE0YC6MTK-athBsanK" TargetMode="External"/><Relationship Id="rId930" Type="http://schemas.openxmlformats.org/officeDocument/2006/relationships/hyperlink" Target="https://drive.google.com/open?id=15jQXeRCr_UZiP-hfR59DPeR33fQ64tnE" TargetMode="External"/><Relationship Id="rId1006" Type="http://schemas.openxmlformats.org/officeDocument/2006/relationships/hyperlink" Target="https://drive.google.com/open?id=1Pdt8aypHVSwSzDIWguiP8nWMrEdB33h0" TargetMode="External"/><Relationship Id="rId155" Type="http://schemas.openxmlformats.org/officeDocument/2006/relationships/hyperlink" Target="https://drive.google.com/open?id=1Iz5WGeW5_Pf7x4xtRu9jFfSAZJGtPWoT" TargetMode="External"/><Relationship Id="rId362" Type="http://schemas.openxmlformats.org/officeDocument/2006/relationships/hyperlink" Target="https://drive.google.com/open?id=1qXwc475uw5BmiNnSXgm_E1KoedXTkkgW" TargetMode="External"/><Relationship Id="rId1213" Type="http://schemas.openxmlformats.org/officeDocument/2006/relationships/hyperlink" Target="https://drive.google.com/open?id=1X1i0BWIEiZUQ6fk01-qqsazvTIQhfUSp" TargetMode="External"/><Relationship Id="rId1297" Type="http://schemas.openxmlformats.org/officeDocument/2006/relationships/hyperlink" Target="https://drive.google.com/open?id=1sYnksARkbBRH36DH4LM5fqEX289sdZyx" TargetMode="External"/><Relationship Id="rId222" Type="http://schemas.openxmlformats.org/officeDocument/2006/relationships/hyperlink" Target="https://drive.google.com/open?id=1nbfLYFI3vQYDxQ8JKspWb0auP9vnyZst" TargetMode="External"/><Relationship Id="rId667" Type="http://schemas.openxmlformats.org/officeDocument/2006/relationships/hyperlink" Target="https://drive.google.com/open?id=1a5C1fy7ElXVeE8z6o5zy1tZ2Ook-dC0p" TargetMode="External"/><Relationship Id="rId874" Type="http://schemas.openxmlformats.org/officeDocument/2006/relationships/hyperlink" Target="https://drive.google.com/open?id=1VTe8G3ag7QW6ZX3AXCtEh60hSBycfJ4w" TargetMode="External"/><Relationship Id="rId17" Type="http://schemas.openxmlformats.org/officeDocument/2006/relationships/hyperlink" Target="https://drive.google.com/open?id=1LoHF43KbwnVo_okD5d4L7957XnqQvQmj" TargetMode="External"/><Relationship Id="rId527" Type="http://schemas.openxmlformats.org/officeDocument/2006/relationships/hyperlink" Target="https://drive.google.com/open?id=1-YPdD-Vl_sybYqQmOafz3bTBgBWsgVDU" TargetMode="External"/><Relationship Id="rId734" Type="http://schemas.openxmlformats.org/officeDocument/2006/relationships/hyperlink" Target="https://drive.google.com/open?id=18rsWLMQxRgogo3XfG981SyQXesg61x9O" TargetMode="External"/><Relationship Id="rId941" Type="http://schemas.openxmlformats.org/officeDocument/2006/relationships/hyperlink" Target="https://drive.google.com/open?id=1aTxFzkWMJR1cFhAQbVY1S978LynkQJJF" TargetMode="External"/><Relationship Id="rId1157" Type="http://schemas.openxmlformats.org/officeDocument/2006/relationships/hyperlink" Target="https://drive.google.com/open?id=1TIC7rZHNZU6MD-QHqtoh3i_iyqz9Hx28" TargetMode="External"/><Relationship Id="rId70" Type="http://schemas.openxmlformats.org/officeDocument/2006/relationships/hyperlink" Target="https://drive.google.com/open?id=1302qP7fBAPWTJKjCTBqpo-demIxhqNXY" TargetMode="External"/><Relationship Id="rId166" Type="http://schemas.openxmlformats.org/officeDocument/2006/relationships/hyperlink" Target="https://drive.google.com/open?id=1W3R9v_hup1LUCJiss5p917DRrA5R7EIv" TargetMode="External"/><Relationship Id="rId373" Type="http://schemas.openxmlformats.org/officeDocument/2006/relationships/hyperlink" Target="https://drive.google.com/open?id=1nARL6r93gj8v1ZcpPA2aTvnZZw4YZEE2" TargetMode="External"/><Relationship Id="rId580" Type="http://schemas.openxmlformats.org/officeDocument/2006/relationships/hyperlink" Target="https://drive.google.com/open?id=1BEfNeiiEu9LMjljlAsteG1kp_wTycme-" TargetMode="External"/><Relationship Id="rId801" Type="http://schemas.openxmlformats.org/officeDocument/2006/relationships/hyperlink" Target="https://drive.google.com/open?id=1x1vPPgHRokfeWxX4IGrK3rtEMoNuxZ4y" TargetMode="External"/><Relationship Id="rId1017" Type="http://schemas.openxmlformats.org/officeDocument/2006/relationships/hyperlink" Target="https://drive.google.com/open?id=1wJBg05qypWnDdgAhRK0R2uvkoJeon6rR" TargetMode="External"/><Relationship Id="rId1224" Type="http://schemas.openxmlformats.org/officeDocument/2006/relationships/hyperlink" Target="https://drive.google.com/open?id=1cebBPJw2Cag9Y_PrtgN1o5PEGewL-_M-" TargetMode="External"/><Relationship Id="rId1" Type="http://schemas.openxmlformats.org/officeDocument/2006/relationships/hyperlink" Target="https://drive.google.com/open?id=1FDgWJRLG-0YmUX-Ho8W9BzIF5VOe8920" TargetMode="External"/><Relationship Id="rId233" Type="http://schemas.openxmlformats.org/officeDocument/2006/relationships/hyperlink" Target="https://drive.google.com/open?id=1yhkjwAcobRnGlwhZoJOOSTwHDCLEjMxE" TargetMode="External"/><Relationship Id="rId440" Type="http://schemas.openxmlformats.org/officeDocument/2006/relationships/hyperlink" Target="https://drive.google.com/open?id=1KmNugm_XisKqjzAylIcY0aqZxNJlRQzk" TargetMode="External"/><Relationship Id="rId678" Type="http://schemas.openxmlformats.org/officeDocument/2006/relationships/hyperlink" Target="https://drive.google.com/open?id=1pWiCeUui6TF-dBkqKuF1k9wm-ZuQPQmy" TargetMode="External"/><Relationship Id="rId885" Type="http://schemas.openxmlformats.org/officeDocument/2006/relationships/hyperlink" Target="https://drive.google.com/open?id=1u3NS11v0fvpPHhZMHMMRQxaGA8DySqfG" TargetMode="External"/><Relationship Id="rId1070" Type="http://schemas.openxmlformats.org/officeDocument/2006/relationships/hyperlink" Target="https://drive.google.com/open?id=1CdIhKOLxHMKon7MhlxfbyeqhVil30Pmz" TargetMode="External"/><Relationship Id="rId28" Type="http://schemas.openxmlformats.org/officeDocument/2006/relationships/hyperlink" Target="https://drive.google.com/open?id=1pFZMSg0U5JTeBIAvD-st02kTb3uFM-8Z" TargetMode="External"/><Relationship Id="rId300" Type="http://schemas.openxmlformats.org/officeDocument/2006/relationships/hyperlink" Target="https://drive.google.com/open?id=16XuY4EmUqK2kjZQKWp85qX6PVR4EofpK" TargetMode="External"/><Relationship Id="rId538" Type="http://schemas.openxmlformats.org/officeDocument/2006/relationships/hyperlink" Target="https://drive.google.com/open?id=1rlINLdDNg-MSnn6DBnOVVMwxnH4wwjcj" TargetMode="External"/><Relationship Id="rId745" Type="http://schemas.openxmlformats.org/officeDocument/2006/relationships/hyperlink" Target="https://drive.google.com/open?id=1b_sBzr_AVYvGHgUPUw4RBFGXzGbjNYxw" TargetMode="External"/><Relationship Id="rId952" Type="http://schemas.openxmlformats.org/officeDocument/2006/relationships/hyperlink" Target="https://drive.google.com/open?id=1O9IChSxdXxCNQaVY-oWkutdb5PWmDKzV" TargetMode="External"/><Relationship Id="rId1168" Type="http://schemas.openxmlformats.org/officeDocument/2006/relationships/hyperlink" Target="https://drive.google.com/open?id=1i71iub01sPYIBOcM1Koogh6BbkGyxtuM" TargetMode="External"/><Relationship Id="rId81" Type="http://schemas.openxmlformats.org/officeDocument/2006/relationships/hyperlink" Target="https://drive.google.com/open?id=1lCQIP6NcvtwOI3Qp-ygztSrRYNle8Fno" TargetMode="External"/><Relationship Id="rId177" Type="http://schemas.openxmlformats.org/officeDocument/2006/relationships/hyperlink" Target="https://drive.google.com/open?id=1Mty3rxcbLKf2IeeWugKzvR_8RUp42v3Y" TargetMode="External"/><Relationship Id="rId384" Type="http://schemas.openxmlformats.org/officeDocument/2006/relationships/hyperlink" Target="https://drive.google.com/open?id=1EEn3-aKrMe4UR2gUR2znSArjTP68kM0u" TargetMode="External"/><Relationship Id="rId591" Type="http://schemas.openxmlformats.org/officeDocument/2006/relationships/hyperlink" Target="https://drive.google.com/open?id=1FrmD4FrVsbwjfv3n3SsjPWzxbBvJl3aH" TargetMode="External"/><Relationship Id="rId605" Type="http://schemas.openxmlformats.org/officeDocument/2006/relationships/hyperlink" Target="https://drive.google.com/open?id=1Ag7a8-iLv_jbwDS4g5LMfd_Qm1mYghCP" TargetMode="External"/><Relationship Id="rId812" Type="http://schemas.openxmlformats.org/officeDocument/2006/relationships/hyperlink" Target="https://drive.google.com/open?id=1oATV4z38uVsk4DRsCVGk1JQtK1jyN3h9" TargetMode="External"/><Relationship Id="rId1028" Type="http://schemas.openxmlformats.org/officeDocument/2006/relationships/hyperlink" Target="https://drive.google.com/open?id=1zG2hfJx1FiAxx-aMGpfLompju4QVYhBE" TargetMode="External"/><Relationship Id="rId1235" Type="http://schemas.openxmlformats.org/officeDocument/2006/relationships/hyperlink" Target="https://drive.google.com/open?id=1OMYU9aO2e5oGVHpE80UbbKtuVvO-SPuR" TargetMode="External"/><Relationship Id="rId244" Type="http://schemas.openxmlformats.org/officeDocument/2006/relationships/hyperlink" Target="https://drive.google.com/open?id=1KVm4N3gzrXfXIagHc0ay7TGiDHr14cyf" TargetMode="External"/><Relationship Id="rId689" Type="http://schemas.openxmlformats.org/officeDocument/2006/relationships/hyperlink" Target="https://drive.google.com/open?id=18tx_x8oqHtl_mYiqbPjDtWxVUocIfhOG" TargetMode="External"/><Relationship Id="rId896" Type="http://schemas.openxmlformats.org/officeDocument/2006/relationships/hyperlink" Target="https://drive.google.com/open?id=1d0KR6IQNBkDE-A4-SJmWZRoAXQxrhI1_" TargetMode="External"/><Relationship Id="rId1081" Type="http://schemas.openxmlformats.org/officeDocument/2006/relationships/hyperlink" Target="https://drive.google.com/open?id=16FQHEBK1Sq5igP7cNRw9fRLyPnYvM-ms" TargetMode="External"/><Relationship Id="rId1302" Type="http://schemas.openxmlformats.org/officeDocument/2006/relationships/hyperlink" Target="https://drive.google.com/open?id=1X1i0BWIEiZUQ6fk01-qqsazvTIQhfUSp" TargetMode="External"/><Relationship Id="rId39" Type="http://schemas.openxmlformats.org/officeDocument/2006/relationships/hyperlink" Target="https://drive.google.com/open?id=1t2RW8Ou2_Z21Ub-FmXX3n8O8MdXYovhZ" TargetMode="External"/><Relationship Id="rId451" Type="http://schemas.openxmlformats.org/officeDocument/2006/relationships/hyperlink" Target="https://drive.google.com/open?id=15KfSnOojoq7cgldAyhisNnYZCXghX_TB" TargetMode="External"/><Relationship Id="rId549" Type="http://schemas.openxmlformats.org/officeDocument/2006/relationships/hyperlink" Target="https://drive.google.com/open?id=1Om5mTkeCm46j56W_vD94EOFJ_nV1AU5X" TargetMode="External"/><Relationship Id="rId756" Type="http://schemas.openxmlformats.org/officeDocument/2006/relationships/hyperlink" Target="https://drive.google.com/open?id=1aq0xsrL_B-iQeN4e4rF3P7OQXUecsNFJ" TargetMode="External"/><Relationship Id="rId1179" Type="http://schemas.openxmlformats.org/officeDocument/2006/relationships/hyperlink" Target="https://drive.google.com/open?id=1IChILDybsyCgmiy0xTgwZRQRNyD1L1iM" TargetMode="External"/><Relationship Id="rId104" Type="http://schemas.openxmlformats.org/officeDocument/2006/relationships/hyperlink" Target="https://drive.google.com/open?id=1bH4XKH46QEMsaBFlfL864MyY17Fp4rhR" TargetMode="External"/><Relationship Id="rId188" Type="http://schemas.openxmlformats.org/officeDocument/2006/relationships/hyperlink" Target="https://drive.google.com/open?id=1fgbpRkkKznyY-PKI5Dnda_W7Byo0CdFa" TargetMode="External"/><Relationship Id="rId311" Type="http://schemas.openxmlformats.org/officeDocument/2006/relationships/hyperlink" Target="https://drive.google.com/open?id=14_zULZ6Hd6xjm0n-EZCNgOfM0U3palZz" TargetMode="External"/><Relationship Id="rId395" Type="http://schemas.openxmlformats.org/officeDocument/2006/relationships/hyperlink" Target="https://drive.google.com/open?id=1KaG8ifl87vZVdinj78aAvxxBCvmdzON0" TargetMode="External"/><Relationship Id="rId409" Type="http://schemas.openxmlformats.org/officeDocument/2006/relationships/hyperlink" Target="https://drive.google.com/open?id=1YxvWo0-QXKLcKQzguE7dv8y65JIh9gKX" TargetMode="External"/><Relationship Id="rId963" Type="http://schemas.openxmlformats.org/officeDocument/2006/relationships/hyperlink" Target="https://drive.google.com/open?id=1W3oP3DP3rBsp9RzvPebwIkHwjDigEuNA" TargetMode="External"/><Relationship Id="rId1039" Type="http://schemas.openxmlformats.org/officeDocument/2006/relationships/hyperlink" Target="https://drive.google.com/open?id=1D9VJrTOe4CseoWGyhcXBEAT02CSp62P6" TargetMode="External"/><Relationship Id="rId1246" Type="http://schemas.openxmlformats.org/officeDocument/2006/relationships/hyperlink" Target="https://drive.google.com/open?id=17Xyl8xQNFxBtNZKVP87TJtmMU77hgaS-" TargetMode="External"/><Relationship Id="rId92" Type="http://schemas.openxmlformats.org/officeDocument/2006/relationships/hyperlink" Target="https://drive.google.com/open?id=1nv45MlqTCMcGUrLqupfue2-EpTWrTG8c" TargetMode="External"/><Relationship Id="rId616" Type="http://schemas.openxmlformats.org/officeDocument/2006/relationships/hyperlink" Target="https://drive.google.com/open?id=1GZ6HmXd0Z96Lgo4uEZ3qL3WT5kxQ6Pde" TargetMode="External"/><Relationship Id="rId823" Type="http://schemas.openxmlformats.org/officeDocument/2006/relationships/hyperlink" Target="https://drive.google.com/open?id=1BH-PRg3x3i8kT7ptfZj5TSMnBWA5QRY1" TargetMode="External"/><Relationship Id="rId255" Type="http://schemas.openxmlformats.org/officeDocument/2006/relationships/hyperlink" Target="https://drive.google.com/open?id=1QnUhsVy-V9By4eiuivhfai7KsnOFOEpg" TargetMode="External"/><Relationship Id="rId462" Type="http://schemas.openxmlformats.org/officeDocument/2006/relationships/hyperlink" Target="https://drive.google.com/open?id=1TUDXE9LzcTF8LfMkXxNqJqzwyfWVxVjM" TargetMode="External"/><Relationship Id="rId1092" Type="http://schemas.openxmlformats.org/officeDocument/2006/relationships/hyperlink" Target="https://drive.google.com/open?id=191m4Py2VmJsLXOuKESJH2Y4SC417zdZa" TargetMode="External"/><Relationship Id="rId1106" Type="http://schemas.openxmlformats.org/officeDocument/2006/relationships/hyperlink" Target="https://drive.google.com/open?id=17S0nuZ621-AqdZ9vMxAoKdI3ofBUA95x" TargetMode="External"/><Relationship Id="rId1313" Type="http://schemas.openxmlformats.org/officeDocument/2006/relationships/hyperlink" Target="https://drive.google.com/open?id=1cebBPJw2Cag9Y_PrtgN1o5PEGewL-_M-" TargetMode="External"/><Relationship Id="rId115" Type="http://schemas.openxmlformats.org/officeDocument/2006/relationships/hyperlink" Target="https://drive.google.com/open?id=1rf12jICt3hys1pme1JN7hTvyeY64jQ6o" TargetMode="External"/><Relationship Id="rId322" Type="http://schemas.openxmlformats.org/officeDocument/2006/relationships/hyperlink" Target="https://drive.google.com/open?id=1MiDY-YLGQZZKBUxNOYnsMV3T58qcYnWx" TargetMode="External"/><Relationship Id="rId767" Type="http://schemas.openxmlformats.org/officeDocument/2006/relationships/hyperlink" Target="https://drive.google.com/open?id=1hPgl68HaJ-zzV1WqFQtYWNEhmfy5PCLs" TargetMode="External"/><Relationship Id="rId974" Type="http://schemas.openxmlformats.org/officeDocument/2006/relationships/hyperlink" Target="https://drive.google.com/open?id=1k94jScnUdPRAllKESfy-MISeNFGATh6u" TargetMode="External"/><Relationship Id="rId199" Type="http://schemas.openxmlformats.org/officeDocument/2006/relationships/hyperlink" Target="https://drive.google.com/open?id=1sBRIOvnXlhUEOwhmWjBi2OIKVVyG4RDh" TargetMode="External"/><Relationship Id="rId627" Type="http://schemas.openxmlformats.org/officeDocument/2006/relationships/hyperlink" Target="https://drive.google.com/open?id=1UtdWvpvtlF3ujQ68A99h3BMwzhOk8LTf" TargetMode="External"/><Relationship Id="rId834" Type="http://schemas.openxmlformats.org/officeDocument/2006/relationships/hyperlink" Target="https://drive.google.com/open?id=1cSM7x8o4W_E3LFnpiS_Jm2WLq9tnhRZ2" TargetMode="External"/><Relationship Id="rId1257" Type="http://schemas.openxmlformats.org/officeDocument/2006/relationships/hyperlink" Target="https://drive.google.com/open?id=1i71iub01sPYIBOcM1Koogh6BbkGyxtuM" TargetMode="External"/><Relationship Id="rId266" Type="http://schemas.openxmlformats.org/officeDocument/2006/relationships/hyperlink" Target="https://drive.google.com/open?id=1Dzwq6M6F0MneFVTbr_uNPH4It9kXbuBR" TargetMode="External"/><Relationship Id="rId473" Type="http://schemas.openxmlformats.org/officeDocument/2006/relationships/hyperlink" Target="https://drive.google.com/open?id=1nafLwFRJBG-q1nNRHwDX29EsbpCu0eL7" TargetMode="External"/><Relationship Id="rId680" Type="http://schemas.openxmlformats.org/officeDocument/2006/relationships/hyperlink" Target="https://drive.google.com/open?id=1qP9qZmE22ppsqqe3S3RAkzkCzz1VlT7d" TargetMode="External"/><Relationship Id="rId901" Type="http://schemas.openxmlformats.org/officeDocument/2006/relationships/hyperlink" Target="https://drive.google.com/open?id=1mYUOK3K-F97GEKgt0CtUJvMCj1Ut9iVR" TargetMode="External"/><Relationship Id="rId1117" Type="http://schemas.openxmlformats.org/officeDocument/2006/relationships/hyperlink" Target="https://drive.google.com/open?id=1qID5BX52jnZtKx535FHOvcM-YdZpLWUB" TargetMode="External"/><Relationship Id="rId1324" Type="http://schemas.openxmlformats.org/officeDocument/2006/relationships/hyperlink" Target="https://drive.google.com/open?id=1OMYU9aO2e5oGVHpE80UbbKtuVvO-SPuR" TargetMode="External"/><Relationship Id="rId30" Type="http://schemas.openxmlformats.org/officeDocument/2006/relationships/hyperlink" Target="https://drive.google.com/open?id=1JdfIuSWEbOy-mVPSaH9DMtIU1XBJuDkC" TargetMode="External"/><Relationship Id="rId126" Type="http://schemas.openxmlformats.org/officeDocument/2006/relationships/hyperlink" Target="https://drive.google.com/open?id=1BgGg5XwToZYoBNupMBn0U5mPe5X9DExJ" TargetMode="External"/><Relationship Id="rId333" Type="http://schemas.openxmlformats.org/officeDocument/2006/relationships/hyperlink" Target="https://drive.google.com/open?id=1iMgoMdOng_18ssDd4lHi-8f00MaO0xdx" TargetMode="External"/><Relationship Id="rId540" Type="http://schemas.openxmlformats.org/officeDocument/2006/relationships/hyperlink" Target="https://drive.google.com/open?id=1z3bh4S-82Zij-0NQjhYOYn9onXj1uIj5" TargetMode="External"/><Relationship Id="rId778" Type="http://schemas.openxmlformats.org/officeDocument/2006/relationships/hyperlink" Target="https://drive.google.com/open?id=1kUCKamDQvSydly64EJmnG0x75hW8ZcJl" TargetMode="External"/><Relationship Id="rId985" Type="http://schemas.openxmlformats.org/officeDocument/2006/relationships/hyperlink" Target="https://drive.google.com/open?id=10iRRL6oYzg9D17zZeW0XqU0pOWWcmdi0" TargetMode="External"/><Relationship Id="rId1170" Type="http://schemas.openxmlformats.org/officeDocument/2006/relationships/hyperlink" Target="https://drive.google.com/open?id=1xrvdPblNZdieK7Tl45AKSy8hEruk14kh" TargetMode="External"/><Relationship Id="rId638" Type="http://schemas.openxmlformats.org/officeDocument/2006/relationships/hyperlink" Target="https://drive.google.com/open?id=1Ajs9l4X8WbxrWo2002eOfyCA9CGdMv9p" TargetMode="External"/><Relationship Id="rId845" Type="http://schemas.openxmlformats.org/officeDocument/2006/relationships/hyperlink" Target="https://drive.google.com/open?id=1lSazFEIzDqFFXObzM2CoBuKoIgGVlXCw" TargetMode="External"/><Relationship Id="rId1030" Type="http://schemas.openxmlformats.org/officeDocument/2006/relationships/hyperlink" Target="https://drive.google.com/open?id=1syo7UaH687D-JpxJyPvut1j1pK3BMbje" TargetMode="External"/><Relationship Id="rId1268" Type="http://schemas.openxmlformats.org/officeDocument/2006/relationships/hyperlink" Target="https://drive.google.com/open?id=1IChILDybsyCgmiy0xTgwZRQRNyD1L1iM" TargetMode="External"/><Relationship Id="rId277" Type="http://schemas.openxmlformats.org/officeDocument/2006/relationships/hyperlink" Target="https://drive.google.com/open?id=1QcqfuFaHa6H053vRvriHTe-x9DfBwCd5" TargetMode="External"/><Relationship Id="rId400" Type="http://schemas.openxmlformats.org/officeDocument/2006/relationships/hyperlink" Target="https://drive.google.com/open?id=1jMO4xex9aLpQ4Gd4CThhIclPonr9dDQn" TargetMode="External"/><Relationship Id="rId484" Type="http://schemas.openxmlformats.org/officeDocument/2006/relationships/hyperlink" Target="https://drive.google.com/open?id=1buShck1TZ1p1G5nDkhqST59D4U3bZYLH" TargetMode="External"/><Relationship Id="rId705" Type="http://schemas.openxmlformats.org/officeDocument/2006/relationships/hyperlink" Target="https://drive.google.com/open?id=1YRzFQEBgsDlYrmKJpQZK7rihv1Ts_b0I" TargetMode="External"/><Relationship Id="rId1128" Type="http://schemas.openxmlformats.org/officeDocument/2006/relationships/hyperlink" Target="https://drive.google.com/open?id=1IXNg6qLnKfWsK2iqSCIwl14UWLZf5Gng" TargetMode="External"/><Relationship Id="rId1335" Type="http://schemas.openxmlformats.org/officeDocument/2006/relationships/hyperlink" Target="https://drive.google.com/open?id=17Xyl8xQNFxBtNZKVP87TJtmMU77hgaS-" TargetMode="External"/><Relationship Id="rId137" Type="http://schemas.openxmlformats.org/officeDocument/2006/relationships/hyperlink" Target="https://drive.google.com/open?id=1LuMxZ-WwCiFoEhTdZYsi4aKvomUYNSG1" TargetMode="External"/><Relationship Id="rId344" Type="http://schemas.openxmlformats.org/officeDocument/2006/relationships/hyperlink" Target="https://drive.google.com/open?id=17N3BeMW8Hmh9A0Hdl076geARXIkgtdJg" TargetMode="External"/><Relationship Id="rId691" Type="http://schemas.openxmlformats.org/officeDocument/2006/relationships/hyperlink" Target="https://drive.google.com/open?id=1MMJqoGur-eMCf_7hAzgs-uyOed9kNdHH" TargetMode="External"/><Relationship Id="rId789" Type="http://schemas.openxmlformats.org/officeDocument/2006/relationships/hyperlink" Target="http://1stop.ai/" TargetMode="External"/><Relationship Id="rId912" Type="http://schemas.openxmlformats.org/officeDocument/2006/relationships/hyperlink" Target="https://drive.google.com/open?id=11dwcyzHKey-Qjswz26kVyFcRmb_znhxm" TargetMode="External"/><Relationship Id="rId996" Type="http://schemas.openxmlformats.org/officeDocument/2006/relationships/hyperlink" Target="https://drive.google.com/open?id=1Wd9ZHAz5yyCDZGziuamZ_KhEPJWFqAfM" TargetMode="External"/><Relationship Id="rId41" Type="http://schemas.openxmlformats.org/officeDocument/2006/relationships/hyperlink" Target="https://drive.google.com/open?id=17F5rPbYSDTPITykm_JNA5_0jp_oZ9XnU" TargetMode="External"/><Relationship Id="rId551" Type="http://schemas.openxmlformats.org/officeDocument/2006/relationships/hyperlink" Target="https://drive.google.com/open?id=1xt5LEu5bBb-4_0oISAlYRhZxRlhgQLfX" TargetMode="External"/><Relationship Id="rId649" Type="http://schemas.openxmlformats.org/officeDocument/2006/relationships/hyperlink" Target="https://drive.google.com/open?id=1KloXdaVGNkXol7VQk2g9ENDnLuu-Zmt5" TargetMode="External"/><Relationship Id="rId856" Type="http://schemas.openxmlformats.org/officeDocument/2006/relationships/hyperlink" Target="https://drive.google.com/open?id=1yOJySaImIeqzV8zvtN7zLCZ8rTzC6P4y" TargetMode="External"/><Relationship Id="rId1181" Type="http://schemas.openxmlformats.org/officeDocument/2006/relationships/hyperlink" Target="https://drive.google.com/open?id=1TLVMJLG3Vte-wTocvZp7D-Nq3kFNHmd-" TargetMode="External"/><Relationship Id="rId1279" Type="http://schemas.openxmlformats.org/officeDocument/2006/relationships/hyperlink" Target="https://drive.google.com/open?id=1DUtRjF0FYTBKwAhrHP_jsOTf3dXMYtNp" TargetMode="External"/><Relationship Id="rId190" Type="http://schemas.openxmlformats.org/officeDocument/2006/relationships/hyperlink" Target="https://drive.google.com/open?id=1Q2FKudakYyie6V-kEbVzxtvuNVTgPpRj" TargetMode="External"/><Relationship Id="rId204" Type="http://schemas.openxmlformats.org/officeDocument/2006/relationships/hyperlink" Target="https://drive.google.com/open?id=1_AmuudImeuAke-60a-pwhO2xVaxGX9rn" TargetMode="External"/><Relationship Id="rId288" Type="http://schemas.openxmlformats.org/officeDocument/2006/relationships/hyperlink" Target="https://drive.google.com/open?id=1_x0w13DUxgU5mRVbSDHa4RMMIgT0_CiY" TargetMode="External"/><Relationship Id="rId411" Type="http://schemas.openxmlformats.org/officeDocument/2006/relationships/hyperlink" Target="https://drive.google.com/open?id=1iO3XouAEkbdhcbi2x1DPtekEr2EXacSH" TargetMode="External"/><Relationship Id="rId509" Type="http://schemas.openxmlformats.org/officeDocument/2006/relationships/hyperlink" Target="https://drive.google.com/open?id=1JTnzJnLZbGd66fe_TL_fryOq94tevmAZ" TargetMode="External"/><Relationship Id="rId1041" Type="http://schemas.openxmlformats.org/officeDocument/2006/relationships/hyperlink" Target="https://drive.google.com/open?id=19pm2_Q5iWB3TaA9W5JNLMBYNbUk4cqmc" TargetMode="External"/><Relationship Id="rId1139" Type="http://schemas.openxmlformats.org/officeDocument/2006/relationships/hyperlink" Target="https://drive.google.com/open?id=19V65fDAsmzYsKtW_7ul6jlT-GZPbdWXF" TargetMode="External"/><Relationship Id="rId495" Type="http://schemas.openxmlformats.org/officeDocument/2006/relationships/hyperlink" Target="https://drive.google.com/open?id=1SQnF_8DCN91WHC55Or2_3svZTsc2qfWR" TargetMode="External"/><Relationship Id="rId716" Type="http://schemas.openxmlformats.org/officeDocument/2006/relationships/hyperlink" Target="https://drive.google.com/open?id=12XH5RrfL2FOuXr7u4fG9Rx1Bs1pYuF3w" TargetMode="External"/><Relationship Id="rId923" Type="http://schemas.openxmlformats.org/officeDocument/2006/relationships/hyperlink" Target="https://drive.google.com/open?id=1BM7zfaq9nhB2UA45kz0lUnEv5gHDG3Gd" TargetMode="External"/><Relationship Id="rId52" Type="http://schemas.openxmlformats.org/officeDocument/2006/relationships/hyperlink" Target="https://drive.google.com/open?id=1TQNt9O5qvayRmvqgmj3pkfr5flOfdDtl" TargetMode="External"/><Relationship Id="rId148" Type="http://schemas.openxmlformats.org/officeDocument/2006/relationships/hyperlink" Target="https://drive.google.com/open?id=1GDwNFQwwbcvfERxsS__5FKPalkASwhN9" TargetMode="External"/><Relationship Id="rId355" Type="http://schemas.openxmlformats.org/officeDocument/2006/relationships/hyperlink" Target="https://drive.google.com/open?id=15XHduGDa7PgoZDaYpRg4GrCbAe0JtMuG" TargetMode="External"/><Relationship Id="rId562" Type="http://schemas.openxmlformats.org/officeDocument/2006/relationships/hyperlink" Target="https://drive.google.com/open?id=1Ctfpt_XIN9hAYn3bHXijID1hrcsz-gMV" TargetMode="External"/><Relationship Id="rId1192" Type="http://schemas.openxmlformats.org/officeDocument/2006/relationships/hyperlink" Target="https://drive.google.com/open?id=1bsMiDlZDRBWq4-h5hseMgfcMaG09BRWx" TargetMode="External"/><Relationship Id="rId1206" Type="http://schemas.openxmlformats.org/officeDocument/2006/relationships/hyperlink" Target="https://drive.google.com/open?id=1UQv-1XseNPEtsjbnCm_DGGa2REEN7v9Q" TargetMode="External"/><Relationship Id="rId215" Type="http://schemas.openxmlformats.org/officeDocument/2006/relationships/hyperlink" Target="https://drive.google.com/open?id=1SHO-5VD9JUEPjog22cWO832kaqajphQy" TargetMode="External"/><Relationship Id="rId422" Type="http://schemas.openxmlformats.org/officeDocument/2006/relationships/hyperlink" Target="https://drive.google.com/open?id=1vT3ht79J_rL3R2Y6cNERNbj2zqtKCjbQ" TargetMode="External"/><Relationship Id="rId867" Type="http://schemas.openxmlformats.org/officeDocument/2006/relationships/hyperlink" Target="https://drive.google.com/open?id=1ULzhn86Os22MLlFB0nnAUp6trn1SlqXA" TargetMode="External"/><Relationship Id="rId1052" Type="http://schemas.openxmlformats.org/officeDocument/2006/relationships/hyperlink" Target="https://drive.google.com/open?id=1RiYNFJLyXRcHF4OU9iWJ_kKYyQDAByBf" TargetMode="External"/><Relationship Id="rId299" Type="http://schemas.openxmlformats.org/officeDocument/2006/relationships/hyperlink" Target="https://drive.google.com/open?id=1wr-9g-h1nNPln7TH18Vd8LrJ__ulov_d" TargetMode="External"/><Relationship Id="rId727" Type="http://schemas.openxmlformats.org/officeDocument/2006/relationships/hyperlink" Target="https://drive.google.com/open?id=1MyCa2fivlqQ7bcs1S2McWuvIsY-7DS9G" TargetMode="External"/><Relationship Id="rId934" Type="http://schemas.openxmlformats.org/officeDocument/2006/relationships/hyperlink" Target="https://drive.google.com/open?id=1A-N-7jEjlW6kHxSpgtnAohojK6S_jEE3" TargetMode="External"/><Relationship Id="rId63" Type="http://schemas.openxmlformats.org/officeDocument/2006/relationships/hyperlink" Target="https://drive.google.com/open?id=1nfPh1Cv_7Q_0fIvYBaESrOMN0havByVR" TargetMode="External"/><Relationship Id="rId159" Type="http://schemas.openxmlformats.org/officeDocument/2006/relationships/hyperlink" Target="https://drive.google.com/open?id=1DNSPS149gUyqLMTKWt0qSnJScql9abxN" TargetMode="External"/><Relationship Id="rId366" Type="http://schemas.openxmlformats.org/officeDocument/2006/relationships/hyperlink" Target="https://drive.google.com/open?id=12i9WYJZrumjVke4Oq75AvPlAIc806ql5" TargetMode="External"/><Relationship Id="rId573" Type="http://schemas.openxmlformats.org/officeDocument/2006/relationships/hyperlink" Target="https://drive.google.com/open?id=18pgc0gm0hmGPJP9oH8JCJDHPND5ntMnR" TargetMode="External"/><Relationship Id="rId780" Type="http://schemas.openxmlformats.org/officeDocument/2006/relationships/hyperlink" Target="https://drive.google.com/open?id=16PngkmY2MrkDIn-g-e6sl8BNXl8J7Lpi" TargetMode="External"/><Relationship Id="rId1217" Type="http://schemas.openxmlformats.org/officeDocument/2006/relationships/hyperlink" Target="https://drive.google.com/open?id=1gDbmkgWMEq04Q5zhILe0mPyQGDKe69Rx" TargetMode="External"/><Relationship Id="rId226" Type="http://schemas.openxmlformats.org/officeDocument/2006/relationships/hyperlink" Target="https://drive.google.com/open?id=1w0iKuQmyjwGbJ7rYkESG66j1--K7Kw9x" TargetMode="External"/><Relationship Id="rId433" Type="http://schemas.openxmlformats.org/officeDocument/2006/relationships/hyperlink" Target="https://drive.google.com/open?id=11bQE7iUqWXnUTU6vjyfJICAwQh-lTG5q" TargetMode="External"/><Relationship Id="rId878" Type="http://schemas.openxmlformats.org/officeDocument/2006/relationships/hyperlink" Target="https://drive.google.com/open?id=1nH8TaKBldh6ZDc0sW1vjSxEoDNNHr6gI" TargetMode="External"/><Relationship Id="rId1063" Type="http://schemas.openxmlformats.org/officeDocument/2006/relationships/hyperlink" Target="https://drive.google.com/open?id=1RZJGkxLxMIWCLo4siZnkp-f5pBgLSxfj" TargetMode="External"/><Relationship Id="rId1270" Type="http://schemas.openxmlformats.org/officeDocument/2006/relationships/hyperlink" Target="https://drive.google.com/open?id=1TLVMJLG3Vte-wTocvZp7D-Nq3kFNHmd-" TargetMode="External"/><Relationship Id="rId640" Type="http://schemas.openxmlformats.org/officeDocument/2006/relationships/hyperlink" Target="https://drive.google.com/open?id=16oKlg_rKMdoqmLF-Q6oHHqpa3u5Ey7al" TargetMode="External"/><Relationship Id="rId738" Type="http://schemas.openxmlformats.org/officeDocument/2006/relationships/hyperlink" Target="https://drive.google.com/open?id=1g39anyffvpUh0R9NdOuTGXraa6W7E7g-" TargetMode="External"/><Relationship Id="rId945" Type="http://schemas.openxmlformats.org/officeDocument/2006/relationships/hyperlink" Target="https://drive.google.com/open?id=1asfdN6lSuj55iV4vkzAY9juwk-RRH0uu" TargetMode="External"/><Relationship Id="rId74" Type="http://schemas.openxmlformats.org/officeDocument/2006/relationships/hyperlink" Target="https://drive.google.com/open?id=1nCmT-2MVzYJ2cSjKXQ-RXQr60oPUlD_K" TargetMode="External"/><Relationship Id="rId377" Type="http://schemas.openxmlformats.org/officeDocument/2006/relationships/hyperlink" Target="https://drive.google.com/open?id=1TA671kxGBe6lEKNctxZgT38P8oIqNMJb" TargetMode="External"/><Relationship Id="rId500" Type="http://schemas.openxmlformats.org/officeDocument/2006/relationships/hyperlink" Target="https://drive.google.com/open?id=1N7m8oEXhRnGzxG2-xw3itirH2SvkA6r9" TargetMode="External"/><Relationship Id="rId584" Type="http://schemas.openxmlformats.org/officeDocument/2006/relationships/hyperlink" Target="https://drive.google.com/open?id=1GbkxbsFGmye-z56y_xPiRNG9eToM2ch7" TargetMode="External"/><Relationship Id="rId805" Type="http://schemas.openxmlformats.org/officeDocument/2006/relationships/hyperlink" Target="https://drive.google.com/open?id=1BKGViztp3IVXKGp0QsPQ8GzQD5egv4tn" TargetMode="External"/><Relationship Id="rId1130" Type="http://schemas.openxmlformats.org/officeDocument/2006/relationships/hyperlink" Target="https://drive.google.com/open?id=1DJ9AuQ01JXB1hfVVa6krufEJTLEmmFqF" TargetMode="External"/><Relationship Id="rId1228" Type="http://schemas.openxmlformats.org/officeDocument/2006/relationships/hyperlink" Target="https://drive.google.com/open?id=1msBWVmdG51966EXk0B4Mv4FHLbIxwHRY" TargetMode="External"/><Relationship Id="rId5" Type="http://schemas.openxmlformats.org/officeDocument/2006/relationships/hyperlink" Target="https://drive.google.com/open?id=1ifa6yjOXG4TtdUNUSfZBrITLDK4L2_f0" TargetMode="External"/><Relationship Id="rId237" Type="http://schemas.openxmlformats.org/officeDocument/2006/relationships/hyperlink" Target="https://drive.google.com/open?id=1IqL4FoPNCX1j8hfwDq8zIaDgZf34hk3P" TargetMode="External"/><Relationship Id="rId791" Type="http://schemas.openxmlformats.org/officeDocument/2006/relationships/hyperlink" Target="https://drive.google.com/open?id=1hBqV4sg4Pw3O_UkYZNPEOc25dVaFCQ2c" TargetMode="External"/><Relationship Id="rId889" Type="http://schemas.openxmlformats.org/officeDocument/2006/relationships/hyperlink" Target="https://drive.google.com/open?id=1YP4_waRixUhOZpsEhOc70FDSoErnVSsW" TargetMode="External"/><Relationship Id="rId1074" Type="http://schemas.openxmlformats.org/officeDocument/2006/relationships/hyperlink" Target="https://drive.google.com/open?id=13ZIfIPothsMAgPWvm_xwT_qHdQfFypAW" TargetMode="External"/><Relationship Id="rId444" Type="http://schemas.openxmlformats.org/officeDocument/2006/relationships/hyperlink" Target="https://drive.google.com/open?id=1kJPv0I6H9Kk9nyK1ZXr0M2XPCPxfRoTd" TargetMode="External"/><Relationship Id="rId651" Type="http://schemas.openxmlformats.org/officeDocument/2006/relationships/hyperlink" Target="https://drive.google.com/open?id=1gKXf64OaYsX91n6YGp_dwGAQ9rb5W9na" TargetMode="External"/><Relationship Id="rId749" Type="http://schemas.openxmlformats.org/officeDocument/2006/relationships/hyperlink" Target="https://drive.google.com/open?id=1zjAe8X2zfPzNCJ-qrVbm0yKxYzq2Ms1A" TargetMode="External"/><Relationship Id="rId1281" Type="http://schemas.openxmlformats.org/officeDocument/2006/relationships/hyperlink" Target="https://drive.google.com/open?id=1bsMiDlZDRBWq4-h5hseMgfcMaG09BRWx" TargetMode="External"/><Relationship Id="rId290" Type="http://schemas.openxmlformats.org/officeDocument/2006/relationships/hyperlink" Target="https://drive.google.com/open?id=1vZ6h6NmWY4HXvyOSIHu-uiERHOWH-pa3" TargetMode="External"/><Relationship Id="rId304" Type="http://schemas.openxmlformats.org/officeDocument/2006/relationships/hyperlink" Target="https://drive.google.com/open?id=1MX5GaLHjFSuq5PDC4RNThxuwL5EraFCr" TargetMode="External"/><Relationship Id="rId388" Type="http://schemas.openxmlformats.org/officeDocument/2006/relationships/hyperlink" Target="https://drive.google.com/open?id=1NpMNOiwnBkrEYraqidO1Z-98GkhJaxhJ" TargetMode="External"/><Relationship Id="rId511" Type="http://schemas.openxmlformats.org/officeDocument/2006/relationships/hyperlink" Target="https://drive.google.com/open?id=13jDW6BHQVmmW42YSPFBqxRreQFVJWysf" TargetMode="External"/><Relationship Id="rId609" Type="http://schemas.openxmlformats.org/officeDocument/2006/relationships/hyperlink" Target="https://drive.google.com/open?id=1GYI3beS34UKdwNxyKDCVgA7e5RJ2y8RA" TargetMode="External"/><Relationship Id="rId956" Type="http://schemas.openxmlformats.org/officeDocument/2006/relationships/hyperlink" Target="https://drive.google.com/open?id=1YYUrz4lf5EsBXTEPXNdUQAuk65vmtV5M" TargetMode="External"/><Relationship Id="rId1141" Type="http://schemas.openxmlformats.org/officeDocument/2006/relationships/hyperlink" Target="https://drive.google.com/open?id=1ICG5ETUUMpFPZmUS2biNZdsjGYFpT4m6" TargetMode="External"/><Relationship Id="rId1239" Type="http://schemas.openxmlformats.org/officeDocument/2006/relationships/hyperlink" Target="https://drive.google.com/open?id=1l7KFUu-g2M5J8Qrkjw4GQKVPhWKr5RYW" TargetMode="External"/><Relationship Id="rId85" Type="http://schemas.openxmlformats.org/officeDocument/2006/relationships/hyperlink" Target="https://drive.google.com/open?id=1hifjuFihTXKbIiF-5nCra9V0PPc36URt" TargetMode="External"/><Relationship Id="rId150" Type="http://schemas.openxmlformats.org/officeDocument/2006/relationships/hyperlink" Target="https://drive.google.com/open?id=15m24HTsvhmCHTfpddNph-bNu08e1k0k_" TargetMode="External"/><Relationship Id="rId595" Type="http://schemas.openxmlformats.org/officeDocument/2006/relationships/hyperlink" Target="https://drive.google.com/open?id=1hxMUQFll5RKAmvU_5YVnns8Ot4gix8Ew" TargetMode="External"/><Relationship Id="rId816" Type="http://schemas.openxmlformats.org/officeDocument/2006/relationships/hyperlink" Target="https://drive.google.com/open?id=1OD1v1NPhwpIGDw1egj5-f8gTMb_M7LZF" TargetMode="External"/><Relationship Id="rId1001" Type="http://schemas.openxmlformats.org/officeDocument/2006/relationships/hyperlink" Target="https://drive.google.com/open?id=1tXo0HN5OLkUMNJa9xtUoZ2zzgNTuxps5" TargetMode="External"/><Relationship Id="rId248" Type="http://schemas.openxmlformats.org/officeDocument/2006/relationships/hyperlink" Target="https://drive.google.com/open?id=1zvZKnreh3OXHMk5VhsXTjp2KaWv929to" TargetMode="External"/><Relationship Id="rId455" Type="http://schemas.openxmlformats.org/officeDocument/2006/relationships/hyperlink" Target="https://drive.google.com/open?id=1tDOHp__OtFWbzJDmUCm6oh-7tDAAm6WE" TargetMode="External"/><Relationship Id="rId662" Type="http://schemas.openxmlformats.org/officeDocument/2006/relationships/hyperlink" Target="https://drive.google.com/open?id=1sGwuj9VRKy0EKAY8yVgQ1Dcof6o5oKcu" TargetMode="External"/><Relationship Id="rId1085" Type="http://schemas.openxmlformats.org/officeDocument/2006/relationships/hyperlink" Target="https://drive.google.com/open?id=1vIBeMPhSVPqi4P2p2StgeIVMPCBYCVJX" TargetMode="External"/><Relationship Id="rId1292" Type="http://schemas.openxmlformats.org/officeDocument/2006/relationships/hyperlink" Target="https://drive.google.com/open?id=1EDcPrN2JzsFd4R7QWV2jFMn4R53gDygq" TargetMode="External"/><Relationship Id="rId1306" Type="http://schemas.openxmlformats.org/officeDocument/2006/relationships/hyperlink" Target="https://drive.google.com/open?id=1gDbmkgWMEq04Q5zhILe0mPyQGDKe69Rx" TargetMode="External"/><Relationship Id="rId12" Type="http://schemas.openxmlformats.org/officeDocument/2006/relationships/hyperlink" Target="https://drive.google.com/open?id=1RgZ80kmSdlvQtzc3UJScqGgKGkzKnbfI" TargetMode="External"/><Relationship Id="rId108" Type="http://schemas.openxmlformats.org/officeDocument/2006/relationships/hyperlink" Target="https://drive.google.com/open?id=1Rv0duWK5org1VQf4Lv2k64_LZkKBgSPi" TargetMode="External"/><Relationship Id="rId315" Type="http://schemas.openxmlformats.org/officeDocument/2006/relationships/hyperlink" Target="https://drive.google.com/open?id=1DhXoFA1w4UZTLOmDgJtSJ8eYXX20ozee" TargetMode="External"/><Relationship Id="rId522" Type="http://schemas.openxmlformats.org/officeDocument/2006/relationships/hyperlink" Target="https://drive.google.com/open?id=1nw46DLHTIhvxTqAm5_dB1SW8mAcDAZgU" TargetMode="External"/><Relationship Id="rId967" Type="http://schemas.openxmlformats.org/officeDocument/2006/relationships/hyperlink" Target="https://drive.google.com/open?id=1jHinSiZ9D-5a7iuvZ8of0MssCzGQHKS6" TargetMode="External"/><Relationship Id="rId1152" Type="http://schemas.openxmlformats.org/officeDocument/2006/relationships/hyperlink" Target="https://drive.google.com/open?id=1RVHBo2QHs2bB2b0WTEiVrErGkm_Wjn46" TargetMode="External"/><Relationship Id="rId96" Type="http://schemas.openxmlformats.org/officeDocument/2006/relationships/hyperlink" Target="https://drive.google.com/open?id=1yr0kBqoZsc_zc9qQEBxEHDJokNdQsJKu" TargetMode="External"/><Relationship Id="rId161" Type="http://schemas.openxmlformats.org/officeDocument/2006/relationships/hyperlink" Target="https://drive.google.com/open?id=1fSSORdeD8acofYQiHurdHVIzDt6LzyPy" TargetMode="External"/><Relationship Id="rId399" Type="http://schemas.openxmlformats.org/officeDocument/2006/relationships/hyperlink" Target="https://drive.google.com/open?id=1DSJt6tFJ4O2jHUYmy6vh-Xa-G0Ke0L7V" TargetMode="External"/><Relationship Id="rId827" Type="http://schemas.openxmlformats.org/officeDocument/2006/relationships/hyperlink" Target="https://drive.google.com/open?id=1zIvJBF_xQ5S9qMEkM3UqEPmg3JTGPRFk" TargetMode="External"/><Relationship Id="rId1012" Type="http://schemas.openxmlformats.org/officeDocument/2006/relationships/hyperlink" Target="https://drive.google.com/open?id=1mQBFKyhqohX-jOzI2tnPUxJ-CqO5aJpf" TargetMode="External"/><Relationship Id="rId259" Type="http://schemas.openxmlformats.org/officeDocument/2006/relationships/hyperlink" Target="https://drive.google.com/open?id=1yH6xTcHoOf9YKgRhzLt1vsdSEVe9vBnF" TargetMode="External"/><Relationship Id="rId466" Type="http://schemas.openxmlformats.org/officeDocument/2006/relationships/hyperlink" Target="https://drive.google.com/open?id=1kQAU-tOs-0tvu_Vylj2B4e_FYdYkkup4" TargetMode="External"/><Relationship Id="rId673" Type="http://schemas.openxmlformats.org/officeDocument/2006/relationships/hyperlink" Target="https://drive.google.com/open?id=1ySydhHPSGF509jC_hYDhMEh1dGCh1YnY" TargetMode="External"/><Relationship Id="rId880" Type="http://schemas.openxmlformats.org/officeDocument/2006/relationships/hyperlink" Target="https://drive.google.com/open?id=1g1PPciummGlsJydx6Kye9TuF6hVVOtLV" TargetMode="External"/><Relationship Id="rId1096" Type="http://schemas.openxmlformats.org/officeDocument/2006/relationships/hyperlink" Target="https://drive.google.com/open?id=1E5XqRSmk05zWihTMLgZg6Ql9IoaxNiDl" TargetMode="External"/><Relationship Id="rId1317" Type="http://schemas.openxmlformats.org/officeDocument/2006/relationships/hyperlink" Target="https://drive.google.com/open?id=1msBWVmdG51966EXk0B4Mv4FHLbIxwHRY" TargetMode="External"/><Relationship Id="rId23" Type="http://schemas.openxmlformats.org/officeDocument/2006/relationships/hyperlink" Target="https://drive.google.com/open?id=1QIXtVuPtDJ-tn8Cng1QKSSt3CNyRaikQ" TargetMode="External"/><Relationship Id="rId119" Type="http://schemas.openxmlformats.org/officeDocument/2006/relationships/hyperlink" Target="https://drive.google.com/open?id=1nEPbTa1t2UWNNR8RZde4eRKLEX8WqBpZ" TargetMode="External"/><Relationship Id="rId326" Type="http://schemas.openxmlformats.org/officeDocument/2006/relationships/hyperlink" Target="https://drive.google.com/open?id=1XYSKZ49HqIeghBbtItkh5MlLKQtpA4P9" TargetMode="External"/><Relationship Id="rId533" Type="http://schemas.openxmlformats.org/officeDocument/2006/relationships/hyperlink" Target="https://drive.google.com/open?id=1i8HHuCsfFOoOcbEvNBTOAB_bxCKoXHKN" TargetMode="External"/><Relationship Id="rId978" Type="http://schemas.openxmlformats.org/officeDocument/2006/relationships/hyperlink" Target="https://drive.google.com/open?id=1Nf0dS9oKIfRUR7U6PeBNEFsfkp5dW3Sh" TargetMode="External"/><Relationship Id="rId1163" Type="http://schemas.openxmlformats.org/officeDocument/2006/relationships/hyperlink" Target="https://drive.google.com/open?id=1aWdn87-2tElC3hWhZB0tvAKUMOeNeY7x" TargetMode="External"/><Relationship Id="rId740" Type="http://schemas.openxmlformats.org/officeDocument/2006/relationships/hyperlink" Target="https://drive.google.com/open?id=1f6QUzmNI0NAK3xQ4rBtytOxYcgP1jjNk" TargetMode="External"/><Relationship Id="rId838" Type="http://schemas.openxmlformats.org/officeDocument/2006/relationships/hyperlink" Target="https://drive.google.com/open?id=1Dzn2hpi1Qp9w0A9xUJxLMx6IhlI2QGuk" TargetMode="External"/><Relationship Id="rId1023" Type="http://schemas.openxmlformats.org/officeDocument/2006/relationships/hyperlink" Target="https://drive.google.com/open?id=1iebwTBXwTYrugaMqKMKl6bj1uGidMTeG" TargetMode="External"/><Relationship Id="rId172" Type="http://schemas.openxmlformats.org/officeDocument/2006/relationships/hyperlink" Target="https://drive.google.com/open?id=1lz_Bl-sFcaCSf5bLkeZNU00wIlLysyUY" TargetMode="External"/><Relationship Id="rId477" Type="http://schemas.openxmlformats.org/officeDocument/2006/relationships/hyperlink" Target="https://drive.google.com/open?id=1jiIJU8ZvyKMBVP_vkvOEkTVZRG6nYWi9" TargetMode="External"/><Relationship Id="rId600" Type="http://schemas.openxmlformats.org/officeDocument/2006/relationships/hyperlink" Target="https://drive.google.com/open?id=1KVLd8bu3XroEMIX5eGBRLp0Ny1PYDFLa" TargetMode="External"/><Relationship Id="rId684" Type="http://schemas.openxmlformats.org/officeDocument/2006/relationships/hyperlink" Target="https://drive.google.com/open?id=1a3rZb27uIXa2apvbeh2nvyIEJUoZY8CP" TargetMode="External"/><Relationship Id="rId1230" Type="http://schemas.openxmlformats.org/officeDocument/2006/relationships/hyperlink" Target="https://drive.google.com/open?id=1GkJLAiWs5OCkGJFarEqQDBiY9ZkOQXz3" TargetMode="External"/><Relationship Id="rId1328" Type="http://schemas.openxmlformats.org/officeDocument/2006/relationships/hyperlink" Target="https://drive.google.com/open?id=1l7KFUu-g2M5J8Qrkjw4GQKVPhWKr5RYW" TargetMode="External"/><Relationship Id="rId337" Type="http://schemas.openxmlformats.org/officeDocument/2006/relationships/hyperlink" Target="https://drive.google.com/open?id=1TE7yeZAMwFyhxq-xeNKV41D9Sw_m3tKg" TargetMode="External"/><Relationship Id="rId891" Type="http://schemas.openxmlformats.org/officeDocument/2006/relationships/hyperlink" Target="https://drive.google.com/open?id=1Nd4eGUqv6sSL8MquViyInvt8UdolPuv1" TargetMode="External"/><Relationship Id="rId905" Type="http://schemas.openxmlformats.org/officeDocument/2006/relationships/hyperlink" Target="https://drive.google.com/open?id=1xGu6fOJRvDMwRLBNU3Kd0Ulose5pqrjf" TargetMode="External"/><Relationship Id="rId989" Type="http://schemas.openxmlformats.org/officeDocument/2006/relationships/hyperlink" Target="https://drive.google.com/open?id=1zIw39WOTbilnopqS8otfGZVLqjHOITzf" TargetMode="External"/><Relationship Id="rId34" Type="http://schemas.openxmlformats.org/officeDocument/2006/relationships/hyperlink" Target="https://drive.google.com/open?id=1v0PJfUgzklpFem93YovVNEesCalXmLlk" TargetMode="External"/><Relationship Id="rId544" Type="http://schemas.openxmlformats.org/officeDocument/2006/relationships/hyperlink" Target="https://drive.google.com/open?id=1DX0D2SIWhzLk7FMpUnFIMNLM8oPjm0_4" TargetMode="External"/><Relationship Id="rId751" Type="http://schemas.openxmlformats.org/officeDocument/2006/relationships/hyperlink" Target="https://drive.google.com/open?id=1OtVz7NJkJOxhAlctniZAXLM5rkioRXHd" TargetMode="External"/><Relationship Id="rId849" Type="http://schemas.openxmlformats.org/officeDocument/2006/relationships/hyperlink" Target="https://drive.google.com/open?id=198sBy60ZJuhV2m216INIEmBsIzHPJOir" TargetMode="External"/><Relationship Id="rId1174" Type="http://schemas.openxmlformats.org/officeDocument/2006/relationships/hyperlink" Target="https://drive.google.com/open?id=1h2MA5r0Ck1hOcDIAJNWn-uQu9n7mREza" TargetMode="External"/><Relationship Id="rId183" Type="http://schemas.openxmlformats.org/officeDocument/2006/relationships/hyperlink" Target="https://drive.google.com/open?id=1kghyJdNeldS3J2SiTzRELjTjV3CbYhOw" TargetMode="External"/><Relationship Id="rId390" Type="http://schemas.openxmlformats.org/officeDocument/2006/relationships/hyperlink" Target="https://drive.google.com/open?id=1gsrEmS1hLfncbXA-rvRGaO_R2PbZQppF" TargetMode="External"/><Relationship Id="rId404" Type="http://schemas.openxmlformats.org/officeDocument/2006/relationships/hyperlink" Target="https://drive.google.com/open?id=1unNQDUrlO24WN9Qw-Oz_biIXQnl2FzTf" TargetMode="External"/><Relationship Id="rId611" Type="http://schemas.openxmlformats.org/officeDocument/2006/relationships/hyperlink" Target="https://drive.google.com/open?id=1WPQVCAEf6avo8QyVvfSh5zhD9uLCPNij" TargetMode="External"/><Relationship Id="rId1034" Type="http://schemas.openxmlformats.org/officeDocument/2006/relationships/hyperlink" Target="https://drive.google.com/open?id=1JyesfyG9sdretzSNeYQ2p7xsGi1Vlmbs" TargetMode="External"/><Relationship Id="rId1241" Type="http://schemas.openxmlformats.org/officeDocument/2006/relationships/hyperlink" Target="https://drive.google.com/open?id=1uMYoubfB8v7-pspQFMkVvPtH4JmIEAP6" TargetMode="External"/><Relationship Id="rId250" Type="http://schemas.openxmlformats.org/officeDocument/2006/relationships/hyperlink" Target="https://drive.google.com/open?id=1ng_BFT84CIRQXxhWSzRE95sFg53StfXT" TargetMode="External"/><Relationship Id="rId488" Type="http://schemas.openxmlformats.org/officeDocument/2006/relationships/hyperlink" Target="https://drive.google.com/open?id=1AdnImYkBMQpTsxJI24rJgH5FhywglYup" TargetMode="External"/><Relationship Id="rId695" Type="http://schemas.openxmlformats.org/officeDocument/2006/relationships/hyperlink" Target="https://drive.google.com/open?id=1uVsSqbzOHsEXd8qtejGTUQkuw-oQqRX2" TargetMode="External"/><Relationship Id="rId709" Type="http://schemas.openxmlformats.org/officeDocument/2006/relationships/hyperlink" Target="https://drive.google.com/open?id=1_hWaWfnrw-tMxz7sGcU2vpEumtEmhwt6" TargetMode="External"/><Relationship Id="rId916" Type="http://schemas.openxmlformats.org/officeDocument/2006/relationships/hyperlink" Target="https://drive.google.com/open?id=1kD3Hcy00znGez18lUtVsEhAYtW5COimF" TargetMode="External"/><Relationship Id="rId1101" Type="http://schemas.openxmlformats.org/officeDocument/2006/relationships/hyperlink" Target="https://drive.google.com/open?id=1yyjxs7slZUtmGPGTAvILaie_xjyJu5v0" TargetMode="External"/><Relationship Id="rId45" Type="http://schemas.openxmlformats.org/officeDocument/2006/relationships/hyperlink" Target="https://drive.google.com/open?id=10uhrouQE2aJzqQfW3d72BRVy0pAyt6B0" TargetMode="External"/><Relationship Id="rId110" Type="http://schemas.openxmlformats.org/officeDocument/2006/relationships/hyperlink" Target="https://drive.google.com/open?id=12iVb3sqWGWkU7FaU42aPFyT_SieeG7QH" TargetMode="External"/><Relationship Id="rId348" Type="http://schemas.openxmlformats.org/officeDocument/2006/relationships/hyperlink" Target="https://drive.google.com/open?id=1lwiSYH1TMda63duErMfjJzJNHJ3lznq7" TargetMode="External"/><Relationship Id="rId555" Type="http://schemas.openxmlformats.org/officeDocument/2006/relationships/hyperlink" Target="https://drive.google.com/open?id=1fzMlUctlFglMIqKFJADBsK49j0d5pd8G" TargetMode="External"/><Relationship Id="rId762" Type="http://schemas.openxmlformats.org/officeDocument/2006/relationships/hyperlink" Target="https://drive.google.com/open?id=17NyakmZ6ZsZ83DGgRdjSksxJJRHvzLvv" TargetMode="External"/><Relationship Id="rId1185" Type="http://schemas.openxmlformats.org/officeDocument/2006/relationships/hyperlink" Target="https://drive.google.com/open?id=16lL8xJ7ia6XBEqe-syiOCaeqpyReCcQ_" TargetMode="External"/><Relationship Id="rId194" Type="http://schemas.openxmlformats.org/officeDocument/2006/relationships/hyperlink" Target="https://drive.google.com/open?id=1Ya1eh77EFYh1RmxrFdj0Bgk9t3YDTADS" TargetMode="External"/><Relationship Id="rId208" Type="http://schemas.openxmlformats.org/officeDocument/2006/relationships/hyperlink" Target="https://drive.google.com/open?id=13C09EPcX1B9VGsXLB2h1XTf93qbuA80k" TargetMode="External"/><Relationship Id="rId415" Type="http://schemas.openxmlformats.org/officeDocument/2006/relationships/hyperlink" Target="https://drive.google.com/open?id=1D_K3ZQUUgJStHoH0_5tpdXyvMvpvv40N" TargetMode="External"/><Relationship Id="rId622" Type="http://schemas.openxmlformats.org/officeDocument/2006/relationships/hyperlink" Target="https://drive.google.com/open?id=12vI9Z20YOFsMeRIFDcYp1nDbnAFwzEYW" TargetMode="External"/><Relationship Id="rId1045" Type="http://schemas.openxmlformats.org/officeDocument/2006/relationships/hyperlink" Target="https://drive.google.com/open?id=1W-GEi_AHJJKbI5qy-Xka1C4tkYjzijrv" TargetMode="External"/><Relationship Id="rId1252" Type="http://schemas.openxmlformats.org/officeDocument/2006/relationships/hyperlink" Target="https://drive.google.com/open?id=1aWdn87-2tElC3hWhZB0tvAKUMOeNeY7x" TargetMode="External"/><Relationship Id="rId261" Type="http://schemas.openxmlformats.org/officeDocument/2006/relationships/hyperlink" Target="https://drive.google.com/open?id=1xgPDjIIWtlF8N_AbDktqiqkbj0DwF7lD" TargetMode="External"/><Relationship Id="rId499" Type="http://schemas.openxmlformats.org/officeDocument/2006/relationships/hyperlink" Target="https://drive.google.com/open?id=1w3Q2vDhXD7K6JmivRgDShFYxy502g-7Z" TargetMode="External"/><Relationship Id="rId927" Type="http://schemas.openxmlformats.org/officeDocument/2006/relationships/hyperlink" Target="https://drive.google.com/open?id=1oDdwHExZvZNkf4-RZUZoekLUWPiO_iWN" TargetMode="External"/><Relationship Id="rId1112" Type="http://schemas.openxmlformats.org/officeDocument/2006/relationships/hyperlink" Target="https://drive.google.com/open?id=1i7HvRm7o_Fo5ru2AXb8mglLcWf9bU4VQ" TargetMode="External"/><Relationship Id="rId56" Type="http://schemas.openxmlformats.org/officeDocument/2006/relationships/hyperlink" Target="https://drive.google.com/open?id=1ig_8iP1h4iycn08YAtmzeVSpDUbm7gtY" TargetMode="External"/><Relationship Id="rId359" Type="http://schemas.openxmlformats.org/officeDocument/2006/relationships/hyperlink" Target="https://drive.google.com/open?id=1OtmRwww0kHx5VNyzxRZUw9VdnrJnpqf0" TargetMode="External"/><Relationship Id="rId566" Type="http://schemas.openxmlformats.org/officeDocument/2006/relationships/hyperlink" Target="https://drive.google.com/open?id=1KsJQ4g2v1OiJ-Y3MxO_I9mqFmrJrAW7S" TargetMode="External"/><Relationship Id="rId773" Type="http://schemas.openxmlformats.org/officeDocument/2006/relationships/hyperlink" Target="https://drive.google.com/open?id=1jwEjX1eg1cjLCJcQyUFV20AYaopM1Rj_" TargetMode="External"/><Relationship Id="rId1196" Type="http://schemas.openxmlformats.org/officeDocument/2006/relationships/hyperlink" Target="https://drive.google.com/open?id=1wEJyme1v4uefj-4pjZ-EKIdLtaioyXwa" TargetMode="External"/><Relationship Id="rId121" Type="http://schemas.openxmlformats.org/officeDocument/2006/relationships/hyperlink" Target="https://drive.google.com/open?id=1juW1leyKoY2adY4coW49zQc9Xn91Wi_l" TargetMode="External"/><Relationship Id="rId219" Type="http://schemas.openxmlformats.org/officeDocument/2006/relationships/hyperlink" Target="https://drive.google.com/open?id=1YonZ6olGOZrggM5XjJjW_MC2fOeFo4X9" TargetMode="External"/><Relationship Id="rId426" Type="http://schemas.openxmlformats.org/officeDocument/2006/relationships/hyperlink" Target="https://drive.google.com/open?id=1v0hWKNZmunFG-b1zOpH2nMicycDJXoC2" TargetMode="External"/><Relationship Id="rId633" Type="http://schemas.openxmlformats.org/officeDocument/2006/relationships/hyperlink" Target="https://drive.google.com/open?id=1nHKEpBmLzwDIC7-hYAYMG2_dJItDviPX" TargetMode="External"/><Relationship Id="rId980" Type="http://schemas.openxmlformats.org/officeDocument/2006/relationships/hyperlink" Target="https://drive.google.com/open?id=1Gi_5ij4VeUVfCmlwcC-fub9ubQUZaqe2" TargetMode="External"/><Relationship Id="rId1056" Type="http://schemas.openxmlformats.org/officeDocument/2006/relationships/hyperlink" Target="https://drive.google.com/open?id=1l0vq1U6sdFw3l4NRBTGo5zxgvr-9dRuI" TargetMode="External"/><Relationship Id="rId1263" Type="http://schemas.openxmlformats.org/officeDocument/2006/relationships/hyperlink" Target="https://drive.google.com/open?id=1h2MA5r0Ck1hOcDIAJNWn-uQu9n7mREza" TargetMode="External"/><Relationship Id="rId840" Type="http://schemas.openxmlformats.org/officeDocument/2006/relationships/hyperlink" Target="https://drive.google.com/open?id=16U575sMRpFQYinxQDwYYXgmIvOKTrbCr" TargetMode="External"/><Relationship Id="rId938" Type="http://schemas.openxmlformats.org/officeDocument/2006/relationships/hyperlink" Target="https://drive.google.com/open?id=1d9vD1QBmDfwIF3W6hIiCWW4h5GHAugI0" TargetMode="External"/><Relationship Id="rId67" Type="http://schemas.openxmlformats.org/officeDocument/2006/relationships/hyperlink" Target="https://drive.google.com/open?id=18-E87WQWNLxgSe6O5CdCHwihnb5pegwi" TargetMode="External"/><Relationship Id="rId272" Type="http://schemas.openxmlformats.org/officeDocument/2006/relationships/hyperlink" Target="https://drive.google.com/open?id=1cOOeFbzfVa259sAWKf5ChvDZd0ox5haj" TargetMode="External"/><Relationship Id="rId577" Type="http://schemas.openxmlformats.org/officeDocument/2006/relationships/hyperlink" Target="https://drive.google.com/open?id=1rXxIP0-ycjvngDbWwuTy-ueH2NHTPTs_" TargetMode="External"/><Relationship Id="rId700" Type="http://schemas.openxmlformats.org/officeDocument/2006/relationships/hyperlink" Target="https://drive.google.com/open?id=1tu1ObCtNEgwaW1ESur34JpG0BxnEKJ4o" TargetMode="External"/><Relationship Id="rId1123" Type="http://schemas.openxmlformats.org/officeDocument/2006/relationships/hyperlink" Target="https://drive.google.com/open?id=1zdKVzFpKrRvN7sqZM-u0JVTBml7nW9-l" TargetMode="External"/><Relationship Id="rId1330" Type="http://schemas.openxmlformats.org/officeDocument/2006/relationships/hyperlink" Target="https://drive.google.com/open?id=1uMYoubfB8v7-pspQFMkVvPtH4JmIEAP6" TargetMode="External"/><Relationship Id="rId132" Type="http://schemas.openxmlformats.org/officeDocument/2006/relationships/hyperlink" Target="https://drive.google.com/open?id=1u9whwEgeafFtxo1K4e69WtfCHd4-5x7u" TargetMode="External"/><Relationship Id="rId784" Type="http://schemas.openxmlformats.org/officeDocument/2006/relationships/hyperlink" Target="https://drive.google.com/open?id=12oZBqNOCdGscf-2Q9CeT0JV9-npaxoEZ" TargetMode="External"/><Relationship Id="rId991" Type="http://schemas.openxmlformats.org/officeDocument/2006/relationships/hyperlink" Target="https://drive.google.com/open?id=1BiLv-XLj1k_RULgHrqvPtYN3P8kqC0QZ" TargetMode="External"/><Relationship Id="rId1067" Type="http://schemas.openxmlformats.org/officeDocument/2006/relationships/hyperlink" Target="https://drive.google.com/open?id=1KKGtaq5GZLret3IA_PBGmysy9nnWrfqb" TargetMode="External"/><Relationship Id="rId437" Type="http://schemas.openxmlformats.org/officeDocument/2006/relationships/hyperlink" Target="https://drive.google.com/open?id=1Fn17WcnzXqqx_gbD7qzad0N3XQCVJX-T" TargetMode="External"/><Relationship Id="rId644" Type="http://schemas.openxmlformats.org/officeDocument/2006/relationships/hyperlink" Target="https://drive.google.com/open?id=1iddx6GiyzoGylhxCDI-E-V5ifL8jy-ki" TargetMode="External"/><Relationship Id="rId851" Type="http://schemas.openxmlformats.org/officeDocument/2006/relationships/hyperlink" Target="https://drive.google.com/open?id=1pMTutEHS8VT2lEPvgSLuKWua8eBbMpnz" TargetMode="External"/><Relationship Id="rId1274" Type="http://schemas.openxmlformats.org/officeDocument/2006/relationships/hyperlink" Target="https://drive.google.com/open?id=16lL8xJ7ia6XBEqe-syiOCaeqpyReCcQ_" TargetMode="External"/><Relationship Id="rId283" Type="http://schemas.openxmlformats.org/officeDocument/2006/relationships/hyperlink" Target="https://drive.google.com/open?id=1w-IsasqP3t24jS8fpAoDARXoUNdVPN0Y" TargetMode="External"/><Relationship Id="rId490" Type="http://schemas.openxmlformats.org/officeDocument/2006/relationships/hyperlink" Target="https://drive.google.com/open?id=1G-l2_HdaTZMDsWqoGZ4rN5EPJbHtt5E_" TargetMode="External"/><Relationship Id="rId504" Type="http://schemas.openxmlformats.org/officeDocument/2006/relationships/hyperlink" Target="https://drive.google.com/open?id=1XZPrlwYuQ8RNAX-qNAdMU_fytsLHWrYs" TargetMode="External"/><Relationship Id="rId711" Type="http://schemas.openxmlformats.org/officeDocument/2006/relationships/hyperlink" Target="https://drive.google.com/open?id=1WPfUXhW8cLHgHZxkW5IogO5j-ks-Ep7U" TargetMode="External"/><Relationship Id="rId949" Type="http://schemas.openxmlformats.org/officeDocument/2006/relationships/hyperlink" Target="https://drive.google.com/open?id=16ASI1cuPXrKt31VDEX93KvQ581UNata8" TargetMode="External"/><Relationship Id="rId1134" Type="http://schemas.openxmlformats.org/officeDocument/2006/relationships/hyperlink" Target="https://drive.google.com/open?id=1cD-nvUkKghHS_22NQ1cJ-jlCn5Gm2Flt" TargetMode="External"/><Relationship Id="rId78" Type="http://schemas.openxmlformats.org/officeDocument/2006/relationships/hyperlink" Target="https://drive.google.com/open?id=1ERO6TVwxYl1AFWaNaYPJyUygy_Alj8rw" TargetMode="External"/><Relationship Id="rId143" Type="http://schemas.openxmlformats.org/officeDocument/2006/relationships/hyperlink" Target="https://drive.google.com/open?id=1_o4CsmjyYrEXDlK98Mo745yDuPAPbOyo" TargetMode="External"/><Relationship Id="rId350" Type="http://schemas.openxmlformats.org/officeDocument/2006/relationships/hyperlink" Target="https://drive.google.com/open?id=18ZGvBLENRDpnFtEk8pa5vgpH8LovCSxW" TargetMode="External"/><Relationship Id="rId588" Type="http://schemas.openxmlformats.org/officeDocument/2006/relationships/hyperlink" Target="https://drive.google.com/open?id=1sGz2Ht7iO4CJXa-dYUGiz7pcwTQPBs37" TargetMode="External"/><Relationship Id="rId795" Type="http://schemas.openxmlformats.org/officeDocument/2006/relationships/hyperlink" Target="https://drive.google.com/open?id=1dxsEMUXbJMfkH09yBl3V1nbaVPYmlu0q" TargetMode="External"/><Relationship Id="rId809" Type="http://schemas.openxmlformats.org/officeDocument/2006/relationships/hyperlink" Target="https://drive.google.com/open?id=1_fR-LdhuKTTzZxiOKp3PDnIv3EijWFWW" TargetMode="External"/><Relationship Id="rId1201" Type="http://schemas.openxmlformats.org/officeDocument/2006/relationships/hyperlink" Target="https://drive.google.com/open?id=1kSiwWkQ34BKq0Ei_9oEe4MLdRbI53C-B" TargetMode="External"/><Relationship Id="rId9" Type="http://schemas.openxmlformats.org/officeDocument/2006/relationships/hyperlink" Target="https://drive.google.com/open?id=1Pe0T8pWf12QdeQ2l38yTmPICsIyeZbQy" TargetMode="External"/><Relationship Id="rId210" Type="http://schemas.openxmlformats.org/officeDocument/2006/relationships/hyperlink" Target="https://drive.google.com/open?id=1IWEHEfz3lbGYZAmHqbWoBE51TIggD5nL" TargetMode="External"/><Relationship Id="rId448" Type="http://schemas.openxmlformats.org/officeDocument/2006/relationships/hyperlink" Target="https://drive.google.com/open?id=1E7huDsRdgt5PdBLlOHyYPh6mOB9NeyoA" TargetMode="External"/><Relationship Id="rId655" Type="http://schemas.openxmlformats.org/officeDocument/2006/relationships/hyperlink" Target="https://drive.google.com/open?id=1UH29DWZ7mNJAc3hFq7J6-52l9vH-o75V" TargetMode="External"/><Relationship Id="rId862" Type="http://schemas.openxmlformats.org/officeDocument/2006/relationships/hyperlink" Target="https://drive.google.com/open?id=1VIjxi_MlNnA9ugQx67YvTGsEQC5oDd4y" TargetMode="External"/><Relationship Id="rId1078" Type="http://schemas.openxmlformats.org/officeDocument/2006/relationships/hyperlink" Target="https://drive.google.com/open?id=1MifZlr4QTyfjCEJejPJbr5s190TAXprE" TargetMode="External"/><Relationship Id="rId1285" Type="http://schemas.openxmlformats.org/officeDocument/2006/relationships/hyperlink" Target="https://drive.google.com/open?id=1wEJyme1v4uefj-4pjZ-EKIdLtaioyXwa" TargetMode="External"/><Relationship Id="rId294" Type="http://schemas.openxmlformats.org/officeDocument/2006/relationships/hyperlink" Target="https://drive.google.com/open?id=10DIYGLHZ9tYfI1fQ5KChqCTvurgWNlZo" TargetMode="External"/><Relationship Id="rId308" Type="http://schemas.openxmlformats.org/officeDocument/2006/relationships/hyperlink" Target="https://drive.google.com/open?id=1CGoEV-2e8V_Lk7tS14KxSr7ESQ8kcu19" TargetMode="External"/><Relationship Id="rId515" Type="http://schemas.openxmlformats.org/officeDocument/2006/relationships/hyperlink" Target="https://drive.google.com/open?id=1lyip7oxDkH1x2-lP8ojF2p4l2zLatMLF" TargetMode="External"/><Relationship Id="rId722" Type="http://schemas.openxmlformats.org/officeDocument/2006/relationships/hyperlink" Target="https://drive.google.com/open?id=1rUsvBUcqTc4pCRFgLI6clp8DLaNqSU2s" TargetMode="External"/><Relationship Id="rId1145" Type="http://schemas.openxmlformats.org/officeDocument/2006/relationships/hyperlink" Target="https://drive.google.com/open?id=1-aRoU-1z9hogdqcWkPsTaYGqXpYYH-WD" TargetMode="External"/><Relationship Id="rId89" Type="http://schemas.openxmlformats.org/officeDocument/2006/relationships/hyperlink" Target="https://drive.google.com/open?id=11rW9SYSxFKwYAVVe4rjhiUeQzmiKRoi5" TargetMode="External"/><Relationship Id="rId154" Type="http://schemas.openxmlformats.org/officeDocument/2006/relationships/hyperlink" Target="https://drive.google.com/open?id=1OI6bpCgYEzw1K9uQUhVrnzdx_wk7OzEw" TargetMode="External"/><Relationship Id="rId361" Type="http://schemas.openxmlformats.org/officeDocument/2006/relationships/hyperlink" Target="https://drive.google.com/open?id=1tEBdOaI5D-hDwEhnzhVTlujb8AifOd6E" TargetMode="External"/><Relationship Id="rId599" Type="http://schemas.openxmlformats.org/officeDocument/2006/relationships/hyperlink" Target="https://drive.google.com/open?id=11I6_ATL91tvllYsQB01c8ZC_aPNM__yt" TargetMode="External"/><Relationship Id="rId1005" Type="http://schemas.openxmlformats.org/officeDocument/2006/relationships/hyperlink" Target="https://drive.google.com/open?id=1QKPXuKgvVlA0gZbYZnTSSi7gWTbDZr8t" TargetMode="External"/><Relationship Id="rId1212" Type="http://schemas.openxmlformats.org/officeDocument/2006/relationships/hyperlink" Target="https://drive.google.com/open?id=1y1fCL2YVjhAfki385uViUN7wTPMWnbzv" TargetMode="External"/><Relationship Id="rId459" Type="http://schemas.openxmlformats.org/officeDocument/2006/relationships/hyperlink" Target="https://drive.google.com/open?id=1rRH2ZCJXnOgm37WwXkGf_PG02fe6BEU5" TargetMode="External"/><Relationship Id="rId666" Type="http://schemas.openxmlformats.org/officeDocument/2006/relationships/hyperlink" Target="https://drive.google.com/open?id=1Oon8p6ylgk_W4ZWn769axktQh7m85hqJ" TargetMode="External"/><Relationship Id="rId873" Type="http://schemas.openxmlformats.org/officeDocument/2006/relationships/hyperlink" Target="https://drive.google.com/open?id=1U4zNBqKNThAe54o7icr_2AYBW3oeP86E" TargetMode="External"/><Relationship Id="rId1089" Type="http://schemas.openxmlformats.org/officeDocument/2006/relationships/hyperlink" Target="https://drive.google.com/open?id=1DtxFggTTAZr71CIcaovN-iBadE1uZmlF" TargetMode="External"/><Relationship Id="rId1296" Type="http://schemas.openxmlformats.org/officeDocument/2006/relationships/hyperlink" Target="https://drive.google.com/open?id=1dlD-oI48yw-XP-Dlyc2dEHZuFm7ytl5h" TargetMode="External"/><Relationship Id="rId16" Type="http://schemas.openxmlformats.org/officeDocument/2006/relationships/hyperlink" Target="https://drive.google.com/open?id=1uAFAwt3dYk4mRC_UPUBn5AW5Zxo56IkM" TargetMode="External"/><Relationship Id="rId221" Type="http://schemas.openxmlformats.org/officeDocument/2006/relationships/hyperlink" Target="https://drive.google.com/open?id=1AmiFS0aMD7bwcYvbhng9RsATTG5f7YaR" TargetMode="External"/><Relationship Id="rId319" Type="http://schemas.openxmlformats.org/officeDocument/2006/relationships/hyperlink" Target="https://drive.google.com/open?id=1cxNgSdtZCgxXJy14XYM9W6ctcNxeemck" TargetMode="External"/><Relationship Id="rId526" Type="http://schemas.openxmlformats.org/officeDocument/2006/relationships/hyperlink" Target="https://drive.google.com/open?id=1JKiX_JHVCRcuVNSyJyJaAbmdcYd1jhGE" TargetMode="External"/><Relationship Id="rId1156" Type="http://schemas.openxmlformats.org/officeDocument/2006/relationships/hyperlink" Target="https://drive.google.com/open?id=1TIC7rZHNZU6MD-QHqtoh3i_iyqz9Hx28" TargetMode="External"/><Relationship Id="rId733" Type="http://schemas.openxmlformats.org/officeDocument/2006/relationships/hyperlink" Target="https://drive.google.com/open?id=18oE2vDGu9afNUFdwWn5qMx4nqei6-7E9" TargetMode="External"/><Relationship Id="rId940" Type="http://schemas.openxmlformats.org/officeDocument/2006/relationships/hyperlink" Target="https://drive.google.com/open?id=1zx7EtsWxcpgDi3bY2U3OCgWVposD6Bov" TargetMode="External"/><Relationship Id="rId1016" Type="http://schemas.openxmlformats.org/officeDocument/2006/relationships/hyperlink" Target="https://drive.google.com/open?id=1c5Y8DsJ-mMBKjKfPeXEF0JmLY5yb9AvC" TargetMode="External"/><Relationship Id="rId165" Type="http://schemas.openxmlformats.org/officeDocument/2006/relationships/hyperlink" Target="https://drive.google.com/open?id=1PZnuH5tSVB26pRmJlwb2FJMFv4qiaUM3" TargetMode="External"/><Relationship Id="rId372" Type="http://schemas.openxmlformats.org/officeDocument/2006/relationships/hyperlink" Target="https://drive.google.com/open?id=1bmxenqMP3W4gpKKmI_TSTLICeQwEwlpP" TargetMode="External"/><Relationship Id="rId677" Type="http://schemas.openxmlformats.org/officeDocument/2006/relationships/hyperlink" Target="https://drive.google.com/open?id=1YuVsBrH8JGCYk8UYHg-tqKCJZ8AOJa3k" TargetMode="External"/><Relationship Id="rId800" Type="http://schemas.openxmlformats.org/officeDocument/2006/relationships/hyperlink" Target="https://drive.google.com/open?id=1-2XRNFWqoYlC4fMcw_b0gR2AoUtJrEB5" TargetMode="External"/><Relationship Id="rId1223" Type="http://schemas.openxmlformats.org/officeDocument/2006/relationships/hyperlink" Target="https://drive.google.com/open?id=1tl3mhFHOZyf6mgjcf4xPv-7-oHQyLmz5" TargetMode="External"/><Relationship Id="rId232" Type="http://schemas.openxmlformats.org/officeDocument/2006/relationships/hyperlink" Target="https://drive.google.com/open?id=1xXaz0acVeXLlZtQK5bAkaIcj6gP9tmUW" TargetMode="External"/><Relationship Id="rId884" Type="http://schemas.openxmlformats.org/officeDocument/2006/relationships/hyperlink" Target="https://drive.google.com/open?id=1g0QXVO9noo4etUmIUP_oXpwHqMjRE4Bt" TargetMode="External"/><Relationship Id="rId27" Type="http://schemas.openxmlformats.org/officeDocument/2006/relationships/hyperlink" Target="https://drive.google.com/open?id=18nREiU1AqlhbNSEtT3q_qfWZ3kD-lLE5" TargetMode="External"/><Relationship Id="rId537" Type="http://schemas.openxmlformats.org/officeDocument/2006/relationships/hyperlink" Target="https://drive.google.com/open?id=19h15cFhPipW5vUj08jHS_uz6zvL_TrVJ" TargetMode="External"/><Relationship Id="rId744" Type="http://schemas.openxmlformats.org/officeDocument/2006/relationships/hyperlink" Target="https://drive.google.com/open?id=1JJuiFEf9tPTTCoSLFcd05jYGhtg__3XX" TargetMode="External"/><Relationship Id="rId951" Type="http://schemas.openxmlformats.org/officeDocument/2006/relationships/hyperlink" Target="https://drive.google.com/open?id=1J1uudxn4EbQFRAxanIm_1_diR2O7kAb6" TargetMode="External"/><Relationship Id="rId1167" Type="http://schemas.openxmlformats.org/officeDocument/2006/relationships/hyperlink" Target="https://drive.google.com/open?id=1cAMFTLKCHjWkBV2I-GunXg0YeOIJ-00c" TargetMode="External"/><Relationship Id="rId80" Type="http://schemas.openxmlformats.org/officeDocument/2006/relationships/hyperlink" Target="https://drive.google.com/open?id=10hLmuCevcj4rym65LtXH_pBpFzZsdz2h" TargetMode="External"/><Relationship Id="rId176" Type="http://schemas.openxmlformats.org/officeDocument/2006/relationships/hyperlink" Target="https://drive.google.com/open?id=181GeCtBVogSFrpfprg4RD4Ah_1lWhBn7" TargetMode="External"/><Relationship Id="rId383" Type="http://schemas.openxmlformats.org/officeDocument/2006/relationships/hyperlink" Target="https://drive.google.com/open?id=18ppfmiEPyncUUVBWULW5JrOKj_WdGpMZ" TargetMode="External"/><Relationship Id="rId590" Type="http://schemas.openxmlformats.org/officeDocument/2006/relationships/hyperlink" Target="https://drive.google.com/open?id=1Sx1ZyD2BHcQN0GDSRkGEnVP0HUCSDu2X" TargetMode="External"/><Relationship Id="rId604" Type="http://schemas.openxmlformats.org/officeDocument/2006/relationships/hyperlink" Target="https://drive.google.com/open?id=1ijOUB7VQ2hNHPGHW72G42Z4NKaQLEOd1" TargetMode="External"/><Relationship Id="rId811" Type="http://schemas.openxmlformats.org/officeDocument/2006/relationships/hyperlink" Target="https://drive.google.com/open?id=1jJoTU4sgyRGXMbpfu72l4atFy68iFGgx" TargetMode="External"/><Relationship Id="rId1027" Type="http://schemas.openxmlformats.org/officeDocument/2006/relationships/hyperlink" Target="https://drive.google.com/open?id=1sLv63GFElaZzg0tPVD_8qw9BRyVWvQLV" TargetMode="External"/><Relationship Id="rId1234" Type="http://schemas.openxmlformats.org/officeDocument/2006/relationships/hyperlink" Target="https://drive.google.com/open?id=1wePIJtkTPBZxuduivAe0mSpK9IJ6_eEh" TargetMode="External"/><Relationship Id="rId243" Type="http://schemas.openxmlformats.org/officeDocument/2006/relationships/hyperlink" Target="https://drive.google.com/open?id=1Xa6M5OzsQg1V9f_t8BfVNYGChbG7C8wf" TargetMode="External"/><Relationship Id="rId450" Type="http://schemas.openxmlformats.org/officeDocument/2006/relationships/hyperlink" Target="https://drive.google.com/open?id=1n9PlgNueWUsKnTR51cXZAMTfxtOvAthK" TargetMode="External"/><Relationship Id="rId688" Type="http://schemas.openxmlformats.org/officeDocument/2006/relationships/hyperlink" Target="https://drive.google.com/open?id=1DUCmRPc7cYSEu1VOX3CbZFwMrxdmKmBg" TargetMode="External"/><Relationship Id="rId895" Type="http://schemas.openxmlformats.org/officeDocument/2006/relationships/hyperlink" Target="https://drive.google.com/open?id=14LIehmwYyGdyv-HF6cs2pf9kDT6oLxKO" TargetMode="External"/><Relationship Id="rId909" Type="http://schemas.openxmlformats.org/officeDocument/2006/relationships/hyperlink" Target="https://drive.google.com/open?id=1EkYPRhT0FUNeDhx1N_rR_eAwme2sNrD8" TargetMode="External"/><Relationship Id="rId1080" Type="http://schemas.openxmlformats.org/officeDocument/2006/relationships/hyperlink" Target="https://drive.google.com/open?id=1Gk5FuNyOEn3ZKyId4GWfgMUKEX9yMALO" TargetMode="External"/><Relationship Id="rId1301" Type="http://schemas.openxmlformats.org/officeDocument/2006/relationships/hyperlink" Target="https://drive.google.com/open?id=1y1fCL2YVjhAfki385uViUN7wTPMWnbzv" TargetMode="External"/><Relationship Id="rId38" Type="http://schemas.openxmlformats.org/officeDocument/2006/relationships/hyperlink" Target="https://drive.google.com/open?id=1VnotBEkB8oNas5leG5dtem61RtWiI3Ml" TargetMode="External"/><Relationship Id="rId103" Type="http://schemas.openxmlformats.org/officeDocument/2006/relationships/hyperlink" Target="https://drive.google.com/open?id=1rvgWR3i5McsxAnq_-ne6ZbqkJcF31fxr" TargetMode="External"/><Relationship Id="rId310" Type="http://schemas.openxmlformats.org/officeDocument/2006/relationships/hyperlink" Target="https://drive.google.com/open?id=1jXktun-HZQccdZTo1gydXxzOLTvv5CnM" TargetMode="External"/><Relationship Id="rId548" Type="http://schemas.openxmlformats.org/officeDocument/2006/relationships/hyperlink" Target="https://drive.google.com/open?id=1Hus_hZaH_wddVaJby0dqKYREGOtrx7re" TargetMode="External"/><Relationship Id="rId755" Type="http://schemas.openxmlformats.org/officeDocument/2006/relationships/hyperlink" Target="https://drive.google.com/open?id=1l7eoNt7hRn6fxUZXYc909qxPbl4HUAbA" TargetMode="External"/><Relationship Id="rId962" Type="http://schemas.openxmlformats.org/officeDocument/2006/relationships/hyperlink" Target="https://drive.google.com/open?id=1WkQtQLdGhQBJEgkiVn1gYaIcUbBhvm13" TargetMode="External"/><Relationship Id="rId1178" Type="http://schemas.openxmlformats.org/officeDocument/2006/relationships/hyperlink" Target="https://drive.google.com/open?id=1Nkz5PR1YPhs_TLj1JDtDK297yuCOyOj9" TargetMode="External"/><Relationship Id="rId91" Type="http://schemas.openxmlformats.org/officeDocument/2006/relationships/hyperlink" Target="https://drive.google.com/open?id=1QJRz-EbuXy_d6ZWpHTsrEjjdIKElpk0-" TargetMode="External"/><Relationship Id="rId187" Type="http://schemas.openxmlformats.org/officeDocument/2006/relationships/hyperlink" Target="https://drive.google.com/open?id=1rdisy0xDoX3c9uFLxKm_19fszA7Dhi4f" TargetMode="External"/><Relationship Id="rId394" Type="http://schemas.openxmlformats.org/officeDocument/2006/relationships/hyperlink" Target="https://drive.google.com/open?id=1oBQG3ddsVRj9xP203FS0eowppN38tU9h" TargetMode="External"/><Relationship Id="rId408" Type="http://schemas.openxmlformats.org/officeDocument/2006/relationships/hyperlink" Target="https://drive.google.com/open?id=163j5j2XeooYEkwlKvEJ11gq6V3MU9zTa" TargetMode="External"/><Relationship Id="rId615" Type="http://schemas.openxmlformats.org/officeDocument/2006/relationships/hyperlink" Target="https://drive.google.com/open?id=1NQc3uCU_vybJQ93r1wFSyFbEWe15DgTn" TargetMode="External"/><Relationship Id="rId822" Type="http://schemas.openxmlformats.org/officeDocument/2006/relationships/hyperlink" Target="https://drive.google.com/open?id=1SJ77RbJvhha7Ixqu9_K1Mj891gesr6jJ" TargetMode="External"/><Relationship Id="rId1038" Type="http://schemas.openxmlformats.org/officeDocument/2006/relationships/hyperlink" Target="https://drive.google.com/open?id=1UR6VzrlXN7BED6ACISPUMmROl_Ggh1qz" TargetMode="External"/><Relationship Id="rId1245" Type="http://schemas.openxmlformats.org/officeDocument/2006/relationships/hyperlink" Target="https://drive.google.com/open?id=1NziKGpNoGVQBJ--vVPZgARNfKMK01KI1" TargetMode="External"/><Relationship Id="rId254" Type="http://schemas.openxmlformats.org/officeDocument/2006/relationships/hyperlink" Target="https://drive.google.com/open?id=1a7_i4mBy91rc-1wnj7fXUZe2lgdZ_dUp" TargetMode="External"/><Relationship Id="rId699" Type="http://schemas.openxmlformats.org/officeDocument/2006/relationships/hyperlink" Target="https://drive.google.com/open?id=1CUBc4XwsGKxtG0Gm3o57OEqgjSf_ux31" TargetMode="External"/><Relationship Id="rId1091" Type="http://schemas.openxmlformats.org/officeDocument/2006/relationships/hyperlink" Target="https://drive.google.com/open?id=1X5-dMidjBHdOyo90FwgFkdU_7hTrD6iR" TargetMode="External"/><Relationship Id="rId1105" Type="http://schemas.openxmlformats.org/officeDocument/2006/relationships/hyperlink" Target="https://drive.google.com/open?id=17iKZtZHoNF9lo8JjU7KDmXE4178ozFA8" TargetMode="External"/><Relationship Id="rId1312" Type="http://schemas.openxmlformats.org/officeDocument/2006/relationships/hyperlink" Target="https://drive.google.com/open?id=1tl3mhFHOZyf6mgjcf4xPv-7-oHQyLmz5" TargetMode="External"/><Relationship Id="rId49" Type="http://schemas.openxmlformats.org/officeDocument/2006/relationships/hyperlink" Target="https://drive.google.com/open?id=1cIMtORVa3wnEsp897bTMvo0w3xH7ckoV" TargetMode="External"/><Relationship Id="rId114" Type="http://schemas.openxmlformats.org/officeDocument/2006/relationships/hyperlink" Target="https://drive.google.com/open?id=1jjoaRfGp6aVW5F5X17X0ibtIlEwpilm3" TargetMode="External"/><Relationship Id="rId461" Type="http://schemas.openxmlformats.org/officeDocument/2006/relationships/hyperlink" Target="https://drive.google.com/open?id=1B0HiC2xPJwhIF3MC1nGrmuBGAsKXTckG" TargetMode="External"/><Relationship Id="rId559" Type="http://schemas.openxmlformats.org/officeDocument/2006/relationships/hyperlink" Target="https://drive.google.com/open?id=1lbtq1ot8rFAJUeIqnZAXSgTiy6gaVoOc" TargetMode="External"/><Relationship Id="rId766" Type="http://schemas.openxmlformats.org/officeDocument/2006/relationships/hyperlink" Target="https://drive.google.com/open?id=1-VEYMCW3l0PXFEtYFpD3jldSLz6PLv8l" TargetMode="External"/><Relationship Id="rId1189" Type="http://schemas.openxmlformats.org/officeDocument/2006/relationships/hyperlink" Target="https://drive.google.com/open?id=1gH1vW6Sntwpf3ODV0cAlRreSK7Udgp9c" TargetMode="External"/><Relationship Id="rId198" Type="http://schemas.openxmlformats.org/officeDocument/2006/relationships/hyperlink" Target="https://drive.google.com/open?id=12KkFitX19-ii4YF7cu-Zw7LKTTP6wTY1" TargetMode="External"/><Relationship Id="rId321" Type="http://schemas.openxmlformats.org/officeDocument/2006/relationships/hyperlink" Target="https://drive.google.com/open?id=1uiOk2DJDaRpvDEfg1RYv1Q7VzJqGW4l0" TargetMode="External"/><Relationship Id="rId419" Type="http://schemas.openxmlformats.org/officeDocument/2006/relationships/hyperlink" Target="https://drive.google.com/open?id=1zn_3aP5fg2NK4Sa2zP-gGo0Bdj0__thB" TargetMode="External"/><Relationship Id="rId626" Type="http://schemas.openxmlformats.org/officeDocument/2006/relationships/hyperlink" Target="https://drive.google.com/open?id=1snsrBX1UnEHDW1ZYLbuttCJHV_PROQ0g" TargetMode="External"/><Relationship Id="rId973" Type="http://schemas.openxmlformats.org/officeDocument/2006/relationships/hyperlink" Target="https://drive.google.com/open?id=19W1fVIBN315pgzRxfk00KUIixkX4M8-K" TargetMode="External"/><Relationship Id="rId1049" Type="http://schemas.openxmlformats.org/officeDocument/2006/relationships/hyperlink" Target="https://drive.google.com/open?id=1ZjUgIOn4CrJjrvYAAfjeeemjC-MPDfNq" TargetMode="External"/><Relationship Id="rId1256" Type="http://schemas.openxmlformats.org/officeDocument/2006/relationships/hyperlink" Target="https://drive.google.com/open?id=1cAMFTLKCHjWkBV2I-GunXg0YeOIJ-00c" TargetMode="External"/><Relationship Id="rId833" Type="http://schemas.openxmlformats.org/officeDocument/2006/relationships/hyperlink" Target="https://drive.google.com/open?id=1RKfLsFt74vnUJHLq7UFknSc1hSnykayV" TargetMode="External"/><Relationship Id="rId1116" Type="http://schemas.openxmlformats.org/officeDocument/2006/relationships/hyperlink" Target="https://drive.google.com/open?id=1gELbIpdDUVgmmrD4wFp7AgfsDpkZGuio" TargetMode="External"/><Relationship Id="rId265" Type="http://schemas.openxmlformats.org/officeDocument/2006/relationships/hyperlink" Target="https://drive.google.com/open?id=1ma_stHfWBNm3aii_BEU928E9YL2sHdt2" TargetMode="External"/><Relationship Id="rId472" Type="http://schemas.openxmlformats.org/officeDocument/2006/relationships/hyperlink" Target="https://drive.google.com/open?id=1woLJmmeh4K84uqSqrMp4r-wGbeA2Wlh2" TargetMode="External"/><Relationship Id="rId900" Type="http://schemas.openxmlformats.org/officeDocument/2006/relationships/hyperlink" Target="https://drive.google.com/open?id=1QL9q--_GVEuGWpOC3zPdAKUT_Ha5rhv-" TargetMode="External"/><Relationship Id="rId1323" Type="http://schemas.openxmlformats.org/officeDocument/2006/relationships/hyperlink" Target="https://drive.google.com/open?id=1wePIJtkTPBZxuduivAe0mSpK9IJ6_eEh" TargetMode="External"/><Relationship Id="rId125" Type="http://schemas.openxmlformats.org/officeDocument/2006/relationships/hyperlink" Target="https://drive.google.com/open?id=1PaevZzctwiNstawvOgA2hOnh0j81xwO7" TargetMode="External"/><Relationship Id="rId332" Type="http://schemas.openxmlformats.org/officeDocument/2006/relationships/hyperlink" Target="https://drive.google.com/open?id=1saIgyXhIKHIP0qj41JYjjetOKWSi9XTp" TargetMode="External"/><Relationship Id="rId777" Type="http://schemas.openxmlformats.org/officeDocument/2006/relationships/hyperlink" Target="https://drive.google.com/open?id=1Q_mxllZmRvTLTbcdP2WbjAIWSoLVVgED" TargetMode="External"/><Relationship Id="rId984" Type="http://schemas.openxmlformats.org/officeDocument/2006/relationships/hyperlink" Target="https://drive.google.com/open?id=1AEoFVZCs9R_i8Uv2eghRNXDGCyuNGV0o" TargetMode="External"/><Relationship Id="rId637" Type="http://schemas.openxmlformats.org/officeDocument/2006/relationships/hyperlink" Target="https://drive.google.com/open?id=1lThSYHiqJHzqahEuh_3YUwc0a9q2IBhp" TargetMode="External"/><Relationship Id="rId844" Type="http://schemas.openxmlformats.org/officeDocument/2006/relationships/hyperlink" Target="https://drive.google.com/open?id=1NowfernrLisMsTjXwN2MTz0gb5_43kXk" TargetMode="External"/><Relationship Id="rId1267" Type="http://schemas.openxmlformats.org/officeDocument/2006/relationships/hyperlink" Target="https://drive.google.com/open?id=1Nkz5PR1YPhs_TLj1JDtDK297yuCOyOj9" TargetMode="External"/><Relationship Id="rId276" Type="http://schemas.openxmlformats.org/officeDocument/2006/relationships/hyperlink" Target="https://drive.google.com/open?id=1JlXIlbw3LU4pvglwII582towmfSEFhKP" TargetMode="External"/><Relationship Id="rId483" Type="http://schemas.openxmlformats.org/officeDocument/2006/relationships/hyperlink" Target="https://drive.google.com/open?id=13EvQ81i34w8bEj766A-Fa-CyNC1ob9za" TargetMode="External"/><Relationship Id="rId690" Type="http://schemas.openxmlformats.org/officeDocument/2006/relationships/hyperlink" Target="https://drive.google.com/open?id=12mLbgSr8BQGMi1V9Ki3S11KzhbWIS1ne" TargetMode="External"/><Relationship Id="rId704" Type="http://schemas.openxmlformats.org/officeDocument/2006/relationships/hyperlink" Target="https://drive.google.com/open?id=1s2j7xWnBz1z6TvxUo2Crr6p7f5ZN-w9u" TargetMode="External"/><Relationship Id="rId911" Type="http://schemas.openxmlformats.org/officeDocument/2006/relationships/hyperlink" Target="https://drive.google.com/open?id=161gAY9xCIyUZGV70Ss5tKQa6hhdg7zkq" TargetMode="External"/><Relationship Id="rId1127" Type="http://schemas.openxmlformats.org/officeDocument/2006/relationships/hyperlink" Target="https://drive.google.com/open?id=10l0klJaXRSSdkEThk-FQbIrJc2ryY74D" TargetMode="External"/><Relationship Id="rId1334" Type="http://schemas.openxmlformats.org/officeDocument/2006/relationships/hyperlink" Target="https://drive.google.com/open?id=1NziKGpNoGVQBJ--vVPZgARNfKMK01KI1" TargetMode="External"/><Relationship Id="rId40" Type="http://schemas.openxmlformats.org/officeDocument/2006/relationships/hyperlink" Target="https://drive.google.com/open?id=14eo9gXW8eOYIUYK44iYmyknAgotMtBCt" TargetMode="External"/><Relationship Id="rId136" Type="http://schemas.openxmlformats.org/officeDocument/2006/relationships/hyperlink" Target="https://drive.google.com/open?id=1y973qex__okkEKPhMTgBO-JPj-KbUioj" TargetMode="External"/><Relationship Id="rId343" Type="http://schemas.openxmlformats.org/officeDocument/2006/relationships/hyperlink" Target="https://drive.google.com/open?id=1AeoCf75DFmus-547YYjYZdDtYHiUXCrr" TargetMode="External"/><Relationship Id="rId550" Type="http://schemas.openxmlformats.org/officeDocument/2006/relationships/hyperlink" Target="https://drive.google.com/open?id=1oWasJFEXhwahVIPRB8q_8btbTW7ApZkQ" TargetMode="External"/><Relationship Id="rId788" Type="http://schemas.openxmlformats.org/officeDocument/2006/relationships/hyperlink" Target="https://drive.google.com/open?id=1K7re4F4sjorGSy4xdqaaQ9iR-eljFBmp" TargetMode="External"/><Relationship Id="rId995" Type="http://schemas.openxmlformats.org/officeDocument/2006/relationships/hyperlink" Target="https://drive.google.com/open?id=1yglCYVQ199qx5k15o7caTfXUWiGv0Jfi" TargetMode="External"/><Relationship Id="rId1180" Type="http://schemas.openxmlformats.org/officeDocument/2006/relationships/hyperlink" Target="https://drive.google.com/open?id=1q2e-Y4xZqdTIYqEXbAuYj3OY0mnStQt2" TargetMode="External"/><Relationship Id="rId203" Type="http://schemas.openxmlformats.org/officeDocument/2006/relationships/hyperlink" Target="https://drive.google.com/open?id=13oDkQ5eszOIASYc_IZHqIC-kEbAMo6TT" TargetMode="External"/><Relationship Id="rId648" Type="http://schemas.openxmlformats.org/officeDocument/2006/relationships/hyperlink" Target="https://drive.google.com/open?id=1oGd0TgPMSs2_aUaC7MhhXkTdYXkrrSp8" TargetMode="External"/><Relationship Id="rId855" Type="http://schemas.openxmlformats.org/officeDocument/2006/relationships/hyperlink" Target="https://drive.google.com/open?id=1NXOPsyh955aIGZjzTRRVIr0FWUw4rpis" TargetMode="External"/><Relationship Id="rId1040" Type="http://schemas.openxmlformats.org/officeDocument/2006/relationships/hyperlink" Target="https://drive.google.com/open?id=1pe3p-2freuWa5Y6VlateFoOG8VVzNEWA" TargetMode="External"/><Relationship Id="rId1278" Type="http://schemas.openxmlformats.org/officeDocument/2006/relationships/hyperlink" Target="https://drive.google.com/open?id=1gH1vW6Sntwpf3ODV0cAlRreSK7Udgp9c" TargetMode="External"/><Relationship Id="rId287" Type="http://schemas.openxmlformats.org/officeDocument/2006/relationships/hyperlink" Target="https://drive.google.com/open?id=1nMcjeDp3LFt1z1cRZug48GyfV1fbyZTG" TargetMode="External"/><Relationship Id="rId410" Type="http://schemas.openxmlformats.org/officeDocument/2006/relationships/hyperlink" Target="https://drive.google.com/open?id=1de7x2fVjRWzN06eIg7w4V41EJ0irYQnv" TargetMode="External"/><Relationship Id="rId494" Type="http://schemas.openxmlformats.org/officeDocument/2006/relationships/hyperlink" Target="https://drive.google.com/open?id=1pxy4YbkI-sDS6ij1d0Nqu69p9VIc-cBR" TargetMode="External"/><Relationship Id="rId508" Type="http://schemas.openxmlformats.org/officeDocument/2006/relationships/hyperlink" Target="https://drive.google.com/open?id=1IrAvW02zQnWaBoFjCxeNvfNtAZnO5_n7" TargetMode="External"/><Relationship Id="rId715" Type="http://schemas.openxmlformats.org/officeDocument/2006/relationships/hyperlink" Target="https://drive.google.com/open?id=1f_6RyJdXXACjMWev8ca0hIqydzsrtWcs" TargetMode="External"/><Relationship Id="rId922" Type="http://schemas.openxmlformats.org/officeDocument/2006/relationships/hyperlink" Target="https://drive.google.com/open?id=1pCYnpmlYoFMaw-kdno5tsj-86aWCShCa" TargetMode="External"/><Relationship Id="rId1138" Type="http://schemas.openxmlformats.org/officeDocument/2006/relationships/hyperlink" Target="https://drive.google.com/open?id=1HE_sU7ihsjFY9Zn7HSqOddJpEYLzlZUs" TargetMode="External"/><Relationship Id="rId147" Type="http://schemas.openxmlformats.org/officeDocument/2006/relationships/hyperlink" Target="https://drive.google.com/open?id=1weMVHWhGnk2_8xnEmWSlproEiy_09tE9" TargetMode="External"/><Relationship Id="rId354" Type="http://schemas.openxmlformats.org/officeDocument/2006/relationships/hyperlink" Target="https://drive.google.com/open?id=1-zCDceZm8HrT2MI98eNitL7FcvuByl22" TargetMode="External"/><Relationship Id="rId799" Type="http://schemas.openxmlformats.org/officeDocument/2006/relationships/hyperlink" Target="https://drive.google.com/open?id=14M2s0Yb5IrkGYbOl1tHOF2UOlYrDb6lf" TargetMode="External"/><Relationship Id="rId1191" Type="http://schemas.openxmlformats.org/officeDocument/2006/relationships/hyperlink" Target="https://drive.google.com/open?id=19I4jWirCiejN_NsQQxeD0QGuWIl4a_6d" TargetMode="External"/><Relationship Id="rId1205" Type="http://schemas.openxmlformats.org/officeDocument/2006/relationships/hyperlink" Target="https://drive.google.com/open?id=1ZPfIrmV7dCUeaFjoT2l1nJVDvHUuN3Dx" TargetMode="External"/><Relationship Id="rId51" Type="http://schemas.openxmlformats.org/officeDocument/2006/relationships/hyperlink" Target="https://drive.google.com/open?id=1kdGC3HxK8cyPhg5MkQpXA8YVXgwBKdYF" TargetMode="External"/><Relationship Id="rId561" Type="http://schemas.openxmlformats.org/officeDocument/2006/relationships/hyperlink" Target="https://drive.google.com/open?id=1Ul6j1tdopkDnXwGZ284vPMkX5WE8h6-k" TargetMode="External"/><Relationship Id="rId659" Type="http://schemas.openxmlformats.org/officeDocument/2006/relationships/hyperlink" Target="https://drive.google.com/open?id=1kCej-tFd2U_21HOqTq7dkkunOSUkz9PY" TargetMode="External"/><Relationship Id="rId866" Type="http://schemas.openxmlformats.org/officeDocument/2006/relationships/hyperlink" Target="https://drive.google.com/open?id=10vYy2yRzwiezw6ByqFwZcrerK8gpogGu" TargetMode="External"/><Relationship Id="rId1289" Type="http://schemas.openxmlformats.org/officeDocument/2006/relationships/hyperlink" Target="https://drive.google.com/open?id=1OzI_clNZODyIGXGq0gPExTdi8hKCS5BN" TargetMode="External"/><Relationship Id="rId214" Type="http://schemas.openxmlformats.org/officeDocument/2006/relationships/hyperlink" Target="https://drive.google.com/open?id=1Xt0pIDVap4OLOIehCGYbKilh3Ncco4Ld" TargetMode="External"/><Relationship Id="rId298" Type="http://schemas.openxmlformats.org/officeDocument/2006/relationships/hyperlink" Target="https://drive.google.com/open?id=17IrdOrM5riUDlK7k5Np6O4fQSFI_YiLU" TargetMode="External"/><Relationship Id="rId421" Type="http://schemas.openxmlformats.org/officeDocument/2006/relationships/hyperlink" Target="https://drive.google.com/open?id=1zpmm0W3UGpW7gPZdfB1tomu7zAu655rf" TargetMode="External"/><Relationship Id="rId519" Type="http://schemas.openxmlformats.org/officeDocument/2006/relationships/hyperlink" Target="https://drive.google.com/open?id=1QS0nQI88rgIEiYjj7TO4KU58qQvkytVU" TargetMode="External"/><Relationship Id="rId1051" Type="http://schemas.openxmlformats.org/officeDocument/2006/relationships/hyperlink" Target="https://drive.google.com/open?id=1-s6hUkyyPvazo85I9mZCbqlJIFZTi6sR" TargetMode="External"/><Relationship Id="rId1149" Type="http://schemas.openxmlformats.org/officeDocument/2006/relationships/hyperlink" Target="https://drive.google.com/open?id=1ELPYEE3rpdtKRQRpwVSO-bZmIYuc3FF8" TargetMode="External"/><Relationship Id="rId158" Type="http://schemas.openxmlformats.org/officeDocument/2006/relationships/hyperlink" Target="https://drive.google.com/open?id=1vMGLeUrSR3Dh6GgANjUHAzVvzXnuXo0B" TargetMode="External"/><Relationship Id="rId726" Type="http://schemas.openxmlformats.org/officeDocument/2006/relationships/hyperlink" Target="https://drive.google.com/open?id=1QtbtvLWTBhNXZvDVypiun7FhSG7Wn0YN" TargetMode="External"/><Relationship Id="rId933" Type="http://schemas.openxmlformats.org/officeDocument/2006/relationships/hyperlink" Target="https://drive.google.com/open?id=1K4YvXyrOQTuJ2FfJ45B5JuJcD8DQ_fTh" TargetMode="External"/><Relationship Id="rId1009" Type="http://schemas.openxmlformats.org/officeDocument/2006/relationships/hyperlink" Target="https://drive.google.com/open?id=1j1w0c2-FZYLuHintyze78-a8_CcCaP0D" TargetMode="External"/><Relationship Id="rId62" Type="http://schemas.openxmlformats.org/officeDocument/2006/relationships/hyperlink" Target="https://drive.google.com/open?id=1TygJTBULgKD7q8GeQR5toar9zOHjDVEh" TargetMode="External"/><Relationship Id="rId365" Type="http://schemas.openxmlformats.org/officeDocument/2006/relationships/hyperlink" Target="https://drive.google.com/open?id=1GUfl4mlnXROBrfPau_24WDQdpP5kWsjX" TargetMode="External"/><Relationship Id="rId572" Type="http://schemas.openxmlformats.org/officeDocument/2006/relationships/hyperlink" Target="https://drive.google.com/open?id=1kFaXnM7AKbPqvJ7OkEBuEez0r0yNOk4J" TargetMode="External"/><Relationship Id="rId1216" Type="http://schemas.openxmlformats.org/officeDocument/2006/relationships/hyperlink" Target="https://drive.google.com/open?id=1BMaENX90Y4WR0qcOD1aitqdZuLUI3Y_e" TargetMode="External"/><Relationship Id="rId225" Type="http://schemas.openxmlformats.org/officeDocument/2006/relationships/hyperlink" Target="https://drive.google.com/open?id=1kKr1bqJud7rueQacoJtL1uRgQoDkwQuk" TargetMode="External"/><Relationship Id="rId432" Type="http://schemas.openxmlformats.org/officeDocument/2006/relationships/hyperlink" Target="https://drive.google.com/open?id=1gYjOMzNjOvKJepuv6ao08mqXhsq92C1T" TargetMode="External"/><Relationship Id="rId877" Type="http://schemas.openxmlformats.org/officeDocument/2006/relationships/hyperlink" Target="https://drive.google.com/open?id=1Qc5AqfMve3ctBRZ_w3MfmS_ctS2EU0GC" TargetMode="External"/><Relationship Id="rId1062" Type="http://schemas.openxmlformats.org/officeDocument/2006/relationships/hyperlink" Target="https://drive.google.com/open?id=1EvXscih3t8GNcIkdo5_8G4zI0SWazPz8" TargetMode="External"/><Relationship Id="rId737" Type="http://schemas.openxmlformats.org/officeDocument/2006/relationships/hyperlink" Target="https://drive.google.com/open?id=1cqxllut2Fduqdqm6ZeBOazCpG_Pq87iB" TargetMode="External"/><Relationship Id="rId944" Type="http://schemas.openxmlformats.org/officeDocument/2006/relationships/hyperlink" Target="https://drive.google.com/open?id=1Lpp02xPGgkuz4gglZkiLOpSnHOGr7ch_" TargetMode="External"/><Relationship Id="rId73" Type="http://schemas.openxmlformats.org/officeDocument/2006/relationships/hyperlink" Target="https://drive.google.com/open?id=1Eri7YtVm9NkUJ8-580CvasGTHTCxPe_F" TargetMode="External"/><Relationship Id="rId169" Type="http://schemas.openxmlformats.org/officeDocument/2006/relationships/hyperlink" Target="https://drive.google.com/open?id=1gac_Nud4F4G8I9PCCa9D0Btcm3uOxWZQ" TargetMode="External"/><Relationship Id="rId376" Type="http://schemas.openxmlformats.org/officeDocument/2006/relationships/hyperlink" Target="https://drive.google.com/open?id=1mXWQ22tEBum6Qeqx3u3J2UDzE1iF6z0M" TargetMode="External"/><Relationship Id="rId583" Type="http://schemas.openxmlformats.org/officeDocument/2006/relationships/hyperlink" Target="https://drive.google.com/open?id=1DmPs353d-h_k805KpRM5_WLtihWEXRzd" TargetMode="External"/><Relationship Id="rId790" Type="http://schemas.openxmlformats.org/officeDocument/2006/relationships/hyperlink" Target="https://drive.google.com/open?id=1xHB7KlbUemK4WT97QXCv1wmS6wBM8Ib9" TargetMode="External"/><Relationship Id="rId804" Type="http://schemas.openxmlformats.org/officeDocument/2006/relationships/hyperlink" Target="https://drive.google.com/open?id=1hPn17VP27yhvydDTY9traLQ1wHwZmrox" TargetMode="External"/><Relationship Id="rId1227" Type="http://schemas.openxmlformats.org/officeDocument/2006/relationships/hyperlink" Target="https://drive.google.com/open?id=18mtx8Qh8QHls3niSfI1jM6LKdhvuuQeL" TargetMode="External"/><Relationship Id="rId4" Type="http://schemas.openxmlformats.org/officeDocument/2006/relationships/hyperlink" Target="https://drive.google.com/open?id=1gn3ikCIhs-dev83eRRxjViW8zJF-T-k7" TargetMode="External"/><Relationship Id="rId236" Type="http://schemas.openxmlformats.org/officeDocument/2006/relationships/hyperlink" Target="https://drive.google.com/open?id=1BGZMlDUnSEgkcWuFeTdo9Q6hmkRpWqxk" TargetMode="External"/><Relationship Id="rId443" Type="http://schemas.openxmlformats.org/officeDocument/2006/relationships/hyperlink" Target="https://drive.google.com/open?id=1__g9ayAlDo4o5BLco3HRndl_PozQVYIF" TargetMode="External"/><Relationship Id="rId650" Type="http://schemas.openxmlformats.org/officeDocument/2006/relationships/hyperlink" Target="https://drive.google.com/open?id=107KWl7vHy4JvgbFp97Q2TqLetMA7I7ZT" TargetMode="External"/><Relationship Id="rId888" Type="http://schemas.openxmlformats.org/officeDocument/2006/relationships/hyperlink" Target="https://drive.google.com/open?id=1r6kjgn0k81G9upoY_aZZXrU3VZdSNE-5" TargetMode="External"/><Relationship Id="rId1073" Type="http://schemas.openxmlformats.org/officeDocument/2006/relationships/hyperlink" Target="https://drive.google.com/open?id=1RNxNHVErA7ZetNxkkw55UxK_dJZ0frz-" TargetMode="External"/><Relationship Id="rId1280" Type="http://schemas.openxmlformats.org/officeDocument/2006/relationships/hyperlink" Target="https://drive.google.com/open?id=19I4jWirCiejN_NsQQxeD0QGuWIl4a_6d" TargetMode="External"/><Relationship Id="rId303" Type="http://schemas.openxmlformats.org/officeDocument/2006/relationships/hyperlink" Target="https://drive.google.com/open?id=1usRNj28J-Yv6kinZKevnEFcpZdFjXnlv" TargetMode="External"/><Relationship Id="rId748" Type="http://schemas.openxmlformats.org/officeDocument/2006/relationships/hyperlink" Target="https://drive.google.com/open?id=10PSNFfo7CjwjQLY7Gx8EcRI6qf5g1DH5" TargetMode="External"/><Relationship Id="rId955" Type="http://schemas.openxmlformats.org/officeDocument/2006/relationships/hyperlink" Target="https://drive.google.com/open?id=1SzwVma1bvQzySAMcnIUyR86UB4_jEDZx" TargetMode="External"/><Relationship Id="rId1140" Type="http://schemas.openxmlformats.org/officeDocument/2006/relationships/hyperlink" Target="https://drive.google.com/open?id=1gXIqBnIb77E5lKLFiRe5c4MzKWMG64dB" TargetMode="External"/><Relationship Id="rId84" Type="http://schemas.openxmlformats.org/officeDocument/2006/relationships/hyperlink" Target="https://drive.google.com/open?id=1qLwO9j6QWJqkrVFTFe1r7bBOvBWyxMrR" TargetMode="External"/><Relationship Id="rId387" Type="http://schemas.openxmlformats.org/officeDocument/2006/relationships/hyperlink" Target="https://drive.google.com/open?id=1_zRhbWe-ZIATBTKnt5Wrb3e5ad6h5zy4" TargetMode="External"/><Relationship Id="rId510" Type="http://schemas.openxmlformats.org/officeDocument/2006/relationships/hyperlink" Target="https://drive.google.com/open?id=1IHDuFGK8kbwPdBAfTzfr3Yms7U5O4m0P" TargetMode="External"/><Relationship Id="rId594" Type="http://schemas.openxmlformats.org/officeDocument/2006/relationships/hyperlink" Target="https://drive.google.com/open?id=1GMChl2S9RjFtG0f56onc7V-grHCA0_D-" TargetMode="External"/><Relationship Id="rId608" Type="http://schemas.openxmlformats.org/officeDocument/2006/relationships/hyperlink" Target="https://drive.google.com/open?id=1xuoVqr0QMgCsvz5rFTo9SVoMb5UeU67O" TargetMode="External"/><Relationship Id="rId815" Type="http://schemas.openxmlformats.org/officeDocument/2006/relationships/hyperlink" Target="https://drive.google.com/open?id=1rur1MIBRmakoHW0PG-WRkLUbz7xGtELk" TargetMode="External"/><Relationship Id="rId1238" Type="http://schemas.openxmlformats.org/officeDocument/2006/relationships/hyperlink" Target="https://drive.google.com/open?id=1gvIeJBmIWboglyfy7muQNi943qgd3l6N" TargetMode="External"/><Relationship Id="rId247" Type="http://schemas.openxmlformats.org/officeDocument/2006/relationships/hyperlink" Target="https://drive.google.com/open?id=1-5ulWFAkRwnJeAKm0eIUioBG-oDd3-t6" TargetMode="External"/><Relationship Id="rId899" Type="http://schemas.openxmlformats.org/officeDocument/2006/relationships/hyperlink" Target="https://drive.google.com/open?id=19zlUndQh5pJmKfNO2-EjhssTuaVWZjGL" TargetMode="External"/><Relationship Id="rId1000" Type="http://schemas.openxmlformats.org/officeDocument/2006/relationships/hyperlink" Target="https://drive.google.com/open?id=18seBZorcjr3O70OKP_3pPmnzYScR3v6i" TargetMode="External"/><Relationship Id="rId1084" Type="http://schemas.openxmlformats.org/officeDocument/2006/relationships/hyperlink" Target="https://drive.google.com/open?id=1Ue1zY6fmjTuNMCQ1eMzNM_hDW5JfeMAS" TargetMode="External"/><Relationship Id="rId1305" Type="http://schemas.openxmlformats.org/officeDocument/2006/relationships/hyperlink" Target="https://drive.google.com/open?id=1BMaENX90Y4WR0qcOD1aitqdZuLUI3Y_e" TargetMode="External"/><Relationship Id="rId107" Type="http://schemas.openxmlformats.org/officeDocument/2006/relationships/hyperlink" Target="https://drive.google.com/open?id=1ziKEhcb8WGR6GcExGyLs1lCuko-zHEY-" TargetMode="External"/><Relationship Id="rId454" Type="http://schemas.openxmlformats.org/officeDocument/2006/relationships/hyperlink" Target="https://drive.google.com/open?id=19jrZAI10BQmb-sfpxY5DRbl_KKgFEZOd" TargetMode="External"/><Relationship Id="rId661" Type="http://schemas.openxmlformats.org/officeDocument/2006/relationships/hyperlink" Target="https://drive.google.com/open?id=1f4IbL3inliT5llRVq8Zb-tsbD5AxG-bz" TargetMode="External"/><Relationship Id="rId759" Type="http://schemas.openxmlformats.org/officeDocument/2006/relationships/hyperlink" Target="https://drive.google.com/open?id=1nZEMt24baX0onTXz2Liyrd92-XxHFnF0" TargetMode="External"/><Relationship Id="rId966" Type="http://schemas.openxmlformats.org/officeDocument/2006/relationships/hyperlink" Target="https://drive.google.com/open?id=15ej9vscZ0I8ge1ld4LdQpKYaykpN1SaF" TargetMode="External"/><Relationship Id="rId1291" Type="http://schemas.openxmlformats.org/officeDocument/2006/relationships/hyperlink" Target="https://drive.google.com/open?id=1Ogss-ENczLrCs4d5vr2tJpBAjtiOg7jg" TargetMode="External"/><Relationship Id="rId11" Type="http://schemas.openxmlformats.org/officeDocument/2006/relationships/hyperlink" Target="https://drive.google.com/open?id=1-v8R8caNSpd9aQqqGDaTIf13ETG7x4f_" TargetMode="External"/><Relationship Id="rId314" Type="http://schemas.openxmlformats.org/officeDocument/2006/relationships/hyperlink" Target="https://drive.google.com/open?id=1uTGVtRaRxKQKLb_Ehjblj80sg5F5loWs" TargetMode="External"/><Relationship Id="rId398" Type="http://schemas.openxmlformats.org/officeDocument/2006/relationships/hyperlink" Target="https://drive.google.com/open?id=1_MKGKDwRsGQXTZXyb1XI02-gZj3wRvhZ" TargetMode="External"/><Relationship Id="rId521" Type="http://schemas.openxmlformats.org/officeDocument/2006/relationships/hyperlink" Target="https://drive.google.com/open?id=1B45LHuXyosLJYJfrfizCUPhkpMVKLUxC" TargetMode="External"/><Relationship Id="rId619" Type="http://schemas.openxmlformats.org/officeDocument/2006/relationships/hyperlink" Target="https://drive.google.com/open?id=1lDoQoKhSD4BIbKrcvBDXhksloXGEnkvG" TargetMode="External"/><Relationship Id="rId1151" Type="http://schemas.openxmlformats.org/officeDocument/2006/relationships/hyperlink" Target="https://drive.google.com/open?id=1FxVftOJQbMTy39xSDZVUrPs4_qt5jlpM" TargetMode="External"/><Relationship Id="rId1249" Type="http://schemas.openxmlformats.org/officeDocument/2006/relationships/hyperlink" Target="https://drive.google.com/open?id=1F0bEQ0NIRcGA9hAz_lnJMgqUTieVjbys" TargetMode="External"/><Relationship Id="rId95" Type="http://schemas.openxmlformats.org/officeDocument/2006/relationships/hyperlink" Target="https://drive.google.com/open?id=1cPx_WF0s9doUfM1_GkZe3bOU5GdjrSt5" TargetMode="External"/><Relationship Id="rId160" Type="http://schemas.openxmlformats.org/officeDocument/2006/relationships/hyperlink" Target="https://drive.google.com/open?id=11O2rotzNzFdvp3cPl2KcpFSbjJsThz21" TargetMode="External"/><Relationship Id="rId826" Type="http://schemas.openxmlformats.org/officeDocument/2006/relationships/hyperlink" Target="https://drive.google.com/open?id=17tn4juU4_DUYU4WxjeD0_gQdnDwsFK4O" TargetMode="External"/><Relationship Id="rId1011" Type="http://schemas.openxmlformats.org/officeDocument/2006/relationships/hyperlink" Target="https://drive.google.com/open?id=15ob4XbwSyJWO_uug8fiShIJkjG616DJV" TargetMode="External"/><Relationship Id="rId1109" Type="http://schemas.openxmlformats.org/officeDocument/2006/relationships/hyperlink" Target="https://drive.google.com/open?id=1TPECwCKNhGQy2a6nSAQeDdhd6N0lrh9U" TargetMode="External"/><Relationship Id="rId258" Type="http://schemas.openxmlformats.org/officeDocument/2006/relationships/hyperlink" Target="https://drive.google.com/open?id=1UCYsFcfdCkQbSjAfAGs7hvKdplw9pvJo" TargetMode="External"/><Relationship Id="rId465" Type="http://schemas.openxmlformats.org/officeDocument/2006/relationships/hyperlink" Target="https://drive.google.com/open?id=1bJOZk-Z-twZuGoL4UVAoKmqU_iTREof7" TargetMode="External"/><Relationship Id="rId672" Type="http://schemas.openxmlformats.org/officeDocument/2006/relationships/hyperlink" Target="https://drive.google.com/open?id=1ZZA504_CZJJomGE-VQrhHmlKo50Jlrb8" TargetMode="External"/><Relationship Id="rId1095" Type="http://schemas.openxmlformats.org/officeDocument/2006/relationships/hyperlink" Target="https://drive.google.com/open?id=1kDF-MB6lGC-Z5LbMtHfLutR5nCFaEE1X" TargetMode="External"/><Relationship Id="rId1316" Type="http://schemas.openxmlformats.org/officeDocument/2006/relationships/hyperlink" Target="https://drive.google.com/open?id=18mtx8Qh8QHls3niSfI1jM6LKdhvuuQeL" TargetMode="External"/><Relationship Id="rId22" Type="http://schemas.openxmlformats.org/officeDocument/2006/relationships/hyperlink" Target="https://drive.google.com/open?id=1lmrb71Nm-41_5xPCanOYRZqI2qrZVI5Q" TargetMode="External"/><Relationship Id="rId118" Type="http://schemas.openxmlformats.org/officeDocument/2006/relationships/hyperlink" Target="https://drive.google.com/open?id=1lZco-aVK73UFtLeAGDTmSu_dhNTddkX_" TargetMode="External"/><Relationship Id="rId325" Type="http://schemas.openxmlformats.org/officeDocument/2006/relationships/hyperlink" Target="https://drive.google.com/open?id=1fppRokg8O_ztDJx0mkm7EqY01BpPMsrL" TargetMode="External"/><Relationship Id="rId532" Type="http://schemas.openxmlformats.org/officeDocument/2006/relationships/hyperlink" Target="https://drive.google.com/open?id=1Ck3LnQotgKdjvrT_F1Y9zbynAxV3l9Ys" TargetMode="External"/><Relationship Id="rId977" Type="http://schemas.openxmlformats.org/officeDocument/2006/relationships/hyperlink" Target="https://drive.google.com/open?id=1TxqaqLjacyv5BFLhT_3QiJotOsS_nRQa" TargetMode="External"/><Relationship Id="rId1162" Type="http://schemas.openxmlformats.org/officeDocument/2006/relationships/hyperlink" Target="https://drive.google.com/open?id=1NlwexNlI5-hIUf2y7wGIhsAvMt8BJJDt" TargetMode="External"/><Relationship Id="rId171" Type="http://schemas.openxmlformats.org/officeDocument/2006/relationships/hyperlink" Target="https://drive.google.com/open?id=1KxtjneWk-xmDymWeFiQvMkzvSpLeO477" TargetMode="External"/><Relationship Id="rId837" Type="http://schemas.openxmlformats.org/officeDocument/2006/relationships/hyperlink" Target="https://drive.google.com/open?id=1vKa_n_oyI4AoCh9UTGclxRUxxe2U_WzG" TargetMode="External"/><Relationship Id="rId1022" Type="http://schemas.openxmlformats.org/officeDocument/2006/relationships/hyperlink" Target="https://drive.google.com/open?id=1ph83XLvX3vGd4A97E5ij08uGHbidKf49" TargetMode="External"/><Relationship Id="rId269" Type="http://schemas.openxmlformats.org/officeDocument/2006/relationships/hyperlink" Target="https://drive.google.com/open?id=1M75Zuz94mobCB2u7SAfxI6p_Ap3Wqno0" TargetMode="External"/><Relationship Id="rId476" Type="http://schemas.openxmlformats.org/officeDocument/2006/relationships/hyperlink" Target="https://drive.google.com/open?id=1jfXVxuerdSjvFtlEZeWYwfurTz0AqxaO" TargetMode="External"/><Relationship Id="rId683" Type="http://schemas.openxmlformats.org/officeDocument/2006/relationships/hyperlink" Target="https://drive.google.com/open?id=1hsdS8x6QAkr093ZKVQozx_VW02UX_ciT" TargetMode="External"/><Relationship Id="rId890" Type="http://schemas.openxmlformats.org/officeDocument/2006/relationships/hyperlink" Target="https://drive.google.com/open?id=1I10ymDocU9KshULXlkbs_MaLEpV-PeAS" TargetMode="External"/><Relationship Id="rId904" Type="http://schemas.openxmlformats.org/officeDocument/2006/relationships/hyperlink" Target="https://drive.google.com/open?id=1XIuR7daUWGUMTat-Yoq0W9bWN3UpHpcf" TargetMode="External"/><Relationship Id="rId1327" Type="http://schemas.openxmlformats.org/officeDocument/2006/relationships/hyperlink" Target="https://drive.google.com/open?id=1gvIeJBmIWboglyfy7muQNi943qgd3l6N" TargetMode="External"/><Relationship Id="rId33" Type="http://schemas.openxmlformats.org/officeDocument/2006/relationships/hyperlink" Target="https://drive.google.com/open?id=1RxQJURGeMsrUZuJpXuO9L3e9voYAgdDo" TargetMode="External"/><Relationship Id="rId129" Type="http://schemas.openxmlformats.org/officeDocument/2006/relationships/hyperlink" Target="https://drive.google.com/open?id=1TAH1SbQQA-KZ2zRXCfxGzvrNvcAAWpPd" TargetMode="External"/><Relationship Id="rId336" Type="http://schemas.openxmlformats.org/officeDocument/2006/relationships/hyperlink" Target="https://drive.google.com/open?id=1SWhau6BZsYrQW2m8wvGigOczG7S684k8" TargetMode="External"/><Relationship Id="rId543" Type="http://schemas.openxmlformats.org/officeDocument/2006/relationships/hyperlink" Target="https://drive.google.com/open?id=1j1LJB0cHO3-M56_bgxFu7Uv7ZXpyg8IL" TargetMode="External"/><Relationship Id="rId988" Type="http://schemas.openxmlformats.org/officeDocument/2006/relationships/hyperlink" Target="https://drive.google.com/open?id=1wjZLp-d60u1u4pMLRVmZviNunuo4_dWL" TargetMode="External"/><Relationship Id="rId1173" Type="http://schemas.openxmlformats.org/officeDocument/2006/relationships/hyperlink" Target="https://drive.google.com/open?id=1a0W0kLYN6X4c54EQ7RRsH55ywL6cAV93" TargetMode="External"/><Relationship Id="rId182" Type="http://schemas.openxmlformats.org/officeDocument/2006/relationships/hyperlink" Target="https://drive.google.com/open?id=1pXi0t5byqcGcH9faXaSFlImJi7ZXoM8S" TargetMode="External"/><Relationship Id="rId403" Type="http://schemas.openxmlformats.org/officeDocument/2006/relationships/hyperlink" Target="https://drive.google.com/open?id=1LsdtgiAGWx7Vab0obt7ZLMgD7sa7LOIh" TargetMode="External"/><Relationship Id="rId750" Type="http://schemas.openxmlformats.org/officeDocument/2006/relationships/hyperlink" Target="https://drive.google.com/open?id=1sDjV3n0ZaZV91dbGI3HkFjaboiqhhNg-" TargetMode="External"/><Relationship Id="rId848" Type="http://schemas.openxmlformats.org/officeDocument/2006/relationships/hyperlink" Target="https://drive.google.com/open?id=1LrTwKTVFOygHJ8gHCJ2OlPA3e0ySb62H" TargetMode="External"/><Relationship Id="rId1033" Type="http://schemas.openxmlformats.org/officeDocument/2006/relationships/hyperlink" Target="https://drive.google.com/open?id=1xgzZEYjYgnECYBJzQfcqwASeVfjyLZC-" TargetMode="External"/><Relationship Id="rId487" Type="http://schemas.openxmlformats.org/officeDocument/2006/relationships/hyperlink" Target="https://drive.google.com/open?id=1R4u3fohaTi7TEZxouCeFMmE0I7vah8Pd" TargetMode="External"/><Relationship Id="rId610" Type="http://schemas.openxmlformats.org/officeDocument/2006/relationships/hyperlink" Target="https://drive.google.com/open?id=1VksBdV3ybINuVdznQDBP-Cr4O1vi219V" TargetMode="External"/><Relationship Id="rId694" Type="http://schemas.openxmlformats.org/officeDocument/2006/relationships/hyperlink" Target="https://drive.google.com/open?id=1_gG2F-FhMtSVQC3MCZ-ZTi5aDHgRVFQw" TargetMode="External"/><Relationship Id="rId708" Type="http://schemas.openxmlformats.org/officeDocument/2006/relationships/hyperlink" Target="https://drive.google.com/open?id=1wRDnWjVgTMxaH-hngAwYfoHXbiKKZt70" TargetMode="External"/><Relationship Id="rId915" Type="http://schemas.openxmlformats.org/officeDocument/2006/relationships/hyperlink" Target="https://drive.google.com/open?id=1oFxnyj1h9VS2-8ETGMPGTcUZGcAYN4ZL" TargetMode="External"/><Relationship Id="rId1240" Type="http://schemas.openxmlformats.org/officeDocument/2006/relationships/hyperlink" Target="https://drive.google.com/open?id=1z8tJnoJolWBpv8YcnfnaZzeDb5Xdm8zZ" TargetMode="External"/><Relationship Id="rId347" Type="http://schemas.openxmlformats.org/officeDocument/2006/relationships/hyperlink" Target="https://drive.google.com/open?id=1Qkly311R7TArLslRUrk4QxzeuF6u8THT" TargetMode="External"/><Relationship Id="rId999" Type="http://schemas.openxmlformats.org/officeDocument/2006/relationships/hyperlink" Target="https://drive.google.com/open?id=13lGdItF7uLb_QJuHbKFSTIT2NCFM2qOI" TargetMode="External"/><Relationship Id="rId1100" Type="http://schemas.openxmlformats.org/officeDocument/2006/relationships/hyperlink" Target="https://drive.google.com/open?id=1pXQ52xlKblkbSofigaUXkxIeYb6x4PYn" TargetMode="External"/><Relationship Id="rId1184" Type="http://schemas.openxmlformats.org/officeDocument/2006/relationships/hyperlink" Target="https://drive.google.com/open?id=1wockfBLR9-p_ifH9J_TQPOIruR5HqX3x" TargetMode="External"/><Relationship Id="rId44" Type="http://schemas.openxmlformats.org/officeDocument/2006/relationships/hyperlink" Target="https://drive.google.com/open?id=1B4eqhT6xtlTOUszrwY6nfoBTshlHSD4l" TargetMode="External"/><Relationship Id="rId554" Type="http://schemas.openxmlformats.org/officeDocument/2006/relationships/hyperlink" Target="https://drive.google.com/open?id=1rOpA9Qf3MkBT8yJhdUGsZiyuUl0f6ufw" TargetMode="External"/><Relationship Id="rId761" Type="http://schemas.openxmlformats.org/officeDocument/2006/relationships/hyperlink" Target="https://drive.google.com/open?id=12U8nlGkFFj4wHZie88BUI6ywlqI9YugT" TargetMode="External"/><Relationship Id="rId859" Type="http://schemas.openxmlformats.org/officeDocument/2006/relationships/hyperlink" Target="https://drive.google.com/open?id=1g38x1n1M60apvsFzB3wZCCoaSepNDmv9" TargetMode="External"/><Relationship Id="rId193" Type="http://schemas.openxmlformats.org/officeDocument/2006/relationships/hyperlink" Target="https://drive.google.com/open?id=1h9YhIgUXtK2rBnqbP6g_f9Dx3QrR_pnD" TargetMode="External"/><Relationship Id="rId207" Type="http://schemas.openxmlformats.org/officeDocument/2006/relationships/hyperlink" Target="https://drive.google.com/open?id=19Ka6YBVza_JMpDFUmAyufew4waw_D5y0" TargetMode="External"/><Relationship Id="rId414" Type="http://schemas.openxmlformats.org/officeDocument/2006/relationships/hyperlink" Target="https://drive.google.com/open?id=1TEMftiyrdghPbyJBdcw26PbaHhraB9Gt" TargetMode="External"/><Relationship Id="rId498" Type="http://schemas.openxmlformats.org/officeDocument/2006/relationships/hyperlink" Target="https://drive.google.com/open?id=1ND4We0vstlu_HdYGx2G6nGW02_8BM1Aj" TargetMode="External"/><Relationship Id="rId621" Type="http://schemas.openxmlformats.org/officeDocument/2006/relationships/hyperlink" Target="https://drive.google.com/open?id=1YXipXLsc-4Z-v_4cuaF6acWtj_t6PegX" TargetMode="External"/><Relationship Id="rId1044" Type="http://schemas.openxmlformats.org/officeDocument/2006/relationships/hyperlink" Target="https://drive.google.com/open?id=1q70iM5ZuSozWqArmkj9LmZgssRwVJcUV" TargetMode="External"/><Relationship Id="rId1251" Type="http://schemas.openxmlformats.org/officeDocument/2006/relationships/hyperlink" Target="https://drive.google.com/open?id=1NlwexNlI5-hIUf2y7wGIhsAvMt8BJJDt" TargetMode="External"/><Relationship Id="rId260" Type="http://schemas.openxmlformats.org/officeDocument/2006/relationships/hyperlink" Target="https://drive.google.com/open?id=1LhLl8wf-mab2ISMydvdASHJw2x8W0HOp" TargetMode="External"/><Relationship Id="rId719" Type="http://schemas.openxmlformats.org/officeDocument/2006/relationships/hyperlink" Target="https://drive.google.com/open?id=1qmWYkZ9uNISCKdJ2kUyd6rPe1yQQrs8m" TargetMode="External"/><Relationship Id="rId926" Type="http://schemas.openxmlformats.org/officeDocument/2006/relationships/hyperlink" Target="https://drive.google.com/open?id=1EKvphQSKtq5f-ziSqUg4ooo8NU3Fu-42" TargetMode="External"/><Relationship Id="rId1111" Type="http://schemas.openxmlformats.org/officeDocument/2006/relationships/hyperlink" Target="https://drive.google.com/open?id=1oHtKKhDC4KQnMG3E3JF_YFX-BuInEMDt" TargetMode="External"/><Relationship Id="rId55" Type="http://schemas.openxmlformats.org/officeDocument/2006/relationships/hyperlink" Target="https://drive.google.com/open?id=13TAkbd6WvVwYJiXluYi4yvFFwTDCz6uT" TargetMode="External"/><Relationship Id="rId120" Type="http://schemas.openxmlformats.org/officeDocument/2006/relationships/hyperlink" Target="https://drive.google.com/open?id=1hYqGjr9QMT_lw_DWcv9xguMH_Dqhm_0P" TargetMode="External"/><Relationship Id="rId358" Type="http://schemas.openxmlformats.org/officeDocument/2006/relationships/hyperlink" Target="https://drive.google.com/open?id=19Vnr-yfir3mSMfja5hULLq4nv1UtLUFs" TargetMode="External"/><Relationship Id="rId565" Type="http://schemas.openxmlformats.org/officeDocument/2006/relationships/hyperlink" Target="https://drive.google.com/open?id=1KmZO2SOcVkXhna0Y1SSTfbCAazPqP9wm" TargetMode="External"/><Relationship Id="rId772" Type="http://schemas.openxmlformats.org/officeDocument/2006/relationships/hyperlink" Target="https://drive.google.com/open?id=1kAHHiXHPPzDaVNvKd1i1qugvelPnBGd5" TargetMode="External"/><Relationship Id="rId1195" Type="http://schemas.openxmlformats.org/officeDocument/2006/relationships/hyperlink" Target="https://drive.google.com/open?id=100PDgqWEA8HbqwvaYupWvx8R42Of-o-H" TargetMode="External"/><Relationship Id="rId1209" Type="http://schemas.openxmlformats.org/officeDocument/2006/relationships/hyperlink" Target="https://drive.google.com/open?id=1FjXr1Ng9TffXmB4XF1qXNJ2ZIcpbIWnl" TargetMode="External"/><Relationship Id="rId218" Type="http://schemas.openxmlformats.org/officeDocument/2006/relationships/hyperlink" Target="https://drive.google.com/open?id=1EfuGEnP_eBHvTjbT1pv_KO0PWBL4P-GW" TargetMode="External"/><Relationship Id="rId425" Type="http://schemas.openxmlformats.org/officeDocument/2006/relationships/hyperlink" Target="https://drive.google.com/open?id=1HwOWXJMOaF_1InxGLgLG3n7bJEc8Wqoy" TargetMode="External"/><Relationship Id="rId632" Type="http://schemas.openxmlformats.org/officeDocument/2006/relationships/hyperlink" Target="https://drive.google.com/open?id=1Q-7YhkSF7m4wLi3K0CVmURJR9q2aTB2J" TargetMode="External"/><Relationship Id="rId1055" Type="http://schemas.openxmlformats.org/officeDocument/2006/relationships/hyperlink" Target="https://drive.google.com/open?id=1d53Z83IH6uTnP6_e1rTc7B2rYFvzwbgs" TargetMode="External"/><Relationship Id="rId1262" Type="http://schemas.openxmlformats.org/officeDocument/2006/relationships/hyperlink" Target="https://drive.google.com/open?id=1a0W0kLYN6X4c54EQ7RRsH55ywL6cAV93" TargetMode="External"/><Relationship Id="rId271" Type="http://schemas.openxmlformats.org/officeDocument/2006/relationships/hyperlink" Target="https://drive.google.com/open?id=1Xw2oJAu2cW0rAc9TPYjclklox-UbSYzd" TargetMode="External"/><Relationship Id="rId937" Type="http://schemas.openxmlformats.org/officeDocument/2006/relationships/hyperlink" Target="https://drive.google.com/open?id=1LiMEyuEmNEP-JyQwa4-lr4x0Z7NOQKKZ" TargetMode="External"/><Relationship Id="rId1122" Type="http://schemas.openxmlformats.org/officeDocument/2006/relationships/hyperlink" Target="https://drive.google.com/open?id=1benE_3z7zTx6AB3LHanz1gZmijC1bplb" TargetMode="External"/><Relationship Id="rId66" Type="http://schemas.openxmlformats.org/officeDocument/2006/relationships/hyperlink" Target="https://drive.google.com/open?id=1XowCNI-6kjv_bJYJ1OROc-hXPvbArvwA" TargetMode="External"/><Relationship Id="rId131" Type="http://schemas.openxmlformats.org/officeDocument/2006/relationships/hyperlink" Target="https://drive.google.com/open?id=1EqVwWxFgPBJOHvjZA0jScf8rURHuLvfM" TargetMode="External"/><Relationship Id="rId369" Type="http://schemas.openxmlformats.org/officeDocument/2006/relationships/hyperlink" Target="https://drive.google.com/open?id=10ICl2iGnFmohHhEghsK1kCY2vbKE3S4V" TargetMode="External"/><Relationship Id="rId576" Type="http://schemas.openxmlformats.org/officeDocument/2006/relationships/hyperlink" Target="https://drive.google.com/open?id=1I29xo311bxhhi0UhASwQ_9tsxhTs0JSF" TargetMode="External"/><Relationship Id="rId783" Type="http://schemas.openxmlformats.org/officeDocument/2006/relationships/hyperlink" Target="https://drive.google.com/open?id=1Dj1IHiJpi9Lf7RMiYSSBntVBnyCoemGO" TargetMode="External"/><Relationship Id="rId990" Type="http://schemas.openxmlformats.org/officeDocument/2006/relationships/hyperlink" Target="https://drive.google.com/open?id=1aoUkZBcN2ML6PLKzMhKZOLGvSduWTyzX" TargetMode="External"/><Relationship Id="rId229" Type="http://schemas.openxmlformats.org/officeDocument/2006/relationships/hyperlink" Target="https://drive.google.com/open?id=1L8QvenQSbBbS_qby0dpkOU-60lBMdQqT" TargetMode="External"/><Relationship Id="rId436" Type="http://schemas.openxmlformats.org/officeDocument/2006/relationships/hyperlink" Target="https://drive.google.com/open?id=1KiMO9-8cXk6324UORr6IxuY-KUyyORrZ" TargetMode="External"/><Relationship Id="rId643" Type="http://schemas.openxmlformats.org/officeDocument/2006/relationships/hyperlink" Target="https://drive.google.com/open?id=1DeZf8Izquo12knJ7xhM8jkqs47vI9VAG" TargetMode="External"/><Relationship Id="rId1066" Type="http://schemas.openxmlformats.org/officeDocument/2006/relationships/hyperlink" Target="https://drive.google.com/open?id=1CDQp-PBZmfOaWRAP94IsgsbraIKHtdWL" TargetMode="External"/><Relationship Id="rId1273" Type="http://schemas.openxmlformats.org/officeDocument/2006/relationships/hyperlink" Target="https://drive.google.com/open?id=1wockfBLR9-p_ifH9J_TQPOIruR5HqX3x" TargetMode="External"/><Relationship Id="rId850" Type="http://schemas.openxmlformats.org/officeDocument/2006/relationships/hyperlink" Target="https://drive.google.com/open?id=1CraJr1Nid3rqoJ1bVL8eBdrZi1yQ-kpC" TargetMode="External"/><Relationship Id="rId948" Type="http://schemas.openxmlformats.org/officeDocument/2006/relationships/hyperlink" Target="https://drive.google.com/open?id=1jFahULrBJExN0gHP4_RddGjUIpadqYGs" TargetMode="External"/><Relationship Id="rId1133" Type="http://schemas.openxmlformats.org/officeDocument/2006/relationships/hyperlink" Target="https://drive.google.com/open?id=1MDrSYOioEUHeQwB-6smO-gSyxJqD4CJI" TargetMode="External"/><Relationship Id="rId77" Type="http://schemas.openxmlformats.org/officeDocument/2006/relationships/hyperlink" Target="https://drive.google.com/open?id=1L1Qo1Mxhgikalx904HBgg4GAs8INbe9I" TargetMode="External"/><Relationship Id="rId282" Type="http://schemas.openxmlformats.org/officeDocument/2006/relationships/hyperlink" Target="https://drive.google.com/open?id=1eVFF13KuKupbFEOlXh1v8SIRQmQg4b71" TargetMode="External"/><Relationship Id="rId503" Type="http://schemas.openxmlformats.org/officeDocument/2006/relationships/hyperlink" Target="https://drive.google.com/open?id=1qnoXfzoIm_xbQw2fRc9wW-eeTtUjs97_" TargetMode="External"/><Relationship Id="rId587" Type="http://schemas.openxmlformats.org/officeDocument/2006/relationships/hyperlink" Target="https://drive.google.com/open?id=16gZmeUvS9zZULTRIPtzvstcoMURbbR7z" TargetMode="External"/><Relationship Id="rId710" Type="http://schemas.openxmlformats.org/officeDocument/2006/relationships/hyperlink" Target="https://drive.google.com/open?id=1f5fkYcbl5lPC1KzM9l4IKPF55533wJ9L" TargetMode="External"/><Relationship Id="rId808" Type="http://schemas.openxmlformats.org/officeDocument/2006/relationships/hyperlink" Target="https://drive.google.com/open?id=1Ra_1aYRguclV2sJfGLJG3mjP_04GJuSP" TargetMode="External"/><Relationship Id="rId8" Type="http://schemas.openxmlformats.org/officeDocument/2006/relationships/hyperlink" Target="https://drive.google.com/open?id=1QmIkUIxHvdzBAcki1wIXRP47a-PU77Kk" TargetMode="External"/><Relationship Id="rId142" Type="http://schemas.openxmlformats.org/officeDocument/2006/relationships/hyperlink" Target="https://drive.google.com/open?id=1GBl0nnG0xx1XN603Yge18K4HSJemYzOJ" TargetMode="External"/><Relationship Id="rId447" Type="http://schemas.openxmlformats.org/officeDocument/2006/relationships/hyperlink" Target="https://drive.google.com/open?id=1KNB5mdpBylr3Sq-X6G2GSjH6Uo6pYECQ" TargetMode="External"/><Relationship Id="rId794" Type="http://schemas.openxmlformats.org/officeDocument/2006/relationships/hyperlink" Target="https://drive.google.com/open?id=1z5KkDpjCjsM7cmCqgb6ch6Zw6xDrHH7K" TargetMode="External"/><Relationship Id="rId1077" Type="http://schemas.openxmlformats.org/officeDocument/2006/relationships/hyperlink" Target="https://drive.google.com/open?id=1Br9osdp4Z29Y2syRxU08Ud0JMlMK7QRZ" TargetMode="External"/><Relationship Id="rId1200" Type="http://schemas.openxmlformats.org/officeDocument/2006/relationships/hyperlink" Target="https://drive.google.com/open?id=1OzI_clNZODyIGXGq0gPExTdi8hKCS5BN" TargetMode="External"/><Relationship Id="rId654" Type="http://schemas.openxmlformats.org/officeDocument/2006/relationships/hyperlink" Target="https://drive.google.com/open?id=1hK2pBkdTZDKlPOmiNsZBHAE_l9PK0ReV" TargetMode="External"/><Relationship Id="rId861" Type="http://schemas.openxmlformats.org/officeDocument/2006/relationships/hyperlink" Target="https://drive.google.com/open?id=1AJghTvCvOYf2111qo8ySsjxTH-es7gtq" TargetMode="External"/><Relationship Id="rId959" Type="http://schemas.openxmlformats.org/officeDocument/2006/relationships/hyperlink" Target="https://drive.google.com/open?id=1F7iTjzsHnuIodbVpb33cwJfk7_1LM-9l" TargetMode="External"/><Relationship Id="rId1284" Type="http://schemas.openxmlformats.org/officeDocument/2006/relationships/hyperlink" Target="https://drive.google.com/open?id=100PDgqWEA8HbqwvaYupWvx8R42Of-o-H" TargetMode="External"/><Relationship Id="rId293" Type="http://schemas.openxmlformats.org/officeDocument/2006/relationships/hyperlink" Target="https://drive.google.com/open?id=1nRDBC7pTdfCiYyaiOh-weXyRCKy4G_dh" TargetMode="External"/><Relationship Id="rId307" Type="http://schemas.openxmlformats.org/officeDocument/2006/relationships/hyperlink" Target="https://drive.google.com/open?id=1DYVycUg39LYXa1MTaM-5hZYiPhY52zHM" TargetMode="External"/><Relationship Id="rId514" Type="http://schemas.openxmlformats.org/officeDocument/2006/relationships/hyperlink" Target="https://drive.google.com/open?id=1skgTASfCSWO8hGQPc6u4CIRldHi6rvWf" TargetMode="External"/><Relationship Id="rId721" Type="http://schemas.openxmlformats.org/officeDocument/2006/relationships/hyperlink" Target="https://drive.google.com/open?id=1pWjhSz02aRPeh3Gu2nw87YrCPDMuAnNn" TargetMode="External"/><Relationship Id="rId1144" Type="http://schemas.openxmlformats.org/officeDocument/2006/relationships/hyperlink" Target="https://drive.google.com/open?id=1q7SXNXWpRzlvsNkvYUhAmGQcta1nQIeb" TargetMode="External"/><Relationship Id="rId88" Type="http://schemas.openxmlformats.org/officeDocument/2006/relationships/hyperlink" Target="https://drive.google.com/open?id=1GoETtWDzIgW_oAaP0040Hr6PSwh-t3GB" TargetMode="External"/><Relationship Id="rId153" Type="http://schemas.openxmlformats.org/officeDocument/2006/relationships/hyperlink" Target="https://drive.google.com/open?id=17fDZDgI0IUlTGAQR7Oh1MKbR9td1xQNL" TargetMode="External"/><Relationship Id="rId360" Type="http://schemas.openxmlformats.org/officeDocument/2006/relationships/hyperlink" Target="https://drive.google.com/open?id=1b10yQQiqJa5x-8VGCPcRG_CInB4HWbui" TargetMode="External"/><Relationship Id="rId598" Type="http://schemas.openxmlformats.org/officeDocument/2006/relationships/hyperlink" Target="https://drive.google.com/open?id=1BSdn0sj7sm_8k8qnMWJVLWe2eDruQRFu" TargetMode="External"/><Relationship Id="rId819" Type="http://schemas.openxmlformats.org/officeDocument/2006/relationships/hyperlink" Target="https://drive.google.com/open?id=1OcrvTBzPmFZ0bGCM7fryutUkjhGhJYh5" TargetMode="External"/><Relationship Id="rId1004" Type="http://schemas.openxmlformats.org/officeDocument/2006/relationships/hyperlink" Target="https://drive.google.com/open?id=1yEpNi0SHGl5qQOLJpWfFDSVrtUwOq4Cb" TargetMode="External"/><Relationship Id="rId1211" Type="http://schemas.openxmlformats.org/officeDocument/2006/relationships/hyperlink" Target="https://drive.google.com/open?id=1i8sDJwLtpKbK6AFs-xf4UsDOFGjdbMWl" TargetMode="External"/><Relationship Id="rId220" Type="http://schemas.openxmlformats.org/officeDocument/2006/relationships/hyperlink" Target="https://drive.google.com/open?id=1piUk9daAxG9HHSX9eiVkZqbXZtLN3M-g" TargetMode="External"/><Relationship Id="rId458" Type="http://schemas.openxmlformats.org/officeDocument/2006/relationships/hyperlink" Target="https://drive.google.com/open?id=119hO-WqLyV7FzJ2-_hIX5dSvmZUDHsU-" TargetMode="External"/><Relationship Id="rId665" Type="http://schemas.openxmlformats.org/officeDocument/2006/relationships/hyperlink" Target="https://drive.google.com/open?id=1TUx6HI9v0Krubux7DA1wOgRCNkWizT7H" TargetMode="External"/><Relationship Id="rId872" Type="http://schemas.openxmlformats.org/officeDocument/2006/relationships/hyperlink" Target="https://drive.google.com/open?id=1n51ksBrcJzu8FL6s0RaMBBoDHsOxzL4B" TargetMode="External"/><Relationship Id="rId1088" Type="http://schemas.openxmlformats.org/officeDocument/2006/relationships/hyperlink" Target="https://drive.google.com/open?id=1DEdRuYekCFhzd1erkA9WdK8eaGdsNCPZ" TargetMode="External"/><Relationship Id="rId1295" Type="http://schemas.openxmlformats.org/officeDocument/2006/relationships/hyperlink" Target="https://drive.google.com/open?id=1UQv-1XseNPEtsjbnCm_DGGa2REEN7v9Q" TargetMode="External"/><Relationship Id="rId1309" Type="http://schemas.openxmlformats.org/officeDocument/2006/relationships/hyperlink" Target="https://drive.google.com/open?id=175hZfT5mALbCnDjklXXHfa7xUoGcLVfa" TargetMode="External"/><Relationship Id="rId15" Type="http://schemas.openxmlformats.org/officeDocument/2006/relationships/hyperlink" Target="https://drive.google.com/open?id=1uuWNhUbL1MBPVA0Q1VgPjVpSFZOEDzao" TargetMode="External"/><Relationship Id="rId318" Type="http://schemas.openxmlformats.org/officeDocument/2006/relationships/hyperlink" Target="https://drive.google.com/open?id=1HEFFnq8T2crffT5UhOJ7A7csKpf6EYKP" TargetMode="External"/><Relationship Id="rId525" Type="http://schemas.openxmlformats.org/officeDocument/2006/relationships/hyperlink" Target="https://drive.google.com/open?id=1QfD3YoKwUmM276CZ53kxVi9fxuGdfYai" TargetMode="External"/><Relationship Id="rId732" Type="http://schemas.openxmlformats.org/officeDocument/2006/relationships/hyperlink" Target="https://drive.google.com/open?id=1Jbbts9ceS-YQiXZrGgp3WKwz8lNH1LZO" TargetMode="External"/><Relationship Id="rId1155" Type="http://schemas.openxmlformats.org/officeDocument/2006/relationships/hyperlink" Target="https://drive.google.com/open?id=1CTAggaGmWTa_Z_oX62ADl7cNoIMHqgFQ" TargetMode="External"/><Relationship Id="rId99" Type="http://schemas.openxmlformats.org/officeDocument/2006/relationships/hyperlink" Target="https://drive.google.com/open?id=1DXcdXzCkOcbyhBhLXOKT4jhAX9XdM3_G" TargetMode="External"/><Relationship Id="rId164" Type="http://schemas.openxmlformats.org/officeDocument/2006/relationships/hyperlink" Target="https://drive.google.com/open?id=157mtY3fc8QYuVIVtyTbeJ4QX-mMTiq2I" TargetMode="External"/><Relationship Id="rId371" Type="http://schemas.openxmlformats.org/officeDocument/2006/relationships/hyperlink" Target="https://drive.google.com/open?id=1CgkJja-xS0LqyyIfSu4y9kgIUYuvt0gx" TargetMode="External"/><Relationship Id="rId1015" Type="http://schemas.openxmlformats.org/officeDocument/2006/relationships/hyperlink" Target="https://drive.google.com/open?id=1pSs7zzy3eJi0Z95pmNnGfABCvWGgsb_H" TargetMode="External"/><Relationship Id="rId1222" Type="http://schemas.openxmlformats.org/officeDocument/2006/relationships/hyperlink" Target="https://drive.google.com/open?id=1AlUvaHkYa-_TmleSQ5sZqJdmTYWxcgK2" TargetMode="External"/><Relationship Id="rId469" Type="http://schemas.openxmlformats.org/officeDocument/2006/relationships/hyperlink" Target="https://drive.google.com/open?id=1zWfCKVgNCwM-_UZ2Ju37CgfKQENuNThd" TargetMode="External"/><Relationship Id="rId676" Type="http://schemas.openxmlformats.org/officeDocument/2006/relationships/hyperlink" Target="https://drive.google.com/open?id=1WU1m7CU_TcognuKDh7Q7HrvZgSOLydXL" TargetMode="External"/><Relationship Id="rId883" Type="http://schemas.openxmlformats.org/officeDocument/2006/relationships/hyperlink" Target="https://drive.google.com/open?id=1KvXPRrtHu5Ev8HODK-1xhlS1_HnHyN_5" TargetMode="External"/><Relationship Id="rId1099" Type="http://schemas.openxmlformats.org/officeDocument/2006/relationships/hyperlink" Target="https://drive.google.com/open?id=1og0LMMSqRPdxLyrHtf_XEsnDTBkDJ4pD" TargetMode="External"/><Relationship Id="rId26" Type="http://schemas.openxmlformats.org/officeDocument/2006/relationships/hyperlink" Target="https://drive.google.com/open?id=1QPnvEQXm9CbOANLie0JsDZIWVPyOyVKW" TargetMode="External"/><Relationship Id="rId231" Type="http://schemas.openxmlformats.org/officeDocument/2006/relationships/hyperlink" Target="https://drive.google.com/open?id=19ICyEx7TvltSMYYTihknjAb2kVuwFTJ0" TargetMode="External"/><Relationship Id="rId329" Type="http://schemas.openxmlformats.org/officeDocument/2006/relationships/hyperlink" Target="https://drive.google.com/open?id=1_6uI5I0pLhwAN-tYYgmJI22WJ1ACcGYu" TargetMode="External"/><Relationship Id="rId536" Type="http://schemas.openxmlformats.org/officeDocument/2006/relationships/hyperlink" Target="https://drive.google.com/open?id=1_3Y3Dn-fAuceIAkVOsN3hfSh-z_L91wz" TargetMode="External"/><Relationship Id="rId1166" Type="http://schemas.openxmlformats.org/officeDocument/2006/relationships/hyperlink" Target="https://drive.google.com/open?id=1fi0Z1H19IdAX4JGRgcJSA1UhyaJIif94" TargetMode="External"/><Relationship Id="rId175" Type="http://schemas.openxmlformats.org/officeDocument/2006/relationships/hyperlink" Target="https://drive.google.com/open?id=15xS7hw95edEQiA3Z0-2edZvwijii28YG" TargetMode="External"/><Relationship Id="rId743" Type="http://schemas.openxmlformats.org/officeDocument/2006/relationships/hyperlink" Target="https://drive.google.com/open?id=12CWg_r8JF53cf3Baygsp9xmHsKumoWl6" TargetMode="External"/><Relationship Id="rId950" Type="http://schemas.openxmlformats.org/officeDocument/2006/relationships/hyperlink" Target="https://drive.google.com/open?id=1W_NOCuAPkMT5-7uZY2yLpkRH3sDF2yBb" TargetMode="External"/><Relationship Id="rId1026" Type="http://schemas.openxmlformats.org/officeDocument/2006/relationships/hyperlink" Target="https://drive.google.com/open?id=1u5W3xc7M36C7uqNkrMs988SSF17BWLHi" TargetMode="External"/><Relationship Id="rId382" Type="http://schemas.openxmlformats.org/officeDocument/2006/relationships/hyperlink" Target="https://drive.google.com/open?id=1yGuzfZwmMNrNPTASHcdU8xTj7U-OG277" TargetMode="External"/><Relationship Id="rId603" Type="http://schemas.openxmlformats.org/officeDocument/2006/relationships/hyperlink" Target="https://drive.google.com/open?id=1V-ZHoqUtAElJvV2UCSkugzD7cF6D22cX" TargetMode="External"/><Relationship Id="rId687" Type="http://schemas.openxmlformats.org/officeDocument/2006/relationships/hyperlink" Target="https://drive.google.com/open?id=1GcsdzqCzF19-5ITW2e-Qg41q-oUQdwCy" TargetMode="External"/><Relationship Id="rId810" Type="http://schemas.openxmlformats.org/officeDocument/2006/relationships/hyperlink" Target="https://drive.google.com/open?id=18CSIBf0DwDGccDZjuZgC5i44VXJQgrE0" TargetMode="External"/><Relationship Id="rId908" Type="http://schemas.openxmlformats.org/officeDocument/2006/relationships/hyperlink" Target="https://drive.google.com/open?id=1dZnSV-pHqcDQWPTUvehAvOrIez_YMVqD" TargetMode="External"/><Relationship Id="rId1233" Type="http://schemas.openxmlformats.org/officeDocument/2006/relationships/hyperlink" Target="https://drive.google.com/open?id=1K2pP69l4IZpEayf9v7vG7Bc3FFkps-Bh" TargetMode="External"/><Relationship Id="rId242" Type="http://schemas.openxmlformats.org/officeDocument/2006/relationships/hyperlink" Target="https://drive.google.com/open?id=1IZY82G5m3K69SqYjyhhh8SYU1Lr1Ps6M" TargetMode="External"/><Relationship Id="rId894" Type="http://schemas.openxmlformats.org/officeDocument/2006/relationships/hyperlink" Target="https://drive.google.com/open?id=1suhghNE_gGxnd0mnesNV1ieJ0Rzs88iu" TargetMode="External"/><Relationship Id="rId1177" Type="http://schemas.openxmlformats.org/officeDocument/2006/relationships/hyperlink" Target="https://drive.google.com/open?id=1lLxtMRP2ELaLy5b41reH8OKSLYl15arf" TargetMode="External"/><Relationship Id="rId1300" Type="http://schemas.openxmlformats.org/officeDocument/2006/relationships/hyperlink" Target="https://drive.google.com/open?id=1i8sDJwLtpKbK6AFs-xf4UsDOFGjdbMWl" TargetMode="External"/><Relationship Id="rId37" Type="http://schemas.openxmlformats.org/officeDocument/2006/relationships/hyperlink" Target="https://drive.google.com/open?id=1a0rY2N1aRx84OJCd0TO_zTJMfUd5I30t" TargetMode="External"/><Relationship Id="rId102" Type="http://schemas.openxmlformats.org/officeDocument/2006/relationships/hyperlink" Target="https://drive.google.com/open?id=1RxUqwi4Bbgsj0-AYaZjFPewNmTLYF7RM" TargetMode="External"/><Relationship Id="rId547" Type="http://schemas.openxmlformats.org/officeDocument/2006/relationships/hyperlink" Target="https://drive.google.com/open?id=1Fx3MGZMylb2KB4VQ8-8ri0r51KfCvmQ4" TargetMode="External"/><Relationship Id="rId754" Type="http://schemas.openxmlformats.org/officeDocument/2006/relationships/hyperlink" Target="https://drive.google.com/open?id=1Cf5Nc45YCsAU9q1zOQiHHUx4XaxKGJuX" TargetMode="External"/><Relationship Id="rId961" Type="http://schemas.openxmlformats.org/officeDocument/2006/relationships/hyperlink" Target="https://drive.google.com/open?id=1rqDh4c8AZe0pallC8_DxVS483RzSNSns" TargetMode="External"/><Relationship Id="rId90" Type="http://schemas.openxmlformats.org/officeDocument/2006/relationships/hyperlink" Target="https://drive.google.com/open?id=1FbWAOVoOljNV934Luz8kVJsk5CN-9IFP" TargetMode="External"/><Relationship Id="rId186" Type="http://schemas.openxmlformats.org/officeDocument/2006/relationships/hyperlink" Target="https://drive.google.com/open?id=1YJN4rRyY1B01XvUq4hn70_L_LIvcg3Kv" TargetMode="External"/><Relationship Id="rId393" Type="http://schemas.openxmlformats.org/officeDocument/2006/relationships/hyperlink" Target="https://drive.google.com/open?id=1RJuokXaS3doZU8nzhvmSWD7IgeoPV_x4" TargetMode="External"/><Relationship Id="rId407" Type="http://schemas.openxmlformats.org/officeDocument/2006/relationships/hyperlink" Target="https://drive.google.com/open?id=1S_xIhpWCnipqO8l3vqfjrx7_gB06fmn1" TargetMode="External"/><Relationship Id="rId614" Type="http://schemas.openxmlformats.org/officeDocument/2006/relationships/hyperlink" Target="https://drive.google.com/open?id=1KZYZ-Lb9-WgsfgcK-Baipk7HTxVfU9w-" TargetMode="External"/><Relationship Id="rId821" Type="http://schemas.openxmlformats.org/officeDocument/2006/relationships/hyperlink" Target="https://drive.google.com/open?id=1icNJAJuu3Wy4ss4bug7-BgODwv2t1xhH" TargetMode="External"/><Relationship Id="rId1037" Type="http://schemas.openxmlformats.org/officeDocument/2006/relationships/hyperlink" Target="https://drive.google.com/open?id=1foONca1k4A6XjEfgyT-fpPpAfD8E744q" TargetMode="External"/><Relationship Id="rId1244" Type="http://schemas.openxmlformats.org/officeDocument/2006/relationships/hyperlink" Target="https://drive.google.com/open?id=1MTeM3Sd0EsoYG10fpWvr0ewCGWgFZwd9" TargetMode="External"/><Relationship Id="rId253" Type="http://schemas.openxmlformats.org/officeDocument/2006/relationships/hyperlink" Target="https://drive.google.com/open?id=12xA8tdA87ytI4YDWfbXDbBh_21lGhlC6" TargetMode="External"/><Relationship Id="rId460" Type="http://schemas.openxmlformats.org/officeDocument/2006/relationships/hyperlink" Target="https://drive.google.com/open?id=1WUmGmLGyf8ZbZCJ8S4Y5ZUMjDsGOZsFK" TargetMode="External"/><Relationship Id="rId698" Type="http://schemas.openxmlformats.org/officeDocument/2006/relationships/hyperlink" Target="https://drive.google.com/open?id=1akSfmutBOQ2wbe7JeqQbyvifchGO0q9a" TargetMode="External"/><Relationship Id="rId919" Type="http://schemas.openxmlformats.org/officeDocument/2006/relationships/hyperlink" Target="https://drive.google.com/open?id=1i_ODEw_dzDJaiYVMOS22Ce2GY3djlGfQ" TargetMode="External"/><Relationship Id="rId1090" Type="http://schemas.openxmlformats.org/officeDocument/2006/relationships/hyperlink" Target="https://drive.google.com/open?id=1kl_yv6lEbe4MkUx-7DDutSvZygUj_uo8" TargetMode="External"/><Relationship Id="rId1104" Type="http://schemas.openxmlformats.org/officeDocument/2006/relationships/hyperlink" Target="https://drive.google.com/open?id=1_837iaXdqKZSRBHMpo4hYm5uxdJYxCes" TargetMode="External"/><Relationship Id="rId1311" Type="http://schemas.openxmlformats.org/officeDocument/2006/relationships/hyperlink" Target="https://drive.google.com/open?id=1AlUvaHkYa-_TmleSQ5sZqJdmTYWxcgK2" TargetMode="External"/><Relationship Id="rId48" Type="http://schemas.openxmlformats.org/officeDocument/2006/relationships/hyperlink" Target="https://drive.google.com/open?id=1KqskbhHVrDUN2HojQEHtK5JZwT3Tmxoz" TargetMode="External"/><Relationship Id="rId113" Type="http://schemas.openxmlformats.org/officeDocument/2006/relationships/hyperlink" Target="https://drive.google.com/open?id=1bBYyu0DE3yVgrgfKcr-yZxyqJ5zXhHaF" TargetMode="External"/><Relationship Id="rId320" Type="http://schemas.openxmlformats.org/officeDocument/2006/relationships/hyperlink" Target="https://drive.google.com/open?id=1ZeIF1osrfps_pQKFLERPH1SofXyLhKVp" TargetMode="External"/><Relationship Id="rId558" Type="http://schemas.openxmlformats.org/officeDocument/2006/relationships/hyperlink" Target="https://drive.google.com/open?id=135Q2r1gTVjaVA3KaRMDJ0K-zgdyfsFgO" TargetMode="External"/><Relationship Id="rId765" Type="http://schemas.openxmlformats.org/officeDocument/2006/relationships/hyperlink" Target="https://drive.google.com/open?id=1BoUN3WLMggs9Bm6YOfMVjkHpYDJ16YUP" TargetMode="External"/><Relationship Id="rId972" Type="http://schemas.openxmlformats.org/officeDocument/2006/relationships/hyperlink" Target="https://drive.google.com/open?id=1HhDM8hSHUy6Hc125dGJEBpi8IbmayzsU" TargetMode="External"/><Relationship Id="rId1188" Type="http://schemas.openxmlformats.org/officeDocument/2006/relationships/hyperlink" Target="https://drive.google.com/open?id=1rq61bT7Bx7y7Xz401NzPLnHS4802-wa8" TargetMode="External"/><Relationship Id="rId197" Type="http://schemas.openxmlformats.org/officeDocument/2006/relationships/hyperlink" Target="https://drive.google.com/open?id=1VKlnt2b-FZFjBtRvA1PX9qSc4nwCLvid" TargetMode="External"/><Relationship Id="rId418" Type="http://schemas.openxmlformats.org/officeDocument/2006/relationships/hyperlink" Target="https://drive.google.com/open?id=1mmIxRh7KV6AuPrt8ko_SCJfjgabXIUqI" TargetMode="External"/><Relationship Id="rId625" Type="http://schemas.openxmlformats.org/officeDocument/2006/relationships/hyperlink" Target="https://drive.google.com/open?id=1LlmpZ_qnGbwpVaiBXux7TglB4Rh5Ters" TargetMode="External"/><Relationship Id="rId832" Type="http://schemas.openxmlformats.org/officeDocument/2006/relationships/hyperlink" Target="https://drive.google.com/open?id=1cxSMeC_FJlUsEbswkGYBB-f3dR41ySBU" TargetMode="External"/><Relationship Id="rId1048" Type="http://schemas.openxmlformats.org/officeDocument/2006/relationships/hyperlink" Target="https://drive.google.com/open?id=1RTtyq3k-N2F7MeRaIQQUEPr2Q6jliTEQ" TargetMode="External"/><Relationship Id="rId1255" Type="http://schemas.openxmlformats.org/officeDocument/2006/relationships/hyperlink" Target="https://drive.google.com/open?id=1fi0Z1H19IdAX4JGRgcJSA1UhyaJIif94" TargetMode="External"/><Relationship Id="rId264" Type="http://schemas.openxmlformats.org/officeDocument/2006/relationships/hyperlink" Target="https://drive.google.com/open?id=1jBcezeHcAVh8Ra03iYZ5Gb6UyE3hDAEu" TargetMode="External"/><Relationship Id="rId471" Type="http://schemas.openxmlformats.org/officeDocument/2006/relationships/hyperlink" Target="https://drive.google.com/open?id=165gm2cIFcNxj5zaOUv4C6bN2YlDlYYeR" TargetMode="External"/><Relationship Id="rId1115" Type="http://schemas.openxmlformats.org/officeDocument/2006/relationships/hyperlink" Target="https://drive.google.com/open?id=1F73gH2TnGuGRWSf3wNPieF-hlO86hBUO" TargetMode="External"/><Relationship Id="rId1322" Type="http://schemas.openxmlformats.org/officeDocument/2006/relationships/hyperlink" Target="https://drive.google.com/open?id=1K2pP69l4IZpEayf9v7vG7Bc3FFkps-Bh" TargetMode="External"/><Relationship Id="rId59" Type="http://schemas.openxmlformats.org/officeDocument/2006/relationships/hyperlink" Target="https://drive.google.com/open?id=1ePQdQjmHPiagxHQtHPNkmgkhs0CpKRVk" TargetMode="External"/><Relationship Id="rId124" Type="http://schemas.openxmlformats.org/officeDocument/2006/relationships/hyperlink" Target="https://drive.google.com/open?id=1BmT1EtI1k5GIYrLz2ZgDUKZUyM-VraZb" TargetMode="External"/><Relationship Id="rId569" Type="http://schemas.openxmlformats.org/officeDocument/2006/relationships/hyperlink" Target="https://drive.google.com/open?id=18qYGJEXtnFFuODV51Xsx6ukkfnK9x7e_" TargetMode="External"/><Relationship Id="rId776" Type="http://schemas.openxmlformats.org/officeDocument/2006/relationships/hyperlink" Target="https://drive.google.com/open?id=16gk4EJQdxCN0zUM15j7dKfdYYeYJjiMQ" TargetMode="External"/><Relationship Id="rId983" Type="http://schemas.openxmlformats.org/officeDocument/2006/relationships/hyperlink" Target="https://drive.google.com/open?id=10Ku5E62Gd_X9NlW3SyI23bLo1nHVOOTr" TargetMode="External"/><Relationship Id="rId1199" Type="http://schemas.openxmlformats.org/officeDocument/2006/relationships/hyperlink" Target="https://drive.google.com/open?id=1TUyODFuA8SDUk4pmlJD0pYlai6s0PrGx" TargetMode="External"/><Relationship Id="rId331" Type="http://schemas.openxmlformats.org/officeDocument/2006/relationships/hyperlink" Target="https://drive.google.com/open?id=1GSySQ9XWzPG4_CT4scF7g4D8a1w0HNVg" TargetMode="External"/><Relationship Id="rId429" Type="http://schemas.openxmlformats.org/officeDocument/2006/relationships/hyperlink" Target="https://drive.google.com/open?id=1P_kXvTodQgrAxLcYoHJL7hFzaXkWsdjp" TargetMode="External"/><Relationship Id="rId636" Type="http://schemas.openxmlformats.org/officeDocument/2006/relationships/hyperlink" Target="https://drive.google.com/open?id=1XQxkvsPZxMq63zzQhpUlzZHGT-30Giml" TargetMode="External"/><Relationship Id="rId1059" Type="http://schemas.openxmlformats.org/officeDocument/2006/relationships/hyperlink" Target="https://drive.google.com/open?id=1eU1ODAZjWmC1lWUo_kbTMctGyyaKRRwt" TargetMode="External"/><Relationship Id="rId1266" Type="http://schemas.openxmlformats.org/officeDocument/2006/relationships/hyperlink" Target="https://drive.google.com/open?id=1lLxtMRP2ELaLy5b41reH8OKSLYl15arf" TargetMode="External"/><Relationship Id="rId843" Type="http://schemas.openxmlformats.org/officeDocument/2006/relationships/hyperlink" Target="https://drive.google.com/open?id=1SU1986z5Bl7T2ntuXWAw2vduIF4Z19lT" TargetMode="External"/><Relationship Id="rId1126" Type="http://schemas.openxmlformats.org/officeDocument/2006/relationships/hyperlink" Target="https://drive.google.com/open?id=1UH4S_W_AVPs96zXmSoZ10StSHm20Vzhf" TargetMode="External"/><Relationship Id="rId275" Type="http://schemas.openxmlformats.org/officeDocument/2006/relationships/hyperlink" Target="https://drive.google.com/open?id=1ZdqbZz3jeUF3M_MYrqnTTtzHJAcp2G98" TargetMode="External"/><Relationship Id="rId482" Type="http://schemas.openxmlformats.org/officeDocument/2006/relationships/hyperlink" Target="https://drive.google.com/open?id=1stKWQG_enFOYdDbP2puflITk4RHtpwWk" TargetMode="External"/><Relationship Id="rId703" Type="http://schemas.openxmlformats.org/officeDocument/2006/relationships/hyperlink" Target="https://drive.google.com/open?id=1R2LLLsbXQwIwW4V-BCvJ1JlshXZWl59-" TargetMode="External"/><Relationship Id="rId910" Type="http://schemas.openxmlformats.org/officeDocument/2006/relationships/hyperlink" Target="https://drive.google.com/open?id=1h1KZYLbmTaYH0uVr8nGP_oBlO4Por7L8" TargetMode="External"/><Relationship Id="rId1333" Type="http://schemas.openxmlformats.org/officeDocument/2006/relationships/hyperlink" Target="https://drive.google.com/open?id=1MTeM3Sd0EsoYG10fpWvr0ewCGWgFZwd9" TargetMode="External"/><Relationship Id="rId135" Type="http://schemas.openxmlformats.org/officeDocument/2006/relationships/hyperlink" Target="https://drive.google.com/open?id=1f68sWt-5rGKluE20-P2Im7xMMD-04opV" TargetMode="External"/><Relationship Id="rId342" Type="http://schemas.openxmlformats.org/officeDocument/2006/relationships/hyperlink" Target="https://drive.google.com/open?id=1DWHd-7ka-ee46X0CkP17v6AZjHeQ7aA7" TargetMode="External"/><Relationship Id="rId787" Type="http://schemas.openxmlformats.org/officeDocument/2006/relationships/hyperlink" Target="https://drive.google.com/open?id=135lffPeuyEr33WeMtI8SWpmgcErped5g" TargetMode="External"/><Relationship Id="rId994" Type="http://schemas.openxmlformats.org/officeDocument/2006/relationships/hyperlink" Target="https://drive.google.com/open?id=1hkVUsy0h-xVJYXHA9uKl-06xHAobIvjm" TargetMode="External"/><Relationship Id="rId202" Type="http://schemas.openxmlformats.org/officeDocument/2006/relationships/hyperlink" Target="https://drive.google.com/open?id=1JDkbWTWW31HZtahRtdxiRWL1l2STgDcF" TargetMode="External"/><Relationship Id="rId647" Type="http://schemas.openxmlformats.org/officeDocument/2006/relationships/hyperlink" Target="https://drive.google.com/open?id=1mn0SSjIJN5TMndifLbcIyvt7Gn7ZzLDt" TargetMode="External"/><Relationship Id="rId854" Type="http://schemas.openxmlformats.org/officeDocument/2006/relationships/hyperlink" Target="https://drive.google.com/open?id=1ML-AQBPz_j8-clf9teLqwOuIGI7Dcpfg" TargetMode="External"/><Relationship Id="rId1277" Type="http://schemas.openxmlformats.org/officeDocument/2006/relationships/hyperlink" Target="https://drive.google.com/open?id=1rq61bT7Bx7y7Xz401NzPLnHS4802-wa8" TargetMode="External"/><Relationship Id="rId286" Type="http://schemas.openxmlformats.org/officeDocument/2006/relationships/hyperlink" Target="https://drive.google.com/open?id=1Rgp9RcpL0amYzwFCwfvoSHP8-_qz7L8J" TargetMode="External"/><Relationship Id="rId493" Type="http://schemas.openxmlformats.org/officeDocument/2006/relationships/hyperlink" Target="https://drive.google.com/open?id=1oKlHFLgb197iFG06xERQ80MBgMyQFlCO" TargetMode="External"/><Relationship Id="rId507" Type="http://schemas.openxmlformats.org/officeDocument/2006/relationships/hyperlink" Target="https://drive.google.com/open?id=1tOHKevKif4koHSLOdb0tc4-Ry3FHkosy" TargetMode="External"/><Relationship Id="rId714" Type="http://schemas.openxmlformats.org/officeDocument/2006/relationships/hyperlink" Target="https://drive.google.com/open?id=1InkIWNhqHwMI_EK22-4sYbdW-AcASCU3" TargetMode="External"/><Relationship Id="rId921" Type="http://schemas.openxmlformats.org/officeDocument/2006/relationships/hyperlink" Target="https://drive.google.com/open?id=1fnmAoSjTrUozP-Ro7MU303VLcipK9HKc" TargetMode="External"/><Relationship Id="rId1137" Type="http://schemas.openxmlformats.org/officeDocument/2006/relationships/hyperlink" Target="https://drive.google.com/open?id=1pUeLcOiE1mkVTh4yivLyyXGlkX3NswyC" TargetMode="External"/><Relationship Id="rId50" Type="http://schemas.openxmlformats.org/officeDocument/2006/relationships/hyperlink" Target="https://drive.google.com/open?id=1u3KBvWfE8m3AhT0STmxwE86UySa-Bsr1" TargetMode="External"/><Relationship Id="rId146" Type="http://schemas.openxmlformats.org/officeDocument/2006/relationships/hyperlink" Target="https://drive.google.com/open?id=1njaOo2FQclLRPfdKvfW1gZpxGn7_94Ih" TargetMode="External"/><Relationship Id="rId353" Type="http://schemas.openxmlformats.org/officeDocument/2006/relationships/hyperlink" Target="https://drive.google.com/open?id=1WrZ6G5U0Tk1c9ooBvCrvbKrBvHPNs9mF" TargetMode="External"/><Relationship Id="rId560" Type="http://schemas.openxmlformats.org/officeDocument/2006/relationships/hyperlink" Target="https://drive.google.com/open?id=1oE8-5Rv1pgHd2n7iM2-tekmBSDdmdp1X" TargetMode="External"/><Relationship Id="rId798" Type="http://schemas.openxmlformats.org/officeDocument/2006/relationships/hyperlink" Target="https://drive.google.com/open?id=1SITLo59BA2g6jPYZieToe5GLnG9g9zbO" TargetMode="External"/><Relationship Id="rId1190" Type="http://schemas.openxmlformats.org/officeDocument/2006/relationships/hyperlink" Target="https://drive.google.com/open?id=1DUtRjF0FYTBKwAhrHP_jsOTf3dXMYtNp" TargetMode="External"/><Relationship Id="rId1204" Type="http://schemas.openxmlformats.org/officeDocument/2006/relationships/hyperlink" Target="https://drive.google.com/open?id=1P0l-zn9L90WIfJqqqW8e8-0Dp_7Vc2pg" TargetMode="External"/><Relationship Id="rId213" Type="http://schemas.openxmlformats.org/officeDocument/2006/relationships/hyperlink" Target="https://drive.google.com/open?id=1VuTH7Tgo0Pk_ScTpkx1b4YGJX5R6P5Zn" TargetMode="External"/><Relationship Id="rId420" Type="http://schemas.openxmlformats.org/officeDocument/2006/relationships/hyperlink" Target="https://drive.google.com/open?id=1u4P98AFX96-DheFXYHueISXv5rFBW69n" TargetMode="External"/><Relationship Id="rId658" Type="http://schemas.openxmlformats.org/officeDocument/2006/relationships/hyperlink" Target="https://drive.google.com/open?id=1R_crjsy8Lbn26MMooTRDEIdrtwv0l2F0" TargetMode="External"/><Relationship Id="rId865" Type="http://schemas.openxmlformats.org/officeDocument/2006/relationships/hyperlink" Target="https://drive.google.com/open?id=17Sl_rQ_ag42spqyJh38eNM10mb_mPENE" TargetMode="External"/><Relationship Id="rId1050" Type="http://schemas.openxmlformats.org/officeDocument/2006/relationships/hyperlink" Target="https://drive.google.com/open?id=1fOz66l3-hJZ8uJ9WTF7kYbv6x4urVCfn" TargetMode="External"/><Relationship Id="rId1288" Type="http://schemas.openxmlformats.org/officeDocument/2006/relationships/hyperlink" Target="https://drive.google.com/open?id=1TUyODFuA8SDUk4pmlJD0pYlai6s0PrGx" TargetMode="External"/><Relationship Id="rId297" Type="http://schemas.openxmlformats.org/officeDocument/2006/relationships/hyperlink" Target="https://drive.google.com/open?id=16YuOgPrHQn_L_0OMIhQ71G9-Q5oVq_75" TargetMode="External"/><Relationship Id="rId518" Type="http://schemas.openxmlformats.org/officeDocument/2006/relationships/hyperlink" Target="https://drive.google.com/open?id=1WgcdOGmJehGo22q_Q3xA0nKWoCTqTHG6" TargetMode="External"/><Relationship Id="rId725" Type="http://schemas.openxmlformats.org/officeDocument/2006/relationships/hyperlink" Target="https://drive.google.com/open?id=1alC3TptgmchgQ0Ov9CEIfYpn5FubFyJL" TargetMode="External"/><Relationship Id="rId932" Type="http://schemas.openxmlformats.org/officeDocument/2006/relationships/hyperlink" Target="https://drive.google.com/open?id=1pwG9BM12sfB_tRjhDTqD7cY1CDD1QwDY" TargetMode="External"/><Relationship Id="rId1148" Type="http://schemas.openxmlformats.org/officeDocument/2006/relationships/hyperlink" Target="https://drive.google.com/open?id=1djJ7yt9jsVHRgtdQVcYef5dfrx7mU5yA" TargetMode="External"/><Relationship Id="rId157" Type="http://schemas.openxmlformats.org/officeDocument/2006/relationships/hyperlink" Target="https://drive.google.com/open?id=1Nr448mqqr1NBrnVWdEOvPsyTfKkRoX6E" TargetMode="External"/><Relationship Id="rId364" Type="http://schemas.openxmlformats.org/officeDocument/2006/relationships/hyperlink" Target="https://drive.google.com/open?id=1Sa0mof6HF9WoRTINJHjV102SRQUn-hmg" TargetMode="External"/><Relationship Id="rId1008" Type="http://schemas.openxmlformats.org/officeDocument/2006/relationships/hyperlink" Target="https://drive.google.com/open?id=16c7c1M1MusHqa3fgQVXKq9D00j0pivXc" TargetMode="External"/><Relationship Id="rId1215" Type="http://schemas.openxmlformats.org/officeDocument/2006/relationships/hyperlink" Target="https://drive.google.com/open?id=1kn2t1IVtdYwTvsCKKJrPPP0afcMDfMAt" TargetMode="External"/><Relationship Id="rId61" Type="http://schemas.openxmlformats.org/officeDocument/2006/relationships/hyperlink" Target="https://drive.google.com/open?id=1o97LtgjQqJ36vf4k-pOxjw_spMpmlq0J" TargetMode="External"/><Relationship Id="rId571" Type="http://schemas.openxmlformats.org/officeDocument/2006/relationships/hyperlink" Target="https://drive.google.com/open?id=1I3FsKgZVcxoWW5NeYzNV2ZxGBoIbCnKe" TargetMode="External"/><Relationship Id="rId669" Type="http://schemas.openxmlformats.org/officeDocument/2006/relationships/hyperlink" Target="https://drive.google.com/open?id=1iT_54ac8mHt0eNjUvGQm683y9KsMKAtY" TargetMode="External"/><Relationship Id="rId876" Type="http://schemas.openxmlformats.org/officeDocument/2006/relationships/hyperlink" Target="https://drive.google.com/open?id=1E8igZRSp5FI396jnkfTgwu5IJlHZfWol" TargetMode="External"/><Relationship Id="rId1299" Type="http://schemas.openxmlformats.org/officeDocument/2006/relationships/hyperlink" Target="https://drive.google.com/open?id=1D_MqyYU6mykNhb6EVNBTre0c9nh9ypiJ" TargetMode="External"/><Relationship Id="rId19" Type="http://schemas.openxmlformats.org/officeDocument/2006/relationships/hyperlink" Target="https://drive.google.com/open?id=14_kjEFWXuvWr-8EVjs6NZleSOjYppHsb" TargetMode="External"/><Relationship Id="rId224" Type="http://schemas.openxmlformats.org/officeDocument/2006/relationships/hyperlink" Target="https://drive.google.com/open?id=1kpORz2olsLac_KiQt0KQ39YxBR7-BvWk" TargetMode="External"/><Relationship Id="rId431" Type="http://schemas.openxmlformats.org/officeDocument/2006/relationships/hyperlink" Target="https://drive.google.com/open?id=1uVtJF_NIxSsHhdA36qHb5H9Q1jIBSLHj" TargetMode="External"/><Relationship Id="rId529" Type="http://schemas.openxmlformats.org/officeDocument/2006/relationships/hyperlink" Target="https://drive.google.com/open?id=19aeJwC8b5XnMxqmN3pfcrhfeawrRDQwJ" TargetMode="External"/><Relationship Id="rId736" Type="http://schemas.openxmlformats.org/officeDocument/2006/relationships/hyperlink" Target="https://drive.google.com/open?id=1Z1JVlWAsHNb0NSCqusVw79G3BCC4Y88H" TargetMode="External"/><Relationship Id="rId1061" Type="http://schemas.openxmlformats.org/officeDocument/2006/relationships/hyperlink" Target="https://drive.google.com/open?id=1qbg09HWRvHvWMuQIuQSJ6sD4O5Mao3IC" TargetMode="External"/><Relationship Id="rId1159" Type="http://schemas.openxmlformats.org/officeDocument/2006/relationships/hyperlink" Target="https://drive.google.com/open?id=16awzWsVSW6x-uXQz_gNSXT0pJp1ebLvo" TargetMode="External"/><Relationship Id="rId168" Type="http://schemas.openxmlformats.org/officeDocument/2006/relationships/hyperlink" Target="https://drive.google.com/open?id=1Eh1ZtTa1QnOLiqHCU_Xtc1vAhcsYeqNY" TargetMode="External"/><Relationship Id="rId943" Type="http://schemas.openxmlformats.org/officeDocument/2006/relationships/hyperlink" Target="https://drive.google.com/open?id=1TKvjyjGK_LYjM1Pe4Vg6-icNLcx8xeHU" TargetMode="External"/><Relationship Id="rId1019" Type="http://schemas.openxmlformats.org/officeDocument/2006/relationships/hyperlink" Target="https://drive.google.com/open?id=11tvcZC2B6NAxoyFWA5BgpbovXc-a3Nv7" TargetMode="External"/><Relationship Id="rId72" Type="http://schemas.openxmlformats.org/officeDocument/2006/relationships/hyperlink" Target="https://drive.google.com/open?id=1bymUP6eHfxlufPNEm_LBn01j8OdUH3ZD" TargetMode="External"/><Relationship Id="rId375" Type="http://schemas.openxmlformats.org/officeDocument/2006/relationships/hyperlink" Target="https://drive.google.com/open?id=1ZG1YYMjQ4TXCkBaoZqizj2_VmRSfoIKO" TargetMode="External"/><Relationship Id="rId582" Type="http://schemas.openxmlformats.org/officeDocument/2006/relationships/hyperlink" Target="https://drive.google.com/open?id=1zD8mOZDCOPlEwskVEI9iFlOwZiKFVwqA" TargetMode="External"/><Relationship Id="rId803" Type="http://schemas.openxmlformats.org/officeDocument/2006/relationships/hyperlink" Target="https://drive.google.com/open?id=1LY1yS5lHsPfg_pPppzxlb8enwNd2sr7N" TargetMode="External"/><Relationship Id="rId1226" Type="http://schemas.openxmlformats.org/officeDocument/2006/relationships/hyperlink" Target="https://drive.google.com/open?id=1yW-xpepQVwiCMkNuqsgGvt74qKTyQXq_" TargetMode="External"/><Relationship Id="rId3" Type="http://schemas.openxmlformats.org/officeDocument/2006/relationships/hyperlink" Target="https://drive.google.com/open?id=1GzSlloib5_ZjM3U8BaXAS0iZVY4Qvefl" TargetMode="External"/><Relationship Id="rId235" Type="http://schemas.openxmlformats.org/officeDocument/2006/relationships/hyperlink" Target="https://drive.google.com/open?id=1ng0Lk9SymFgR_16TJjdbejLvtYazcoUx" TargetMode="External"/><Relationship Id="rId442" Type="http://schemas.openxmlformats.org/officeDocument/2006/relationships/hyperlink" Target="https://drive.google.com/open?id=1pcLpbVr2HuqKqMGYfZNDpRDZ5rGJa3qz" TargetMode="External"/><Relationship Id="rId887" Type="http://schemas.openxmlformats.org/officeDocument/2006/relationships/hyperlink" Target="https://drive.google.com/open?id=1qt7a5B2-6G4JsDP0xvOkYugdloNW3pP6" TargetMode="External"/><Relationship Id="rId1072" Type="http://schemas.openxmlformats.org/officeDocument/2006/relationships/hyperlink" Target="https://drive.google.com/open?id=1FE0_HvNkyx3uHLZDuU658DZshp-63E4t" TargetMode="External"/><Relationship Id="rId302" Type="http://schemas.openxmlformats.org/officeDocument/2006/relationships/hyperlink" Target="https://drive.google.com/open?id=1a01qIrRTj6Es2vSmI86QnjWKufkpZF5_" TargetMode="External"/><Relationship Id="rId747" Type="http://schemas.openxmlformats.org/officeDocument/2006/relationships/hyperlink" Target="https://drive.google.com/open?id=1lielZ9SCE8IidGkSQqOF6wsdXvjIU3iV" TargetMode="External"/><Relationship Id="rId954" Type="http://schemas.openxmlformats.org/officeDocument/2006/relationships/hyperlink" Target="https://drive.google.com/open?id=1tVbui3IpKcHFKD1bNKAkcM4ru9WczXoG" TargetMode="External"/><Relationship Id="rId83" Type="http://schemas.openxmlformats.org/officeDocument/2006/relationships/hyperlink" Target="https://drive.google.com/open?id=1rWOtnSib5pNevDKPrBsgqUJemwthqMRE" TargetMode="External"/><Relationship Id="rId179" Type="http://schemas.openxmlformats.org/officeDocument/2006/relationships/hyperlink" Target="https://drive.google.com/open?id=1f0LvrIQaf3gHFF_9bh-qodDIZzGE6k5J" TargetMode="External"/><Relationship Id="rId386" Type="http://schemas.openxmlformats.org/officeDocument/2006/relationships/hyperlink" Target="https://drive.google.com/open?id=1nPbHAHelH1Rzus_6GXDSVERUuLB1-m_y" TargetMode="External"/><Relationship Id="rId593" Type="http://schemas.openxmlformats.org/officeDocument/2006/relationships/hyperlink" Target="https://drive.google.com/open?id=1vP7XB9PLCSVA5x3_RS9FgkgZg7Yg90Kh" TargetMode="External"/><Relationship Id="rId607" Type="http://schemas.openxmlformats.org/officeDocument/2006/relationships/hyperlink" Target="https://drive.google.com/open?id=1jRQLjFUB42L-7lWbY9cFdYdWHXICyjt1" TargetMode="External"/><Relationship Id="rId814" Type="http://schemas.openxmlformats.org/officeDocument/2006/relationships/hyperlink" Target="https://drive.google.com/open?id=1o8ldw801tLElIfAhRl2UosClrwPyDlUF" TargetMode="External"/><Relationship Id="rId1237" Type="http://schemas.openxmlformats.org/officeDocument/2006/relationships/hyperlink" Target="https://drive.google.com/open?id=14dCAhb9W-sYw6z5Dnv2tUAUHwKPQNhfT" TargetMode="External"/><Relationship Id="rId246" Type="http://schemas.openxmlformats.org/officeDocument/2006/relationships/hyperlink" Target="https://drive.google.com/open?id=1TV9WHLuDDCpqYakrw3vT8Q4B94v1NnqP" TargetMode="External"/><Relationship Id="rId453" Type="http://schemas.openxmlformats.org/officeDocument/2006/relationships/hyperlink" Target="https://drive.google.com/open?id=1h9mBg40srAoiXjTsWHdo3xEaW2L5sHlk" TargetMode="External"/><Relationship Id="rId660" Type="http://schemas.openxmlformats.org/officeDocument/2006/relationships/hyperlink" Target="https://drive.google.com/open?id=12D6tVmvoLlsK_hHZi7DYhiLtuyKu3-k3" TargetMode="External"/><Relationship Id="rId898" Type="http://schemas.openxmlformats.org/officeDocument/2006/relationships/hyperlink" Target="https://drive.google.com/open?id=1wLqkG0B7CZj2enTBSaRevw6zhdZ39qcw" TargetMode="External"/><Relationship Id="rId1083" Type="http://schemas.openxmlformats.org/officeDocument/2006/relationships/hyperlink" Target="https://drive.google.com/open?id=1pfY5xSV0Jpjkm30jccWxoPYm0rBdu9_6" TargetMode="External"/><Relationship Id="rId1290" Type="http://schemas.openxmlformats.org/officeDocument/2006/relationships/hyperlink" Target="https://drive.google.com/open?id=1kSiwWkQ34BKq0Ei_9oEe4MLdRbI53C-B" TargetMode="External"/><Relationship Id="rId1304" Type="http://schemas.openxmlformats.org/officeDocument/2006/relationships/hyperlink" Target="https://drive.google.com/open?id=1kn2t1IVtdYwTvsCKKJrPPP0afcMDfMAt" TargetMode="External"/><Relationship Id="rId106" Type="http://schemas.openxmlformats.org/officeDocument/2006/relationships/hyperlink" Target="https://drive.google.com/open?id=1bXQldzL7MuT1C-ThtJPgBjxOiWEm41c6" TargetMode="External"/><Relationship Id="rId313" Type="http://schemas.openxmlformats.org/officeDocument/2006/relationships/hyperlink" Target="https://drive.google.com/open?id=12g2wjrfUifDh3Gx7TlgWMhP8oc4dxI9d" TargetMode="External"/><Relationship Id="rId758" Type="http://schemas.openxmlformats.org/officeDocument/2006/relationships/hyperlink" Target="https://drive.google.com/open?id=15fShLSYa95M1CMx2QjXwiLnXqFK26po5" TargetMode="External"/><Relationship Id="rId965" Type="http://schemas.openxmlformats.org/officeDocument/2006/relationships/hyperlink" Target="https://drive.google.com/open?id=1Vxws7ZxDedUtYqFillrfxBzIEcuaxcWk" TargetMode="External"/><Relationship Id="rId1150" Type="http://schemas.openxmlformats.org/officeDocument/2006/relationships/hyperlink" Target="https://drive.google.com/open?id=1CHLGWB1XlhaqLC5Og-QimOht_H5MHELK" TargetMode="External"/><Relationship Id="rId10" Type="http://schemas.openxmlformats.org/officeDocument/2006/relationships/hyperlink" Target="https://drive.google.com/open?id=1W3oS3s45iTQmlMEJQi1z29zqvH6WU2Oe" TargetMode="External"/><Relationship Id="rId94" Type="http://schemas.openxmlformats.org/officeDocument/2006/relationships/hyperlink" Target="https://drive.google.com/open?id=1CeOQ59qmlzNyT1Esv4h5TV6_GBYNxX3G" TargetMode="External"/><Relationship Id="rId397" Type="http://schemas.openxmlformats.org/officeDocument/2006/relationships/hyperlink" Target="https://drive.google.com/open?id=1C_pOOqVb4BweyXOmoWqjvKoBG_jRZya9" TargetMode="External"/><Relationship Id="rId520" Type="http://schemas.openxmlformats.org/officeDocument/2006/relationships/hyperlink" Target="https://drive.google.com/open?id=1JG2cKnTAt6FFwBtdLaOvidtCwg1Gx4CN" TargetMode="External"/><Relationship Id="rId618" Type="http://schemas.openxmlformats.org/officeDocument/2006/relationships/hyperlink" Target="https://drive.google.com/open?id=15zLmiPTwGlB263x4Rbuxp5ft-FbLEaKg" TargetMode="External"/><Relationship Id="rId825" Type="http://schemas.openxmlformats.org/officeDocument/2006/relationships/hyperlink" Target="https://drive.google.com/open?id=1Xf4evwkfBW0R1l-NdlxYWV8qBgHehXF5" TargetMode="External"/><Relationship Id="rId1248" Type="http://schemas.openxmlformats.org/officeDocument/2006/relationships/hyperlink" Target="https://drive.google.com/open?id=16awzWsVSW6x-uXQz_gNSXT0pJp1ebLvo" TargetMode="External"/><Relationship Id="rId257" Type="http://schemas.openxmlformats.org/officeDocument/2006/relationships/hyperlink" Target="https://drive.google.com/open?id=1cj6KMrfRUN35LIBGgAZrYmyvlNpJT8rK" TargetMode="External"/><Relationship Id="rId464" Type="http://schemas.openxmlformats.org/officeDocument/2006/relationships/hyperlink" Target="https://drive.google.com/open?id=1T_NXKMeQmB7MiH4olcxYiiU7HYwI_m2z" TargetMode="External"/><Relationship Id="rId1010" Type="http://schemas.openxmlformats.org/officeDocument/2006/relationships/hyperlink" Target="https://drive.google.com/open?id=1Np-pIt1IdoqAq_K8OBZRls1Bm7DjtjSq" TargetMode="External"/><Relationship Id="rId1094" Type="http://schemas.openxmlformats.org/officeDocument/2006/relationships/hyperlink" Target="https://drive.google.com/open?id=1zGU_nScoebuJRKY58U95WF0gjYoSO5rU" TargetMode="External"/><Relationship Id="rId1108" Type="http://schemas.openxmlformats.org/officeDocument/2006/relationships/hyperlink" Target="https://drive.google.com/open?id=1-90Ka40C2sh_JsPUKuWSPnoEThIkJSYD" TargetMode="External"/><Relationship Id="rId1315" Type="http://schemas.openxmlformats.org/officeDocument/2006/relationships/hyperlink" Target="https://drive.google.com/open?id=1yW-xpepQVwiCMkNuqsgGvt74qKTyQXq_" TargetMode="External"/><Relationship Id="rId117" Type="http://schemas.openxmlformats.org/officeDocument/2006/relationships/hyperlink" Target="https://drive.google.com/open?id=1e6ubDzw6OCuboHa_eyBRGvgpGre_nTHs" TargetMode="External"/><Relationship Id="rId671" Type="http://schemas.openxmlformats.org/officeDocument/2006/relationships/hyperlink" Target="https://drive.google.com/open?id=1dSDVLhcrt7gnGStAc0MGnLY3tlUVTYjV" TargetMode="External"/><Relationship Id="rId769" Type="http://schemas.openxmlformats.org/officeDocument/2006/relationships/hyperlink" Target="https://drive.google.com/open?id=136LdQUNtmF9QaTM1zTx2W11doFVWTOLE" TargetMode="External"/><Relationship Id="rId976" Type="http://schemas.openxmlformats.org/officeDocument/2006/relationships/hyperlink" Target="https://drive.google.com/open?id=1vLiS16Riy3Hj4jFCZrDTX0Cb76lK2kbJ" TargetMode="External"/><Relationship Id="rId324" Type="http://schemas.openxmlformats.org/officeDocument/2006/relationships/hyperlink" Target="https://drive.google.com/open?id=1GHLPz2KKWtbbMW9wN7c_o4y2rt_PJ1IG" TargetMode="External"/><Relationship Id="rId531" Type="http://schemas.openxmlformats.org/officeDocument/2006/relationships/hyperlink" Target="https://drive.google.com/open?id=1P8w8GvyxqUANvL9Jmnanhtu3FmIqQJiy" TargetMode="External"/><Relationship Id="rId629" Type="http://schemas.openxmlformats.org/officeDocument/2006/relationships/hyperlink" Target="https://drive.google.com/open?id=18LI4k02AlcJkQR7kYxO2sU6TvLjZRnR2" TargetMode="External"/><Relationship Id="rId1161" Type="http://schemas.openxmlformats.org/officeDocument/2006/relationships/hyperlink" Target="https://drive.google.com/open?id=1RmRH9d-znfWB9L3KEO-EuDEVRAiudBDE" TargetMode="External"/><Relationship Id="rId1259" Type="http://schemas.openxmlformats.org/officeDocument/2006/relationships/hyperlink" Target="https://drive.google.com/open?id=1xrvdPblNZdieK7Tl45AKSy8hEruk14kh" TargetMode="External"/><Relationship Id="rId836" Type="http://schemas.openxmlformats.org/officeDocument/2006/relationships/hyperlink" Target="https://drive.google.com/open?id=1XJ6SeZ_hy3OjpGyqWE0RO2fvlFNqQ9wb" TargetMode="External"/><Relationship Id="rId1021" Type="http://schemas.openxmlformats.org/officeDocument/2006/relationships/hyperlink" Target="https://drive.google.com/open?id=12rTU4jG8tcrAz8LiJ33uRa8PfNT2Qxpw" TargetMode="External"/><Relationship Id="rId1119" Type="http://schemas.openxmlformats.org/officeDocument/2006/relationships/hyperlink" Target="https://drive.google.com/open?id=1xHihBp9ffEgJqHIj-0yVXJ4us0-ljW7f" TargetMode="External"/><Relationship Id="rId903" Type="http://schemas.openxmlformats.org/officeDocument/2006/relationships/hyperlink" Target="https://drive.google.com/open?id=1sAcrYSuEOcOeoIFyHDZBVlmlqck3MYDm" TargetMode="External"/><Relationship Id="rId1326" Type="http://schemas.openxmlformats.org/officeDocument/2006/relationships/hyperlink" Target="https://drive.google.com/open?id=14dCAhb9W-sYw6z5Dnv2tUAUHwKPQNhfT" TargetMode="External"/><Relationship Id="rId32" Type="http://schemas.openxmlformats.org/officeDocument/2006/relationships/hyperlink" Target="https://drive.google.com/open?id=1BEZt90cEEdzOA0qkKyqNAyG_fheG72hZ" TargetMode="External"/><Relationship Id="rId181" Type="http://schemas.openxmlformats.org/officeDocument/2006/relationships/hyperlink" Target="https://drive.google.com/open?id=1KSJLjeKsDdThgf6G9SNIh-_WIZEN-1Be" TargetMode="External"/><Relationship Id="rId279" Type="http://schemas.openxmlformats.org/officeDocument/2006/relationships/hyperlink" Target="https://drive.google.com/open?id=15V76iEt4CxmdQlVon3hNfEC99jdl_76T" TargetMode="External"/><Relationship Id="rId486" Type="http://schemas.openxmlformats.org/officeDocument/2006/relationships/hyperlink" Target="https://drive.google.com/open?id=182CeUHgul8js2A2Xhtd4IrhsNNqCMqVI" TargetMode="External"/><Relationship Id="rId693" Type="http://schemas.openxmlformats.org/officeDocument/2006/relationships/hyperlink" Target="https://drive.google.com/open?id=17IHN36wQEF50A9mml5qyjIR9WamldUwy" TargetMode="External"/><Relationship Id="rId139" Type="http://schemas.openxmlformats.org/officeDocument/2006/relationships/hyperlink" Target="https://drive.google.com/open?id=1OIEpS1he-XvUXsBSIAw6J0qTP92jKwkr" TargetMode="External"/><Relationship Id="rId346" Type="http://schemas.openxmlformats.org/officeDocument/2006/relationships/hyperlink" Target="https://drive.google.com/open?id=1KKoUmR5Osd9B5_nwo1qlelMAibn-9ZoZ" TargetMode="External"/><Relationship Id="rId553" Type="http://schemas.openxmlformats.org/officeDocument/2006/relationships/hyperlink" Target="https://drive.google.com/open?id=1DS6ZBes_FtFimJEeFfznz8YwMYxneyMB" TargetMode="External"/><Relationship Id="rId760" Type="http://schemas.openxmlformats.org/officeDocument/2006/relationships/hyperlink" Target="https://drive.google.com/open?id=1P_SDynCHaaW72tBwCIbXv8UEO8NUopEk" TargetMode="External"/><Relationship Id="rId998" Type="http://schemas.openxmlformats.org/officeDocument/2006/relationships/hyperlink" Target="https://drive.google.com/open?id=1DhSnZ69qVniIEuIV6Sj5XL01lXVYCBSB" TargetMode="External"/><Relationship Id="rId1183" Type="http://schemas.openxmlformats.org/officeDocument/2006/relationships/hyperlink" Target="https://drive.google.com/open?id=1MEbN5MWCX2wNv3XIVa6p968qPB2__6Wl" TargetMode="External"/><Relationship Id="rId206" Type="http://schemas.openxmlformats.org/officeDocument/2006/relationships/hyperlink" Target="https://drive.google.com/open?id=1dMNxi_Or7UhKxJPL3YEinENFdowglzpI" TargetMode="External"/><Relationship Id="rId413" Type="http://schemas.openxmlformats.org/officeDocument/2006/relationships/hyperlink" Target="https://drive.google.com/open?id=14-6G2e_21ywg6bnLAmBUKYzIZlJF7i-X" TargetMode="External"/><Relationship Id="rId858" Type="http://schemas.openxmlformats.org/officeDocument/2006/relationships/hyperlink" Target="https://drive.google.com/open?id=1NiIHfvJgm5gpPCpKbnhOuxmv4ZnfWpQW" TargetMode="External"/><Relationship Id="rId1043" Type="http://schemas.openxmlformats.org/officeDocument/2006/relationships/hyperlink" Target="https://drive.google.com/open?id=12_srua-2bN288erbcYac-deqxTpCBmIW" TargetMode="External"/><Relationship Id="rId620" Type="http://schemas.openxmlformats.org/officeDocument/2006/relationships/hyperlink" Target="https://drive.google.com/open?id=1idI9O8jYBlqxO8yVanfpu18hvzSMfcj_" TargetMode="External"/><Relationship Id="rId718" Type="http://schemas.openxmlformats.org/officeDocument/2006/relationships/hyperlink" Target="https://drive.google.com/open?id=12zEjCujEAx38R7Mcz3Q5dj-Y8ZmURofK" TargetMode="External"/><Relationship Id="rId925" Type="http://schemas.openxmlformats.org/officeDocument/2006/relationships/hyperlink" Target="https://drive.google.com/open?id=1_IwNi8vxw7ykR1mhqexmx1rJV-IOttVY" TargetMode="External"/><Relationship Id="rId1250" Type="http://schemas.openxmlformats.org/officeDocument/2006/relationships/hyperlink" Target="https://drive.google.com/open?id=1RmRH9d-znfWB9L3KEO-EuDEVRAiudBDE" TargetMode="External"/><Relationship Id="rId1110" Type="http://schemas.openxmlformats.org/officeDocument/2006/relationships/hyperlink" Target="https://drive.google.com/open?id=1wIkb9l78C23oE0wK1jzdByx3n-fv8k0S" TargetMode="External"/><Relationship Id="rId1208" Type="http://schemas.openxmlformats.org/officeDocument/2006/relationships/hyperlink" Target="https://drive.google.com/open?id=1sYnksARkbBRH36DH4LM5fqEX289sdZyx" TargetMode="External"/><Relationship Id="rId54" Type="http://schemas.openxmlformats.org/officeDocument/2006/relationships/hyperlink" Target="https://drive.google.com/open?id=1oq2V-UqMhKBxHOEtz1AKdg2zDHkd5tBq" TargetMode="External"/><Relationship Id="rId270" Type="http://schemas.openxmlformats.org/officeDocument/2006/relationships/hyperlink" Target="https://drive.google.com/open?id=1UBOwEJ9I9SCa4QjFoguP6K2cUsxIiAtY" TargetMode="External"/><Relationship Id="rId130" Type="http://schemas.openxmlformats.org/officeDocument/2006/relationships/hyperlink" Target="https://drive.google.com/open?id=1k-RdzvCgtdevHdpknc1frcI8zeceBy31" TargetMode="External"/><Relationship Id="rId368" Type="http://schemas.openxmlformats.org/officeDocument/2006/relationships/hyperlink" Target="https://drive.google.com/open?id=1P1eIRxNbNnIakpXu7ay-bcjoV6kb1-qp" TargetMode="External"/><Relationship Id="rId575" Type="http://schemas.openxmlformats.org/officeDocument/2006/relationships/hyperlink" Target="https://drive.google.com/open?id=1fD-93RwXXhC0K5ycSPrdDptYbiWhn34J" TargetMode="External"/><Relationship Id="rId782" Type="http://schemas.openxmlformats.org/officeDocument/2006/relationships/hyperlink" Target="https://drive.google.com/open?id=17si7cirUmJndpGWo3GtEYCMGrK38dDoV" TargetMode="External"/><Relationship Id="rId228" Type="http://schemas.openxmlformats.org/officeDocument/2006/relationships/hyperlink" Target="https://drive.google.com/open?id=1rNKTlVQ1Mg-UyM2vSMSBZCEV7h0azLbL" TargetMode="External"/><Relationship Id="rId435" Type="http://schemas.openxmlformats.org/officeDocument/2006/relationships/hyperlink" Target="https://drive.google.com/open?id=1Xd2y5nlg-K0Q_Dueeqz6RuQsBFdomNzX" TargetMode="External"/><Relationship Id="rId642" Type="http://schemas.openxmlformats.org/officeDocument/2006/relationships/hyperlink" Target="https://drive.google.com/open?id=1WqlqoKN7RCPaHZu3tKUP64aR1eTIIRms" TargetMode="External"/><Relationship Id="rId1065" Type="http://schemas.openxmlformats.org/officeDocument/2006/relationships/hyperlink" Target="https://drive.google.com/open?id=1PxUOyyuy2MDilQIZtpCG6-BGaxfslHXc" TargetMode="External"/><Relationship Id="rId1272" Type="http://schemas.openxmlformats.org/officeDocument/2006/relationships/hyperlink" Target="https://drive.google.com/open?id=1MEbN5MWCX2wNv3XIVa6p968qPB2__6Wl" TargetMode="External"/><Relationship Id="rId502" Type="http://schemas.openxmlformats.org/officeDocument/2006/relationships/hyperlink" Target="https://drive.google.com/open?id=15v-MfMEFmUzEFJ3ZTLKtrm2EVBoDx79w" TargetMode="External"/><Relationship Id="rId947" Type="http://schemas.openxmlformats.org/officeDocument/2006/relationships/hyperlink" Target="https://drive.google.com/open?id=1U_VxK33JE_p7E3AnkwGdPKTxmcdgNasc" TargetMode="External"/><Relationship Id="rId1132" Type="http://schemas.openxmlformats.org/officeDocument/2006/relationships/hyperlink" Target="https://drive.google.com/open?id=1twtW4Nmwd1QXFtq_YqRwnnhHTCc_X3wn" TargetMode="External"/><Relationship Id="rId76" Type="http://schemas.openxmlformats.org/officeDocument/2006/relationships/hyperlink" Target="https://drive.google.com/open?id=1rz9AnQm86uagR_pAMig6v7gRhPmsjPD5" TargetMode="External"/><Relationship Id="rId807" Type="http://schemas.openxmlformats.org/officeDocument/2006/relationships/hyperlink" Target="https://drive.google.com/open?id=1lJpU6p4HauFCn44XN7EJcAWZpal2R1b5" TargetMode="External"/><Relationship Id="rId292" Type="http://schemas.openxmlformats.org/officeDocument/2006/relationships/hyperlink" Target="https://drive.google.com/open?id=13SNgW7VupL2K7SWxmqQnnrjTaqBBbZcq" TargetMode="External"/><Relationship Id="rId597" Type="http://schemas.openxmlformats.org/officeDocument/2006/relationships/hyperlink" Target="https://drive.google.com/open?id=1dKrpoYYtE0hUM6zbt2JQ32HhCmpAw7eb" TargetMode="External"/><Relationship Id="rId152" Type="http://schemas.openxmlformats.org/officeDocument/2006/relationships/hyperlink" Target="https://drive.google.com/open?id=1hWZ3IU_hEzghk26-0Zy6EkmUgvGEumIh" TargetMode="External"/><Relationship Id="rId457" Type="http://schemas.openxmlformats.org/officeDocument/2006/relationships/hyperlink" Target="https://drive.google.com/open?id=1Oa6VnPsSdeAhKvr7XSPH2ZBfnjOkfsDN" TargetMode="External"/><Relationship Id="rId1087" Type="http://schemas.openxmlformats.org/officeDocument/2006/relationships/hyperlink" Target="https://drive.google.com/open?id=1Fq8ntn83IQFZjCmTbG2xuGOFjEVnA7oP" TargetMode="External"/><Relationship Id="rId1294" Type="http://schemas.openxmlformats.org/officeDocument/2006/relationships/hyperlink" Target="https://drive.google.com/open?id=1ZPfIrmV7dCUeaFjoT2l1nJVDvHUuN3Dx" TargetMode="External"/><Relationship Id="rId664" Type="http://schemas.openxmlformats.org/officeDocument/2006/relationships/hyperlink" Target="https://drive.google.com/open?id=17YaiJ7jsRQYYiWUOAI1WTjDUII1YWA80" TargetMode="External"/><Relationship Id="rId871" Type="http://schemas.openxmlformats.org/officeDocument/2006/relationships/hyperlink" Target="https://drive.google.com/open?id=1vinEl0B5tg4rSvGazB6MyvSNVNZm97dS" TargetMode="External"/><Relationship Id="rId969" Type="http://schemas.openxmlformats.org/officeDocument/2006/relationships/hyperlink" Target="https://drive.google.com/open?id=1Q7aSFHIxNaHu-8QlEtAsaIFUj0e-lslA" TargetMode="External"/><Relationship Id="rId317" Type="http://schemas.openxmlformats.org/officeDocument/2006/relationships/hyperlink" Target="https://drive.google.com/open?id=16HY80oc6HtCuuvj5JewUNCelUtFbxbkg" TargetMode="External"/><Relationship Id="rId524" Type="http://schemas.openxmlformats.org/officeDocument/2006/relationships/hyperlink" Target="https://drive.google.com/open?id=13U9yk399AL7BvTvwZ1ytE-le7410_VoI" TargetMode="External"/><Relationship Id="rId731" Type="http://schemas.openxmlformats.org/officeDocument/2006/relationships/hyperlink" Target="https://drive.google.com/open?id=1ANx1BaRz1AoBB0EdoUoNP7vJe5AVsnVV" TargetMode="External"/><Relationship Id="rId1154" Type="http://schemas.openxmlformats.org/officeDocument/2006/relationships/hyperlink" Target="https://drive.google.com/open?id=1HSQRDFFKCAxJ34V9aVB02tY8b_mh5Dh9" TargetMode="External"/><Relationship Id="rId98" Type="http://schemas.openxmlformats.org/officeDocument/2006/relationships/hyperlink" Target="https://drive.google.com/open?id=1snLSTDItYM6XqrV7D2RDPUr_OFCaKzBn" TargetMode="External"/><Relationship Id="rId829" Type="http://schemas.openxmlformats.org/officeDocument/2006/relationships/hyperlink" Target="https://drive.google.com/open?id=1tZvwC6rzsQDCj5lbFaKWVh3P1rWKOafa" TargetMode="External"/><Relationship Id="rId1014" Type="http://schemas.openxmlformats.org/officeDocument/2006/relationships/hyperlink" Target="https://drive.google.com/open?id=1fkfNt3Enmx67ukXQijvhGeQwlv7OqiGp" TargetMode="External"/><Relationship Id="rId1221" Type="http://schemas.openxmlformats.org/officeDocument/2006/relationships/hyperlink" Target="https://drive.google.com/open?id=195bDlEcFeF8Dkc1EwuP4HOHcdR4wl_h6" TargetMode="External"/><Relationship Id="rId1319" Type="http://schemas.openxmlformats.org/officeDocument/2006/relationships/hyperlink" Target="https://drive.google.com/open?id=1GkJLAiWs5OCkGJFarEqQDBiY9ZkOQXz3" TargetMode="External"/><Relationship Id="rId25" Type="http://schemas.openxmlformats.org/officeDocument/2006/relationships/hyperlink" Target="https://drive.google.com/open?id=1KMcNy8oz1aK5J5G9aU2Se0gUADC6l5Ra" TargetMode="External"/><Relationship Id="rId174" Type="http://schemas.openxmlformats.org/officeDocument/2006/relationships/hyperlink" Target="https://drive.google.com/open?id=1p8mCPDMdTmkYsb9TbiBpyzyVeoOg4PP8" TargetMode="External"/><Relationship Id="rId381" Type="http://schemas.openxmlformats.org/officeDocument/2006/relationships/hyperlink" Target="https://drive.google.com/open?id=1DkiGuPWNrrJ17ziZzyj9FJD6S56uqueV" TargetMode="External"/><Relationship Id="rId241" Type="http://schemas.openxmlformats.org/officeDocument/2006/relationships/hyperlink" Target="https://drive.google.com/open?id=1UW4JMALPhi0QZwc7UJeLomfBEpWwBMSu" TargetMode="External"/><Relationship Id="rId479" Type="http://schemas.openxmlformats.org/officeDocument/2006/relationships/hyperlink" Target="https://drive.google.com/open?id=18o0SK3peIRcyf0MCpt0WbB7IFzl3U_3J" TargetMode="External"/><Relationship Id="rId686" Type="http://schemas.openxmlformats.org/officeDocument/2006/relationships/hyperlink" Target="https://drive.google.com/open?id=133E3GUGhxSo-el8Nj3fbCzJgfrKNEtyF" TargetMode="External"/><Relationship Id="rId893" Type="http://schemas.openxmlformats.org/officeDocument/2006/relationships/hyperlink" Target="https://drive.google.com/open?id=16zd3VBlO3IdfTICh8JOvZbYDTeh7-442" TargetMode="External"/><Relationship Id="rId339" Type="http://schemas.openxmlformats.org/officeDocument/2006/relationships/hyperlink" Target="https://drive.google.com/open?id=1PGe_YhDZ1SXbP36ChnZ2JAqpqC42knJJ" TargetMode="External"/><Relationship Id="rId546" Type="http://schemas.openxmlformats.org/officeDocument/2006/relationships/hyperlink" Target="https://drive.google.com/open?id=1nco6whHmoSoug69oD_HlGJml4LsO4Mtu" TargetMode="External"/><Relationship Id="rId753" Type="http://schemas.openxmlformats.org/officeDocument/2006/relationships/hyperlink" Target="https://drive.google.com/open?id=1FPX2QrZLTvGZfjzHUBavNjiV9l1kTGPq" TargetMode="External"/><Relationship Id="rId1176" Type="http://schemas.openxmlformats.org/officeDocument/2006/relationships/hyperlink" Target="https://drive.google.com/open?id=1nL8AdyHgv4YausgtW3ZE5zV2xptm94I7" TargetMode="External"/><Relationship Id="rId101" Type="http://schemas.openxmlformats.org/officeDocument/2006/relationships/hyperlink" Target="https://drive.google.com/open?id=1sQlYEdwj_KjmRMuHxd_Ck5LyLI73v53O" TargetMode="External"/><Relationship Id="rId406" Type="http://schemas.openxmlformats.org/officeDocument/2006/relationships/hyperlink" Target="https://drive.google.com/open?id=12YJ5IMud9HHYs3B98G5gZFsYH0UVkzhJ" TargetMode="External"/><Relationship Id="rId960" Type="http://schemas.openxmlformats.org/officeDocument/2006/relationships/hyperlink" Target="https://drive.google.com/open?id=13J5UeAwZr8LZBFvHLWWmLBzpzuvdaHp2" TargetMode="External"/><Relationship Id="rId1036" Type="http://schemas.openxmlformats.org/officeDocument/2006/relationships/hyperlink" Target="https://drive.google.com/open?id=1Yom3pKy4Tkgt9RrqNFbH2LIJ7nyblof1" TargetMode="External"/><Relationship Id="rId1243" Type="http://schemas.openxmlformats.org/officeDocument/2006/relationships/hyperlink" Target="https://drive.google.com/open?id=1qZo9Dc2rM5HaH96_wJI3ejAwSphAT30F" TargetMode="External"/><Relationship Id="rId613" Type="http://schemas.openxmlformats.org/officeDocument/2006/relationships/hyperlink" Target="https://drive.google.com/open?id=149E4ROiJYHPw5OBN0KsGUY5hFPqL8gfC" TargetMode="External"/><Relationship Id="rId820" Type="http://schemas.openxmlformats.org/officeDocument/2006/relationships/hyperlink" Target="https://drive.google.com/open?id=1KfBxR3zT_qNZ6b0gk50CYbmZIJNudz2s" TargetMode="External"/><Relationship Id="rId918" Type="http://schemas.openxmlformats.org/officeDocument/2006/relationships/hyperlink" Target="https://drive.google.com/open?id=1McGay_zEnuYV7_C0DLAirQ8wZ8zoD7xk" TargetMode="External"/><Relationship Id="rId1103" Type="http://schemas.openxmlformats.org/officeDocument/2006/relationships/hyperlink" Target="https://drive.google.com/open?id=1iWb8zN9FhCMzxE4WZdSAZflQ-SsHEGZ3" TargetMode="External"/><Relationship Id="rId1310" Type="http://schemas.openxmlformats.org/officeDocument/2006/relationships/hyperlink" Target="https://drive.google.com/open?id=195bDlEcFeF8Dkc1EwuP4HOHcdR4wl_h6" TargetMode="External"/><Relationship Id="rId47" Type="http://schemas.openxmlformats.org/officeDocument/2006/relationships/hyperlink" Target="https://drive.google.com/open?id=1sfxhRoYOsW8VWhJuHLcbG3HvHaFmXux_" TargetMode="External"/><Relationship Id="rId196" Type="http://schemas.openxmlformats.org/officeDocument/2006/relationships/hyperlink" Target="https://drive.google.com/open?id=1Yf2zDUoI8_xkNYtSbliWFcbfmxkzIlSp" TargetMode="External"/><Relationship Id="rId263" Type="http://schemas.openxmlformats.org/officeDocument/2006/relationships/hyperlink" Target="https://drive.google.com/open?id=1UUOc2bc6eY3QzSTHXsUfbAZ3XLFm1tgt" TargetMode="External"/><Relationship Id="rId470" Type="http://schemas.openxmlformats.org/officeDocument/2006/relationships/hyperlink" Target="https://drive.google.com/open?id=1GYGDiZixLyORKX67jOnV6DN7WueVpLsm" TargetMode="External"/><Relationship Id="rId123" Type="http://schemas.openxmlformats.org/officeDocument/2006/relationships/hyperlink" Target="https://drive.google.com/open?id=127AW0C839nzZAdcqYaMw-UrY4OUnaC49" TargetMode="External"/><Relationship Id="rId330" Type="http://schemas.openxmlformats.org/officeDocument/2006/relationships/hyperlink" Target="https://drive.google.com/open?id=1VRlGOrW3Zj480S4jLzaknk543AyUWlZD" TargetMode="External"/><Relationship Id="rId568" Type="http://schemas.openxmlformats.org/officeDocument/2006/relationships/hyperlink" Target="https://drive.google.com/open?id=1EoNPL_1E82X1InuZl-Fo7mxvYqTLOY7X" TargetMode="External"/><Relationship Id="rId775" Type="http://schemas.openxmlformats.org/officeDocument/2006/relationships/hyperlink" Target="https://drive.google.com/open?id=1kB2dETgK9HrOxigXiDFEsWXGRNUPqNBB" TargetMode="External"/><Relationship Id="rId982" Type="http://schemas.openxmlformats.org/officeDocument/2006/relationships/hyperlink" Target="https://drive.google.com/open?id=1PRE1qe4Sha5GpZbyDT-TrczxIuR5f2Bv" TargetMode="External"/><Relationship Id="rId1198" Type="http://schemas.openxmlformats.org/officeDocument/2006/relationships/hyperlink" Target="https://drive.google.com/open?id=1DyiaPLijpbCG-XVC9VwD49bqqZ2URv9k" TargetMode="External"/><Relationship Id="rId428" Type="http://schemas.openxmlformats.org/officeDocument/2006/relationships/hyperlink" Target="https://drive.google.com/open?id=1TzKAWwUItopmdVYKWq0Fxz3cBchc2C9s" TargetMode="External"/><Relationship Id="rId635" Type="http://schemas.openxmlformats.org/officeDocument/2006/relationships/hyperlink" Target="https://drive.google.com/open?id=1ag8xXp9J_hg2avLex4CCudLV_lqvxbz9" TargetMode="External"/><Relationship Id="rId842" Type="http://schemas.openxmlformats.org/officeDocument/2006/relationships/hyperlink" Target="https://drive.google.com/open?id=1RqkczE9AyMhEK147VBBtVh5cSdIieWKN" TargetMode="External"/><Relationship Id="rId1058" Type="http://schemas.openxmlformats.org/officeDocument/2006/relationships/hyperlink" Target="https://drive.google.com/open?id=15uViMoGjxNAkEyV4Y1Q8HhaRwq88LVNU" TargetMode="External"/><Relationship Id="rId1265" Type="http://schemas.openxmlformats.org/officeDocument/2006/relationships/hyperlink" Target="https://drive.google.com/open?id=1nL8AdyHgv4YausgtW3ZE5zV2xptm94I7" TargetMode="External"/><Relationship Id="rId702" Type="http://schemas.openxmlformats.org/officeDocument/2006/relationships/hyperlink" Target="https://drive.google.com/open?id=1A2vochcJvGrHoDWXY64uTyxO0dapzj9a" TargetMode="External"/><Relationship Id="rId1125" Type="http://schemas.openxmlformats.org/officeDocument/2006/relationships/hyperlink" Target="https://drive.google.com/open?id=1Z921VLVGL4V-DzPO2qWrsy_sJnIhsHaG" TargetMode="External"/><Relationship Id="rId1332" Type="http://schemas.openxmlformats.org/officeDocument/2006/relationships/hyperlink" Target="https://drive.google.com/open?id=1qZo9Dc2rM5HaH96_wJI3ejAwSphAT30F" TargetMode="External"/><Relationship Id="rId69" Type="http://schemas.openxmlformats.org/officeDocument/2006/relationships/hyperlink" Target="https://drive.google.com/open?id=1ScZ7IOZPdhhfDJUXPF-CMEI1xDbJyAAv" TargetMode="External"/><Relationship Id="rId285" Type="http://schemas.openxmlformats.org/officeDocument/2006/relationships/hyperlink" Target="https://drive.google.com/open?id=1C1cf7JpQvnbLHJbkSl_GcfXU09Em_cL1" TargetMode="External"/><Relationship Id="rId492" Type="http://schemas.openxmlformats.org/officeDocument/2006/relationships/hyperlink" Target="https://drive.google.com/open?id=15Pk_sGZWE6Flko1Wb2O2twwEnxSdKUX2" TargetMode="External"/><Relationship Id="rId797" Type="http://schemas.openxmlformats.org/officeDocument/2006/relationships/hyperlink" Target="https://drive.google.com/open?id=1v01EIsd16wQQu_jl1eRzigztb8ixsaaB" TargetMode="External"/><Relationship Id="rId145" Type="http://schemas.openxmlformats.org/officeDocument/2006/relationships/hyperlink" Target="https://drive.google.com/open?id=1hmBDFEQubi1xdeD9NNZO5E6rwOHsO1Ky" TargetMode="External"/><Relationship Id="rId352" Type="http://schemas.openxmlformats.org/officeDocument/2006/relationships/hyperlink" Target="https://drive.google.com/open?id=1L9wjC6vG7nuYvjdimem2IuS0Bw1r4G8G" TargetMode="External"/><Relationship Id="rId1287" Type="http://schemas.openxmlformats.org/officeDocument/2006/relationships/hyperlink" Target="https://drive.google.com/open?id=1DyiaPLijpbCG-XVC9VwD49bqqZ2URv9k" TargetMode="External"/><Relationship Id="rId212" Type="http://schemas.openxmlformats.org/officeDocument/2006/relationships/hyperlink" Target="https://drive.google.com/open?id=1byWGeZTZx-0YwRF5T9ijQuTz8yqdfnDb" TargetMode="External"/><Relationship Id="rId657" Type="http://schemas.openxmlformats.org/officeDocument/2006/relationships/hyperlink" Target="https://drive.google.com/open?id=1MaIstHqnDkNHBOsPBnH7PCPqV-V-vA3u" TargetMode="External"/><Relationship Id="rId864" Type="http://schemas.openxmlformats.org/officeDocument/2006/relationships/hyperlink" Target="https://drive.google.com/open?id=1zlp-hU7vPBWUBXOs7s5t0l2yaDufQLfH" TargetMode="External"/><Relationship Id="rId517" Type="http://schemas.openxmlformats.org/officeDocument/2006/relationships/hyperlink" Target="https://drive.google.com/open?id=1KtTbj7IeX1qRiGMk6w-TrmpeGOo0SNxk" TargetMode="External"/><Relationship Id="rId724" Type="http://schemas.openxmlformats.org/officeDocument/2006/relationships/hyperlink" Target="https://drive.google.com/open?id=1EJO0XC5P_pLAqOf-2Q8rbY0TxHWpxzxX" TargetMode="External"/><Relationship Id="rId931" Type="http://schemas.openxmlformats.org/officeDocument/2006/relationships/hyperlink" Target="https://drive.google.com/open?id=1ePKgLP0s2vCDChjGVBCeA6ZJpzBik2bC" TargetMode="External"/><Relationship Id="rId1147" Type="http://schemas.openxmlformats.org/officeDocument/2006/relationships/hyperlink" Target="https://drive.google.com/open?id=1tCFSDUGZcL96PWWWsBS3guVCHlFkThUP" TargetMode="External"/><Relationship Id="rId60" Type="http://schemas.openxmlformats.org/officeDocument/2006/relationships/hyperlink" Target="https://drive.google.com/open?id=12y2JfnPITi1EgRwDeBbP2weo5du5Dfw_" TargetMode="External"/><Relationship Id="rId1007" Type="http://schemas.openxmlformats.org/officeDocument/2006/relationships/hyperlink" Target="https://drive.google.com/open?id=1iabDeur9k6QrEoaHZHRARPLPCSvizNGq" TargetMode="External"/><Relationship Id="rId1214" Type="http://schemas.openxmlformats.org/officeDocument/2006/relationships/hyperlink" Target="https://drive.google.com/open?id=1cocAhpT7zGXy2a1UrnMnHWoY1uvn3s-E" TargetMode="External"/><Relationship Id="rId18" Type="http://schemas.openxmlformats.org/officeDocument/2006/relationships/hyperlink" Target="https://drive.google.com/open?id=1qg0PxyqcGhx6JTmOlDsBiPQ91aW-JAjo" TargetMode="External"/><Relationship Id="rId167" Type="http://schemas.openxmlformats.org/officeDocument/2006/relationships/hyperlink" Target="https://drive.google.com/open?id=14fV7fxncmH55U2ozhPZT7Y_pjan6yvMR" TargetMode="External"/><Relationship Id="rId374" Type="http://schemas.openxmlformats.org/officeDocument/2006/relationships/hyperlink" Target="https://drive.google.com/open?id=1L-6Rmu3CgF-8_Se78N5N2LfPSpaEXXgt" TargetMode="External"/><Relationship Id="rId581" Type="http://schemas.openxmlformats.org/officeDocument/2006/relationships/hyperlink" Target="https://drive.google.com/open?id=1V3fybC-DGobMr_SsQLb8jGq39MBPwary" TargetMode="External"/><Relationship Id="rId234" Type="http://schemas.openxmlformats.org/officeDocument/2006/relationships/hyperlink" Target="https://drive.google.com/open?id=1lBR2uMs4Crdx2pUdhIF8OqE50WSzxF0M" TargetMode="External"/><Relationship Id="rId679" Type="http://schemas.openxmlformats.org/officeDocument/2006/relationships/hyperlink" Target="https://drive.google.com/open?id=1m4BTv5Etd4b2TIO038QhUJcszrtjqWra" TargetMode="External"/><Relationship Id="rId886" Type="http://schemas.openxmlformats.org/officeDocument/2006/relationships/hyperlink" Target="https://drive.google.com/open?id=1NSplG2ly1V3XE_WGlxIRc7GYvwZOmQk4" TargetMode="External"/><Relationship Id="rId2" Type="http://schemas.openxmlformats.org/officeDocument/2006/relationships/hyperlink" Target="https://drive.google.com/open?id=16hFTXxdc9QEZmhVAzu2w4tuF05DhDNfC" TargetMode="External"/><Relationship Id="rId441" Type="http://schemas.openxmlformats.org/officeDocument/2006/relationships/hyperlink" Target="https://drive.google.com/open?id=1ToU8ynlyYDOTVYC4oabKICXuq5AnKW3p" TargetMode="External"/><Relationship Id="rId539" Type="http://schemas.openxmlformats.org/officeDocument/2006/relationships/hyperlink" Target="https://drive.google.com/open?id=1gL1-pFaJTVb4ekmp6tbUST46T9MTOiEa" TargetMode="External"/><Relationship Id="rId746" Type="http://schemas.openxmlformats.org/officeDocument/2006/relationships/hyperlink" Target="https://drive.google.com/open?id=164PkLKDM0UG_ADq-iyJk3eLt2LeK4efP" TargetMode="External"/><Relationship Id="rId1071" Type="http://schemas.openxmlformats.org/officeDocument/2006/relationships/hyperlink" Target="https://drive.google.com/open?id=1jZqgHUFv77c-1WLKoijFh6ALBy9Ux1It" TargetMode="External"/><Relationship Id="rId1169" Type="http://schemas.openxmlformats.org/officeDocument/2006/relationships/hyperlink" Target="https://drive.google.com/open?id=1OeXhP9BX7EjRXA4AybYm8u_PnjA2vZD_" TargetMode="External"/><Relationship Id="rId301" Type="http://schemas.openxmlformats.org/officeDocument/2006/relationships/hyperlink" Target="https://drive.google.com/open?id=1lkOA7apObZaQGPC_yRymnEcyRs5JFC-y" TargetMode="External"/><Relationship Id="rId953" Type="http://schemas.openxmlformats.org/officeDocument/2006/relationships/hyperlink" Target="https://drive.google.com/open?id=1Tg_9Zl6ggrHhx7AJjufvYTUhaC5608Su" TargetMode="External"/><Relationship Id="rId1029" Type="http://schemas.openxmlformats.org/officeDocument/2006/relationships/hyperlink" Target="https://drive.google.com/open?id=1S0p5CNARv6AIh0jkY2b963wPxgWr77iY" TargetMode="External"/><Relationship Id="rId1236" Type="http://schemas.openxmlformats.org/officeDocument/2006/relationships/hyperlink" Target="https://drive.google.com/open?id=1Siem2AsY6JCok9s2uwpBm_bmhUkH5mib" TargetMode="External"/><Relationship Id="rId82" Type="http://schemas.openxmlformats.org/officeDocument/2006/relationships/hyperlink" Target="https://drive.google.com/open?id=1jyPW79fPV6fSlK6LANHzYP9sopxjR-lO" TargetMode="External"/><Relationship Id="rId606" Type="http://schemas.openxmlformats.org/officeDocument/2006/relationships/hyperlink" Target="https://drive.google.com/open?id=1DGq3Z9Hv6wdsfDLdxFHWrkfim1dk2reA" TargetMode="External"/><Relationship Id="rId813" Type="http://schemas.openxmlformats.org/officeDocument/2006/relationships/hyperlink" Target="https://drive.google.com/open?id=1zl0FM32wwsGqc5vNeMZ_jEgkKuRia6S2" TargetMode="External"/><Relationship Id="rId1303" Type="http://schemas.openxmlformats.org/officeDocument/2006/relationships/hyperlink" Target="https://drive.google.com/open?id=1cocAhpT7zGXy2a1UrnMnHWoY1uvn3s-E" TargetMode="External"/><Relationship Id="rId189" Type="http://schemas.openxmlformats.org/officeDocument/2006/relationships/hyperlink" Target="https://drive.google.com/open?id=1tHgTeOmv4x6dEn_N61Fd6rPcGaAfx2RS" TargetMode="External"/><Relationship Id="rId396" Type="http://schemas.openxmlformats.org/officeDocument/2006/relationships/hyperlink" Target="https://drive.google.com/open?id=1IIBfarkDFsZ9NAt0KrRtpOVyEgmB92Za" TargetMode="External"/><Relationship Id="rId256" Type="http://schemas.openxmlformats.org/officeDocument/2006/relationships/hyperlink" Target="https://drive.google.com/open?id=1lxAJST8TXOy3XcL_6b_yYdnKszShgTct" TargetMode="External"/><Relationship Id="rId463" Type="http://schemas.openxmlformats.org/officeDocument/2006/relationships/hyperlink" Target="https://drive.google.com/open?id=1I6zZ9K06c1wCT1L431NBOjkohm3g5IhF" TargetMode="External"/><Relationship Id="rId670" Type="http://schemas.openxmlformats.org/officeDocument/2006/relationships/hyperlink" Target="https://drive.google.com/open?id=1ygSpxfiwRrg2HFxEQJvY4dUJ1FceX5cU" TargetMode="External"/><Relationship Id="rId1093" Type="http://schemas.openxmlformats.org/officeDocument/2006/relationships/hyperlink" Target="https://drive.google.com/open?id=1dum9P0ybRNMtzfRuAqmPvSgnf5YbCylF" TargetMode="External"/><Relationship Id="rId116" Type="http://schemas.openxmlformats.org/officeDocument/2006/relationships/hyperlink" Target="https://drive.google.com/open?id=1wZ6vEmX8t7uRppb1rzrUDY46gzb-WT52" TargetMode="External"/><Relationship Id="rId323" Type="http://schemas.openxmlformats.org/officeDocument/2006/relationships/hyperlink" Target="https://drive.google.com/open?id=1St4ALTYPjBjD_fwPzqO2wiDh4k_BcGAm" TargetMode="External"/><Relationship Id="rId530" Type="http://schemas.openxmlformats.org/officeDocument/2006/relationships/hyperlink" Target="https://drive.google.com/open?id=1VaUH-A22cfvXSe2NQUv3nyEdsF86eyPR" TargetMode="External"/><Relationship Id="rId768" Type="http://schemas.openxmlformats.org/officeDocument/2006/relationships/hyperlink" Target="https://drive.google.com/open?id=10QvYm-wuVcxAqSNrdtWB0ZlUg8veOEdU" TargetMode="External"/><Relationship Id="rId975" Type="http://schemas.openxmlformats.org/officeDocument/2006/relationships/hyperlink" Target="https://drive.google.com/open?id=107vLh-tHpLz0JFCbzy4bv8VfAWSobwvQ" TargetMode="External"/><Relationship Id="rId1160" Type="http://schemas.openxmlformats.org/officeDocument/2006/relationships/hyperlink" Target="https://drive.google.com/open?id=1F0bEQ0NIRcGA9hAz_lnJMgqUTieVjbys" TargetMode="External"/><Relationship Id="rId628" Type="http://schemas.openxmlformats.org/officeDocument/2006/relationships/hyperlink" Target="https://drive.google.com/open?id=1Gwih3gqGq6Q54ZAYZdM5T7GpIxCh4skf" TargetMode="External"/><Relationship Id="rId835" Type="http://schemas.openxmlformats.org/officeDocument/2006/relationships/hyperlink" Target="https://drive.google.com/open?id=1jQmw3Ie7xSNvHnUNz9e96ERK-Ud-Slz5" TargetMode="External"/><Relationship Id="rId1258" Type="http://schemas.openxmlformats.org/officeDocument/2006/relationships/hyperlink" Target="https://drive.google.com/open?id=1OeXhP9BX7EjRXA4AybYm8u_PnjA2vZD_" TargetMode="External"/><Relationship Id="rId1020" Type="http://schemas.openxmlformats.org/officeDocument/2006/relationships/hyperlink" Target="https://drive.google.com/open?id=1Q123BBUxI1L9zmyqsMZASDg90DO_z1Yz" TargetMode="External"/><Relationship Id="rId1118" Type="http://schemas.openxmlformats.org/officeDocument/2006/relationships/hyperlink" Target="https://drive.google.com/open?id=1wGDKh6_IAgs70gC199Ruzn6O_l4R_sjR" TargetMode="External"/><Relationship Id="rId1325" Type="http://schemas.openxmlformats.org/officeDocument/2006/relationships/hyperlink" Target="https://drive.google.com/open?id=1Siem2AsY6JCok9s2uwpBm_bmhUkH5mib" TargetMode="External"/><Relationship Id="rId902" Type="http://schemas.openxmlformats.org/officeDocument/2006/relationships/hyperlink" Target="https://drive.google.com/open?id=1cURO-VXsTbK6ZoZ8HDDxXySavbQV-XEM" TargetMode="External"/><Relationship Id="rId31" Type="http://schemas.openxmlformats.org/officeDocument/2006/relationships/hyperlink" Target="https://drive.google.com/open?id=1Kwci2O8yMxhrJdcfh3GEfc9JIKNlizun" TargetMode="External"/><Relationship Id="rId180" Type="http://schemas.openxmlformats.org/officeDocument/2006/relationships/hyperlink" Target="https://drive.google.com/open?id=1ERDbRT7AXsv2WVl9XVABo_pFFLRjA9xp" TargetMode="External"/><Relationship Id="rId278" Type="http://schemas.openxmlformats.org/officeDocument/2006/relationships/hyperlink" Target="https://drive.google.com/open?id=1xOtwg-_8p-fxQ4Pa_pf12b4F16TkwHwQ" TargetMode="External"/><Relationship Id="rId485" Type="http://schemas.openxmlformats.org/officeDocument/2006/relationships/hyperlink" Target="https://drive.google.com/open?id=1l9MmNe4Fq8SyQw1-9vTljhFxhOoq0gf_" TargetMode="External"/><Relationship Id="rId692" Type="http://schemas.openxmlformats.org/officeDocument/2006/relationships/hyperlink" Target="https://drive.google.com/open?id=1BE7JQdinxMsRNrXWG8ECY6NhXcr3E34U" TargetMode="External"/><Relationship Id="rId138" Type="http://schemas.openxmlformats.org/officeDocument/2006/relationships/hyperlink" Target="https://drive.google.com/open?id=1Ypb6w_HDPXntjJUJ4tTBW_VXaSaaBTlB" TargetMode="External"/><Relationship Id="rId345" Type="http://schemas.openxmlformats.org/officeDocument/2006/relationships/hyperlink" Target="https://drive.google.com/open?id=12-80y08be4n2P68It-eHdVNU-Tzf5XWU" TargetMode="External"/><Relationship Id="rId552" Type="http://schemas.openxmlformats.org/officeDocument/2006/relationships/hyperlink" Target="https://drive.google.com/open?id=1RweKqsvzDX5niTTmixe4L1DXbfBCvLMk" TargetMode="External"/><Relationship Id="rId997" Type="http://schemas.openxmlformats.org/officeDocument/2006/relationships/hyperlink" Target="https://drive.google.com/open?id=1Zb-15iaNboindLGRyqAmWXSM4jrarj4b" TargetMode="External"/><Relationship Id="rId1182" Type="http://schemas.openxmlformats.org/officeDocument/2006/relationships/hyperlink" Target="https://drive.google.com/open?id=1iT3aQy7f8kCQcjnxTkXNfUB3IGNLj-sQ" TargetMode="External"/><Relationship Id="rId205" Type="http://schemas.openxmlformats.org/officeDocument/2006/relationships/hyperlink" Target="https://drive.google.com/open?id=1v5U4mH5Q8y5JkinMsVnRQk6Qam2Nz3kX" TargetMode="External"/><Relationship Id="rId412" Type="http://schemas.openxmlformats.org/officeDocument/2006/relationships/hyperlink" Target="https://drive.google.com/open?id=1nGRXkId6o5cqj3xIaeRBqo0koBoDqQqF" TargetMode="External"/><Relationship Id="rId857" Type="http://schemas.openxmlformats.org/officeDocument/2006/relationships/hyperlink" Target="https://drive.google.com/open?id=1kXrytMYKsJLrS-3i_-DaB6hKP07r6KbC" TargetMode="External"/><Relationship Id="rId1042" Type="http://schemas.openxmlformats.org/officeDocument/2006/relationships/hyperlink" Target="https://drive.google.com/open?id=1DdtP4Jce1Hzh89cx91TIYbMBw-Eoyw6i" TargetMode="External"/><Relationship Id="rId717" Type="http://schemas.openxmlformats.org/officeDocument/2006/relationships/hyperlink" Target="https://drive.google.com/open?id=1u7wm-N97PPXgI3ost1CrXrVe66wKvBsJ" TargetMode="External"/><Relationship Id="rId924" Type="http://schemas.openxmlformats.org/officeDocument/2006/relationships/hyperlink" Target="https://drive.google.com/open?id=1-gdyTvGMF5N5gPtaMIfHkTXB0qOBPXGF" TargetMode="External"/><Relationship Id="rId53" Type="http://schemas.openxmlformats.org/officeDocument/2006/relationships/hyperlink" Target="https://drive.google.com/open?id=1mtbP1QQNgrt8Quklkt73D96IAgRWsd43" TargetMode="External"/><Relationship Id="rId1207" Type="http://schemas.openxmlformats.org/officeDocument/2006/relationships/hyperlink" Target="https://drive.google.com/open?id=1dlD-oI48yw-XP-Dlyc2dEHZuFm7ytl5h" TargetMode="External"/><Relationship Id="rId367" Type="http://schemas.openxmlformats.org/officeDocument/2006/relationships/hyperlink" Target="https://drive.google.com/open?id=1WWEp-QqOIqYjBMhmUKbPZ36vniwhr2Av" TargetMode="External"/><Relationship Id="rId574" Type="http://schemas.openxmlformats.org/officeDocument/2006/relationships/hyperlink" Target="https://drive.google.com/open?id=1mLca-pf2cnjAaPzLwB8dZU0P4r-iP5-v" TargetMode="External"/><Relationship Id="rId227" Type="http://schemas.openxmlformats.org/officeDocument/2006/relationships/hyperlink" Target="https://drive.google.com/open?id=15fJA4e5vCmqFwiHh6LlpgGNYDCeSn6_o" TargetMode="External"/><Relationship Id="rId781" Type="http://schemas.openxmlformats.org/officeDocument/2006/relationships/hyperlink" Target="https://drive.google.com/open?id=1qG4yKD0AhX79KjzGNKXGiMINRg-6-e_d" TargetMode="External"/><Relationship Id="rId879" Type="http://schemas.openxmlformats.org/officeDocument/2006/relationships/hyperlink" Target="https://drive.google.com/open?id=10YCOw4UsW0uhFlhA-QSLmEDz3KUDJMRG" TargetMode="External"/><Relationship Id="rId434" Type="http://schemas.openxmlformats.org/officeDocument/2006/relationships/hyperlink" Target="https://drive.google.com/open?id=1Un1H0AIrb1uOW-ZLxouxeSlD51o_s6yJ" TargetMode="External"/><Relationship Id="rId641" Type="http://schemas.openxmlformats.org/officeDocument/2006/relationships/hyperlink" Target="https://drive.google.com/open?id=1uTswfh5k6-rIOfPskt7WzSag8mhnF2uE" TargetMode="External"/><Relationship Id="rId739" Type="http://schemas.openxmlformats.org/officeDocument/2006/relationships/hyperlink" Target="https://drive.google.com/open?id=1exrzR0Tq1AAGjjixli_wHi2BLmsP9l2J" TargetMode="External"/><Relationship Id="rId1064" Type="http://schemas.openxmlformats.org/officeDocument/2006/relationships/hyperlink" Target="https://drive.google.com/open?id=1f94s200c2aJ8-D01M1jsKM_f5UVJQI4P" TargetMode="External"/><Relationship Id="rId1271" Type="http://schemas.openxmlformats.org/officeDocument/2006/relationships/hyperlink" Target="https://drive.google.com/open?id=1iT3aQy7f8kCQcjnxTkXNfUB3IGNLj-sQ" TargetMode="External"/><Relationship Id="rId501" Type="http://schemas.openxmlformats.org/officeDocument/2006/relationships/hyperlink" Target="https://drive.google.com/open?id=1DR6n0B5vS7rx8FgO0IsPV3YHM7XgoHqq" TargetMode="External"/><Relationship Id="rId946" Type="http://schemas.openxmlformats.org/officeDocument/2006/relationships/hyperlink" Target="https://drive.google.com/open?id=1NufJUKEeVtUmXpXptTvkpK5zq_97wpre" TargetMode="External"/><Relationship Id="rId1131" Type="http://schemas.openxmlformats.org/officeDocument/2006/relationships/hyperlink" Target="https://drive.google.com/open?id=1B9ct4MPV1Vcd-RGJ3roeiFas5NsBB8jn" TargetMode="External"/><Relationship Id="rId1229" Type="http://schemas.openxmlformats.org/officeDocument/2006/relationships/hyperlink" Target="https://drive.google.com/open?id=112veMJq0xzh0LinE6l_JRL7s4NSz_v9u" TargetMode="External"/><Relationship Id="rId75" Type="http://schemas.openxmlformats.org/officeDocument/2006/relationships/hyperlink" Target="https://drive.google.com/open?id=1piWHs3Y2Ya4_4oUq9AiKaWdJA4SIpaiH" TargetMode="External"/><Relationship Id="rId806" Type="http://schemas.openxmlformats.org/officeDocument/2006/relationships/hyperlink" Target="https://drive.google.com/open?id=12RL8c1eDxOxloOcL-nQ5Q8_yqlWmTs1j" TargetMode="External"/><Relationship Id="rId291" Type="http://schemas.openxmlformats.org/officeDocument/2006/relationships/hyperlink" Target="https://drive.google.com/open?id=1jdJWtZhz8H41QJNUaf5RtjX52LNo8Api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drive.google.com/open?id=1_7V9WKQdECrYmJ4B1k45Qyokl2hvYj3d" TargetMode="External"/><Relationship Id="rId21" Type="http://schemas.openxmlformats.org/officeDocument/2006/relationships/hyperlink" Target="https://drive.google.com/open?id=1TAH1SbQQA-KZ2zRXCfxGzvrNvcAAWpPd" TargetMode="External"/><Relationship Id="rId42" Type="http://schemas.openxmlformats.org/officeDocument/2006/relationships/hyperlink" Target="https://drive.google.com/open?id=1yhkjwAcobRnGlwhZoJOOSTwHDCLEjMxE" TargetMode="External"/><Relationship Id="rId63" Type="http://schemas.openxmlformats.org/officeDocument/2006/relationships/hyperlink" Target="https://drive.google.com/open?id=1P_kXvTodQgrAxLcYoHJL7hFzaXkWsdjp" TargetMode="External"/><Relationship Id="rId84" Type="http://schemas.openxmlformats.org/officeDocument/2006/relationships/hyperlink" Target="https://drive.google.com/open?id=1DeZf8Izquo12knJ7xhM8jkqs47vI9VAG" TargetMode="External"/><Relationship Id="rId138" Type="http://schemas.openxmlformats.org/officeDocument/2006/relationships/hyperlink" Target="https://drive.google.com/open?id=1W_NOCuAPkMT5-7uZY2yLpkRH3sDF2yBb" TargetMode="External"/><Relationship Id="rId159" Type="http://schemas.openxmlformats.org/officeDocument/2006/relationships/hyperlink" Target="https://drive.google.com/open?id=1JN1omyDFwhZ6DQdL14ffHMt9A0htX21g" TargetMode="External"/><Relationship Id="rId170" Type="http://schemas.openxmlformats.org/officeDocument/2006/relationships/hyperlink" Target="https://drive.google.com/open?id=12_srua-2bN288erbcYac-deqxTpCBmIW" TargetMode="External"/><Relationship Id="rId191" Type="http://schemas.openxmlformats.org/officeDocument/2006/relationships/hyperlink" Target="https://drive.google.com/open?id=1gXIqBnIb77E5lKLFiRe5c4MzKWMG64dB" TargetMode="External"/><Relationship Id="rId107" Type="http://schemas.openxmlformats.org/officeDocument/2006/relationships/hyperlink" Target="https://drive.google.com/open?id=1OcrvTBzPmFZ0bGCM7fryutUkjhGhJYh5" TargetMode="External"/><Relationship Id="rId11" Type="http://schemas.openxmlformats.org/officeDocument/2006/relationships/hyperlink" Target="https://drive.google.com/open?id=1rz9AnQm86uagR_pAMig6v7gRhPmsjPD5" TargetMode="External"/><Relationship Id="rId32" Type="http://schemas.openxmlformats.org/officeDocument/2006/relationships/hyperlink" Target="https://drive.google.com/open?id=1Q2FKudakYyie6V-kEbVzxtvuNVTgPpRj" TargetMode="External"/><Relationship Id="rId53" Type="http://schemas.openxmlformats.org/officeDocument/2006/relationships/hyperlink" Target="https://drive.google.com/open?id=1ZeIF1osrfps_pQKFLERPH1SofXyLhKVp" TargetMode="External"/><Relationship Id="rId74" Type="http://schemas.openxmlformats.org/officeDocument/2006/relationships/hyperlink" Target="https://drive.google.com/open?id=193Wgb8wmC7lrSq_ixj5T9weuc-l9Xeb8" TargetMode="External"/><Relationship Id="rId128" Type="http://schemas.openxmlformats.org/officeDocument/2006/relationships/hyperlink" Target="https://drive.google.com/open?id=1cURO-VXsTbK6ZoZ8HDDxXySavbQV-XEM" TargetMode="External"/><Relationship Id="rId149" Type="http://schemas.openxmlformats.org/officeDocument/2006/relationships/hyperlink" Target="https://drive.google.com/open?id=1HhDM8hSHUy6Hc125dGJEBpi8IbmayzsU" TargetMode="External"/><Relationship Id="rId5" Type="http://schemas.openxmlformats.org/officeDocument/2006/relationships/hyperlink" Target="https://drive.google.com/open?id=1mgQJ7PVKKoZmV-qGrfd_y3l9_VsLB2Xd" TargetMode="External"/><Relationship Id="rId95" Type="http://schemas.openxmlformats.org/officeDocument/2006/relationships/hyperlink" Target="https://drive.google.com/open?id=1Jbbts9ceS-YQiXZrGgp3WKwz8lNH1LZO" TargetMode="External"/><Relationship Id="rId160" Type="http://schemas.openxmlformats.org/officeDocument/2006/relationships/hyperlink" Target="https://drive.google.com/open?id=1fkfNt3Enmx67ukXQijvhGeQwlv7OqiGp" TargetMode="External"/><Relationship Id="rId181" Type="http://schemas.openxmlformats.org/officeDocument/2006/relationships/hyperlink" Target="https://drive.google.com/open?id=1zGU_nScoebuJRKY58U95WF0gjYoSO5rU" TargetMode="External"/><Relationship Id="rId22" Type="http://schemas.openxmlformats.org/officeDocument/2006/relationships/hyperlink" Target="https://drive.google.com/open?id=1LuMxZ-WwCiFoEhTdZYsi4aKvomUYNSG1" TargetMode="External"/><Relationship Id="rId43" Type="http://schemas.openxmlformats.org/officeDocument/2006/relationships/hyperlink" Target="https://drive.google.com/open?id=1ng0Lk9SymFgR_16TJjdbejLvtYazcoUx" TargetMode="External"/><Relationship Id="rId64" Type="http://schemas.openxmlformats.org/officeDocument/2006/relationships/hyperlink" Target="https://drive.google.com/open?id=1Xd2y5nlg-K0Q_Dueeqz6RuQsBFdomNzX" TargetMode="External"/><Relationship Id="rId118" Type="http://schemas.openxmlformats.org/officeDocument/2006/relationships/hyperlink" Target="https://drive.google.com/open?id=1vinEl0B5tg4rSvGazB6MyvSNVNZm97dS" TargetMode="External"/><Relationship Id="rId139" Type="http://schemas.openxmlformats.org/officeDocument/2006/relationships/hyperlink" Target="https://drive.google.com/open?id=1Tg_9Zl6ggrHhx7AJjufvYTUhaC5608Su" TargetMode="External"/><Relationship Id="rId85" Type="http://schemas.openxmlformats.org/officeDocument/2006/relationships/hyperlink" Target="https://drive.google.com/open?id=1gKXf64OaYsX91n6YGp_dwGAQ9rb5W9na" TargetMode="External"/><Relationship Id="rId150" Type="http://schemas.openxmlformats.org/officeDocument/2006/relationships/hyperlink" Target="https://drive.google.com/open?id=1vLiS16Riy3Hj4jFCZrDTX0Cb76lK2kbJ" TargetMode="External"/><Relationship Id="rId171" Type="http://schemas.openxmlformats.org/officeDocument/2006/relationships/hyperlink" Target="https://drive.google.com/open?id=1q70iM5ZuSozWqArmkj9LmZgssRwVJcUV" TargetMode="External"/><Relationship Id="rId192" Type="http://schemas.openxmlformats.org/officeDocument/2006/relationships/hyperlink" Target="https://drive.google.com/open?id=1ICG5ETUUMpFPZmUS2biNZdsjGYFpT4m6" TargetMode="External"/><Relationship Id="rId12" Type="http://schemas.openxmlformats.org/officeDocument/2006/relationships/hyperlink" Target="https://drive.google.com/open?id=1hifjuFihTXKbIiF-5nCra9V0PPc36URt" TargetMode="External"/><Relationship Id="rId33" Type="http://schemas.openxmlformats.org/officeDocument/2006/relationships/hyperlink" Target="https://drive.google.com/open?id=1o80YrSS6nw-p4ji1xpt0DwyY0GaDNIcM" TargetMode="External"/><Relationship Id="rId108" Type="http://schemas.openxmlformats.org/officeDocument/2006/relationships/hyperlink" Target="https://drive.google.com/open?id=1xIIq1nYwFHorwLkBW_zDqAC1A5tdIh8Q" TargetMode="External"/><Relationship Id="rId129" Type="http://schemas.openxmlformats.org/officeDocument/2006/relationships/hyperlink" Target="https://drive.google.com/open?id=1sAcrYSuEOcOeoIFyHDZBVlmlqck3MYDm" TargetMode="External"/><Relationship Id="rId54" Type="http://schemas.openxmlformats.org/officeDocument/2006/relationships/hyperlink" Target="https://drive.google.com/open?id=1XYSKZ49HqIeghBbtItkh5MlLKQtpA4P9" TargetMode="External"/><Relationship Id="rId75" Type="http://schemas.openxmlformats.org/officeDocument/2006/relationships/hyperlink" Target="https://drive.google.com/open?id=13U9yk399AL7BvTvwZ1ytE-le7410_VoI" TargetMode="External"/><Relationship Id="rId96" Type="http://schemas.openxmlformats.org/officeDocument/2006/relationships/hyperlink" Target="https://drive.google.com/open?id=18oE2vDGu9afNUFdwWn5qMx4nqei6-7E9" TargetMode="External"/><Relationship Id="rId140" Type="http://schemas.openxmlformats.org/officeDocument/2006/relationships/hyperlink" Target="https://drive.google.com/open?id=1tVbui3IpKcHFKD1bNKAkcM4ru9WczXoG" TargetMode="External"/><Relationship Id="rId161" Type="http://schemas.openxmlformats.org/officeDocument/2006/relationships/hyperlink" Target="https://drive.google.com/open?id=11tvcZC2B6NAxoyFWA5BgpbovXc-a3Nv7" TargetMode="External"/><Relationship Id="rId182" Type="http://schemas.openxmlformats.org/officeDocument/2006/relationships/hyperlink" Target="https://drive.google.com/open?id=1RitpCA1NL59Cr98CXpUkHL0g0_OdEVqI" TargetMode="External"/><Relationship Id="rId6" Type="http://schemas.openxmlformats.org/officeDocument/2006/relationships/hyperlink" Target="https://drive.google.com/open?id=1MvkXMoGjwziiWPG0OmXyCZDmkQEV6b6_" TargetMode="External"/><Relationship Id="rId23" Type="http://schemas.openxmlformats.org/officeDocument/2006/relationships/hyperlink" Target="https://drive.google.com/open?id=1Ypb6w_HDPXntjJUJ4tTBW_VXaSaaBTlB" TargetMode="External"/><Relationship Id="rId119" Type="http://schemas.openxmlformats.org/officeDocument/2006/relationships/hyperlink" Target="https://drive.google.com/open?id=1U4zNBqKNThAe54o7icr_2AYBW3oeP86E" TargetMode="External"/><Relationship Id="rId44" Type="http://schemas.openxmlformats.org/officeDocument/2006/relationships/hyperlink" Target="https://drive.google.com/open?id=1BGZMlDUnSEgkcWuFeTdo9Q6hmkRpWqxk" TargetMode="External"/><Relationship Id="rId65" Type="http://schemas.openxmlformats.org/officeDocument/2006/relationships/hyperlink" Target="https://drive.google.com/open?id=1KiMO9-8cXk6324UORr6IxuY-KUyyORrZ" TargetMode="External"/><Relationship Id="rId86" Type="http://schemas.openxmlformats.org/officeDocument/2006/relationships/hyperlink" Target="https://drive.google.com/open?id=1R_crjsy8Lbn26MMooTRDEIdrtwv0l2F0" TargetMode="External"/><Relationship Id="rId130" Type="http://schemas.openxmlformats.org/officeDocument/2006/relationships/hyperlink" Target="https://drive.google.com/open?id=1XIuR7daUWGUMTat-Yoq0W9bWN3UpHpcf" TargetMode="External"/><Relationship Id="rId151" Type="http://schemas.openxmlformats.org/officeDocument/2006/relationships/hyperlink" Target="https://drive.google.com/open?id=1AEoFVZCs9R_i8Uv2eghRNXDGCyuNGV0o" TargetMode="External"/><Relationship Id="rId172" Type="http://schemas.openxmlformats.org/officeDocument/2006/relationships/hyperlink" Target="https://drive.google.com/open?id=1W-GEi_AHJJKbI5qy-Xka1C4tkYjzijrv" TargetMode="External"/><Relationship Id="rId193" Type="http://schemas.openxmlformats.org/officeDocument/2006/relationships/hyperlink" Target="https://drive.google.com/open?id=1S1-BYvEPshWpIzn5DuM-EWLn8stU29xW" TargetMode="External"/><Relationship Id="rId13" Type="http://schemas.openxmlformats.org/officeDocument/2006/relationships/hyperlink" Target="https://drive.google.com/open?id=1CeOQ59qmlzNyT1Esv4h5TV6_GBYNxX3G" TargetMode="External"/><Relationship Id="rId109" Type="http://schemas.openxmlformats.org/officeDocument/2006/relationships/hyperlink" Target="https://drive.google.com/open?id=1jQmw3Ie7xSNvHnUNz9e96ERK-Ud-Slz5" TargetMode="External"/><Relationship Id="rId34" Type="http://schemas.openxmlformats.org/officeDocument/2006/relationships/hyperlink" Target="https://drive.google.com/open?id=1sBRIOvnXlhUEOwhmWjBi2OIKVVyG4RDh" TargetMode="External"/><Relationship Id="rId55" Type="http://schemas.openxmlformats.org/officeDocument/2006/relationships/hyperlink" Target="https://drive.google.com/open?id=1EmvpTa5j_6na-7NvTE7ZmRtnvUJ1ecxS" TargetMode="External"/><Relationship Id="rId76" Type="http://schemas.openxmlformats.org/officeDocument/2006/relationships/hyperlink" Target="https://drive.google.com/open?id=1Ul6j1tdopkDnXwGZ284vPMkX5WE8h6-k" TargetMode="External"/><Relationship Id="rId97" Type="http://schemas.openxmlformats.org/officeDocument/2006/relationships/hyperlink" Target="https://drive.google.com/open?id=18rsWLMQxRgogo3XfG981SyQXesg61x9O" TargetMode="External"/><Relationship Id="rId120" Type="http://schemas.openxmlformats.org/officeDocument/2006/relationships/hyperlink" Target="https://drive.google.com/open?id=1RW0cM3DT5GM0oQ8k3Q0cM-pY3Bkzk4xa" TargetMode="External"/><Relationship Id="rId141" Type="http://schemas.openxmlformats.org/officeDocument/2006/relationships/hyperlink" Target="https://drive.google.com/open?id=1F7iTjzsHnuIodbVpb33cwJfk7_1LM-9l" TargetMode="External"/><Relationship Id="rId7" Type="http://schemas.openxmlformats.org/officeDocument/2006/relationships/hyperlink" Target="https://drive.google.com/open?id=1VnotBEkB8oNas5leG5dtem61RtWiI3Ml" TargetMode="External"/><Relationship Id="rId71" Type="http://schemas.openxmlformats.org/officeDocument/2006/relationships/hyperlink" Target="https://drive.google.com/open?id=1l9MmNe4Fq8SyQw1-9vTljhFxhOoq0gf_" TargetMode="External"/><Relationship Id="rId92" Type="http://schemas.openxmlformats.org/officeDocument/2006/relationships/hyperlink" Target="https://drive.google.com/open?id=1A2vochcJvGrHoDWXY64uTyxO0dapzj9a" TargetMode="External"/><Relationship Id="rId162" Type="http://schemas.openxmlformats.org/officeDocument/2006/relationships/hyperlink" Target="https://drive.google.com/open?id=1iebwTBXwTYrugaMqKMKl6bj1uGidMTeG" TargetMode="External"/><Relationship Id="rId183" Type="http://schemas.openxmlformats.org/officeDocument/2006/relationships/hyperlink" Target="https://drive.google.com/open?id=1yyjxs7slZUtmGPGTAvILaie_xjyJu5v0" TargetMode="External"/><Relationship Id="rId2" Type="http://schemas.openxmlformats.org/officeDocument/2006/relationships/hyperlink" Target="https://drive.google.com/open?id=1KMcNy8oz1aK5J5G9aU2Se0gUADC6l5Ra" TargetMode="External"/><Relationship Id="rId29" Type="http://schemas.openxmlformats.org/officeDocument/2006/relationships/hyperlink" Target="https://drive.google.com/open?id=1KSJLjeKsDdThgf6G9SNIh-_WIZEN-1Be" TargetMode="External"/><Relationship Id="rId24" Type="http://schemas.openxmlformats.org/officeDocument/2006/relationships/hyperlink" Target="https://drive.google.com/open?id=1_o4CsmjyYrEXDlK98Mo745yDuPAPbOyo" TargetMode="External"/><Relationship Id="rId40" Type="http://schemas.openxmlformats.org/officeDocument/2006/relationships/hyperlink" Target="https://drive.google.com/open?id=19ICyEx7TvltSMYYTihknjAb2kVuwFTJ0" TargetMode="External"/><Relationship Id="rId45" Type="http://schemas.openxmlformats.org/officeDocument/2006/relationships/hyperlink" Target="https://drive.google.com/open?id=1uKBfJz5WRxQys5M72Brb5OK10qcss7FK" TargetMode="External"/><Relationship Id="rId66" Type="http://schemas.openxmlformats.org/officeDocument/2006/relationships/hyperlink" Target="https://drive.google.com/open?id=1Fn17WcnzXqqx_gbD7qzad0N3XQCVJX-T" TargetMode="External"/><Relationship Id="rId87" Type="http://schemas.openxmlformats.org/officeDocument/2006/relationships/hyperlink" Target="https://drive.google.com/open?id=1iT_54ac8mHt0eNjUvGQm683y9KsMKAtY" TargetMode="External"/><Relationship Id="rId110" Type="http://schemas.openxmlformats.org/officeDocument/2006/relationships/hyperlink" Target="https://drive.google.com/open?id=1XJ6SeZ_hy3OjpGyqWE0RO2fvlFNqQ9wb" TargetMode="External"/><Relationship Id="rId115" Type="http://schemas.openxmlformats.org/officeDocument/2006/relationships/hyperlink" Target="https://drive.google.com/open?id=1ULzhn86Os22MLlFB0nnAUp6trn1SlqXA" TargetMode="External"/><Relationship Id="rId131" Type="http://schemas.openxmlformats.org/officeDocument/2006/relationships/hyperlink" Target="https://drive.google.com/open?id=1xGu6fOJRvDMwRLBNU3Kd0Ulose5pqrjf" TargetMode="External"/><Relationship Id="rId136" Type="http://schemas.openxmlformats.org/officeDocument/2006/relationships/hyperlink" Target="https://drive.google.com/open?id=15jQXeRCr_UZiP-hfR59DPeR33fQ64tnE" TargetMode="External"/><Relationship Id="rId157" Type="http://schemas.openxmlformats.org/officeDocument/2006/relationships/hyperlink" Target="https://drive.google.com/open?id=16c7c1M1MusHqa3fgQVXKq9D00j0pivXc" TargetMode="External"/><Relationship Id="rId178" Type="http://schemas.openxmlformats.org/officeDocument/2006/relationships/hyperlink" Target="https://drive.google.com/open?id=1X5-dMidjBHdOyo90FwgFkdU_7hTrD6iR" TargetMode="External"/><Relationship Id="rId61" Type="http://schemas.openxmlformats.org/officeDocument/2006/relationships/hyperlink" Target="https://drive.google.com/open?id=1JaMGYAXjB8A_wX0xWqvSLF4SkKfTv8wQ" TargetMode="External"/><Relationship Id="rId82" Type="http://schemas.openxmlformats.org/officeDocument/2006/relationships/hyperlink" Target="https://drive.google.com/open?id=1XQxkvsPZxMq63zzQhpUlzZHGT-30Giml" TargetMode="External"/><Relationship Id="rId152" Type="http://schemas.openxmlformats.org/officeDocument/2006/relationships/hyperlink" Target="https://drive.google.com/open?id=1zIw39WOTbilnopqS8otfGZVLqjHOITzf" TargetMode="External"/><Relationship Id="rId173" Type="http://schemas.openxmlformats.org/officeDocument/2006/relationships/hyperlink" Target="https://drive.google.com/open?id=1w7Nn7fnaelGzhVWNrJIoFAwtxc99uNTN" TargetMode="External"/><Relationship Id="rId194" Type="http://schemas.openxmlformats.org/officeDocument/2006/relationships/hyperlink" Target="https://drive.google.com/open?id=1_EleP57M2daRqNWwka5lH_XUVG8M_4Sl" TargetMode="External"/><Relationship Id="rId19" Type="http://schemas.openxmlformats.org/officeDocument/2006/relationships/hyperlink" Target="https://drive.google.com/open?id=1nEPbTa1t2UWNNR8RZde4eRKLEX8WqBpZ" TargetMode="External"/><Relationship Id="rId14" Type="http://schemas.openxmlformats.org/officeDocument/2006/relationships/hyperlink" Target="https://drive.google.com/open?id=1iHQ_OzGdGwvuj_6h5n4_UoHjYIdeFruP" TargetMode="External"/><Relationship Id="rId30" Type="http://schemas.openxmlformats.org/officeDocument/2006/relationships/hyperlink" Target="https://drive.google.com/open?id=1kghyJdNeldS3J2SiTzRELjTjV3CbYhOw" TargetMode="External"/><Relationship Id="rId35" Type="http://schemas.openxmlformats.org/officeDocument/2006/relationships/hyperlink" Target="https://drive.google.com/open?id=13oDkQ5eszOIASYc_IZHqIC-kEbAMo6TT" TargetMode="External"/><Relationship Id="rId56" Type="http://schemas.openxmlformats.org/officeDocument/2006/relationships/hyperlink" Target="https://drive.google.com/open?id=1MlxCiiHa-jCKLhW0mp25BWHjk-pxLFWX" TargetMode="External"/><Relationship Id="rId77" Type="http://schemas.openxmlformats.org/officeDocument/2006/relationships/hyperlink" Target="https://drive.google.com/open?id=1zD8mOZDCOPlEwskVEI9iFlOwZiKFVwqA" TargetMode="External"/><Relationship Id="rId100" Type="http://schemas.openxmlformats.org/officeDocument/2006/relationships/hyperlink" Target="https://drive.google.com/open?id=1Cf5Nc45YCsAU9q1zOQiHHUx4XaxKGJuX" TargetMode="External"/><Relationship Id="rId105" Type="http://schemas.openxmlformats.org/officeDocument/2006/relationships/hyperlink" Target="https://drive.google.com/open?id=1x1vPPgHRokfeWxX4IGrK3rtEMoNuxZ4y" TargetMode="External"/><Relationship Id="rId126" Type="http://schemas.openxmlformats.org/officeDocument/2006/relationships/hyperlink" Target="https://drive.google.com/open?id=1QL9q--_GVEuGWpOC3zPdAKUT_Ha5rhv-" TargetMode="External"/><Relationship Id="rId147" Type="http://schemas.openxmlformats.org/officeDocument/2006/relationships/hyperlink" Target="https://drive.google.com/open?id=1Q7aSFHIxNaHu-8QlEtAsaIFUj0e-lslA" TargetMode="External"/><Relationship Id="rId168" Type="http://schemas.openxmlformats.org/officeDocument/2006/relationships/hyperlink" Target="https://drive.google.com/open?id=1Yom3pKy4Tkgt9RrqNFbH2LIJ7nyblof1" TargetMode="External"/><Relationship Id="rId8" Type="http://schemas.openxmlformats.org/officeDocument/2006/relationships/hyperlink" Target="https://drive.google.com/open?id=12y2JfnPITi1EgRwDeBbP2weo5du5Dfw_" TargetMode="External"/><Relationship Id="rId51" Type="http://schemas.openxmlformats.org/officeDocument/2006/relationships/hyperlink" Target="https://drive.google.com/open?id=17IrdOrM5riUDlK7k5Np6O4fQSFI_YiLU" TargetMode="External"/><Relationship Id="rId72" Type="http://schemas.openxmlformats.org/officeDocument/2006/relationships/hyperlink" Target="https://drive.google.com/open?id=1vqeGJy-iKtS4guA_6gnC5j3DBV2QdXDU" TargetMode="External"/><Relationship Id="rId93" Type="http://schemas.openxmlformats.org/officeDocument/2006/relationships/hyperlink" Target="https://drive.google.com/open?id=1rABfJUKRpSqleWAVpC2T3MOprLuyLyPa" TargetMode="External"/><Relationship Id="rId98" Type="http://schemas.openxmlformats.org/officeDocument/2006/relationships/hyperlink" Target="https://drive.google.com/open?id=1YFVlenXh3kc0nHj0cl5g9MGId9HzR25u" TargetMode="External"/><Relationship Id="rId121" Type="http://schemas.openxmlformats.org/officeDocument/2006/relationships/hyperlink" Target="https://drive.google.com/open?id=1I10ymDocU9KshULXlkbs_MaLEpV-PeAS" TargetMode="External"/><Relationship Id="rId142" Type="http://schemas.openxmlformats.org/officeDocument/2006/relationships/hyperlink" Target="https://drive.google.com/open?id=13J5UeAwZr8LZBFvHLWWmLBzpzuvdaHp2" TargetMode="External"/><Relationship Id="rId163" Type="http://schemas.openxmlformats.org/officeDocument/2006/relationships/hyperlink" Target="https://drive.google.com/open?id=1zG2hfJx1FiAxx-aMGpfLompju4QVYhBE" TargetMode="External"/><Relationship Id="rId184" Type="http://schemas.openxmlformats.org/officeDocument/2006/relationships/hyperlink" Target="https://drive.google.com/open?id=17iKZtZHoNF9lo8JjU7KDmXE4178ozFA8" TargetMode="External"/><Relationship Id="rId189" Type="http://schemas.openxmlformats.org/officeDocument/2006/relationships/hyperlink" Target="https://drive.google.com/open?id=1Z921VLVGL4V-DzPO2qWrsy_sJnIhsHaG" TargetMode="External"/><Relationship Id="rId3" Type="http://schemas.openxmlformats.org/officeDocument/2006/relationships/hyperlink" Target="https://drive.google.com/open?id=1QPnvEQXm9CbOANLie0JsDZIWVPyOyVKW" TargetMode="External"/><Relationship Id="rId25" Type="http://schemas.openxmlformats.org/officeDocument/2006/relationships/hyperlink" Target="https://drive.google.com/open?id=1GDwNFQwwbcvfERxsS__5FKPalkASwhN9" TargetMode="External"/><Relationship Id="rId46" Type="http://schemas.openxmlformats.org/officeDocument/2006/relationships/hyperlink" Target="https://drive.google.com/open?id=1cOOeFbzfVa259sAWKf5ChvDZd0ox5haj" TargetMode="External"/><Relationship Id="rId67" Type="http://schemas.openxmlformats.org/officeDocument/2006/relationships/hyperlink" Target="https://drive.google.com/open?id=1cyFS3Sp1zfHCceCD48s7AXEP-jYbJ1bb" TargetMode="External"/><Relationship Id="rId116" Type="http://schemas.openxmlformats.org/officeDocument/2006/relationships/hyperlink" Target="https://drive.google.com/open?id=1cr5DGy03nmFmZFMxy1SU8HLUYkTAtxEu" TargetMode="External"/><Relationship Id="rId137" Type="http://schemas.openxmlformats.org/officeDocument/2006/relationships/hyperlink" Target="https://drive.google.com/open?id=1pwG9BM12sfB_tRjhDTqD7cY1CDD1QwDY" TargetMode="External"/><Relationship Id="rId158" Type="http://schemas.openxmlformats.org/officeDocument/2006/relationships/hyperlink" Target="https://drive.google.com/open?id=1Np-pIt1IdoqAq_K8OBZRls1Bm7DjtjSq" TargetMode="External"/><Relationship Id="rId20" Type="http://schemas.openxmlformats.org/officeDocument/2006/relationships/hyperlink" Target="https://drive.google.com/open?id=1hYqGjr9QMT_lw_DWcv9xguMH_Dqhm_0P" TargetMode="External"/><Relationship Id="rId41" Type="http://schemas.openxmlformats.org/officeDocument/2006/relationships/hyperlink" Target="https://drive.google.com/open?id=1xXaz0acVeXLlZtQK5bAkaIcj6gP9tmUW" TargetMode="External"/><Relationship Id="rId62" Type="http://schemas.openxmlformats.org/officeDocument/2006/relationships/hyperlink" Target="https://drive.google.com/open?id=1mmIxRh7KV6AuPrt8ko_SCJfjgabXIUqI" TargetMode="External"/><Relationship Id="rId83" Type="http://schemas.openxmlformats.org/officeDocument/2006/relationships/hyperlink" Target="https://drive.google.com/open?id=1lThSYHiqJHzqahEuh_3YUwc0a9q2IBhp" TargetMode="External"/><Relationship Id="rId88" Type="http://schemas.openxmlformats.org/officeDocument/2006/relationships/hyperlink" Target="https://drive.google.com/open?id=1pWiCeUui6TF-dBkqKuF1k9wm-ZuQPQmy" TargetMode="External"/><Relationship Id="rId111" Type="http://schemas.openxmlformats.org/officeDocument/2006/relationships/hyperlink" Target="https://drive.google.com/open?id=1lSazFEIzDqFFXObzM2CoBuKoIgGVlXCw" TargetMode="External"/><Relationship Id="rId132" Type="http://schemas.openxmlformats.org/officeDocument/2006/relationships/hyperlink" Target="https://drive.google.com/open?id=11dwcyzHKey-Qjswz26kVyFcRmb_znhxm" TargetMode="External"/><Relationship Id="rId153" Type="http://schemas.openxmlformats.org/officeDocument/2006/relationships/hyperlink" Target="https://drive.google.com/open?id=1hkVUsy0h-xVJYXHA9uKl-06xHAobIvjm" TargetMode="External"/><Relationship Id="rId174" Type="http://schemas.openxmlformats.org/officeDocument/2006/relationships/hyperlink" Target="https://drive.google.com/open?id=1RiYNFJLyXRcHF4OU9iWJ_kKYyQDAByBf" TargetMode="External"/><Relationship Id="rId179" Type="http://schemas.openxmlformats.org/officeDocument/2006/relationships/hyperlink" Target="https://drive.google.com/open?id=191m4Py2VmJsLXOuKESJH2Y4SC417zdZa" TargetMode="External"/><Relationship Id="rId195" Type="http://schemas.openxmlformats.org/officeDocument/2006/relationships/hyperlink" Target="https://drive.google.com/open?id=1q7SXNXWpRzlvsNkvYUhAmGQcta1nQIeb" TargetMode="External"/><Relationship Id="rId190" Type="http://schemas.openxmlformats.org/officeDocument/2006/relationships/hyperlink" Target="https://drive.google.com/open?id=10l0klJaXRSSdkEThk-FQbIrJc2ryY74D" TargetMode="External"/><Relationship Id="rId15" Type="http://schemas.openxmlformats.org/officeDocument/2006/relationships/hyperlink" Target="https://drive.google.com/open?id=1ziKEhcb8WGR6GcExGyLs1lCuko-zHEY-" TargetMode="External"/><Relationship Id="rId36" Type="http://schemas.openxmlformats.org/officeDocument/2006/relationships/hyperlink" Target="https://drive.google.com/open?id=1gXlcLwDfPm-ZNDcW9x18d9Dv5fS8zPdT" TargetMode="External"/><Relationship Id="rId57" Type="http://schemas.openxmlformats.org/officeDocument/2006/relationships/hyperlink" Target="https://drive.google.com/open?id=1Qkly311R7TArLslRUrk4QxzeuF6u8THT" TargetMode="External"/><Relationship Id="rId106" Type="http://schemas.openxmlformats.org/officeDocument/2006/relationships/hyperlink" Target="https://drive.google.com/open?id=1o8ldw801tLElIfAhRl2UosClrwPyDlUF" TargetMode="External"/><Relationship Id="rId127" Type="http://schemas.openxmlformats.org/officeDocument/2006/relationships/hyperlink" Target="https://drive.google.com/open?id=1mYUOK3K-F97GEKgt0CtUJvMCj1Ut9iVR" TargetMode="External"/><Relationship Id="rId10" Type="http://schemas.openxmlformats.org/officeDocument/2006/relationships/hyperlink" Target="https://drive.google.com/open?id=18-E87WQWNLxgSe6O5CdCHwihnb5pegwi" TargetMode="External"/><Relationship Id="rId31" Type="http://schemas.openxmlformats.org/officeDocument/2006/relationships/hyperlink" Target="https://drive.google.com/open?id=1rH9_Xv4bqvDtpQ9t64MpU_vTDvA5hrFu" TargetMode="External"/><Relationship Id="rId52" Type="http://schemas.openxmlformats.org/officeDocument/2006/relationships/hyperlink" Target="https://drive.google.com/open?id=1wwqvYj7G8Hq9WXoUmmD6Idk6NYqHxAoX" TargetMode="External"/><Relationship Id="rId73" Type="http://schemas.openxmlformats.org/officeDocument/2006/relationships/hyperlink" Target="https://drive.google.com/open?id=1bRPpbfZ6VF2nNspGaENIdFCxpIgOX3Wf" TargetMode="External"/><Relationship Id="rId78" Type="http://schemas.openxmlformats.org/officeDocument/2006/relationships/hyperlink" Target="https://drive.google.com/open?id=1DmPs353d-h_k805KpRM5_WLtihWEXRzd" TargetMode="External"/><Relationship Id="rId94" Type="http://schemas.openxmlformats.org/officeDocument/2006/relationships/hyperlink" Target="https://drive.google.com/open?id=1alC3TptgmchgQ0Ov9CEIfYpn5FubFyJL" TargetMode="External"/><Relationship Id="rId99" Type="http://schemas.openxmlformats.org/officeDocument/2006/relationships/hyperlink" Target="https://drive.google.com/open?id=10PSNFfo7CjwjQLY7Gx8EcRI6qf5g1DH5" TargetMode="External"/><Relationship Id="rId101" Type="http://schemas.openxmlformats.org/officeDocument/2006/relationships/hyperlink" Target="https://drive.google.com/open?id=16K0OjAGBT3DmHR5mzjJrBu_od50A5jWJ" TargetMode="External"/><Relationship Id="rId122" Type="http://schemas.openxmlformats.org/officeDocument/2006/relationships/hyperlink" Target="https://drive.google.com/open?id=1Nd4eGUqv6sSL8MquViyInvt8UdolPuv1" TargetMode="External"/><Relationship Id="rId143" Type="http://schemas.openxmlformats.org/officeDocument/2006/relationships/hyperlink" Target="https://drive.google.com/open?id=1W3oP3DP3rBsp9RzvPebwIkHwjDigEuNA" TargetMode="External"/><Relationship Id="rId148" Type="http://schemas.openxmlformats.org/officeDocument/2006/relationships/hyperlink" Target="https://drive.google.com/open?id=1OdCqgTpFdMXyL2wGRwlzJQF7OcVDOTkQ" TargetMode="External"/><Relationship Id="rId164" Type="http://schemas.openxmlformats.org/officeDocument/2006/relationships/hyperlink" Target="https://drive.google.com/open?id=1S0p5CNARv6AIh0jkY2b963wPxgWr77iY" TargetMode="External"/><Relationship Id="rId169" Type="http://schemas.openxmlformats.org/officeDocument/2006/relationships/hyperlink" Target="https://drive.google.com/open?id=1D9VJrTOe4CseoWGyhcXBEAT02CSp62P6" TargetMode="External"/><Relationship Id="rId185" Type="http://schemas.openxmlformats.org/officeDocument/2006/relationships/hyperlink" Target="https://drive.google.com/open?id=1TPECwCKNhGQy2a6nSAQeDdhd6N0lrh9U" TargetMode="External"/><Relationship Id="rId4" Type="http://schemas.openxmlformats.org/officeDocument/2006/relationships/hyperlink" Target="https://drive.google.com/open?id=1v0PJfUgzklpFem93YovVNEesCalXmLlk" TargetMode="External"/><Relationship Id="rId9" Type="http://schemas.openxmlformats.org/officeDocument/2006/relationships/hyperlink" Target="https://drive.google.com/open?id=19o5Qm4OqpYUbu8u3Ot2KY7B0CHQfQKNe" TargetMode="External"/><Relationship Id="rId180" Type="http://schemas.openxmlformats.org/officeDocument/2006/relationships/hyperlink" Target="https://drive.google.com/open?id=1dum9P0ybRNMtzfRuAqmPvSgnf5YbCylF" TargetMode="External"/><Relationship Id="rId26" Type="http://schemas.openxmlformats.org/officeDocument/2006/relationships/hyperlink" Target="https://drive.google.com/open?id=1Nr448mqqr1NBrnVWdEOvPsyTfKkRoX6E" TargetMode="External"/><Relationship Id="rId47" Type="http://schemas.openxmlformats.org/officeDocument/2006/relationships/hyperlink" Target="https://drive.google.com/open?id=1GJg-pY3JFa2WpVzh2cHEFtzk64MkRwv4" TargetMode="External"/><Relationship Id="rId68" Type="http://schemas.openxmlformats.org/officeDocument/2006/relationships/hyperlink" Target="https://drive.google.com/open?id=1jfXVxuerdSjvFtlEZeWYwfurTz0AqxaO" TargetMode="External"/><Relationship Id="rId89" Type="http://schemas.openxmlformats.org/officeDocument/2006/relationships/hyperlink" Target="https://drive.google.com/open?id=1oBsoHCUqyikc8mDOXNplplxNdc8rspMh" TargetMode="External"/><Relationship Id="rId112" Type="http://schemas.openxmlformats.org/officeDocument/2006/relationships/hyperlink" Target="https://drive.google.com/open?id=1ML-AQBPz_j8-clf9teLqwOuIGI7Dcpfg" TargetMode="External"/><Relationship Id="rId133" Type="http://schemas.openxmlformats.org/officeDocument/2006/relationships/hyperlink" Target="https://drive.google.com/open?id=1McGay_zEnuYV7_C0DLAirQ8wZ8zoD7xk" TargetMode="External"/><Relationship Id="rId154" Type="http://schemas.openxmlformats.org/officeDocument/2006/relationships/hyperlink" Target="https://drive.google.com/open?id=1yglCYVQ199qx5k15o7caTfXUWiGv0Jfi" TargetMode="External"/><Relationship Id="rId175" Type="http://schemas.openxmlformats.org/officeDocument/2006/relationships/hyperlink" Target="https://drive.google.com/open?id=1d53Z83IH6uTnP6_e1rTc7B2rYFvzwbgs" TargetMode="External"/><Relationship Id="rId196" Type="http://schemas.openxmlformats.org/officeDocument/2006/relationships/hyperlink" Target="https://drive.google.com/open?id=1-aRoU-1z9hogdqcWkPsTaYGqXpYYH-WD" TargetMode="External"/><Relationship Id="rId16" Type="http://schemas.openxmlformats.org/officeDocument/2006/relationships/hyperlink" Target="https://drive.google.com/open?id=12iVb3sqWGWkU7FaU42aPFyT_SieeG7QH" TargetMode="External"/><Relationship Id="rId37" Type="http://schemas.openxmlformats.org/officeDocument/2006/relationships/hyperlink" Target="https://drive.google.com/open?id=1VuTH7Tgo0Pk_ScTpkx1b4YGJX5R6P5Zn" TargetMode="External"/><Relationship Id="rId58" Type="http://schemas.openxmlformats.org/officeDocument/2006/relationships/hyperlink" Target="https://drive.google.com/open?id=1OtmRwww0kHx5VNyzxRZUw9VdnrJnpqf0" TargetMode="External"/><Relationship Id="rId79" Type="http://schemas.openxmlformats.org/officeDocument/2006/relationships/hyperlink" Target="https://drive.google.com/open?id=1GMChl2S9RjFtG0f56onc7V-grHCA0_D-" TargetMode="External"/><Relationship Id="rId102" Type="http://schemas.openxmlformats.org/officeDocument/2006/relationships/hyperlink" Target="https://drive.google.com/open?id=17si7cirUmJndpGWo3GtEYCMGrK38dDoV" TargetMode="External"/><Relationship Id="rId123" Type="http://schemas.openxmlformats.org/officeDocument/2006/relationships/hyperlink" Target="https://drive.google.com/open?id=16zd3VBlO3IdfTICh8JOvZbYDTeh7-442" TargetMode="External"/><Relationship Id="rId144" Type="http://schemas.openxmlformats.org/officeDocument/2006/relationships/hyperlink" Target="https://drive.google.com/open?id=1rlyRDaJkOzJm8bRKFhsUN4GOZtLeTbfr" TargetMode="External"/><Relationship Id="rId90" Type="http://schemas.openxmlformats.org/officeDocument/2006/relationships/hyperlink" Target="https://drive.google.com/open?id=1GcsdzqCzF19-5ITW2e-Qg41q-oUQdwCy" TargetMode="External"/><Relationship Id="rId165" Type="http://schemas.openxmlformats.org/officeDocument/2006/relationships/hyperlink" Target="https://drive.google.com/open?id=1eAZkMaFzM15aJQj0CiTTAt64qhQxtlMe" TargetMode="External"/><Relationship Id="rId186" Type="http://schemas.openxmlformats.org/officeDocument/2006/relationships/hyperlink" Target="https://drive.google.com/open?id=1oHtKKhDC4KQnMG3E3JF_YFX-BuInEMDt" TargetMode="External"/><Relationship Id="rId27" Type="http://schemas.openxmlformats.org/officeDocument/2006/relationships/hyperlink" Target="https://drive.google.com/open?id=1wt9s597GXQ644bd2PXLfHEfaSSeztFVo" TargetMode="External"/><Relationship Id="rId48" Type="http://schemas.openxmlformats.org/officeDocument/2006/relationships/hyperlink" Target="https://drive.google.com/open?id=1ZdqbZz3jeUF3M_MYrqnTTtzHJAcp2G98" TargetMode="External"/><Relationship Id="rId69" Type="http://schemas.openxmlformats.org/officeDocument/2006/relationships/hyperlink" Target="https://drive.google.com/open?id=1iaMcD70_naH6KRFWv5NG0ZCyOjxcUoAW" TargetMode="External"/><Relationship Id="rId113" Type="http://schemas.openxmlformats.org/officeDocument/2006/relationships/hyperlink" Target="https://drive.google.com/open?id=1yt2Df3VcW_0AB69NaxXNmKcQZRhjv1TI" TargetMode="External"/><Relationship Id="rId134" Type="http://schemas.openxmlformats.org/officeDocument/2006/relationships/hyperlink" Target="https://drive.google.com/open?id=1BM7zfaq9nhB2UA45kz0lUnEv5gHDG3Gd" TargetMode="External"/><Relationship Id="rId80" Type="http://schemas.openxmlformats.org/officeDocument/2006/relationships/hyperlink" Target="https://drive.google.com/open?id=185yq5reXH52Tg4xzEngzlZp5G3H3apQs" TargetMode="External"/><Relationship Id="rId155" Type="http://schemas.openxmlformats.org/officeDocument/2006/relationships/hyperlink" Target="https://drive.google.com/open?id=1Wd9ZHAz5yyCDZGziuamZ_KhEPJWFqAfM" TargetMode="External"/><Relationship Id="rId176" Type="http://schemas.openxmlformats.org/officeDocument/2006/relationships/hyperlink" Target="https://drive.google.com/open?id=1f94s200c2aJ8-D01M1jsKM_f5UVJQI4P" TargetMode="External"/><Relationship Id="rId197" Type="http://schemas.openxmlformats.org/officeDocument/2006/relationships/hyperlink" Target="https://drive.google.com/open?id=1-obNgY-hXWC3p2U3pOjG1UNPfhYv-yOg" TargetMode="External"/><Relationship Id="rId17" Type="http://schemas.openxmlformats.org/officeDocument/2006/relationships/hyperlink" Target="https://drive.google.com/open?id=1rf12jICt3hys1pme1JN7hTvyeY64jQ6o" TargetMode="External"/><Relationship Id="rId38" Type="http://schemas.openxmlformats.org/officeDocument/2006/relationships/hyperlink" Target="https://drive.google.com/open?id=1nbfLYFI3vQYDxQ8JKspWb0auP9vnyZst" TargetMode="External"/><Relationship Id="rId59" Type="http://schemas.openxmlformats.org/officeDocument/2006/relationships/hyperlink" Target="https://drive.google.com/open?id=1C_pOOqVb4BweyXOmoWqjvKoBG_jRZya9" TargetMode="External"/><Relationship Id="rId103" Type="http://schemas.openxmlformats.org/officeDocument/2006/relationships/hyperlink" Target="https://drive.google.com/open?id=1Dj1IHiJpi9Lf7RMiYSSBntVBnyCoemGO" TargetMode="External"/><Relationship Id="rId124" Type="http://schemas.openxmlformats.org/officeDocument/2006/relationships/hyperlink" Target="https://drive.google.com/open?id=1M6-zSpYjgfr0BASlp2QUzn_c4XjO8T6i" TargetMode="External"/><Relationship Id="rId70" Type="http://schemas.openxmlformats.org/officeDocument/2006/relationships/hyperlink" Target="https://drive.google.com/open?id=13EvQ81i34w8bEj766A-Fa-CyNC1ob9za" TargetMode="External"/><Relationship Id="rId91" Type="http://schemas.openxmlformats.org/officeDocument/2006/relationships/hyperlink" Target="https://drive.google.com/open?id=1MMJqoGur-eMCf_7hAzgs-uyOed9kNdHH" TargetMode="External"/><Relationship Id="rId145" Type="http://schemas.openxmlformats.org/officeDocument/2006/relationships/hyperlink" Target="https://drive.google.com/open?id=1Vxws7ZxDedUtYqFillrfxBzIEcuaxcWk" TargetMode="External"/><Relationship Id="rId166" Type="http://schemas.openxmlformats.org/officeDocument/2006/relationships/hyperlink" Target="https://drive.google.com/open?id=1xgzZEYjYgnECYBJzQfcqwASeVfjyLZC-" TargetMode="External"/><Relationship Id="rId187" Type="http://schemas.openxmlformats.org/officeDocument/2006/relationships/hyperlink" Target="https://drive.google.com/open?id=1gELbIpdDUVgmmrD4wFp7AgfsDpkZGuio" TargetMode="External"/><Relationship Id="rId1" Type="http://schemas.openxmlformats.org/officeDocument/2006/relationships/hyperlink" Target="https://drive.google.com/open?id=18tBNcfZaqHL51fcmdpFuOp4AHku-Sq8d" TargetMode="External"/><Relationship Id="rId28" Type="http://schemas.openxmlformats.org/officeDocument/2006/relationships/hyperlink" Target="https://drive.google.com/open?id=1f0LvrIQaf3gHFF_9bh-qodDIZzGE6k5J" TargetMode="External"/><Relationship Id="rId49" Type="http://schemas.openxmlformats.org/officeDocument/2006/relationships/hyperlink" Target="https://drive.google.com/open?id=1JlXIlbw3LU4pvglwII582towmfSEFhKP" TargetMode="External"/><Relationship Id="rId114" Type="http://schemas.openxmlformats.org/officeDocument/2006/relationships/hyperlink" Target="https://drive.google.com/open?id=10vYy2yRzwiezw6ByqFwZcrerK8gpogGu" TargetMode="External"/><Relationship Id="rId60" Type="http://schemas.openxmlformats.org/officeDocument/2006/relationships/hyperlink" Target="https://drive.google.com/open?id=1jMO4xex9aLpQ4Gd4CThhIclPonr9dDQn" TargetMode="External"/><Relationship Id="rId81" Type="http://schemas.openxmlformats.org/officeDocument/2006/relationships/hyperlink" Target="https://drive.google.com/open?id=1V-ZHoqUtAElJvV2UCSkugzD7cF6D22cX" TargetMode="External"/><Relationship Id="rId135" Type="http://schemas.openxmlformats.org/officeDocument/2006/relationships/hyperlink" Target="https://drive.google.com/open?id=1C15t6nORIzHNmH0Srb6akMdRBN_UHjiv" TargetMode="External"/><Relationship Id="rId156" Type="http://schemas.openxmlformats.org/officeDocument/2006/relationships/hyperlink" Target="https://drive.google.com/open?id=18seBZorcjr3O70OKP_3pPmnzYScR3v6i" TargetMode="External"/><Relationship Id="rId177" Type="http://schemas.openxmlformats.org/officeDocument/2006/relationships/hyperlink" Target="https://drive.google.com/open?id=1KKGtaq5GZLret3IA_PBGmysy9nnWrfqb" TargetMode="External"/><Relationship Id="rId198" Type="http://schemas.openxmlformats.org/officeDocument/2006/relationships/hyperlink" Target="https://drive.google.com/open?id=1FxVftOJQbMTy39xSDZVUrPs4_qt5jlpM" TargetMode="External"/><Relationship Id="rId18" Type="http://schemas.openxmlformats.org/officeDocument/2006/relationships/hyperlink" Target="https://drive.google.com/open?id=1e6ubDzw6OCuboHa_eyBRGvgpGre_nTHs" TargetMode="External"/><Relationship Id="rId39" Type="http://schemas.openxmlformats.org/officeDocument/2006/relationships/hyperlink" Target="https://drive.google.com/open?id=1L8QvenQSbBbS_qby0dpkOU-60lBMdQqT" TargetMode="External"/><Relationship Id="rId50" Type="http://schemas.openxmlformats.org/officeDocument/2006/relationships/hyperlink" Target="https://drive.google.com/open?id=1lEpwiKvCdwRIeNr-XYFINLTXzsZygfTe" TargetMode="External"/><Relationship Id="rId104" Type="http://schemas.openxmlformats.org/officeDocument/2006/relationships/hyperlink" Target="https://drive.google.com/open?id=1tjRps7JVzvJ4U_8NLhIsGXmohocnwFRC" TargetMode="External"/><Relationship Id="rId125" Type="http://schemas.openxmlformats.org/officeDocument/2006/relationships/hyperlink" Target="https://drive.google.com/open?id=19zlUndQh5pJmKfNO2-EjhssTuaVWZjGL" TargetMode="External"/><Relationship Id="rId146" Type="http://schemas.openxmlformats.org/officeDocument/2006/relationships/hyperlink" Target="https://drive.google.com/open?id=1jHinSiZ9D-5a7iuvZ8of0MssCzGQHKS6" TargetMode="External"/><Relationship Id="rId167" Type="http://schemas.openxmlformats.org/officeDocument/2006/relationships/hyperlink" Target="https://drive.google.com/open?id=1JyesfyG9sdretzSNeYQ2p7xsGi1Vlmbs" TargetMode="External"/><Relationship Id="rId188" Type="http://schemas.openxmlformats.org/officeDocument/2006/relationships/hyperlink" Target="https://drive.google.com/open?id=1qID5BX52jnZtKx535FHOvcM-YdZpLWUB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drive.google.com/open?id=1AmiFS0aMD7bwcYvbhng9RsATTG5f7YaR" TargetMode="External"/><Relationship Id="rId671" Type="http://schemas.openxmlformats.org/officeDocument/2006/relationships/hyperlink" Target="https://drive.google.com/open?id=14afhFOkdnB5rEsja8iGygpazUdl9FQWN" TargetMode="External"/><Relationship Id="rId21" Type="http://schemas.openxmlformats.org/officeDocument/2006/relationships/hyperlink" Target="https://drive.google.com/open?id=1nfPh1Cv_7Q_0fIvYBaESrOMN0havByVR" TargetMode="External"/><Relationship Id="rId324" Type="http://schemas.openxmlformats.org/officeDocument/2006/relationships/hyperlink" Target="https://drive.google.com/open?id=1dSLAOq_qHDJ33dDwkguw-lP3lSBua3Rv" TargetMode="External"/><Relationship Id="rId531" Type="http://schemas.openxmlformats.org/officeDocument/2006/relationships/hyperlink" Target="https://drive.google.com/open?id=1qt7a5B2-6G4JsDP0xvOkYugdloNW3pP6" TargetMode="External"/><Relationship Id="rId629" Type="http://schemas.openxmlformats.org/officeDocument/2006/relationships/hyperlink" Target="https://drive.google.com/open?id=1CDQp-PBZmfOaWRAP94IsgsbraIKHtdWL" TargetMode="External"/><Relationship Id="rId170" Type="http://schemas.openxmlformats.org/officeDocument/2006/relationships/hyperlink" Target="https://drive.google.com/open?id=1fr51ofb1W2cxRhP0PDjYmOEyIGpYgfmd" TargetMode="External"/><Relationship Id="rId268" Type="http://schemas.openxmlformats.org/officeDocument/2006/relationships/hyperlink" Target="https://drive.google.com/open?id=1n9PlgNueWUsKnTR51cXZAMTfxtOvAthK" TargetMode="External"/><Relationship Id="rId475" Type="http://schemas.openxmlformats.org/officeDocument/2006/relationships/hyperlink" Target="https://drive.google.com/open?id=1egre4J8ROMfoWUd7u6ooYPskcd26Yji0" TargetMode="External"/><Relationship Id="rId682" Type="http://schemas.openxmlformats.org/officeDocument/2006/relationships/hyperlink" Target="https://drive.google.com/open?id=1Dhp6qjthgFEOThTQDTfWho_H-WWT44_b" TargetMode="External"/><Relationship Id="rId32" Type="http://schemas.openxmlformats.org/officeDocument/2006/relationships/hyperlink" Target="https://drive.google.com/open?id=1GoETtWDzIgW_oAaP0040Hr6PSwh-t3GB" TargetMode="External"/><Relationship Id="rId128" Type="http://schemas.openxmlformats.org/officeDocument/2006/relationships/hyperlink" Target="https://drive.google.com/open?id=1K0hyaMAaPsme28BcbSbWerGiglJgibIZ" TargetMode="External"/><Relationship Id="rId335" Type="http://schemas.openxmlformats.org/officeDocument/2006/relationships/hyperlink" Target="https://drive.google.com/open?id=1RweKqsvzDX5niTTmixe4L1DXbfBCvLMk" TargetMode="External"/><Relationship Id="rId542" Type="http://schemas.openxmlformats.org/officeDocument/2006/relationships/hyperlink" Target="https://drive.google.com/open?id=161gAY9xCIyUZGV70Ss5tKQa6hhdg7zkq" TargetMode="External"/><Relationship Id="rId181" Type="http://schemas.openxmlformats.org/officeDocument/2006/relationships/hyperlink" Target="https://drive.google.com/open?id=1saIgyXhIKHIP0qj41JYjjetOKWSi9XTp" TargetMode="External"/><Relationship Id="rId402" Type="http://schemas.openxmlformats.org/officeDocument/2006/relationships/hyperlink" Target="https://drive.google.com/open?id=1iddx6GiyzoGylhxCDI-E-V5ifL8jy-ki" TargetMode="External"/><Relationship Id="rId279" Type="http://schemas.openxmlformats.org/officeDocument/2006/relationships/hyperlink" Target="https://drive.google.com/open?id=1Lku-n1N6xKb4YeQ2ISDrulg3EnW8yOlb" TargetMode="External"/><Relationship Id="rId486" Type="http://schemas.openxmlformats.org/officeDocument/2006/relationships/hyperlink" Target="https://drive.google.com/open?id=1jJoTU4sgyRGXMbpfu72l4atFy68iFGgx" TargetMode="External"/><Relationship Id="rId693" Type="http://schemas.openxmlformats.org/officeDocument/2006/relationships/hyperlink" Target="https://drive.google.com/open?id=1nL8AdyHgv4YausgtW3ZE5zV2xptm94I7" TargetMode="External"/><Relationship Id="rId707" Type="http://schemas.openxmlformats.org/officeDocument/2006/relationships/hyperlink" Target="https://drive.google.com/open?id=1DUtRjF0FYTBKwAhrHP_jsOTf3dXMYtNp" TargetMode="External"/><Relationship Id="rId43" Type="http://schemas.openxmlformats.org/officeDocument/2006/relationships/hyperlink" Target="https://drive.google.com/open?id=1sQlYEdwj_KjmRMuHxd_Ck5LyLI73v53O" TargetMode="External"/><Relationship Id="rId139" Type="http://schemas.openxmlformats.org/officeDocument/2006/relationships/hyperlink" Target="https://drive.google.com/open?id=1ma_stHfWBNm3aii_BEU928E9YL2sHdt2" TargetMode="External"/><Relationship Id="rId346" Type="http://schemas.openxmlformats.org/officeDocument/2006/relationships/hyperlink" Target="https://drive.google.com/open?id=1KsJQ4g2v1OiJ-Y3MxO_I9mqFmrJrAW7S" TargetMode="External"/><Relationship Id="rId553" Type="http://schemas.openxmlformats.org/officeDocument/2006/relationships/hyperlink" Target="https://drive.google.com/open?id=15firB2U7LSHc09kBS6Z0FyxPPWcjqaVm" TargetMode="External"/><Relationship Id="rId760" Type="http://schemas.openxmlformats.org/officeDocument/2006/relationships/hyperlink" Target="https://drive.google.com/open?id=1qZo9Dc2rM5HaH96_wJI3ejAwSphAT30F" TargetMode="External"/><Relationship Id="rId192" Type="http://schemas.openxmlformats.org/officeDocument/2006/relationships/hyperlink" Target="https://drive.google.com/open?id=1KKoUmR5Osd9B5_nwo1qlelMAibn-9ZoZ" TargetMode="External"/><Relationship Id="rId206" Type="http://schemas.openxmlformats.org/officeDocument/2006/relationships/hyperlink" Target="https://drive.google.com/open?id=1WWEp-QqOIqYjBMhmUKbPZ36vniwhr2Av" TargetMode="External"/><Relationship Id="rId413" Type="http://schemas.openxmlformats.org/officeDocument/2006/relationships/hyperlink" Target="https://drive.google.com/open?id=12D6tVmvoLlsK_hHZi7DYhiLtuyKu3-k3" TargetMode="External"/><Relationship Id="rId497" Type="http://schemas.openxmlformats.org/officeDocument/2006/relationships/hyperlink" Target="https://drive.google.com/open?id=17tn4juU4_DUYU4WxjeD0_gQdnDwsFK4O" TargetMode="External"/><Relationship Id="rId620" Type="http://schemas.openxmlformats.org/officeDocument/2006/relationships/hyperlink" Target="https://drive.google.com/open?id=1jEjFpyfV984wjTf7K6bTamn6PHOO9whM" TargetMode="External"/><Relationship Id="rId718" Type="http://schemas.openxmlformats.org/officeDocument/2006/relationships/hyperlink" Target="https://drive.google.com/open?id=1kSiwWkQ34BKq0Ei_9oEe4MLdRbI53C-B" TargetMode="External"/><Relationship Id="rId357" Type="http://schemas.openxmlformats.org/officeDocument/2006/relationships/hyperlink" Target="https://drive.google.com/open?id=10jN8ft_iXeXc4DHwstW5z-1I0QAWcWtR" TargetMode="External"/><Relationship Id="rId54" Type="http://schemas.openxmlformats.org/officeDocument/2006/relationships/hyperlink" Target="https://drive.google.com/open?id=1juW1leyKoY2adY4coW49zQc9Xn91Wi_l" TargetMode="External"/><Relationship Id="rId217" Type="http://schemas.openxmlformats.org/officeDocument/2006/relationships/hyperlink" Target="https://drive.google.com/open?id=1EEn3-aKrMe4UR2gUR2znSArjTP68kM0u" TargetMode="External"/><Relationship Id="rId564" Type="http://schemas.openxmlformats.org/officeDocument/2006/relationships/hyperlink" Target="https://drive.google.com/open?id=1TKvjyjGK_LYjM1Pe4Vg6-icNLcx8xeHU" TargetMode="External"/><Relationship Id="rId424" Type="http://schemas.openxmlformats.org/officeDocument/2006/relationships/hyperlink" Target="https://drive.google.com/open?id=19GI5qFSQHScSiFk4Ywd1RnR0wG0_hQVG" TargetMode="External"/><Relationship Id="rId631" Type="http://schemas.openxmlformats.org/officeDocument/2006/relationships/hyperlink" Target="https://drive.google.com/open?id=1L9EdbAfI7EPrI4X-M6NqXT4KXwvZicpg" TargetMode="External"/><Relationship Id="rId729" Type="http://schemas.openxmlformats.org/officeDocument/2006/relationships/hyperlink" Target="https://drive.google.com/open?id=1y1fCL2YVjhAfki385uViUN7wTPMWnbzv" TargetMode="External"/><Relationship Id="rId270" Type="http://schemas.openxmlformats.org/officeDocument/2006/relationships/hyperlink" Target="https://drive.google.com/open?id=19jrZAI10BQmb-sfpxY5DRbl_KKgFEZOd" TargetMode="External"/><Relationship Id="rId65" Type="http://schemas.openxmlformats.org/officeDocument/2006/relationships/hyperlink" Target="https://drive.google.com/open?id=1OIEpS1he-XvUXsBSIAw6J0qTP92jKwkr" TargetMode="External"/><Relationship Id="rId130" Type="http://schemas.openxmlformats.org/officeDocument/2006/relationships/hyperlink" Target="https://drive.google.com/open?id=1mdMxQKViLW6ytSLD-Vbdi4e36jaHSc9u" TargetMode="External"/><Relationship Id="rId368" Type="http://schemas.openxmlformats.org/officeDocument/2006/relationships/hyperlink" Target="https://drive.google.com/open?id=1vP7XB9PLCSVA5x3_RS9FgkgZg7Yg90Kh" TargetMode="External"/><Relationship Id="rId575" Type="http://schemas.openxmlformats.org/officeDocument/2006/relationships/hyperlink" Target="https://drive.google.com/open?id=19W1fVIBN315pgzRxfk00KUIixkX4M8-K" TargetMode="External"/><Relationship Id="rId228" Type="http://schemas.openxmlformats.org/officeDocument/2006/relationships/hyperlink" Target="https://drive.google.com/open?id=1IIBfarkDFsZ9NAt0KrRtpOVyEgmB92Za" TargetMode="External"/><Relationship Id="rId435" Type="http://schemas.openxmlformats.org/officeDocument/2006/relationships/hyperlink" Target="https://drive.google.com/open?id=1s2j7xWnBz1z6TvxUo2Crr6p7f5ZN-w9u" TargetMode="External"/><Relationship Id="rId642" Type="http://schemas.openxmlformats.org/officeDocument/2006/relationships/hyperlink" Target="https://drive.google.com/open?id=1Ue1zY6fmjTuNMCQ1eMzNM_hDW5JfeMAS" TargetMode="External"/><Relationship Id="rId281" Type="http://schemas.openxmlformats.org/officeDocument/2006/relationships/hyperlink" Target="https://drive.google.com/open?id=1nafLwFRJBG-q1nNRHwDX29EsbpCu0eL7" TargetMode="External"/><Relationship Id="rId502" Type="http://schemas.openxmlformats.org/officeDocument/2006/relationships/hyperlink" Target="https://drive.google.com/open?id=1cxSMeC_FJlUsEbswkGYBB-f3dR41ySBU" TargetMode="External"/><Relationship Id="rId76" Type="http://schemas.openxmlformats.org/officeDocument/2006/relationships/hyperlink" Target="https://drive.google.com/open?id=1OI6bpCgYEzw1K9uQUhVrnzdx_wk7OzEw" TargetMode="External"/><Relationship Id="rId141" Type="http://schemas.openxmlformats.org/officeDocument/2006/relationships/hyperlink" Target="https://drive.google.com/open?id=1MECCJigW9kZNViIwA4VPXhY5cUjsAjyS" TargetMode="External"/><Relationship Id="rId379" Type="http://schemas.openxmlformats.org/officeDocument/2006/relationships/hyperlink" Target="https://drive.google.com/open?id=1ST4b8Hp_jhQRMiO7hFlz-QG0wtYMcjcr" TargetMode="External"/><Relationship Id="rId586" Type="http://schemas.openxmlformats.org/officeDocument/2006/relationships/hyperlink" Target="https://drive.google.com/open?id=13O7D2koIVXmXkx9n66CbjBhzklX6JNwE" TargetMode="External"/><Relationship Id="rId7" Type="http://schemas.openxmlformats.org/officeDocument/2006/relationships/hyperlink" Target="https://drive.google.com/open?id=1Mac7rF7rgHOPwkrJYolg2b5WVbaFmM4I" TargetMode="External"/><Relationship Id="rId239" Type="http://schemas.openxmlformats.org/officeDocument/2006/relationships/hyperlink" Target="https://drive.google.com/open?id=1YxvWo0-QXKLcKQzguE7dv8y65JIh9gKX" TargetMode="External"/><Relationship Id="rId446" Type="http://schemas.openxmlformats.org/officeDocument/2006/relationships/hyperlink" Target="https://drive.google.com/open?id=1zNDTOJTa-loY2JzE0YC6MTK-athBsanK" TargetMode="External"/><Relationship Id="rId653" Type="http://schemas.openxmlformats.org/officeDocument/2006/relationships/hyperlink" Target="https://drive.google.com/open?id=1-90Ka40C2sh_JsPUKuWSPnoEThIkJSYD" TargetMode="External"/><Relationship Id="rId292" Type="http://schemas.openxmlformats.org/officeDocument/2006/relationships/hyperlink" Target="https://drive.google.com/open?id=1ND4We0vstlu_HdYGx2G6nGW02_8BM1Aj" TargetMode="External"/><Relationship Id="rId306" Type="http://schemas.openxmlformats.org/officeDocument/2006/relationships/hyperlink" Target="https://drive.google.com/open?id=1QS0nQI88rgIEiYjj7TO4KU58qQvkytVU" TargetMode="External"/><Relationship Id="rId87" Type="http://schemas.openxmlformats.org/officeDocument/2006/relationships/hyperlink" Target="https://drive.google.com/open?id=1Eh1ZtTa1QnOLiqHCU_Xtc1vAhcsYeqNY" TargetMode="External"/><Relationship Id="rId513" Type="http://schemas.openxmlformats.org/officeDocument/2006/relationships/hyperlink" Target="https://drive.google.com/open?id=1pMTutEHS8VT2lEPvgSLuKWua8eBbMpnz" TargetMode="External"/><Relationship Id="rId597" Type="http://schemas.openxmlformats.org/officeDocument/2006/relationships/hyperlink" Target="https://drive.google.com/open?id=1j1w0c2-FZYLuHintyze78-a8_CcCaP0D" TargetMode="External"/><Relationship Id="rId720" Type="http://schemas.openxmlformats.org/officeDocument/2006/relationships/hyperlink" Target="https://drive.google.com/open?id=1EDcPrN2JzsFd4R7QWV2jFMn4R53gDygq" TargetMode="External"/><Relationship Id="rId152" Type="http://schemas.openxmlformats.org/officeDocument/2006/relationships/hyperlink" Target="https://drive.google.com/open?id=1C1cf7JpQvnbLHJbkSl_GcfXU09Em_cL1" TargetMode="External"/><Relationship Id="rId457" Type="http://schemas.openxmlformats.org/officeDocument/2006/relationships/hyperlink" Target="https://drive.google.com/open?id=1aq0xsrL_B-iQeN4e4rF3P7OQXUecsNFJ" TargetMode="External"/><Relationship Id="rId664" Type="http://schemas.openxmlformats.org/officeDocument/2006/relationships/hyperlink" Target="https://drive.google.com/open?id=1DJ9AuQ01JXB1hfVVa6krufEJTLEmmFqF" TargetMode="External"/><Relationship Id="rId14" Type="http://schemas.openxmlformats.org/officeDocument/2006/relationships/hyperlink" Target="https://drive.google.com/open?id=1oq2V-UqMhKBxHOEtz1AKdg2zDHkd5tBq" TargetMode="External"/><Relationship Id="rId317" Type="http://schemas.openxmlformats.org/officeDocument/2006/relationships/hyperlink" Target="https://drive.google.com/open?id=1i8HHuCsfFOoOcbEvNBTOAB_bxCKoXHKN" TargetMode="External"/><Relationship Id="rId524" Type="http://schemas.openxmlformats.org/officeDocument/2006/relationships/hyperlink" Target="https://drive.google.com/open?id=1Qc5AqfMve3ctBRZ_w3MfmS_ctS2EU0GC" TargetMode="External"/><Relationship Id="rId731" Type="http://schemas.openxmlformats.org/officeDocument/2006/relationships/hyperlink" Target="https://drive.google.com/open?id=1cocAhpT7zGXy2a1UrnMnHWoY1uvn3s-E" TargetMode="External"/><Relationship Id="rId98" Type="http://schemas.openxmlformats.org/officeDocument/2006/relationships/hyperlink" Target="https://drive.google.com/open?id=1tHgTeOmv4x6dEn_N61Fd6rPcGaAfx2RS" TargetMode="External"/><Relationship Id="rId163" Type="http://schemas.openxmlformats.org/officeDocument/2006/relationships/hyperlink" Target="https://drive.google.com/open?id=1wr-9g-h1nNPln7TH18Vd8LrJ__ulov_d" TargetMode="External"/><Relationship Id="rId370" Type="http://schemas.openxmlformats.org/officeDocument/2006/relationships/hyperlink" Target="https://drive.google.com/open?id=1tluUCTW5833qn2Y2I016fUFLNcvU9wQN" TargetMode="External"/><Relationship Id="rId230" Type="http://schemas.openxmlformats.org/officeDocument/2006/relationships/hyperlink" Target="https://drive.google.com/open?id=1DSJt6tFJ4O2jHUYmy6vh-Xa-G0Ke0L7V" TargetMode="External"/><Relationship Id="rId468" Type="http://schemas.openxmlformats.org/officeDocument/2006/relationships/hyperlink" Target="https://drive.google.com/open?id=16gk4EJQdxCN0zUM15j7dKfdYYeYJjiMQ" TargetMode="External"/><Relationship Id="rId675" Type="http://schemas.openxmlformats.org/officeDocument/2006/relationships/hyperlink" Target="https://drive.google.com/open?id=1-LFn7PcmXIQWpMV6LbdeEcsANKveXTo9" TargetMode="External"/><Relationship Id="rId25" Type="http://schemas.openxmlformats.org/officeDocument/2006/relationships/hyperlink" Target="https://drive.google.com/open?id=1Eri7YtVm9NkUJ8-580CvasGTHTCxPe_F" TargetMode="External"/><Relationship Id="rId328" Type="http://schemas.openxmlformats.org/officeDocument/2006/relationships/hyperlink" Target="https://drive.google.com/open?id=1yoWewoCcYE_mAq1cw9T2GlSjw8VorDod" TargetMode="External"/><Relationship Id="rId535" Type="http://schemas.openxmlformats.org/officeDocument/2006/relationships/hyperlink" Target="https://drive.google.com/open?id=14LIehmwYyGdyv-HF6cs2pf9kDT6oLxKO" TargetMode="External"/><Relationship Id="rId742" Type="http://schemas.openxmlformats.org/officeDocument/2006/relationships/hyperlink" Target="https://drive.google.com/open?id=1-PetfB6Tp194MjK0e-W1uHlAXhoGA3di" TargetMode="External"/><Relationship Id="rId174" Type="http://schemas.openxmlformats.org/officeDocument/2006/relationships/hyperlink" Target="https://drive.google.com/open?id=1uiOk2DJDaRpvDEfg1RYv1Q7VzJqGW4l0" TargetMode="External"/><Relationship Id="rId381" Type="http://schemas.openxmlformats.org/officeDocument/2006/relationships/hyperlink" Target="https://drive.google.com/open?id=1KZYZ-Lb9-WgsfgcK-Baipk7HTxVfU9w-" TargetMode="External"/><Relationship Id="rId602" Type="http://schemas.openxmlformats.org/officeDocument/2006/relationships/hyperlink" Target="https://drive.google.com/open?id=1wJBg05qypWnDdgAhRK0R2uvkoJeon6rR" TargetMode="External"/><Relationship Id="rId241" Type="http://schemas.openxmlformats.org/officeDocument/2006/relationships/hyperlink" Target="https://drive.google.com/open?id=1iO3XouAEkbdhcbi2x1DPtekEr2EXacSH" TargetMode="External"/><Relationship Id="rId479" Type="http://schemas.openxmlformats.org/officeDocument/2006/relationships/hyperlink" Target="https://drive.google.com/open?id=1-2XRNFWqoYlC4fMcw_b0gR2AoUtJrEB5" TargetMode="External"/><Relationship Id="rId686" Type="http://schemas.openxmlformats.org/officeDocument/2006/relationships/hyperlink" Target="https://drive.google.com/open?id=1OeXhP9BX7EjRXA4AybYm8u_PnjA2vZD_" TargetMode="External"/><Relationship Id="rId36" Type="http://schemas.openxmlformats.org/officeDocument/2006/relationships/hyperlink" Target="https://drive.google.com/open?id=1nv45MlqTCMcGUrLqupfue2-EpTWrTG8c" TargetMode="External"/><Relationship Id="rId339" Type="http://schemas.openxmlformats.org/officeDocument/2006/relationships/hyperlink" Target="https://drive.google.com/open?id=1eCpyWkLyc-6dr-tMZugc9DkqbKcpQtVl" TargetMode="External"/><Relationship Id="rId546" Type="http://schemas.openxmlformats.org/officeDocument/2006/relationships/hyperlink" Target="https://drive.google.com/open?id=1i_ODEw_dzDJaiYVMOS22Ce2GY3djlGfQ" TargetMode="External"/><Relationship Id="rId753" Type="http://schemas.openxmlformats.org/officeDocument/2006/relationships/hyperlink" Target="https://drive.google.com/open?id=1Siem2AsY6JCok9s2uwpBm_bmhUkH5mib" TargetMode="External"/><Relationship Id="rId101" Type="http://schemas.openxmlformats.org/officeDocument/2006/relationships/hyperlink" Target="https://drive.google.com/open?id=1Ya1eh77EFYh1RmxrFdj0Bgk9t3YDTADS" TargetMode="External"/><Relationship Id="rId185" Type="http://schemas.openxmlformats.org/officeDocument/2006/relationships/hyperlink" Target="https://drive.google.com/open?id=1-SoacEr93mcC-8vYxjGNQEffwQCJoh-c" TargetMode="External"/><Relationship Id="rId406" Type="http://schemas.openxmlformats.org/officeDocument/2006/relationships/hyperlink" Target="https://drive.google.com/open?id=107KWl7vHy4JvgbFp97Q2TqLetMA7I7ZT" TargetMode="External"/><Relationship Id="rId392" Type="http://schemas.openxmlformats.org/officeDocument/2006/relationships/hyperlink" Target="https://drive.google.com/open?id=1snsrBX1UnEHDW1ZYLbuttCJHV_PROQ0g" TargetMode="External"/><Relationship Id="rId613" Type="http://schemas.openxmlformats.org/officeDocument/2006/relationships/hyperlink" Target="https://drive.google.com/open?id=19pm2_Q5iWB3TaA9W5JNLMBYNbUk4cqmc" TargetMode="External"/><Relationship Id="rId697" Type="http://schemas.openxmlformats.org/officeDocument/2006/relationships/hyperlink" Target="https://drive.google.com/open?id=1q2e-Y4xZqdTIYqEXbAuYj3OY0mnStQt2" TargetMode="External"/><Relationship Id="rId252" Type="http://schemas.openxmlformats.org/officeDocument/2006/relationships/hyperlink" Target="https://drive.google.com/open?id=1xj8sKmz3AYv0ZHoz3yUKwCxwhKOie9j4" TargetMode="External"/><Relationship Id="rId47" Type="http://schemas.openxmlformats.org/officeDocument/2006/relationships/hyperlink" Target="https://drive.google.com/open?id=1e_2MubAzEkdFujWjr27BAhXJYOS91CyG" TargetMode="External"/><Relationship Id="rId112" Type="http://schemas.openxmlformats.org/officeDocument/2006/relationships/hyperlink" Target="https://drive.google.com/open?id=1SHO-5VD9JUEPjog22cWO832kaqajphQy" TargetMode="External"/><Relationship Id="rId557" Type="http://schemas.openxmlformats.org/officeDocument/2006/relationships/hyperlink" Target="https://drive.google.com/open?id=1lMJZ3oZCH0qJpBElyfqLRPrXbwiJjMEP" TargetMode="External"/><Relationship Id="rId196" Type="http://schemas.openxmlformats.org/officeDocument/2006/relationships/hyperlink" Target="https://drive.google.com/open?id=1L9wjC6vG7nuYvjdimem2IuS0Bw1r4G8G" TargetMode="External"/><Relationship Id="rId417" Type="http://schemas.openxmlformats.org/officeDocument/2006/relationships/hyperlink" Target="https://drive.google.com/open?id=17YaiJ7jsRQYYiWUOAI1WTjDUII1YWA80" TargetMode="External"/><Relationship Id="rId624" Type="http://schemas.openxmlformats.org/officeDocument/2006/relationships/hyperlink" Target="https://drive.google.com/open?id=15uViMoGjxNAkEyV4Y1Q8HhaRwq88LVNU" TargetMode="External"/><Relationship Id="rId263" Type="http://schemas.openxmlformats.org/officeDocument/2006/relationships/hyperlink" Target="https://drive.google.com/open?id=1__g9ayAlDo4o5BLco3HRndl_PozQVYIF" TargetMode="External"/><Relationship Id="rId470" Type="http://schemas.openxmlformats.org/officeDocument/2006/relationships/hyperlink" Target="https://drive.google.com/open?id=1kUCKamDQvSydly64EJmnG0x75hW8ZcJl" TargetMode="External"/><Relationship Id="rId58" Type="http://schemas.openxmlformats.org/officeDocument/2006/relationships/hyperlink" Target="https://drive.google.com/open?id=1PaevZzctwiNstawvOgA2hOnh0j81xwO7" TargetMode="External"/><Relationship Id="rId123" Type="http://schemas.openxmlformats.org/officeDocument/2006/relationships/hyperlink" Target="https://drive.google.com/open?id=1lBR2uMs4Crdx2pUdhIF8OqE50WSzxF0M" TargetMode="External"/><Relationship Id="rId330" Type="http://schemas.openxmlformats.org/officeDocument/2006/relationships/hyperlink" Target="https://drive.google.com/open?id=1Fx3MGZMylb2KB4VQ8-8ri0r51KfCvmQ4" TargetMode="External"/><Relationship Id="rId568" Type="http://schemas.openxmlformats.org/officeDocument/2006/relationships/hyperlink" Target="https://drive.google.com/open?id=1U_VxK33JE_p7E3AnkwGdPKTxmcdgNasc" TargetMode="External"/><Relationship Id="rId428" Type="http://schemas.openxmlformats.org/officeDocument/2006/relationships/hyperlink" Target="https://drive.google.com/open?id=18tx_x8oqHtl_mYiqbPjDtWxVUocIfhOG" TargetMode="External"/><Relationship Id="rId635" Type="http://schemas.openxmlformats.org/officeDocument/2006/relationships/hyperlink" Target="https://drive.google.com/open?id=18UCOVjctEmUkeWvKSK3EwxxqYBTuhM8l" TargetMode="External"/><Relationship Id="rId274" Type="http://schemas.openxmlformats.org/officeDocument/2006/relationships/hyperlink" Target="https://drive.google.com/open?id=119hO-WqLyV7FzJ2-_hIX5dSvmZUDHsU-" TargetMode="External"/><Relationship Id="rId481" Type="http://schemas.openxmlformats.org/officeDocument/2006/relationships/hyperlink" Target="https://drive.google.com/open?id=1LY1yS5lHsPfg_pPppzxlb8enwNd2sr7N" TargetMode="External"/><Relationship Id="rId702" Type="http://schemas.openxmlformats.org/officeDocument/2006/relationships/hyperlink" Target="https://drive.google.com/open?id=16lL8xJ7ia6XBEqe-syiOCaeqpyReCcQ_" TargetMode="External"/><Relationship Id="rId69" Type="http://schemas.openxmlformats.org/officeDocument/2006/relationships/hyperlink" Target="https://drive.google.com/open?id=1hmBDFEQubi1xdeD9NNZO5E6rwOHsO1Ky" TargetMode="External"/><Relationship Id="rId134" Type="http://schemas.openxmlformats.org/officeDocument/2006/relationships/hyperlink" Target="https://drive.google.com/open?id=1yH6xTcHoOf9YKgRhzLt1vsdSEVe9vBnF" TargetMode="External"/><Relationship Id="rId579" Type="http://schemas.openxmlformats.org/officeDocument/2006/relationships/hyperlink" Target="https://drive.google.com/open?id=1Nf0dS9oKIfRUR7U6PeBNEFsfkp5dW3Sh" TargetMode="External"/><Relationship Id="rId341" Type="http://schemas.openxmlformats.org/officeDocument/2006/relationships/hyperlink" Target="https://drive.google.com/open?id=1lbtq1ot8rFAJUeIqnZAXSgTiy6gaVoOc" TargetMode="External"/><Relationship Id="rId439" Type="http://schemas.openxmlformats.org/officeDocument/2006/relationships/hyperlink" Target="https://drive.google.com/open?id=1f_6RyJdXXACjMWev8ca0hIqydzsrtWcs" TargetMode="External"/><Relationship Id="rId646" Type="http://schemas.openxmlformats.org/officeDocument/2006/relationships/hyperlink" Target="https://drive.google.com/open?id=1og0LMMSqRPdxLyrHtf_XEsnDTBkDJ4pD" TargetMode="External"/><Relationship Id="rId201" Type="http://schemas.openxmlformats.org/officeDocument/2006/relationships/hyperlink" Target="https://drive.google.com/open?id=1qXwc475uw5BmiNnSXgm_E1KoedXTkkgW" TargetMode="External"/><Relationship Id="rId285" Type="http://schemas.openxmlformats.org/officeDocument/2006/relationships/hyperlink" Target="https://drive.google.com/open?id=1g4cAStMYWAGWLinDZd771nGBJDVj-ByV" TargetMode="External"/><Relationship Id="rId506" Type="http://schemas.openxmlformats.org/officeDocument/2006/relationships/hyperlink" Target="https://drive.google.com/open?id=1Dzn2hpi1Qp9w0A9xUJxLMx6IhlI2QGuk" TargetMode="External"/><Relationship Id="rId492" Type="http://schemas.openxmlformats.org/officeDocument/2006/relationships/hyperlink" Target="https://drive.google.com/open?id=1KfBxR3zT_qNZ6b0gk50CYbmZIJNudz2s" TargetMode="External"/><Relationship Id="rId713" Type="http://schemas.openxmlformats.org/officeDocument/2006/relationships/hyperlink" Target="https://drive.google.com/open?id=1wEJyme1v4uefj-4pjZ-EKIdLtaioyXwa" TargetMode="External"/><Relationship Id="rId145" Type="http://schemas.openxmlformats.org/officeDocument/2006/relationships/hyperlink" Target="https://drive.google.com/open?id=1xOtwg-_8p-fxQ4Pa_pf12b4F16TkwHwQ" TargetMode="External"/><Relationship Id="rId352" Type="http://schemas.openxmlformats.org/officeDocument/2006/relationships/hyperlink" Target="https://drive.google.com/open?id=1mLca-pf2cnjAaPzLwB8dZU0P4r-iP5-v" TargetMode="External"/><Relationship Id="rId212" Type="http://schemas.openxmlformats.org/officeDocument/2006/relationships/hyperlink" Target="https://drive.google.com/open?id=1mXWQ22tEBum6Qeqx3u3J2UDzE1iF6z0M" TargetMode="External"/><Relationship Id="rId657" Type="http://schemas.openxmlformats.org/officeDocument/2006/relationships/hyperlink" Target="https://drive.google.com/open?id=1wGDKh6_IAgs70gC199Ruzn6O_l4R_sjR" TargetMode="External"/><Relationship Id="rId296" Type="http://schemas.openxmlformats.org/officeDocument/2006/relationships/hyperlink" Target="https://drive.google.com/open?id=1XZPrlwYuQ8RNAX-qNAdMU_fytsLHWrYs" TargetMode="External"/><Relationship Id="rId517" Type="http://schemas.openxmlformats.org/officeDocument/2006/relationships/hyperlink" Target="https://drive.google.com/open?id=1kXrytMYKsJLrS-3i_-DaB6hKP07r6KbC" TargetMode="External"/><Relationship Id="rId724" Type="http://schemas.openxmlformats.org/officeDocument/2006/relationships/hyperlink" Target="https://drive.google.com/open?id=1dlD-oI48yw-XP-Dlyc2dEHZuFm7ytl5h" TargetMode="External"/><Relationship Id="rId60" Type="http://schemas.openxmlformats.org/officeDocument/2006/relationships/hyperlink" Target="https://drive.google.com/open?id=1E8e34JvVoXED8RuuRU8oxi4f1e4Dsafs" TargetMode="External"/><Relationship Id="rId156" Type="http://schemas.openxmlformats.org/officeDocument/2006/relationships/hyperlink" Target="https://drive.google.com/open?id=1vZ6h6NmWY4HXvyOSIHu-uiERHOWH-pa3" TargetMode="External"/><Relationship Id="rId363" Type="http://schemas.openxmlformats.org/officeDocument/2006/relationships/hyperlink" Target="https://drive.google.com/open?id=1sGz2Ht7iO4CJXa-dYUGiz7pcwTQPBs37" TargetMode="External"/><Relationship Id="rId570" Type="http://schemas.openxmlformats.org/officeDocument/2006/relationships/hyperlink" Target="https://drive.google.com/open?id=16ASI1cuPXrKt31VDEX93KvQ581UNata8" TargetMode="External"/><Relationship Id="rId223" Type="http://schemas.openxmlformats.org/officeDocument/2006/relationships/hyperlink" Target="https://drive.google.com/open?id=1yN5JNH56TE1t4RD3Q3mNwVCDsSXRiUpQ" TargetMode="External"/><Relationship Id="rId430" Type="http://schemas.openxmlformats.org/officeDocument/2006/relationships/hyperlink" Target="https://drive.google.com/open?id=1_gG2F-FhMtSVQC3MCZ-ZTi5aDHgRVFQw" TargetMode="External"/><Relationship Id="rId668" Type="http://schemas.openxmlformats.org/officeDocument/2006/relationships/hyperlink" Target="https://drive.google.com/open?id=19V65fDAsmzYsKtW_7ul6jlT-GZPbdWXF" TargetMode="External"/><Relationship Id="rId18" Type="http://schemas.openxmlformats.org/officeDocument/2006/relationships/hyperlink" Target="https://drive.google.com/open?id=1Jb6MGZ2hFrOwp_ZbSYhLyHoB_QRaMyRJ" TargetMode="External"/><Relationship Id="rId528" Type="http://schemas.openxmlformats.org/officeDocument/2006/relationships/hyperlink" Target="https://drive.google.com/open?id=1jXQvw4zGqm7fBrhjrUC98L7_ZuN9JyzH" TargetMode="External"/><Relationship Id="rId735" Type="http://schemas.openxmlformats.org/officeDocument/2006/relationships/hyperlink" Target="http://deeplearning.ai/" TargetMode="External"/><Relationship Id="rId167" Type="http://schemas.openxmlformats.org/officeDocument/2006/relationships/hyperlink" Target="https://drive.google.com/open?id=1usRNj28J-Yv6kinZKevnEFcpZdFjXnlv" TargetMode="External"/><Relationship Id="rId374" Type="http://schemas.openxmlformats.org/officeDocument/2006/relationships/hyperlink" Target="https://drive.google.com/open?id=1Ag7a8-iLv_jbwDS4g5LMfd_Qm1mYghCP" TargetMode="External"/><Relationship Id="rId581" Type="http://schemas.openxmlformats.org/officeDocument/2006/relationships/hyperlink" Target="https://drive.google.com/open?id=10iRRL6oYzg9D17zZeW0XqU0pOWWcmdi0" TargetMode="External"/><Relationship Id="rId71" Type="http://schemas.openxmlformats.org/officeDocument/2006/relationships/hyperlink" Target="https://drive.google.com/open?id=1LdzmjOYq2KIe8nkrqSa5ThZwK1bqixZg" TargetMode="External"/><Relationship Id="rId234" Type="http://schemas.openxmlformats.org/officeDocument/2006/relationships/hyperlink" Target="https://drive.google.com/open?id=1unNQDUrlO24WN9Qw-Oz_biIXQnl2FzTf" TargetMode="External"/><Relationship Id="rId679" Type="http://schemas.openxmlformats.org/officeDocument/2006/relationships/hyperlink" Target="https://drive.google.com/open?id=1NlwexNlI5-hIUf2y7wGIhsAvMt8BJJDt" TargetMode="External"/><Relationship Id="rId2" Type="http://schemas.openxmlformats.org/officeDocument/2006/relationships/hyperlink" Target="https://drive.google.com/open?id=17F5rPbYSDTPITykm_JNA5_0jp_oZ9XnU" TargetMode="External"/><Relationship Id="rId29" Type="http://schemas.openxmlformats.org/officeDocument/2006/relationships/hyperlink" Target="https://drive.google.com/open?id=1qLwO9j6QWJqkrVFTFe1r7bBOvBWyxMrR" TargetMode="External"/><Relationship Id="rId441" Type="http://schemas.openxmlformats.org/officeDocument/2006/relationships/hyperlink" Target="https://drive.google.com/open?id=1u7wm-N97PPXgI3ost1CrXrVe66wKvBsJ" TargetMode="External"/><Relationship Id="rId539" Type="http://schemas.openxmlformats.org/officeDocument/2006/relationships/hyperlink" Target="https://drive.google.com/open?id=1o3_ZxR1dQRBZMIFc6vqFHPGas0qFe5A1" TargetMode="External"/><Relationship Id="rId746" Type="http://schemas.openxmlformats.org/officeDocument/2006/relationships/hyperlink" Target="https://drive.google.com/open?id=112veMJq0xzh0LinE6l_JRL7s4NSz_v9u" TargetMode="External"/><Relationship Id="rId178" Type="http://schemas.openxmlformats.org/officeDocument/2006/relationships/hyperlink" Target="https://drive.google.com/open?id=1OD_4ylnlGP-3KVccawhDmymp_XieJ2JT" TargetMode="External"/><Relationship Id="rId301" Type="http://schemas.openxmlformats.org/officeDocument/2006/relationships/hyperlink" Target="https://drive.google.com/open?id=13jDW6BHQVmmW42YSPFBqxRreQFVJWysf" TargetMode="External"/><Relationship Id="rId82" Type="http://schemas.openxmlformats.org/officeDocument/2006/relationships/hyperlink" Target="https://drive.google.com/open?id=1fSSORdeD8acofYQiHurdHVIzDt6LzyPy" TargetMode="External"/><Relationship Id="rId385" Type="http://schemas.openxmlformats.org/officeDocument/2006/relationships/hyperlink" Target="https://drive.google.com/open?id=1lDoQoKhSD4BIbKrcvBDXhksloXGEnkvG" TargetMode="External"/><Relationship Id="rId592" Type="http://schemas.openxmlformats.org/officeDocument/2006/relationships/hyperlink" Target="https://drive.google.com/open?id=1TTKuv1PMBM3byrFdrOA4RuavOgVPs5_j" TargetMode="External"/><Relationship Id="rId606" Type="http://schemas.openxmlformats.org/officeDocument/2006/relationships/hyperlink" Target="https://drive.google.com/open?id=1sLv63GFElaZzg0tPVD_8qw9BRyVWvQLV" TargetMode="External"/><Relationship Id="rId245" Type="http://schemas.openxmlformats.org/officeDocument/2006/relationships/hyperlink" Target="https://drive.google.com/open?id=1D_K3ZQUUgJStHoH0_5tpdXyvMvpvv40N" TargetMode="External"/><Relationship Id="rId452" Type="http://schemas.openxmlformats.org/officeDocument/2006/relationships/hyperlink" Target="https://drive.google.com/open?id=1Z1JVlWAsHNb0NSCqusVw79G3BCC4Y88H" TargetMode="External"/><Relationship Id="rId105" Type="http://schemas.openxmlformats.org/officeDocument/2006/relationships/hyperlink" Target="https://drive.google.com/open?id=1-7cOBptRB-DD8CcNF69wOnEx9CBw8ZuN" TargetMode="External"/><Relationship Id="rId312" Type="http://schemas.openxmlformats.org/officeDocument/2006/relationships/hyperlink" Target="https://drive.google.com/open?id=1AUlxpqtAYLI6dnxM8-qKO9Qz_T3OjvE4" TargetMode="External"/><Relationship Id="rId757" Type="http://schemas.openxmlformats.org/officeDocument/2006/relationships/hyperlink" Target="https://drive.google.com/open?id=1z8tJnoJolWBpv8YcnfnaZzeDb5Xdm8zZ" TargetMode="External"/><Relationship Id="rId93" Type="http://schemas.openxmlformats.org/officeDocument/2006/relationships/hyperlink" Target="https://drive.google.com/open?id=15xS7hw95edEQiA3Z0-2edZvwijii28YG" TargetMode="External"/><Relationship Id="rId189" Type="http://schemas.openxmlformats.org/officeDocument/2006/relationships/hyperlink" Target="https://drive.google.com/open?id=1DWHd-7ka-ee46X0CkP17v6AZjHeQ7aA7" TargetMode="External"/><Relationship Id="rId396" Type="http://schemas.openxmlformats.org/officeDocument/2006/relationships/hyperlink" Target="https://drive.google.com/open?id=1TIANKWZqybsJ4s54dnDKxsWmd6fSGmzv" TargetMode="External"/><Relationship Id="rId617" Type="http://schemas.openxmlformats.org/officeDocument/2006/relationships/hyperlink" Target="https://drive.google.com/open?id=1ZjUgIOn4CrJjrvYAAfjeeemjC-MPDfNq" TargetMode="External"/><Relationship Id="rId256" Type="http://schemas.openxmlformats.org/officeDocument/2006/relationships/hyperlink" Target="https://drive.google.com/open?id=11bQE7iUqWXnUTU6vjyfJICAwQh-lTG5q" TargetMode="External"/><Relationship Id="rId463" Type="http://schemas.openxmlformats.org/officeDocument/2006/relationships/hyperlink" Target="https://drive.google.com/open?id=136LdQUNtmF9QaTM1zTx2W11doFVWTOLE" TargetMode="External"/><Relationship Id="rId670" Type="http://schemas.openxmlformats.org/officeDocument/2006/relationships/hyperlink" Target="https://drive.google.com/open?id=1RVHBo2QHs2bB2b0WTEiVrErGkm_Wjn46" TargetMode="External"/><Relationship Id="rId116" Type="http://schemas.openxmlformats.org/officeDocument/2006/relationships/hyperlink" Target="https://drive.google.com/open?id=1piUk9daAxG9HHSX9eiVkZqbXZtLN3M-g" TargetMode="External"/><Relationship Id="rId323" Type="http://schemas.openxmlformats.org/officeDocument/2006/relationships/hyperlink" Target="https://drive.google.com/open?id=1z3bh4S-82Zij-0NQjhYOYn9onXj1uIj5" TargetMode="External"/><Relationship Id="rId530" Type="http://schemas.openxmlformats.org/officeDocument/2006/relationships/hyperlink" Target="https://drive.google.com/open?id=1NSplG2ly1V3XE_WGlxIRc7GYvwZOmQk4" TargetMode="External"/><Relationship Id="rId20" Type="http://schemas.openxmlformats.org/officeDocument/2006/relationships/hyperlink" Target="https://drive.google.com/open?id=1TygJTBULgKD7q8GeQR5toar9zOHjDVEh" TargetMode="External"/><Relationship Id="rId628" Type="http://schemas.openxmlformats.org/officeDocument/2006/relationships/hyperlink" Target="https://drive.google.com/open?id=1RZJGkxLxMIWCLo4siZnkp-f5pBgLSxfj" TargetMode="External"/><Relationship Id="rId267" Type="http://schemas.openxmlformats.org/officeDocument/2006/relationships/hyperlink" Target="https://drive.google.com/open?id=1E7huDsRdgt5PdBLlOHyYPh6mOB9NeyoA" TargetMode="External"/><Relationship Id="rId474" Type="http://schemas.openxmlformats.org/officeDocument/2006/relationships/hyperlink" Target="https://drive.google.com/open?id=1K7re4F4sjorGSy4xdqaaQ9iR-eljFBmp" TargetMode="External"/><Relationship Id="rId127" Type="http://schemas.openxmlformats.org/officeDocument/2006/relationships/hyperlink" Target="https://drive.google.com/open?id=1KVm4N3gzrXfXIagHc0ay7TGiDHr14cyf" TargetMode="External"/><Relationship Id="rId681" Type="http://schemas.openxmlformats.org/officeDocument/2006/relationships/hyperlink" Target="https://drive.google.com/open?id=1TtXiDIB95NPCallip9Obht9tCrK4fGSF" TargetMode="External"/><Relationship Id="rId31" Type="http://schemas.openxmlformats.org/officeDocument/2006/relationships/hyperlink" Target="https://drive.google.com/open?id=1y5dyz-4_Rx96Ob2UHhlEn0uTeO_arITJ" TargetMode="External"/><Relationship Id="rId334" Type="http://schemas.openxmlformats.org/officeDocument/2006/relationships/hyperlink" Target="https://drive.google.com/open?id=1xt5LEu5bBb-4_0oISAlYRhZxRlhgQLfX" TargetMode="External"/><Relationship Id="rId541" Type="http://schemas.openxmlformats.org/officeDocument/2006/relationships/hyperlink" Target="https://drive.google.com/open?id=1h1KZYLbmTaYH0uVr8nGP_oBlO4Por7L8" TargetMode="External"/><Relationship Id="rId639" Type="http://schemas.openxmlformats.org/officeDocument/2006/relationships/hyperlink" Target="https://drive.google.com/open?id=16FQHEBK1Sq5igP7cNRw9fRLyPnYvM-ms" TargetMode="External"/><Relationship Id="rId4" Type="http://schemas.openxmlformats.org/officeDocument/2006/relationships/hyperlink" Target="https://drive.google.com/open?id=1e27Wps8S69r38ou72yivHyRDm3jqGar8" TargetMode="External"/><Relationship Id="rId180" Type="http://schemas.openxmlformats.org/officeDocument/2006/relationships/hyperlink" Target="https://drive.google.com/open?id=1VRlGOrW3Zj480S4jLzaknk543AyUWlZD" TargetMode="External"/><Relationship Id="rId236" Type="http://schemas.openxmlformats.org/officeDocument/2006/relationships/hyperlink" Target="https://drive.google.com/open?id=12YJ5IMud9HHYs3B98G5gZFsYH0UVkzhJ" TargetMode="External"/><Relationship Id="rId278" Type="http://schemas.openxmlformats.org/officeDocument/2006/relationships/hyperlink" Target="https://drive.google.com/open?id=1iix9taZqOSqzBb3UlKmCC1uecq-qn_xj" TargetMode="External"/><Relationship Id="rId401" Type="http://schemas.openxmlformats.org/officeDocument/2006/relationships/hyperlink" Target="https://drive.google.com/open?id=16oKlg_rKMdoqmLF-Q6oHHqpa3u5Ey7al" TargetMode="External"/><Relationship Id="rId443" Type="http://schemas.openxmlformats.org/officeDocument/2006/relationships/hyperlink" Target="https://drive.google.com/open?id=1qmWYkZ9uNISCKdJ2kUyd6rPe1yQQrs8m" TargetMode="External"/><Relationship Id="rId650" Type="http://schemas.openxmlformats.org/officeDocument/2006/relationships/hyperlink" Target="https://drive.google.com/open?id=1_837iaXdqKZSRBHMpo4hYm5uxdJYxCes" TargetMode="External"/><Relationship Id="rId303" Type="http://schemas.openxmlformats.org/officeDocument/2006/relationships/hyperlink" Target="https://drive.google.com/open?id=1vcHf6jIBARYMnFgJ8qweSZMkRjKwh6qh" TargetMode="External"/><Relationship Id="rId485" Type="http://schemas.openxmlformats.org/officeDocument/2006/relationships/hyperlink" Target="https://drive.google.com/open?id=1lJpU6p4HauFCn44XN7EJcAWZpal2R1b5" TargetMode="External"/><Relationship Id="rId692" Type="http://schemas.openxmlformats.org/officeDocument/2006/relationships/hyperlink" Target="https://drive.google.com/open?id=1ODyqIWUkd6i6dH0w4AFh0zSaFqiFfCxW" TargetMode="External"/><Relationship Id="rId706" Type="http://schemas.openxmlformats.org/officeDocument/2006/relationships/hyperlink" Target="https://drive.google.com/open?id=1gH1vW6Sntwpf3ODV0cAlRreSK7Udgp9c" TargetMode="External"/><Relationship Id="rId748" Type="http://schemas.openxmlformats.org/officeDocument/2006/relationships/hyperlink" Target="https://drive.google.com/open?id=1HbBOBFjpWwJUWbWeFISPsLGnbI5b-Rk6" TargetMode="External"/><Relationship Id="rId42" Type="http://schemas.openxmlformats.org/officeDocument/2006/relationships/hyperlink" Target="https://drive.google.com/open?id=17WoFN9WMB3spWhb84feUEwJqfHh35LmO" TargetMode="External"/><Relationship Id="rId84" Type="http://schemas.openxmlformats.org/officeDocument/2006/relationships/hyperlink" Target="https://drive.google.com/open?id=1PZnuH5tSVB26pRmJlwb2FJMFv4qiaUM3" TargetMode="External"/><Relationship Id="rId138" Type="http://schemas.openxmlformats.org/officeDocument/2006/relationships/hyperlink" Target="https://drive.google.com/open?id=1jBcezeHcAVh8Ra03iYZ5Gb6UyE3hDAEu" TargetMode="External"/><Relationship Id="rId345" Type="http://schemas.openxmlformats.org/officeDocument/2006/relationships/hyperlink" Target="https://drive.google.com/open?id=1KmZO2SOcVkXhna0Y1SSTfbCAazPqP9wm" TargetMode="External"/><Relationship Id="rId387" Type="http://schemas.openxmlformats.org/officeDocument/2006/relationships/hyperlink" Target="https://drive.google.com/open?id=1YXipXLsc-4Z-v_4cuaF6acWtj_t6PegX" TargetMode="External"/><Relationship Id="rId510" Type="http://schemas.openxmlformats.org/officeDocument/2006/relationships/hyperlink" Target="https://drive.google.com/open?id=1LrTwKTVFOygHJ8gHCJ2OlPA3e0ySb62H" TargetMode="External"/><Relationship Id="rId552" Type="http://schemas.openxmlformats.org/officeDocument/2006/relationships/hyperlink" Target="https://drive.google.com/open?id=1oDdwHExZvZNkf4-RZUZoekLUWPiO_iWN" TargetMode="External"/><Relationship Id="rId594" Type="http://schemas.openxmlformats.org/officeDocument/2006/relationships/hyperlink" Target="https://drive.google.com/open?id=1QKPXuKgvVlA0gZbYZnTSSi7gWTbDZr8t" TargetMode="External"/><Relationship Id="rId608" Type="http://schemas.openxmlformats.org/officeDocument/2006/relationships/hyperlink" Target="https://drive.google.com/open?id=1bEEb_67tfTUMaadwqxyH1kLGgXu06L-o" TargetMode="External"/><Relationship Id="rId191" Type="http://schemas.openxmlformats.org/officeDocument/2006/relationships/hyperlink" Target="https://drive.google.com/open?id=12-80y08be4n2P68It-eHdVNU-Tzf5XWU" TargetMode="External"/><Relationship Id="rId205" Type="http://schemas.openxmlformats.org/officeDocument/2006/relationships/hyperlink" Target="https://drive.google.com/open?id=12i9WYJZrumjVke4Oq75AvPlAIc806ql5" TargetMode="External"/><Relationship Id="rId247" Type="http://schemas.openxmlformats.org/officeDocument/2006/relationships/hyperlink" Target="https://drive.google.com/open?id=1zn_3aP5fg2NK4Sa2zP-gGo0Bdj0__thB" TargetMode="External"/><Relationship Id="rId412" Type="http://schemas.openxmlformats.org/officeDocument/2006/relationships/hyperlink" Target="https://drive.google.com/open?id=1kCej-tFd2U_21HOqTq7dkkunOSUkz9PY" TargetMode="External"/><Relationship Id="rId107" Type="http://schemas.openxmlformats.org/officeDocument/2006/relationships/hyperlink" Target="https://drive.google.com/open?id=13C09EPcX1B9VGsXLB2h1XTf93qbuA80k" TargetMode="External"/><Relationship Id="rId289" Type="http://schemas.openxmlformats.org/officeDocument/2006/relationships/hyperlink" Target="https://drive.google.com/open?id=1G-l2_HdaTZMDsWqoGZ4rN5EPJbHtt5E_" TargetMode="External"/><Relationship Id="rId454" Type="http://schemas.openxmlformats.org/officeDocument/2006/relationships/hyperlink" Target="https://drive.google.com/open?id=1sDjV3n0ZaZV91dbGI3HkFjaboiqhhNg-" TargetMode="External"/><Relationship Id="rId496" Type="http://schemas.openxmlformats.org/officeDocument/2006/relationships/hyperlink" Target="https://drive.google.com/open?id=1Xf4evwkfBW0R1l-NdlxYWV8qBgHehXF5" TargetMode="External"/><Relationship Id="rId661" Type="http://schemas.openxmlformats.org/officeDocument/2006/relationships/hyperlink" Target="https://drive.google.com/open?id=1zdKVzFpKrRvN7sqZM-u0JVTBml7nW9-l" TargetMode="External"/><Relationship Id="rId717" Type="http://schemas.openxmlformats.org/officeDocument/2006/relationships/hyperlink" Target="https://drive.google.com/open?id=1OzI_clNZODyIGXGq0gPExTdi8hKCS5BN" TargetMode="External"/><Relationship Id="rId759" Type="http://schemas.openxmlformats.org/officeDocument/2006/relationships/hyperlink" Target="https://drive.google.com/open?id=1-F0i1lHRs4e9kzsaOJlVkCKSC8lyLuhr" TargetMode="External"/><Relationship Id="rId11" Type="http://schemas.openxmlformats.org/officeDocument/2006/relationships/hyperlink" Target="https://drive.google.com/open?id=1u3KBvWfE8m3AhT0STmxwE86UySa-Bsr1" TargetMode="External"/><Relationship Id="rId53" Type="http://schemas.openxmlformats.org/officeDocument/2006/relationships/hyperlink" Target="https://drive.google.com/open?id=1lZco-aVK73UFtLeAGDTmSu_dhNTddkX_" TargetMode="External"/><Relationship Id="rId149" Type="http://schemas.openxmlformats.org/officeDocument/2006/relationships/hyperlink" Target="https://drive.google.com/open?id=1eVFF13KuKupbFEOlXh1v8SIRQmQg4b71" TargetMode="External"/><Relationship Id="rId314" Type="http://schemas.openxmlformats.org/officeDocument/2006/relationships/hyperlink" Target="https://drive.google.com/open?id=1VaUH-A22cfvXSe2NQUv3nyEdsF86eyPR" TargetMode="External"/><Relationship Id="rId356" Type="http://schemas.openxmlformats.org/officeDocument/2006/relationships/hyperlink" Target="https://drive.google.com/open?id=1napAuTrFY6jTxUg6igWVS81ratYpZGNx" TargetMode="External"/><Relationship Id="rId398" Type="http://schemas.openxmlformats.org/officeDocument/2006/relationships/hyperlink" Target="https://drive.google.com/open?id=1ag8xXp9J_hg2avLex4CCudLV_lqvxbz9" TargetMode="External"/><Relationship Id="rId521" Type="http://schemas.openxmlformats.org/officeDocument/2006/relationships/hyperlink" Target="https://drive.google.com/open?id=1zlp-hU7vPBWUBXOs7s5t0l2yaDufQLfH" TargetMode="External"/><Relationship Id="rId563" Type="http://schemas.openxmlformats.org/officeDocument/2006/relationships/hyperlink" Target="https://drive.google.com/open?id=1z9FKsD6U7nTC-TQYyGawgWr7RdiTZSd6" TargetMode="External"/><Relationship Id="rId619" Type="http://schemas.openxmlformats.org/officeDocument/2006/relationships/hyperlink" Target="https://drive.google.com/open?id=1-s6hUkyyPvazo85I9mZCbqlJIFZTi6sR" TargetMode="External"/><Relationship Id="rId95" Type="http://schemas.openxmlformats.org/officeDocument/2006/relationships/hyperlink" Target="https://drive.google.com/open?id=1Mty3rxcbLKf2IeeWugKzvR_8RUp42v3Y" TargetMode="External"/><Relationship Id="rId160" Type="http://schemas.openxmlformats.org/officeDocument/2006/relationships/hyperlink" Target="https://drive.google.com/open?id=1Nir40EKmnh1bKY3MAizZPSeaLrKAGV1h" TargetMode="External"/><Relationship Id="rId216" Type="http://schemas.openxmlformats.org/officeDocument/2006/relationships/hyperlink" Target="https://drive.google.com/open?id=18ppfmiEPyncUUVBWULW5JrOKj_WdGpMZ" TargetMode="External"/><Relationship Id="rId423" Type="http://schemas.openxmlformats.org/officeDocument/2006/relationships/hyperlink" Target="https://drive.google.com/open?id=1m4BTv5Etd4b2TIO038QhUJcszrtjqWra" TargetMode="External"/><Relationship Id="rId258" Type="http://schemas.openxmlformats.org/officeDocument/2006/relationships/hyperlink" Target="https://drive.google.com/open?id=11vOXoyyj2R4fsgYVAYNT-egC_Om5iX96" TargetMode="External"/><Relationship Id="rId465" Type="http://schemas.openxmlformats.org/officeDocument/2006/relationships/hyperlink" Target="https://drive.google.com/open?id=1jwEjX1eg1cjLCJcQyUFV20AYaopM1Rj_" TargetMode="External"/><Relationship Id="rId630" Type="http://schemas.openxmlformats.org/officeDocument/2006/relationships/hyperlink" Target="https://drive.google.com/open?id=1V0NQc24We23LH8EhxU-DoWWBxbWP-qw8" TargetMode="External"/><Relationship Id="rId672" Type="http://schemas.openxmlformats.org/officeDocument/2006/relationships/hyperlink" Target="https://drive.google.com/open?id=1HSQRDFFKCAxJ34V9aVB02tY8b_mh5Dh9" TargetMode="External"/><Relationship Id="rId728" Type="http://schemas.openxmlformats.org/officeDocument/2006/relationships/hyperlink" Target="https://drive.google.com/open?id=1i8sDJwLtpKbK6AFs-xf4UsDOFGjdbMWl" TargetMode="External"/><Relationship Id="rId22" Type="http://schemas.openxmlformats.org/officeDocument/2006/relationships/hyperlink" Target="https://drive.google.com/open?id=1XowCNI-6kjv_bJYJ1OROc-hXPvbArvwA" TargetMode="External"/><Relationship Id="rId64" Type="http://schemas.openxmlformats.org/officeDocument/2006/relationships/hyperlink" Target="https://drive.google.com/open?id=1y973qex__okkEKPhMTgBO-JPj-KbUioj" TargetMode="External"/><Relationship Id="rId118" Type="http://schemas.openxmlformats.org/officeDocument/2006/relationships/hyperlink" Target="https://drive.google.com/open?id=1VUHajIfvsA2_Is5Aem3vaPKQ5aK14Pgy" TargetMode="External"/><Relationship Id="rId325" Type="http://schemas.openxmlformats.org/officeDocument/2006/relationships/hyperlink" Target="https://drive.google.com/open?id=1o9CmMMPo4x_cPDqfR1uAC4229rmDrOlE" TargetMode="External"/><Relationship Id="rId367" Type="http://schemas.openxmlformats.org/officeDocument/2006/relationships/hyperlink" Target="https://drive.google.com/open?id=1yvAZgwQQ0WAUyCgbaDFF-bYA-saESrT9" TargetMode="External"/><Relationship Id="rId532" Type="http://schemas.openxmlformats.org/officeDocument/2006/relationships/hyperlink" Target="https://drive.google.com/open?id=1r6kjgn0k81G9upoY_aZZXrU3VZdSNE-5" TargetMode="External"/><Relationship Id="rId574" Type="http://schemas.openxmlformats.org/officeDocument/2006/relationships/hyperlink" Target="https://drive.google.com/open?id=1rqDh4c8AZe0pallC8_DxVS483RzSNSns" TargetMode="External"/><Relationship Id="rId171" Type="http://schemas.openxmlformats.org/officeDocument/2006/relationships/hyperlink" Target="https://drive.google.com/open?id=1DYVycUg39LYXa1MTaM-5hZYiPhY52zHM" TargetMode="External"/><Relationship Id="rId227" Type="http://schemas.openxmlformats.org/officeDocument/2006/relationships/hyperlink" Target="https://drive.google.com/open?id=1KaG8ifl87vZVdinj78aAvxxBCvmdzON0" TargetMode="External"/><Relationship Id="rId269" Type="http://schemas.openxmlformats.org/officeDocument/2006/relationships/hyperlink" Target="https://drive.google.com/open?id=1h9mBg40srAoiXjTsWHdo3xEaW2L5sHlk" TargetMode="External"/><Relationship Id="rId434" Type="http://schemas.openxmlformats.org/officeDocument/2006/relationships/hyperlink" Target="https://drive.google.com/open?id=1tu1ObCtNEgwaW1ESur34JpG0BxnEKJ4o" TargetMode="External"/><Relationship Id="rId476" Type="http://schemas.openxmlformats.org/officeDocument/2006/relationships/hyperlink" Target="https://drive.google.com/open?id=1z5KkDpjCjsM7cmCqgb6ch6Zw6xDrHH7K" TargetMode="External"/><Relationship Id="rId641" Type="http://schemas.openxmlformats.org/officeDocument/2006/relationships/hyperlink" Target="https://drive.google.com/open?id=1pfY5xSV0Jpjkm30jccWxoPYm0rBdu9_6" TargetMode="External"/><Relationship Id="rId683" Type="http://schemas.openxmlformats.org/officeDocument/2006/relationships/hyperlink" Target="https://drive.google.com/open?id=1fi0Z1H19IdAX4JGRgcJSA1UhyaJIif94" TargetMode="External"/><Relationship Id="rId739" Type="http://schemas.openxmlformats.org/officeDocument/2006/relationships/hyperlink" Target="https://drive.google.com/open?id=1AlUvaHkYa-_TmleSQ5sZqJdmTYWxcgK2" TargetMode="External"/><Relationship Id="rId33" Type="http://schemas.openxmlformats.org/officeDocument/2006/relationships/hyperlink" Target="https://drive.google.com/open?id=11rW9SYSxFKwYAVVe4rjhiUeQzmiKRoi5" TargetMode="External"/><Relationship Id="rId129" Type="http://schemas.openxmlformats.org/officeDocument/2006/relationships/hyperlink" Target="https://drive.google.com/open?id=1ng_BFT84CIRQXxhWSzRE95sFg53StfXT" TargetMode="External"/><Relationship Id="rId280" Type="http://schemas.openxmlformats.org/officeDocument/2006/relationships/hyperlink" Target="https://drive.google.com/open?id=1woLJmmeh4K84uqSqrMp4r-wGbeA2Wlh2" TargetMode="External"/><Relationship Id="rId336" Type="http://schemas.openxmlformats.org/officeDocument/2006/relationships/hyperlink" Target="https://drive.google.com/open?id=1DS6ZBes_FtFimJEeFfznz8YwMYxneyMB" TargetMode="External"/><Relationship Id="rId501" Type="http://schemas.openxmlformats.org/officeDocument/2006/relationships/hyperlink" Target="https://drive.google.com/open?id=1GUXYnrxGrBjKWI0LoOXMDiraPHF9jeui" TargetMode="External"/><Relationship Id="rId543" Type="http://schemas.openxmlformats.org/officeDocument/2006/relationships/hyperlink" Target="https://drive.google.com/open?id=1xkg2nR2j_Anot_YEWevxyZVOJDL07W8H" TargetMode="External"/><Relationship Id="rId75" Type="http://schemas.openxmlformats.org/officeDocument/2006/relationships/hyperlink" Target="https://drive.google.com/open?id=17fDZDgI0IUlTGAQR7Oh1MKbR9td1xQNL" TargetMode="External"/><Relationship Id="rId140" Type="http://schemas.openxmlformats.org/officeDocument/2006/relationships/hyperlink" Target="https://drive.google.com/open?id=1Dzwq6M6F0MneFVTbr_uNPH4It9kXbuBR" TargetMode="External"/><Relationship Id="rId182" Type="http://schemas.openxmlformats.org/officeDocument/2006/relationships/hyperlink" Target="https://drive.google.com/open?id=1iMgoMdOng_18ssDd4lHi-8f00MaO0xdx" TargetMode="External"/><Relationship Id="rId378" Type="http://schemas.openxmlformats.org/officeDocument/2006/relationships/hyperlink" Target="https://drive.google.com/open?id=1VksBdV3ybINuVdznQDBP-Cr4O1vi219V" TargetMode="External"/><Relationship Id="rId403" Type="http://schemas.openxmlformats.org/officeDocument/2006/relationships/hyperlink" Target="https://drive.google.com/open?id=1fjnwkCATs7XldWAR7MZNuQUb05pDdhNb" TargetMode="External"/><Relationship Id="rId585" Type="http://schemas.openxmlformats.org/officeDocument/2006/relationships/hyperlink" Target="https://drive.google.com/open?id=1NBVg10eIJsd6sM7PNq1K_ESwEvl-1Z9j" TargetMode="External"/><Relationship Id="rId750" Type="http://schemas.openxmlformats.org/officeDocument/2006/relationships/hyperlink" Target="https://drive.google.com/open?id=1K2pP69l4IZpEayf9v7vG7Bc3FFkps-Bh" TargetMode="External"/><Relationship Id="rId6" Type="http://schemas.openxmlformats.org/officeDocument/2006/relationships/hyperlink" Target="https://drive.google.com/open?id=10uhrouQE2aJzqQfW3d72BRVy0pAyt6B0" TargetMode="External"/><Relationship Id="rId238" Type="http://schemas.openxmlformats.org/officeDocument/2006/relationships/hyperlink" Target="https://drive.google.com/open?id=163j5j2XeooYEkwlKvEJ11gq6V3MU9zTa" TargetMode="External"/><Relationship Id="rId445" Type="http://schemas.openxmlformats.org/officeDocument/2006/relationships/hyperlink" Target="https://drive.google.com/open?id=1rUsvBUcqTc4pCRFgLI6clp8DLaNqSU2s" TargetMode="External"/><Relationship Id="rId487" Type="http://schemas.openxmlformats.org/officeDocument/2006/relationships/hyperlink" Target="https://drive.google.com/open?id=1oATV4z38uVsk4DRsCVGk1JQtK1jyN3h9" TargetMode="External"/><Relationship Id="rId610" Type="http://schemas.openxmlformats.org/officeDocument/2006/relationships/hyperlink" Target="https://drive.google.com/open?id=1foONca1k4A6XjEfgyT-fpPpAfD8E744q" TargetMode="External"/><Relationship Id="rId652" Type="http://schemas.openxmlformats.org/officeDocument/2006/relationships/hyperlink" Target="https://drive.google.com/open?id=1vJQH7fGPhFeeAZJ54BPjtBO_OabI-2vI" TargetMode="External"/><Relationship Id="rId694" Type="http://schemas.openxmlformats.org/officeDocument/2006/relationships/hyperlink" Target="https://drive.google.com/open?id=1lLxtMRP2ELaLy5b41reH8OKSLYl15arf" TargetMode="External"/><Relationship Id="rId708" Type="http://schemas.openxmlformats.org/officeDocument/2006/relationships/hyperlink" Target="https://drive.google.com/open?id=19I4jWirCiejN_NsQQxeD0QGuWIl4a_6d" TargetMode="External"/><Relationship Id="rId291" Type="http://schemas.openxmlformats.org/officeDocument/2006/relationships/hyperlink" Target="https://drive.google.com/open?id=1pxy4YbkI-sDS6ij1d0Nqu69p9VIc-cBR" TargetMode="External"/><Relationship Id="rId305" Type="http://schemas.openxmlformats.org/officeDocument/2006/relationships/hyperlink" Target="https://drive.google.com/open?id=1WgcdOGmJehGo22q_Q3xA0nKWoCTqTHG6" TargetMode="External"/><Relationship Id="rId347" Type="http://schemas.openxmlformats.org/officeDocument/2006/relationships/hyperlink" Target="https://drive.google.com/open?id=1CAgQLguOwJiwiLffS2m5njKmzhOeqroo" TargetMode="External"/><Relationship Id="rId512" Type="http://schemas.openxmlformats.org/officeDocument/2006/relationships/hyperlink" Target="https://drive.google.com/open?id=1CraJr1Nid3rqoJ1bVL8eBdrZi1yQ-kpC" TargetMode="External"/><Relationship Id="rId44" Type="http://schemas.openxmlformats.org/officeDocument/2006/relationships/hyperlink" Target="https://drive.google.com/open?id=1RxUqwi4Bbgsj0-AYaZjFPewNmTLYF7RM" TargetMode="External"/><Relationship Id="rId86" Type="http://schemas.openxmlformats.org/officeDocument/2006/relationships/hyperlink" Target="https://drive.google.com/open?id=14fV7fxncmH55U2ozhPZT7Y_pjan6yvMR" TargetMode="External"/><Relationship Id="rId151" Type="http://schemas.openxmlformats.org/officeDocument/2006/relationships/hyperlink" Target="https://drive.google.com/open?id=1pnUEp9JInySqXlPxfO-l_p6EtXy4QLJb" TargetMode="External"/><Relationship Id="rId389" Type="http://schemas.openxmlformats.org/officeDocument/2006/relationships/hyperlink" Target="https://drive.google.com/open?id=1uYuYXkdEWryncIHec1p4qelhklqO9KIq" TargetMode="External"/><Relationship Id="rId554" Type="http://schemas.openxmlformats.org/officeDocument/2006/relationships/hyperlink" Target="https://drive.google.com/open?id=1ePKgLP0s2vCDChjGVBCeA6ZJpzBik2bC" TargetMode="External"/><Relationship Id="rId596" Type="http://schemas.openxmlformats.org/officeDocument/2006/relationships/hyperlink" Target="https://drive.google.com/open?id=1iabDeur9k6QrEoaHZHRARPLPCSvizNGq" TargetMode="External"/><Relationship Id="rId761" Type="http://schemas.openxmlformats.org/officeDocument/2006/relationships/hyperlink" Target="https://drive.google.com/open?id=1MTeM3Sd0EsoYG10fpWvr0ewCGWgFZwd9" TargetMode="External"/><Relationship Id="rId193" Type="http://schemas.openxmlformats.org/officeDocument/2006/relationships/hyperlink" Target="https://drive.google.com/open?id=1lwiSYH1TMda63duErMfjJzJNHJ3lznq7" TargetMode="External"/><Relationship Id="rId207" Type="http://schemas.openxmlformats.org/officeDocument/2006/relationships/hyperlink" Target="https://drive.google.com/open?id=1P1eIRxNbNnIakpXu7ay-bcjoV6kb1-qp" TargetMode="External"/><Relationship Id="rId249" Type="http://schemas.openxmlformats.org/officeDocument/2006/relationships/hyperlink" Target="https://drive.google.com/open?id=1vT3ht79J_rL3R2Y6cNERNbj2zqtKCjbQ" TargetMode="External"/><Relationship Id="rId414" Type="http://schemas.openxmlformats.org/officeDocument/2006/relationships/hyperlink" Target="https://drive.google.com/open?id=1f4IbL3inliT5llRVq8Zb-tsbD5AxG-bz" TargetMode="External"/><Relationship Id="rId456" Type="http://schemas.openxmlformats.org/officeDocument/2006/relationships/hyperlink" Target="https://drive.google.com/open?id=1l7eoNt7hRn6fxUZXYc909qxPbl4HUAbA" TargetMode="External"/><Relationship Id="rId498" Type="http://schemas.openxmlformats.org/officeDocument/2006/relationships/hyperlink" Target="https://drive.google.com/open?id=1zIvJBF_xQ5S9qMEkM3UqEPmg3JTGPRFk" TargetMode="External"/><Relationship Id="rId621" Type="http://schemas.openxmlformats.org/officeDocument/2006/relationships/hyperlink" Target="https://drive.google.com/open?id=1eKMg0MuP3auzH31G2IsRDH1H5c5-rriI" TargetMode="External"/><Relationship Id="rId663" Type="http://schemas.openxmlformats.org/officeDocument/2006/relationships/hyperlink" Target="https://drive.google.com/open?id=1s4rTgaYg372hFb6Ef0SbSzDyX97adY06" TargetMode="External"/><Relationship Id="rId13" Type="http://schemas.openxmlformats.org/officeDocument/2006/relationships/hyperlink" Target="https://drive.google.com/open?id=1TQNt9O5qvayRmvqgmj3pkfr5flOfdDtl" TargetMode="External"/><Relationship Id="rId109" Type="http://schemas.openxmlformats.org/officeDocument/2006/relationships/hyperlink" Target="https://drive.google.com/open?id=1JY06WZOLqu14PhonWHVOlvTMYjZ6411P" TargetMode="External"/><Relationship Id="rId260" Type="http://schemas.openxmlformats.org/officeDocument/2006/relationships/hyperlink" Target="https://drive.google.com/open?id=1KmNugm_XisKqjzAylIcY0aqZxNJlRQzk" TargetMode="External"/><Relationship Id="rId316" Type="http://schemas.openxmlformats.org/officeDocument/2006/relationships/hyperlink" Target="https://drive.google.com/open?id=1Ck3LnQotgKdjvrT_F1Y9zbynAxV3l9Ys" TargetMode="External"/><Relationship Id="rId523" Type="http://schemas.openxmlformats.org/officeDocument/2006/relationships/hyperlink" Target="https://drive.google.com/open?id=1czIzAGfCjQHXOg3WrEvdsBQ0ELMRPG0z" TargetMode="External"/><Relationship Id="rId719" Type="http://schemas.openxmlformats.org/officeDocument/2006/relationships/hyperlink" Target="https://drive.google.com/open?id=1Ogss-ENczLrCs4d5vr2tJpBAjtiOg7jg" TargetMode="External"/><Relationship Id="rId55" Type="http://schemas.openxmlformats.org/officeDocument/2006/relationships/hyperlink" Target="https://drive.google.com/open?id=1mnD5N7GnMRQCd8jftZCsJHHiDgkeDE3Q" TargetMode="External"/><Relationship Id="rId97" Type="http://schemas.openxmlformats.org/officeDocument/2006/relationships/hyperlink" Target="https://drive.google.com/open?id=1rdisy0xDoX3c9uFLxKm_19fszA7Dhi4f" TargetMode="External"/><Relationship Id="rId120" Type="http://schemas.openxmlformats.org/officeDocument/2006/relationships/hyperlink" Target="https://drive.google.com/open?id=1kKr1bqJud7rueQacoJtL1uRgQoDkwQuk" TargetMode="External"/><Relationship Id="rId358" Type="http://schemas.openxmlformats.org/officeDocument/2006/relationships/hyperlink" Target="https://drive.google.com/open?id=1BEfNeiiEu9LMjljlAsteG1kp_wTycme-" TargetMode="External"/><Relationship Id="rId565" Type="http://schemas.openxmlformats.org/officeDocument/2006/relationships/hyperlink" Target="https://drive.google.com/open?id=1Lpp02xPGgkuz4gglZkiLOpSnHOGr7ch_" TargetMode="External"/><Relationship Id="rId730" Type="http://schemas.openxmlformats.org/officeDocument/2006/relationships/hyperlink" Target="https://drive.google.com/open?id=1X1i0BWIEiZUQ6fk01-qqsazvTIQhfUSp" TargetMode="External"/><Relationship Id="rId162" Type="http://schemas.openxmlformats.org/officeDocument/2006/relationships/hyperlink" Target="https://drive.google.com/open?id=16YuOgPrHQn_L_0OMIhQ71G9-Q5oVq_75" TargetMode="External"/><Relationship Id="rId218" Type="http://schemas.openxmlformats.org/officeDocument/2006/relationships/hyperlink" Target="https://drive.google.com/open?id=1nPbHAHelH1Rzus_6GXDSVERUuLB1-m_y" TargetMode="External"/><Relationship Id="rId425" Type="http://schemas.openxmlformats.org/officeDocument/2006/relationships/hyperlink" Target="https://drive.google.com/open?id=1a3rZb27uIXa2apvbeh2nvyIEJUoZY8CP" TargetMode="External"/><Relationship Id="rId467" Type="http://schemas.openxmlformats.org/officeDocument/2006/relationships/hyperlink" Target="https://drive.google.com/open?id=1kB2dETgK9HrOxigXiDFEsWXGRNUPqNBB" TargetMode="External"/><Relationship Id="rId632" Type="http://schemas.openxmlformats.org/officeDocument/2006/relationships/hyperlink" Target="https://drive.google.com/open?id=1jZqgHUFv77c-1WLKoijFh6ALBy9Ux1It" TargetMode="External"/><Relationship Id="rId271" Type="http://schemas.openxmlformats.org/officeDocument/2006/relationships/hyperlink" Target="https://drive.google.com/open?id=1tDOHp__OtFWbzJDmUCm6oh-7tDAAm6WE" TargetMode="External"/><Relationship Id="rId674" Type="http://schemas.openxmlformats.org/officeDocument/2006/relationships/hyperlink" Target="https://drive.google.com/open?id=1TIC7rZHNZU6MD-QHqtoh3i_iyqz9Hx28" TargetMode="External"/><Relationship Id="rId24" Type="http://schemas.openxmlformats.org/officeDocument/2006/relationships/hyperlink" Target="https://drive.google.com/open?id=1302qP7fBAPWTJKjCTBqpo-demIxhqNXY" TargetMode="External"/><Relationship Id="rId66" Type="http://schemas.openxmlformats.org/officeDocument/2006/relationships/hyperlink" Target="https://drive.google.com/open?id=1dI8_tPOHSzCb74KkjRi3HCoy2-bfgU5I" TargetMode="External"/><Relationship Id="rId131" Type="http://schemas.openxmlformats.org/officeDocument/2006/relationships/hyperlink" Target="https://drive.google.com/open?id=17Z1Pj0_3s3CNdVQcwfvjW-EQpt6p9MI8" TargetMode="External"/><Relationship Id="rId327" Type="http://schemas.openxmlformats.org/officeDocument/2006/relationships/hyperlink" Target="https://drive.google.com/open?id=1DX0D2SIWhzLk7FMpUnFIMNLM8oPjm0_4" TargetMode="External"/><Relationship Id="rId369" Type="http://schemas.openxmlformats.org/officeDocument/2006/relationships/hyperlink" Target="https://drive.google.com/open?id=1hxMUQFll5RKAmvU_5YVnns8Ot4gix8Ew" TargetMode="External"/><Relationship Id="rId534" Type="http://schemas.openxmlformats.org/officeDocument/2006/relationships/hyperlink" Target="https://drive.google.com/open?id=1suhghNE_gGxnd0mnesNV1ieJ0Rzs88iu" TargetMode="External"/><Relationship Id="rId576" Type="http://schemas.openxmlformats.org/officeDocument/2006/relationships/hyperlink" Target="https://drive.google.com/open?id=1k94jScnUdPRAllKESfy-MISeNFGATh6u" TargetMode="External"/><Relationship Id="rId741" Type="http://schemas.openxmlformats.org/officeDocument/2006/relationships/hyperlink" Target="https://drive.google.com/open?id=1cebBPJw2Cag9Y_PrtgN1o5PEGewL-_M-" TargetMode="External"/><Relationship Id="rId173" Type="http://schemas.openxmlformats.org/officeDocument/2006/relationships/hyperlink" Target="https://drive.google.com/open?id=1HEFFnq8T2crffT5UhOJ7A7csKpf6EYKP" TargetMode="External"/><Relationship Id="rId229" Type="http://schemas.openxmlformats.org/officeDocument/2006/relationships/hyperlink" Target="https://drive.google.com/open?id=1_MKGKDwRsGQXTZXyb1XI02-gZj3wRvhZ" TargetMode="External"/><Relationship Id="rId380" Type="http://schemas.openxmlformats.org/officeDocument/2006/relationships/hyperlink" Target="https://drive.google.com/open?id=149E4ROiJYHPw5OBN0KsGUY5hFPqL8gfC" TargetMode="External"/><Relationship Id="rId436" Type="http://schemas.openxmlformats.org/officeDocument/2006/relationships/hyperlink" Target="https://drive.google.com/open?id=1ozV6zBev14iz3yyNal7hj2QhlxhgFLV6" TargetMode="External"/><Relationship Id="rId601" Type="http://schemas.openxmlformats.org/officeDocument/2006/relationships/hyperlink" Target="https://drive.google.com/open?id=1c5Y8DsJ-mMBKjKfPeXEF0JmLY5yb9AvC" TargetMode="External"/><Relationship Id="rId643" Type="http://schemas.openxmlformats.org/officeDocument/2006/relationships/hyperlink" Target="https://drive.google.com/open?id=1vIBeMPhSVPqi4P2p2StgeIVMPCBYCVJX" TargetMode="External"/><Relationship Id="rId240" Type="http://schemas.openxmlformats.org/officeDocument/2006/relationships/hyperlink" Target="https://drive.google.com/open?id=1de7x2fVjRWzN06eIg7w4V41EJ0irYQnv" TargetMode="External"/><Relationship Id="rId478" Type="http://schemas.openxmlformats.org/officeDocument/2006/relationships/hyperlink" Target="https://drive.google.com/open?id=14M2s0Yb5IrkGYbOl1tHOF2UOlYrDb6lf" TargetMode="External"/><Relationship Id="rId685" Type="http://schemas.openxmlformats.org/officeDocument/2006/relationships/hyperlink" Target="https://drive.google.com/open?id=1i71iub01sPYIBOcM1Koogh6BbkGyxtuM" TargetMode="External"/><Relationship Id="rId35" Type="http://schemas.openxmlformats.org/officeDocument/2006/relationships/hyperlink" Target="https://drive.google.com/open?id=1QJRz-EbuXy_d6ZWpHTsrEjjdIKElpk0-" TargetMode="External"/><Relationship Id="rId77" Type="http://schemas.openxmlformats.org/officeDocument/2006/relationships/hyperlink" Target="https://drive.google.com/open?id=1Iz5WGeW5_Pf7x4xtRu9jFfSAZJGtPWoT" TargetMode="External"/><Relationship Id="rId100" Type="http://schemas.openxmlformats.org/officeDocument/2006/relationships/hyperlink" Target="https://drive.google.com/open?id=1h9YhIgUXtK2rBnqbP6g_f9Dx3QrR_pnD" TargetMode="External"/><Relationship Id="rId282" Type="http://schemas.openxmlformats.org/officeDocument/2006/relationships/hyperlink" Target="https://drive.google.com/open?id=1AmH3w3-44GU5sGNa3DzDod4lpkTUtORf" TargetMode="External"/><Relationship Id="rId338" Type="http://schemas.openxmlformats.org/officeDocument/2006/relationships/hyperlink" Target="https://drive.google.com/open?id=1fzMlUctlFglMIqKFJADBsK49j0d5pd8G" TargetMode="External"/><Relationship Id="rId503" Type="http://schemas.openxmlformats.org/officeDocument/2006/relationships/hyperlink" Target="https://drive.google.com/open?id=1RKfLsFt74vnUJHLq7UFknSc1hSnykayV" TargetMode="External"/><Relationship Id="rId545" Type="http://schemas.openxmlformats.org/officeDocument/2006/relationships/hyperlink" Target="https://drive.google.com/open?id=1kD3Hcy00znGez18lUtVsEhAYtW5COimF" TargetMode="External"/><Relationship Id="rId587" Type="http://schemas.openxmlformats.org/officeDocument/2006/relationships/hyperlink" Target="https://drive.google.com/open?id=1Zb-15iaNboindLGRyqAmWXSM4jrarj4b" TargetMode="External"/><Relationship Id="rId710" Type="http://schemas.openxmlformats.org/officeDocument/2006/relationships/hyperlink" Target="https://drive.google.com/open?id=1vRieVmaby2W5XuKahptQb6fJno4nR5jr" TargetMode="External"/><Relationship Id="rId752" Type="http://schemas.openxmlformats.org/officeDocument/2006/relationships/hyperlink" Target="https://drive.google.com/open?id=1OMYU9aO2e5oGVHpE80UbbKtuVvO-SPuR" TargetMode="External"/><Relationship Id="rId8" Type="http://schemas.openxmlformats.org/officeDocument/2006/relationships/hyperlink" Target="https://drive.google.com/open?id=1sfxhRoYOsW8VWhJuHLcbG3HvHaFmXux_" TargetMode="External"/><Relationship Id="rId142" Type="http://schemas.openxmlformats.org/officeDocument/2006/relationships/hyperlink" Target="https://drive.google.com/open?id=1UBOwEJ9I9SCa4QjFoguP6K2cUsxIiAtY" TargetMode="External"/><Relationship Id="rId184" Type="http://schemas.openxmlformats.org/officeDocument/2006/relationships/hyperlink" Target="https://drive.google.com/open?id=1TE7yeZAMwFyhxq-xeNKV41D9Sw_m3tKg" TargetMode="External"/><Relationship Id="rId391" Type="http://schemas.openxmlformats.org/officeDocument/2006/relationships/hyperlink" Target="https://drive.google.com/open?id=1LlmpZ_qnGbwpVaiBXux7TglB4Rh5Ters" TargetMode="External"/><Relationship Id="rId405" Type="http://schemas.openxmlformats.org/officeDocument/2006/relationships/hyperlink" Target="https://drive.google.com/open?id=1oGd0TgPMSs2_aUaC7MhhXkTdYXkrrSp8" TargetMode="External"/><Relationship Id="rId447" Type="http://schemas.openxmlformats.org/officeDocument/2006/relationships/hyperlink" Target="https://drive.google.com/open?id=1EJO0XC5P_pLAqOf-2Q8rbY0TxHWpxzxX" TargetMode="External"/><Relationship Id="rId612" Type="http://schemas.openxmlformats.org/officeDocument/2006/relationships/hyperlink" Target="https://drive.google.com/open?id=1pe3p-2freuWa5Y6VlateFoOG8VVzNEWA" TargetMode="External"/><Relationship Id="rId251" Type="http://schemas.openxmlformats.org/officeDocument/2006/relationships/hyperlink" Target="https://drive.google.com/open?id=1QXxIknCStY1FADfkr_8n33MRValOUXhr" TargetMode="External"/><Relationship Id="rId489" Type="http://schemas.openxmlformats.org/officeDocument/2006/relationships/hyperlink" Target="https://drive.google.com/open?id=1OD1v1NPhwpIGDw1egj5-f8gTMb_M7LZF" TargetMode="External"/><Relationship Id="rId654" Type="http://schemas.openxmlformats.org/officeDocument/2006/relationships/hyperlink" Target="https://drive.google.com/open?id=1wIkb9l78C23oE0wK1jzdByx3n-fv8k0S" TargetMode="External"/><Relationship Id="rId696" Type="http://schemas.openxmlformats.org/officeDocument/2006/relationships/hyperlink" Target="https://drive.google.com/open?id=1IChILDybsyCgmiy0xTgwZRQRNyD1L1iM" TargetMode="External"/><Relationship Id="rId46" Type="http://schemas.openxmlformats.org/officeDocument/2006/relationships/hyperlink" Target="https://drive.google.com/open?id=1bH4XKH46QEMsaBFlfL864MyY17Fp4rhR" TargetMode="External"/><Relationship Id="rId293" Type="http://schemas.openxmlformats.org/officeDocument/2006/relationships/hyperlink" Target="https://drive.google.com/open?id=1w3Q2vDhXD7K6JmivRgDShFYxy502g-7Z" TargetMode="External"/><Relationship Id="rId307" Type="http://schemas.openxmlformats.org/officeDocument/2006/relationships/hyperlink" Target="https://drive.google.com/open?id=1JG2cKnTAt6FFwBtdLaOvidtCwg1Gx4CN" TargetMode="External"/><Relationship Id="rId349" Type="http://schemas.openxmlformats.org/officeDocument/2006/relationships/hyperlink" Target="https://drive.google.com/open?id=1I3FsKgZVcxoWW5NeYzNV2ZxGBoIbCnKe" TargetMode="External"/><Relationship Id="rId514" Type="http://schemas.openxmlformats.org/officeDocument/2006/relationships/hyperlink" Target="https://drive.google.com/open?id=1d5VMkEdhOE6wUBXgCuli559i34T1JNFq" TargetMode="External"/><Relationship Id="rId556" Type="http://schemas.openxmlformats.org/officeDocument/2006/relationships/hyperlink" Target="https://drive.google.com/open?id=1oyxRrs_mpa1Wr7ea1u-YP_v0wp8XFQ7X" TargetMode="External"/><Relationship Id="rId721" Type="http://schemas.openxmlformats.org/officeDocument/2006/relationships/hyperlink" Target="https://drive.google.com/open?id=1P0l-zn9L90WIfJqqqW8e8-0Dp_7Vc2pg" TargetMode="External"/><Relationship Id="rId763" Type="http://schemas.openxmlformats.org/officeDocument/2006/relationships/hyperlink" Target="https://drive.google.com/open?id=17Xyl8xQNFxBtNZKVP87TJtmMU77hgaS-" TargetMode="External"/><Relationship Id="rId88" Type="http://schemas.openxmlformats.org/officeDocument/2006/relationships/hyperlink" Target="https://drive.google.com/open?id=1gac_Nud4F4G8I9PCCa9D0Btcm3uOxWZQ" TargetMode="External"/><Relationship Id="rId111" Type="http://schemas.openxmlformats.org/officeDocument/2006/relationships/hyperlink" Target="https://drive.google.com/open?id=1Xt0pIDVap4OLOIehCGYbKilh3Ncco4Ld" TargetMode="External"/><Relationship Id="rId153" Type="http://schemas.openxmlformats.org/officeDocument/2006/relationships/hyperlink" Target="https://drive.google.com/open?id=1Rgp9RcpL0amYzwFCwfvoSHP8-_qz7L8J" TargetMode="External"/><Relationship Id="rId195" Type="http://schemas.openxmlformats.org/officeDocument/2006/relationships/hyperlink" Target="https://drive.google.com/open?id=1YYL7ajowjC05hE-1lr9jnWEK3HxBaqXe" TargetMode="External"/><Relationship Id="rId209" Type="http://schemas.openxmlformats.org/officeDocument/2006/relationships/hyperlink" Target="https://drive.google.com/open?id=1bmxenqMP3W4gpKKmI_TSTLICeQwEwlpP" TargetMode="External"/><Relationship Id="rId360" Type="http://schemas.openxmlformats.org/officeDocument/2006/relationships/hyperlink" Target="https://drive.google.com/open?id=1CDB0KVbPqd39RcXbdpdW2pLBV-s3QZtu" TargetMode="External"/><Relationship Id="rId416" Type="http://schemas.openxmlformats.org/officeDocument/2006/relationships/hyperlink" Target="https://drive.google.com/open?id=1j1-oZeZS2g_ZOxn2CBPUDerYewVdGTrB" TargetMode="External"/><Relationship Id="rId598" Type="http://schemas.openxmlformats.org/officeDocument/2006/relationships/hyperlink" Target="https://drive.google.com/open?id=15ob4XbwSyJWO_uug8fiShIJkjG616DJV" TargetMode="External"/><Relationship Id="rId220" Type="http://schemas.openxmlformats.org/officeDocument/2006/relationships/hyperlink" Target="https://drive.google.com/open?id=1NpMNOiwnBkrEYraqidO1Z-98GkhJaxhJ" TargetMode="External"/><Relationship Id="rId458" Type="http://schemas.openxmlformats.org/officeDocument/2006/relationships/hyperlink" Target="https://drive.google.com/open?id=18j-pZ12BOZQwFqc_2u-9vRh6F7tBoz_M" TargetMode="External"/><Relationship Id="rId623" Type="http://schemas.openxmlformats.org/officeDocument/2006/relationships/hyperlink" Target="https://drive.google.com/open?id=18qymJHQtd7_s6vxpDGKyC3Av6MtUIRUq" TargetMode="External"/><Relationship Id="rId665" Type="http://schemas.openxmlformats.org/officeDocument/2006/relationships/hyperlink" Target="https://drive.google.com/open?id=1B9ct4MPV1Vcd-RGJ3roeiFas5NsBB8jn" TargetMode="External"/><Relationship Id="rId15" Type="http://schemas.openxmlformats.org/officeDocument/2006/relationships/hyperlink" Target="https://drive.google.com/open?id=13TAkbd6WvVwYJiXluYi4yvFFwTDCz6uT" TargetMode="External"/><Relationship Id="rId57" Type="http://schemas.openxmlformats.org/officeDocument/2006/relationships/hyperlink" Target="https://drive.google.com/open?id=1BmT1EtI1k5GIYrLz2ZgDUKZUyM-VraZb" TargetMode="External"/><Relationship Id="rId262" Type="http://schemas.openxmlformats.org/officeDocument/2006/relationships/hyperlink" Target="https://drive.google.com/open?id=1pcLpbVr2HuqKqMGYfZNDpRDZ5rGJa3qz" TargetMode="External"/><Relationship Id="rId318" Type="http://schemas.openxmlformats.org/officeDocument/2006/relationships/hyperlink" Target="https://drive.google.com/open?id=1UBPcUGu-Eetauau5woeM7YBFkiac-EWx" TargetMode="External"/><Relationship Id="rId525" Type="http://schemas.openxmlformats.org/officeDocument/2006/relationships/hyperlink" Target="https://drive.google.com/open?id=1nH8TaKBldh6ZDc0sW1vjSxEoDNNHr6gI" TargetMode="External"/><Relationship Id="rId567" Type="http://schemas.openxmlformats.org/officeDocument/2006/relationships/hyperlink" Target="https://drive.google.com/open?id=1NufJUKEeVtUmXpXptTvkpK5zq_97wpre" TargetMode="External"/><Relationship Id="rId732" Type="http://schemas.openxmlformats.org/officeDocument/2006/relationships/hyperlink" Target="https://drive.google.com/open?id=1kn2t1IVtdYwTvsCKKJrPPP0afcMDfMAt" TargetMode="External"/><Relationship Id="rId99" Type="http://schemas.openxmlformats.org/officeDocument/2006/relationships/hyperlink" Target="https://drive.google.com/open?id=1hRUVOirhtpE6w5Buo_hQrdNvEfdzHtBY" TargetMode="External"/><Relationship Id="rId122" Type="http://schemas.openxmlformats.org/officeDocument/2006/relationships/hyperlink" Target="https://drive.google.com/open?id=15fJA4e5vCmqFwiHh6LlpgGNYDCeSn6_o" TargetMode="External"/><Relationship Id="rId164" Type="http://schemas.openxmlformats.org/officeDocument/2006/relationships/hyperlink" Target="https://drive.google.com/open?id=16XuY4EmUqK2kjZQKWp85qX6PVR4EofpK" TargetMode="External"/><Relationship Id="rId371" Type="http://schemas.openxmlformats.org/officeDocument/2006/relationships/hyperlink" Target="https://drive.google.com/open?id=1BSdn0sj7sm_8k8qnMWJVLWe2eDruQRFu" TargetMode="External"/><Relationship Id="rId427" Type="http://schemas.openxmlformats.org/officeDocument/2006/relationships/hyperlink" Target="https://drive.google.com/open?id=133E3GUGhxSo-el8Nj3fbCzJgfrKNEtyF" TargetMode="External"/><Relationship Id="rId469" Type="http://schemas.openxmlformats.org/officeDocument/2006/relationships/hyperlink" Target="https://drive.google.com/open?id=1Q_mxllZmRvTLTbcdP2WbjAIWSoLVVgED" TargetMode="External"/><Relationship Id="rId634" Type="http://schemas.openxmlformats.org/officeDocument/2006/relationships/hyperlink" Target="https://drive.google.com/open?id=1m23VxHdX4Zs3AvCLywt75uFllkTGKKTd" TargetMode="External"/><Relationship Id="rId676" Type="http://schemas.openxmlformats.org/officeDocument/2006/relationships/hyperlink" Target="https://drive.google.com/open?id=16awzWsVSW6x-uXQz_gNSXT0pJp1ebLvo" TargetMode="External"/><Relationship Id="rId26" Type="http://schemas.openxmlformats.org/officeDocument/2006/relationships/hyperlink" Target="https://drive.google.com/open?id=1nCmT-2MVzYJ2cSjKXQ-RXQr60oPUlD_K" TargetMode="External"/><Relationship Id="rId231" Type="http://schemas.openxmlformats.org/officeDocument/2006/relationships/hyperlink" Target="https://drive.google.com/open?id=16y1iF3l2MA9mQJEl_Y8S7lqApti--mOm" TargetMode="External"/><Relationship Id="rId273" Type="http://schemas.openxmlformats.org/officeDocument/2006/relationships/hyperlink" Target="https://drive.google.com/open?id=1Oa6VnPsSdeAhKvr7XSPH2ZBfnjOkfsDN" TargetMode="External"/><Relationship Id="rId329" Type="http://schemas.openxmlformats.org/officeDocument/2006/relationships/hyperlink" Target="https://drive.google.com/open?id=1nco6whHmoSoug69oD_HlGJml4LsO4Mtu" TargetMode="External"/><Relationship Id="rId480" Type="http://schemas.openxmlformats.org/officeDocument/2006/relationships/hyperlink" Target="https://drive.google.com/open?id=1-Kh2b0Mccdp5ibZVzDcX7rSa2CN-NJG8" TargetMode="External"/><Relationship Id="rId536" Type="http://schemas.openxmlformats.org/officeDocument/2006/relationships/hyperlink" Target="https://drive.google.com/open?id=1d0KR6IQNBkDE-A4-SJmWZRoAXQxrhI1_" TargetMode="External"/><Relationship Id="rId701" Type="http://schemas.openxmlformats.org/officeDocument/2006/relationships/hyperlink" Target="https://drive.google.com/open?id=1wockfBLR9-p_ifH9J_TQPOIruR5HqX3x" TargetMode="External"/><Relationship Id="rId68" Type="http://schemas.openxmlformats.org/officeDocument/2006/relationships/hyperlink" Target="https://drive.google.com/open?id=1sCRyjn5e_QQuDBpkeNhqnyLnFdCEWrBp" TargetMode="External"/><Relationship Id="rId133" Type="http://schemas.openxmlformats.org/officeDocument/2006/relationships/hyperlink" Target="https://drive.google.com/open?id=1UCYsFcfdCkQbSjAfAGs7hvKdplw9pvJo" TargetMode="External"/><Relationship Id="rId175" Type="http://schemas.openxmlformats.org/officeDocument/2006/relationships/hyperlink" Target="https://drive.google.com/open?id=1MiDY-YLGQZZKBUxNOYnsMV3T58qcYnWx" TargetMode="External"/><Relationship Id="rId340" Type="http://schemas.openxmlformats.org/officeDocument/2006/relationships/hyperlink" Target="https://drive.google.com/open?id=135Q2r1gTVjaVA3KaRMDJ0K-zgdyfsFgO" TargetMode="External"/><Relationship Id="rId578" Type="http://schemas.openxmlformats.org/officeDocument/2006/relationships/hyperlink" Target="https://drive.google.com/open?id=1TxqaqLjacyv5BFLhT_3QiJotOsS_nRQa" TargetMode="External"/><Relationship Id="rId743" Type="http://schemas.openxmlformats.org/officeDocument/2006/relationships/hyperlink" Target="https://drive.google.com/open?id=1yW-xpepQVwiCMkNuqsgGvt74qKTyQXq_" TargetMode="External"/><Relationship Id="rId200" Type="http://schemas.openxmlformats.org/officeDocument/2006/relationships/hyperlink" Target="https://drive.google.com/open?id=1ruTJxLfRD91bBKO3FXzsuBZ404E4nE-J" TargetMode="External"/><Relationship Id="rId382" Type="http://schemas.openxmlformats.org/officeDocument/2006/relationships/hyperlink" Target="https://drive.google.com/open?id=1NQc3uCU_vybJQ93r1wFSyFbEWe15DgTn" TargetMode="External"/><Relationship Id="rId438" Type="http://schemas.openxmlformats.org/officeDocument/2006/relationships/hyperlink" Target="https://drive.google.com/open?id=1InkIWNhqHwMI_EK22-4sYbdW-AcASCU3" TargetMode="External"/><Relationship Id="rId603" Type="http://schemas.openxmlformats.org/officeDocument/2006/relationships/hyperlink" Target="https://drive.google.com/open?id=1ph83XLvX3vGd4A97E5ij08uGHbidKf49" TargetMode="External"/><Relationship Id="rId645" Type="http://schemas.openxmlformats.org/officeDocument/2006/relationships/hyperlink" Target="https://drive.google.com/open?id=1DtxFggTTAZr71CIcaovN-iBadE1uZmlF" TargetMode="External"/><Relationship Id="rId687" Type="http://schemas.openxmlformats.org/officeDocument/2006/relationships/hyperlink" Target="https://drive.google.com/open?id=1xrvdPblNZdieK7Tl45AKSy8hEruk14kh" TargetMode="External"/><Relationship Id="rId242" Type="http://schemas.openxmlformats.org/officeDocument/2006/relationships/hyperlink" Target="https://drive.google.com/open?id=1nGRXkId6o5cqj3xIaeRBqo0koBoDqQqF" TargetMode="External"/><Relationship Id="rId284" Type="http://schemas.openxmlformats.org/officeDocument/2006/relationships/hyperlink" Target="https://drive.google.com/open?id=1jiIJU8ZvyKMBVP_vkvOEkTVZRG6nYWi9" TargetMode="External"/><Relationship Id="rId491" Type="http://schemas.openxmlformats.org/officeDocument/2006/relationships/hyperlink" Target="https://drive.google.com/open?id=10E2Ll4SUAfNR9h_MRcegXemaUXhuQ-LK" TargetMode="External"/><Relationship Id="rId505" Type="http://schemas.openxmlformats.org/officeDocument/2006/relationships/hyperlink" Target="https://drive.google.com/open?id=1vKa_n_oyI4AoCh9UTGclxRUxxe2U_WzG" TargetMode="External"/><Relationship Id="rId712" Type="http://schemas.openxmlformats.org/officeDocument/2006/relationships/hyperlink" Target="https://drive.google.com/open?id=100PDgqWEA8HbqwvaYupWvx8R42Of-o-H" TargetMode="External"/><Relationship Id="rId37" Type="http://schemas.openxmlformats.org/officeDocument/2006/relationships/hyperlink" Target="https://drive.google.com/open?id=1x3HYhUw40jhSMb8RRJ3qW95BZmPslygK" TargetMode="External"/><Relationship Id="rId79" Type="http://schemas.openxmlformats.org/officeDocument/2006/relationships/hyperlink" Target="https://drive.google.com/open?id=1vMGLeUrSR3Dh6GgANjUHAzVvzXnuXo0B" TargetMode="External"/><Relationship Id="rId102" Type="http://schemas.openxmlformats.org/officeDocument/2006/relationships/hyperlink" Target="https://drive.google.com/open?id=140nJceU32DcUPhZT_yhidWWeYTPZkYVC" TargetMode="External"/><Relationship Id="rId144" Type="http://schemas.openxmlformats.org/officeDocument/2006/relationships/hyperlink" Target="https://drive.google.com/open?id=1QcqfuFaHa6H053vRvriHTe-x9DfBwCd5" TargetMode="External"/><Relationship Id="rId547" Type="http://schemas.openxmlformats.org/officeDocument/2006/relationships/hyperlink" Target="https://drive.google.com/open?id=1fnmAoSjTrUozP-Ro7MU303VLcipK9HKc" TargetMode="External"/><Relationship Id="rId589" Type="http://schemas.openxmlformats.org/officeDocument/2006/relationships/hyperlink" Target="https://drive.google.com/open?id=13lGdItF7uLb_QJuHbKFSTIT2NCFM2qOI" TargetMode="External"/><Relationship Id="rId754" Type="http://schemas.openxmlformats.org/officeDocument/2006/relationships/hyperlink" Target="https://drive.google.com/open?id=14dCAhb9W-sYw6z5Dnv2tUAUHwKPQNhfT" TargetMode="External"/><Relationship Id="rId90" Type="http://schemas.openxmlformats.org/officeDocument/2006/relationships/hyperlink" Target="https://drive.google.com/open?id=1lz_Bl-sFcaCSf5bLkeZNU00wIlLysyUY" TargetMode="External"/><Relationship Id="rId186" Type="http://schemas.openxmlformats.org/officeDocument/2006/relationships/hyperlink" Target="https://drive.google.com/open?id=1PGe_YhDZ1SXbP36ChnZ2JAqpqC42knJJ" TargetMode="External"/><Relationship Id="rId351" Type="http://schemas.openxmlformats.org/officeDocument/2006/relationships/hyperlink" Target="https://drive.google.com/open?id=18pgc0gm0hmGPJP9oH8JCJDHPND5ntMnR" TargetMode="External"/><Relationship Id="rId393" Type="http://schemas.openxmlformats.org/officeDocument/2006/relationships/hyperlink" Target="https://drive.google.com/open?id=1UtdWvpvtlF3ujQ68A99h3BMwzhOk8LTf" TargetMode="External"/><Relationship Id="rId407" Type="http://schemas.openxmlformats.org/officeDocument/2006/relationships/hyperlink" Target="https://drive.google.com/open?id=1erC_GJzEFzMEUrIt7RCB1gE5rOo1vD_9" TargetMode="External"/><Relationship Id="rId449" Type="http://schemas.openxmlformats.org/officeDocument/2006/relationships/hyperlink" Target="https://drive.google.com/open?id=1MyCa2fivlqQ7bcs1S2McWuvIsY-7DS9G" TargetMode="External"/><Relationship Id="rId614" Type="http://schemas.openxmlformats.org/officeDocument/2006/relationships/hyperlink" Target="https://drive.google.com/open?id=1DdtP4Jce1Hzh89cx91TIYbMBw-Eoyw6i" TargetMode="External"/><Relationship Id="rId656" Type="http://schemas.openxmlformats.org/officeDocument/2006/relationships/hyperlink" Target="https://drive.google.com/open?id=1F73gH2TnGuGRWSf3wNPieF-hlO86hBUO" TargetMode="External"/><Relationship Id="rId211" Type="http://schemas.openxmlformats.org/officeDocument/2006/relationships/hyperlink" Target="https://drive.google.com/open?id=1L-6Rmu3CgF-8_Se78N5N2LfPSpaEXXgt" TargetMode="External"/><Relationship Id="rId253" Type="http://schemas.openxmlformats.org/officeDocument/2006/relationships/hyperlink" Target="https://drive.google.com/open?id=1StTaZaaV_ip8ZODPg62FDxhm_OrJUdMv" TargetMode="External"/><Relationship Id="rId295" Type="http://schemas.openxmlformats.org/officeDocument/2006/relationships/hyperlink" Target="https://drive.google.com/open?id=1qnoXfzoIm_xbQw2fRc9wW-eeTtUjs97_" TargetMode="External"/><Relationship Id="rId309" Type="http://schemas.openxmlformats.org/officeDocument/2006/relationships/hyperlink" Target="https://drive.google.com/open?id=1nw46DLHTIhvxTqAm5_dB1SW8mAcDAZgU" TargetMode="External"/><Relationship Id="rId460" Type="http://schemas.openxmlformats.org/officeDocument/2006/relationships/hyperlink" Target="https://drive.google.com/open?id=17NyakmZ6ZsZ83DGgRdjSksxJJRHvzLvv" TargetMode="External"/><Relationship Id="rId516" Type="http://schemas.openxmlformats.org/officeDocument/2006/relationships/hyperlink" Target="https://drive.google.com/open?id=1yOJySaImIeqzV8zvtN7zLCZ8rTzC6P4y" TargetMode="External"/><Relationship Id="rId698" Type="http://schemas.openxmlformats.org/officeDocument/2006/relationships/hyperlink" Target="https://drive.google.com/open?id=1TLVMJLG3Vte-wTocvZp7D-Nq3kFNHmd-" TargetMode="External"/><Relationship Id="rId48" Type="http://schemas.openxmlformats.org/officeDocument/2006/relationships/hyperlink" Target="https://drive.google.com/open?id=1bXQldzL7MuT1C-ThtJPgBjxOiWEm41c6" TargetMode="External"/><Relationship Id="rId113" Type="http://schemas.openxmlformats.org/officeDocument/2006/relationships/hyperlink" Target="https://drive.google.com/open?id=1o8gU9LI-eJ4hrwHkz7b6V6vX8bc2YFb7" TargetMode="External"/><Relationship Id="rId320" Type="http://schemas.openxmlformats.org/officeDocument/2006/relationships/hyperlink" Target="https://drive.google.com/open?id=1_3Y3Dn-fAuceIAkVOsN3hfSh-z_L91wz" TargetMode="External"/><Relationship Id="rId558" Type="http://schemas.openxmlformats.org/officeDocument/2006/relationships/hyperlink" Target="https://drive.google.com/open?id=1LiMEyuEmNEP-JyQwa4-lr4x0Z7NOQKKZ" TargetMode="External"/><Relationship Id="rId723" Type="http://schemas.openxmlformats.org/officeDocument/2006/relationships/hyperlink" Target="https://drive.google.com/open?id=1UQv-1XseNPEtsjbnCm_DGGa2REEN7v9Q" TargetMode="External"/><Relationship Id="rId155" Type="http://schemas.openxmlformats.org/officeDocument/2006/relationships/hyperlink" Target="https://drive.google.com/open?id=1_x0w13DUxgU5mRVbSDHa4RMMIgT0_CiY" TargetMode="External"/><Relationship Id="rId197" Type="http://schemas.openxmlformats.org/officeDocument/2006/relationships/hyperlink" Target="https://drive.google.com/open?id=1WrZ6G5U0Tk1c9ooBvCrvbKrBvHPNs9mF" TargetMode="External"/><Relationship Id="rId362" Type="http://schemas.openxmlformats.org/officeDocument/2006/relationships/hyperlink" Target="https://drive.google.com/open?id=16gZmeUvS9zZULTRIPtzvstcoMURbbR7z" TargetMode="External"/><Relationship Id="rId418" Type="http://schemas.openxmlformats.org/officeDocument/2006/relationships/hyperlink" Target="https://drive.google.com/open?id=1TUx6HI9v0Krubux7DA1wOgRCNkWizT7H" TargetMode="External"/><Relationship Id="rId625" Type="http://schemas.openxmlformats.org/officeDocument/2006/relationships/hyperlink" Target="https://drive.google.com/open?id=1FfDpT2xxMiSopeSUAR15TtLoVpZTPc4Q" TargetMode="External"/><Relationship Id="rId222" Type="http://schemas.openxmlformats.org/officeDocument/2006/relationships/hyperlink" Target="https://drive.google.com/open?id=1gsrEmS1hLfncbXA-rvRGaO_R2PbZQppF" TargetMode="External"/><Relationship Id="rId264" Type="http://schemas.openxmlformats.org/officeDocument/2006/relationships/hyperlink" Target="https://drive.google.com/open?id=1kJPv0I6H9Kk9nyK1ZXr0M2XPCPxfRoTd" TargetMode="External"/><Relationship Id="rId471" Type="http://schemas.openxmlformats.org/officeDocument/2006/relationships/hyperlink" Target="https://drive.google.com/open?id=1gb03XodkHPhoZhmWCb4BYT9_AYiuwvXC" TargetMode="External"/><Relationship Id="rId667" Type="http://schemas.openxmlformats.org/officeDocument/2006/relationships/hyperlink" Target="https://drive.google.com/open?id=1HE_sU7ihsjFY9Zn7HSqOddJpEYLzlZUs" TargetMode="External"/><Relationship Id="rId17" Type="http://schemas.openxmlformats.org/officeDocument/2006/relationships/hyperlink" Target="https://drive.google.com/open?id=1FEcFbJNoMZeOSZ2XRUcnIxmPYpN1mJKR" TargetMode="External"/><Relationship Id="rId59" Type="http://schemas.openxmlformats.org/officeDocument/2006/relationships/hyperlink" Target="https://drive.google.com/open?id=1BgGg5XwToZYoBNupMBn0U5mPe5X9DExJ" TargetMode="External"/><Relationship Id="rId124" Type="http://schemas.openxmlformats.org/officeDocument/2006/relationships/hyperlink" Target="https://drive.google.com/open?id=1IqL4FoPNCX1j8hfwDq8zIaDgZf34hk3P" TargetMode="External"/><Relationship Id="rId527" Type="http://schemas.openxmlformats.org/officeDocument/2006/relationships/hyperlink" Target="https://drive.google.com/open?id=1g1PPciummGlsJydx6Kye9TuF6hVVOtLV" TargetMode="External"/><Relationship Id="rId569" Type="http://schemas.openxmlformats.org/officeDocument/2006/relationships/hyperlink" Target="https://drive.google.com/open?id=1jFahULrBJExN0gHP4_RddGjUIpadqYGs" TargetMode="External"/><Relationship Id="rId734" Type="http://schemas.openxmlformats.org/officeDocument/2006/relationships/hyperlink" Target="https://drive.google.com/open?id=1gDbmkgWMEq04Q5zhILe0mPyQGDKe69Rx" TargetMode="External"/><Relationship Id="rId70" Type="http://schemas.openxmlformats.org/officeDocument/2006/relationships/hyperlink" Target="https://drive.google.com/open?id=1weMVHWhGnk2_8xnEmWSlproEiy_09tE9" TargetMode="External"/><Relationship Id="rId166" Type="http://schemas.openxmlformats.org/officeDocument/2006/relationships/hyperlink" Target="https://drive.google.com/open?id=1a01qIrRTj6Es2vSmI86QnjWKufkpZF5_" TargetMode="External"/><Relationship Id="rId331" Type="http://schemas.openxmlformats.org/officeDocument/2006/relationships/hyperlink" Target="https://drive.google.com/open?id=1Hus_hZaH_wddVaJby0dqKYREGOtrx7re" TargetMode="External"/><Relationship Id="rId373" Type="http://schemas.openxmlformats.org/officeDocument/2006/relationships/hyperlink" Target="https://drive.google.com/open?id=1dclhAY9hOiRHeG2Veptfo-i5Pl2ti7ub" TargetMode="External"/><Relationship Id="rId429" Type="http://schemas.openxmlformats.org/officeDocument/2006/relationships/hyperlink" Target="https://drive.google.com/open?id=17IHN36wQEF50A9mml5qyjIR9WamldUwy" TargetMode="External"/><Relationship Id="rId580" Type="http://schemas.openxmlformats.org/officeDocument/2006/relationships/hyperlink" Target="https://drive.google.com/open?id=15KlORbmmEYat07-YtUl0ZAjbTM255VC9" TargetMode="External"/><Relationship Id="rId636" Type="http://schemas.openxmlformats.org/officeDocument/2006/relationships/hyperlink" Target="https://drive.google.com/open?id=1Br9osdp4Z29Y2syRxU08Ud0JMlMK7QRZ" TargetMode="External"/><Relationship Id="rId1" Type="http://schemas.openxmlformats.org/officeDocument/2006/relationships/hyperlink" Target="https://drive.google.com/open?id=14eo9gXW8eOYIUYK44iYmyknAgotMtBCt" TargetMode="External"/><Relationship Id="rId233" Type="http://schemas.openxmlformats.org/officeDocument/2006/relationships/hyperlink" Target="https://drive.google.com/open?id=1LsdtgiAGWx7Vab0obt7ZLMgD7sa7LOIh" TargetMode="External"/><Relationship Id="rId440" Type="http://schemas.openxmlformats.org/officeDocument/2006/relationships/hyperlink" Target="https://drive.google.com/open?id=12XH5RrfL2FOuXr7u4fG9Rx1Bs1pYuF3w" TargetMode="External"/><Relationship Id="rId678" Type="http://schemas.openxmlformats.org/officeDocument/2006/relationships/hyperlink" Target="https://drive.google.com/open?id=1RmRH9d-znfWB9L3KEO-EuDEVRAiudBDE" TargetMode="External"/><Relationship Id="rId28" Type="http://schemas.openxmlformats.org/officeDocument/2006/relationships/hyperlink" Target="https://drive.google.com/open?id=1jyPW79fPV6fSlK6LANHzYP9sopxjR-lO" TargetMode="External"/><Relationship Id="rId275" Type="http://schemas.openxmlformats.org/officeDocument/2006/relationships/hyperlink" Target="https://drive.google.com/open?id=1I6zZ9K06c1wCT1L431NBOjkohm3g5IhF" TargetMode="External"/><Relationship Id="rId300" Type="http://schemas.openxmlformats.org/officeDocument/2006/relationships/hyperlink" Target="https://drive.google.com/open?id=1IHDuFGK8kbwPdBAfTzfr3Yms7U5O4m0P" TargetMode="External"/><Relationship Id="rId482" Type="http://schemas.openxmlformats.org/officeDocument/2006/relationships/hyperlink" Target="https://drive.google.com/open?id=1hPn17VP27yhvydDTY9traLQ1wHwZmrox" TargetMode="External"/><Relationship Id="rId538" Type="http://schemas.openxmlformats.org/officeDocument/2006/relationships/hyperlink" Target="https://drive.google.com/open?id=1AmK6gtlJvyR9Zvdm5oy-YUJo4zmpxEwh" TargetMode="External"/><Relationship Id="rId703" Type="http://schemas.openxmlformats.org/officeDocument/2006/relationships/hyperlink" Target="https://drive.google.com/open?id=1ydiGn9-TTGx7T-Txl569YI_sFP3n9J_C" TargetMode="External"/><Relationship Id="rId745" Type="http://schemas.openxmlformats.org/officeDocument/2006/relationships/hyperlink" Target="https://drive.google.com/open?id=1msBWVmdG51966EXk0B4Mv4FHLbIxwHRY" TargetMode="External"/><Relationship Id="rId81" Type="http://schemas.openxmlformats.org/officeDocument/2006/relationships/hyperlink" Target="https://drive.google.com/open?id=11O2rotzNzFdvp3cPl2KcpFSbjJsThz21" TargetMode="External"/><Relationship Id="rId135" Type="http://schemas.openxmlformats.org/officeDocument/2006/relationships/hyperlink" Target="https://drive.google.com/open?id=1LhLl8wf-mab2ISMydvdASHJw2x8W0HOp" TargetMode="External"/><Relationship Id="rId177" Type="http://schemas.openxmlformats.org/officeDocument/2006/relationships/hyperlink" Target="https://drive.google.com/open?id=1fppRokg8O_ztDJx0mkm7EqY01BpPMsrL" TargetMode="External"/><Relationship Id="rId342" Type="http://schemas.openxmlformats.org/officeDocument/2006/relationships/hyperlink" Target="https://drive.google.com/open?id=1Ctfpt_XIN9hAYn3bHXijID1hrcsz-gMV" TargetMode="External"/><Relationship Id="rId384" Type="http://schemas.openxmlformats.org/officeDocument/2006/relationships/hyperlink" Target="https://drive.google.com/open?id=15zLmiPTwGlB263x4Rbuxp5ft-FbLEaKg" TargetMode="External"/><Relationship Id="rId591" Type="http://schemas.openxmlformats.org/officeDocument/2006/relationships/hyperlink" Target="https://drive.google.com/open?id=1X6ppzp2_RQtZH-sMapbdVUJFv8cshZ_0" TargetMode="External"/><Relationship Id="rId605" Type="http://schemas.openxmlformats.org/officeDocument/2006/relationships/hyperlink" Target="https://drive.google.com/open?id=1u5W3xc7M36C7uqNkrMs988SSF17BWLHi" TargetMode="External"/><Relationship Id="rId202" Type="http://schemas.openxmlformats.org/officeDocument/2006/relationships/hyperlink" Target="https://drive.google.com/open?id=14K6nY5Zmu7aYFBOqjAHAjykSQh084Liz" TargetMode="External"/><Relationship Id="rId244" Type="http://schemas.openxmlformats.org/officeDocument/2006/relationships/hyperlink" Target="https://drive.google.com/open?id=1TEMftiyrdghPbyJBdcw26PbaHhraB9Gt" TargetMode="External"/><Relationship Id="rId647" Type="http://schemas.openxmlformats.org/officeDocument/2006/relationships/hyperlink" Target="https://drive.google.com/open?id=1pXQ52xlKblkbSofigaUXkxIeYb6x4PYn" TargetMode="External"/><Relationship Id="rId689" Type="http://schemas.openxmlformats.org/officeDocument/2006/relationships/hyperlink" Target="https://drive.google.com/open?id=1WhM43UDaOxHQY-7GS8YGWIJ5hm16RGGe" TargetMode="External"/><Relationship Id="rId39" Type="http://schemas.openxmlformats.org/officeDocument/2006/relationships/hyperlink" Target="https://drive.google.com/open?id=1yr0kBqoZsc_zc9qQEBxEHDJokNdQsJKu" TargetMode="External"/><Relationship Id="rId286" Type="http://schemas.openxmlformats.org/officeDocument/2006/relationships/hyperlink" Target="https://drive.google.com/open?id=18o0SK3peIRcyf0MCpt0WbB7IFzl3U_3J" TargetMode="External"/><Relationship Id="rId451" Type="http://schemas.openxmlformats.org/officeDocument/2006/relationships/hyperlink" Target="https://drive.google.com/open?id=1Wawjw-L04QCVpBY0em0_Y1SQLmOVcqrO" TargetMode="External"/><Relationship Id="rId493" Type="http://schemas.openxmlformats.org/officeDocument/2006/relationships/hyperlink" Target="https://drive.google.com/open?id=1icNJAJuu3Wy4ss4bug7-BgODwv2t1xhH" TargetMode="External"/><Relationship Id="rId507" Type="http://schemas.openxmlformats.org/officeDocument/2006/relationships/hyperlink" Target="https://drive.google.com/open?id=1TZeRWDVvLRWDIxlmQfpSSmfVPpff27yt" TargetMode="External"/><Relationship Id="rId549" Type="http://schemas.openxmlformats.org/officeDocument/2006/relationships/hyperlink" Target="https://drive.google.com/open?id=1-gdyTvGMF5N5gPtaMIfHkTXB0qOBPXGF" TargetMode="External"/><Relationship Id="rId714" Type="http://schemas.openxmlformats.org/officeDocument/2006/relationships/hyperlink" Target="https://drive.google.com/open?id=1huanhUtI8JvM0vhCehWdEas9XixByueS" TargetMode="External"/><Relationship Id="rId756" Type="http://schemas.openxmlformats.org/officeDocument/2006/relationships/hyperlink" Target="https://drive.google.com/open?id=1l7KFUu-g2M5J8Qrkjw4GQKVPhWKr5RYW" TargetMode="External"/><Relationship Id="rId50" Type="http://schemas.openxmlformats.org/officeDocument/2006/relationships/hyperlink" Target="https://drive.google.com/open?id=1XFI_7JiumZfW1wC0twlAbqOlOW7O9NH4" TargetMode="External"/><Relationship Id="rId104" Type="http://schemas.openxmlformats.org/officeDocument/2006/relationships/hyperlink" Target="https://drive.google.com/open?id=1VKlnt2b-FZFjBtRvA1PX9qSc4nwCLvid" TargetMode="External"/><Relationship Id="rId146" Type="http://schemas.openxmlformats.org/officeDocument/2006/relationships/hyperlink" Target="https://drive.google.com/open?id=15V76iEt4CxmdQlVon3hNfEC99jdl_76T" TargetMode="External"/><Relationship Id="rId188" Type="http://schemas.openxmlformats.org/officeDocument/2006/relationships/hyperlink" Target="https://drive.google.com/open?id=1-SvlkiljJgizcW340DsSkgyrIk5El_Fs" TargetMode="External"/><Relationship Id="rId311" Type="http://schemas.openxmlformats.org/officeDocument/2006/relationships/hyperlink" Target="https://drive.google.com/open?id=1QfD3YoKwUmM276CZ53kxVi9fxuGdfYai" TargetMode="External"/><Relationship Id="rId353" Type="http://schemas.openxmlformats.org/officeDocument/2006/relationships/hyperlink" Target="https://drive.google.com/open?id=1fD-93RwXXhC0K5ycSPrdDptYbiWhn34J" TargetMode="External"/><Relationship Id="rId395" Type="http://schemas.openxmlformats.org/officeDocument/2006/relationships/hyperlink" Target="https://drive.google.com/open?id=18LI4k02AlcJkQR7kYxO2sU6TvLjZRnR2" TargetMode="External"/><Relationship Id="rId409" Type="http://schemas.openxmlformats.org/officeDocument/2006/relationships/hyperlink" Target="https://drive.google.com/open?id=1UH29DWZ7mNJAc3hFq7J6-52l9vH-o75V" TargetMode="External"/><Relationship Id="rId560" Type="http://schemas.openxmlformats.org/officeDocument/2006/relationships/hyperlink" Target="https://drive.google.com/open?id=1TeCR4HLMsWqwveJIj2vvFhZjbq9PpGSV" TargetMode="External"/><Relationship Id="rId92" Type="http://schemas.openxmlformats.org/officeDocument/2006/relationships/hyperlink" Target="https://drive.google.com/open?id=1p8mCPDMdTmkYsb9TbiBpyzyVeoOg4PP8" TargetMode="External"/><Relationship Id="rId213" Type="http://schemas.openxmlformats.org/officeDocument/2006/relationships/hyperlink" Target="https://drive.google.com/open?id=1ZP05LU2PnFrGBLhaKojrsGTwG9mpwlyI" TargetMode="External"/><Relationship Id="rId420" Type="http://schemas.openxmlformats.org/officeDocument/2006/relationships/hyperlink" Target="https://drive.google.com/open?id=1a5C1fy7ElXVeE8z6o5zy1tZ2Ook-dC0p" TargetMode="External"/><Relationship Id="rId616" Type="http://schemas.openxmlformats.org/officeDocument/2006/relationships/hyperlink" Target="https://drive.google.com/open?id=1RTtyq3k-N2F7MeRaIQQUEPr2Q6jliTEQ" TargetMode="External"/><Relationship Id="rId658" Type="http://schemas.openxmlformats.org/officeDocument/2006/relationships/hyperlink" Target="https://drive.google.com/open?id=1xHihBp9ffEgJqHIj-0yVXJ4us0-ljW7f" TargetMode="External"/><Relationship Id="rId255" Type="http://schemas.openxmlformats.org/officeDocument/2006/relationships/hyperlink" Target="https://drive.google.com/open?id=1gYjOMzNjOvKJepuv6ao08mqXhsq92C1T" TargetMode="External"/><Relationship Id="rId297" Type="http://schemas.openxmlformats.org/officeDocument/2006/relationships/hyperlink" Target="https://drive.google.com/open?id=149ESPV0oXnCADUJfxkqG3CkaYT08LuIp" TargetMode="External"/><Relationship Id="rId462" Type="http://schemas.openxmlformats.org/officeDocument/2006/relationships/hyperlink" Target="https://drive.google.com/open?id=10QvYm-wuVcxAqSNrdtWB0ZlUg8veOEdU" TargetMode="External"/><Relationship Id="rId518" Type="http://schemas.openxmlformats.org/officeDocument/2006/relationships/hyperlink" Target="https://drive.google.com/open?id=1NiIHfvJgm5gpPCpKbnhOuxmv4ZnfWpQW" TargetMode="External"/><Relationship Id="rId725" Type="http://schemas.openxmlformats.org/officeDocument/2006/relationships/hyperlink" Target="https://drive.google.com/open?id=1sYnksARkbBRH36DH4LM5fqEX289sdZyx" TargetMode="External"/><Relationship Id="rId115" Type="http://schemas.openxmlformats.org/officeDocument/2006/relationships/hyperlink" Target="https://drive.google.com/open?id=1YonZ6olGOZrggM5XjJjW_MC2fOeFo4X9" TargetMode="External"/><Relationship Id="rId157" Type="http://schemas.openxmlformats.org/officeDocument/2006/relationships/hyperlink" Target="https://drive.google.com/open?id=1jdJWtZhz8H41QJNUaf5RtjX52LNo8Api" TargetMode="External"/><Relationship Id="rId322" Type="http://schemas.openxmlformats.org/officeDocument/2006/relationships/hyperlink" Target="https://drive.google.com/open?id=1gL1-pFaJTVb4ekmp6tbUST46T9MTOiEa" TargetMode="External"/><Relationship Id="rId364" Type="http://schemas.openxmlformats.org/officeDocument/2006/relationships/hyperlink" Target="https://drive.google.com/open?id=1RnC2GbH-CfcVWrmFfeFFuPPZWipJe-1V" TargetMode="External"/><Relationship Id="rId61" Type="http://schemas.openxmlformats.org/officeDocument/2006/relationships/hyperlink" Target="https://drive.google.com/open?id=1Ym3ufoG5hrPBXiCbrihB5TaL3YXbLlNc" TargetMode="External"/><Relationship Id="rId199" Type="http://schemas.openxmlformats.org/officeDocument/2006/relationships/hyperlink" Target="https://drive.google.com/open?id=15XHduGDa7PgoZDaYpRg4GrCbAe0JtMuG" TargetMode="External"/><Relationship Id="rId571" Type="http://schemas.openxmlformats.org/officeDocument/2006/relationships/hyperlink" Target="https://drive.google.com/open?id=1J1uudxn4EbQFRAxanIm_1_diR2O7kAb6" TargetMode="External"/><Relationship Id="rId627" Type="http://schemas.openxmlformats.org/officeDocument/2006/relationships/hyperlink" Target="https://drive.google.com/open?id=1EvXscih3t8GNcIkdo5_8G4zI0SWazPz8" TargetMode="External"/><Relationship Id="rId669" Type="http://schemas.openxmlformats.org/officeDocument/2006/relationships/hyperlink" Target="https://drive.google.com/open?id=1djJ7yt9jsVHRgtdQVcYef5dfrx7mU5yA" TargetMode="External"/><Relationship Id="rId19" Type="http://schemas.openxmlformats.org/officeDocument/2006/relationships/hyperlink" Target="https://drive.google.com/open?id=1o97LtgjQqJ36vf4k-pOxjw_spMpmlq0J" TargetMode="External"/><Relationship Id="rId224" Type="http://schemas.openxmlformats.org/officeDocument/2006/relationships/hyperlink" Target="https://drive.google.com/open?id=1ZQNdDhW7QVnMU3V3fNKSjWx8KRbBE20y" TargetMode="External"/><Relationship Id="rId266" Type="http://schemas.openxmlformats.org/officeDocument/2006/relationships/hyperlink" Target="https://drive.google.com/open?id=1JQ5wy0mFP75VcieLkSgUlKUHipxnVgZB" TargetMode="External"/><Relationship Id="rId431" Type="http://schemas.openxmlformats.org/officeDocument/2006/relationships/hyperlink" Target="https://drive.google.com/open?id=1QMfaNPYetS7O2Ru9r_pgzrbBQQ9dHwz0" TargetMode="External"/><Relationship Id="rId473" Type="http://schemas.openxmlformats.org/officeDocument/2006/relationships/hyperlink" Target="https://drive.google.com/open?id=1qG4yKD0AhX79KjzGNKXGiMINRg-6-e_d" TargetMode="External"/><Relationship Id="rId529" Type="http://schemas.openxmlformats.org/officeDocument/2006/relationships/hyperlink" Target="https://drive.google.com/open?id=1KvXPRrtHu5Ev8HODK-1xhlS1_HnHyN_5" TargetMode="External"/><Relationship Id="rId680" Type="http://schemas.openxmlformats.org/officeDocument/2006/relationships/hyperlink" Target="https://drive.google.com/open?id=1aWdn87-2tElC3hWhZB0tvAKUMOeNeY7x" TargetMode="External"/><Relationship Id="rId736" Type="http://schemas.openxmlformats.org/officeDocument/2006/relationships/hyperlink" Target="https://drive.google.com/open?id=1MqwlNBjN4GdPpbDSL5mQ0tolJ7I2sXUI" TargetMode="External"/><Relationship Id="rId30" Type="http://schemas.openxmlformats.org/officeDocument/2006/relationships/hyperlink" Target="https://drive.google.com/open?id=1xi_3_KryNHfhuwsF0rmwH-Qd-mqYuTLU" TargetMode="External"/><Relationship Id="rId126" Type="http://schemas.openxmlformats.org/officeDocument/2006/relationships/hyperlink" Target="https://drive.google.com/open?id=1IZY82G5m3K69SqYjyhhh8SYU1Lr1Ps6M" TargetMode="External"/><Relationship Id="rId168" Type="http://schemas.openxmlformats.org/officeDocument/2006/relationships/hyperlink" Target="https://drive.google.com/open?id=1MX5GaLHjFSuq5PDC4RNThxuwL5EraFCr" TargetMode="External"/><Relationship Id="rId333" Type="http://schemas.openxmlformats.org/officeDocument/2006/relationships/hyperlink" Target="https://drive.google.com/open?id=1oWasJFEXhwahVIPRB8q_8btbTW7ApZkQ" TargetMode="External"/><Relationship Id="rId540" Type="http://schemas.openxmlformats.org/officeDocument/2006/relationships/hyperlink" Target="https://drive.google.com/open?id=1dZnSV-pHqcDQWPTUvehAvOrIez_YMVqD" TargetMode="External"/><Relationship Id="rId72" Type="http://schemas.openxmlformats.org/officeDocument/2006/relationships/hyperlink" Target="https://drive.google.com/open?id=15m24HTsvhmCHTfpddNph-bNu08e1k0k_" TargetMode="External"/><Relationship Id="rId375" Type="http://schemas.openxmlformats.org/officeDocument/2006/relationships/hyperlink" Target="https://drive.google.com/open?id=1DGq3Z9Hv6wdsfDLdxFHWrkfim1dk2reA" TargetMode="External"/><Relationship Id="rId582" Type="http://schemas.openxmlformats.org/officeDocument/2006/relationships/hyperlink" Target="https://drive.google.com/open?id=1p7w2l3SFw28Eb0ibzDAddGFhdRzJjgy2" TargetMode="External"/><Relationship Id="rId638" Type="http://schemas.openxmlformats.org/officeDocument/2006/relationships/hyperlink" Target="https://drive.google.com/open?id=1Gk5FuNyOEn3ZKyId4GWfgMUKEX9yMALO" TargetMode="External"/><Relationship Id="rId3" Type="http://schemas.openxmlformats.org/officeDocument/2006/relationships/hyperlink" Target="https://drive.google.com/open?id=1gwdqE6sXsNJcPK7gyGzJeWLjYnJvNtJD" TargetMode="External"/><Relationship Id="rId235" Type="http://schemas.openxmlformats.org/officeDocument/2006/relationships/hyperlink" Target="https://drive.google.com/open?id=1Te42C1BjAkSS5lPVsAkrwzxRDe3HYG1t" TargetMode="External"/><Relationship Id="rId277" Type="http://schemas.openxmlformats.org/officeDocument/2006/relationships/hyperlink" Target="https://drive.google.com/open?id=1bJOZk-Z-twZuGoL4UVAoKmqU_iTREof7" TargetMode="External"/><Relationship Id="rId400" Type="http://schemas.openxmlformats.org/officeDocument/2006/relationships/hyperlink" Target="https://drive.google.com/open?id=1I6lz0VHdmJ63xafnDKePv1Nz0ganYjql" TargetMode="External"/><Relationship Id="rId442" Type="http://schemas.openxmlformats.org/officeDocument/2006/relationships/hyperlink" Target="https://drive.google.com/open?id=12zEjCujEAx38R7Mcz3Q5dj-Y8ZmURofK" TargetMode="External"/><Relationship Id="rId484" Type="http://schemas.openxmlformats.org/officeDocument/2006/relationships/hyperlink" Target="https://drive.google.com/open?id=12RL8c1eDxOxloOcL-nQ5Q8_yqlWmTs1j" TargetMode="External"/><Relationship Id="rId705" Type="http://schemas.openxmlformats.org/officeDocument/2006/relationships/hyperlink" Target="https://drive.google.com/open?id=1rq61bT7Bx7y7Xz401NzPLnHS4802-wa8" TargetMode="External"/><Relationship Id="rId137" Type="http://schemas.openxmlformats.org/officeDocument/2006/relationships/hyperlink" Target="https://drive.google.com/open?id=1UUOc2bc6eY3QzSTHXsUfbAZ3XLFm1tgt" TargetMode="External"/><Relationship Id="rId302" Type="http://schemas.openxmlformats.org/officeDocument/2006/relationships/hyperlink" Target="https://drive.google.com/open?id=1lyip7oxDkH1x2-lP8ojF2p4l2zLatMLF" TargetMode="External"/><Relationship Id="rId344" Type="http://schemas.openxmlformats.org/officeDocument/2006/relationships/hyperlink" Target="https://drive.google.com/open?id=18dAxoIXFcIgmNM697BE2ZyWofCJK-k-S" TargetMode="External"/><Relationship Id="rId691" Type="http://schemas.openxmlformats.org/officeDocument/2006/relationships/hyperlink" Target="https://drive.google.com/open?id=1h2MA5r0Ck1hOcDIAJNWn-uQu9n7mREza" TargetMode="External"/><Relationship Id="rId747" Type="http://schemas.openxmlformats.org/officeDocument/2006/relationships/hyperlink" Target="https://drive.google.com/open?id=1GkJLAiWs5OCkGJFarEqQDBiY9ZkOQXz3" TargetMode="External"/><Relationship Id="rId41" Type="http://schemas.openxmlformats.org/officeDocument/2006/relationships/hyperlink" Target="https://drive.google.com/open?id=1DXcdXzCkOcbyhBhLXOKT4jhAX9XdM3_G" TargetMode="External"/><Relationship Id="rId83" Type="http://schemas.openxmlformats.org/officeDocument/2006/relationships/hyperlink" Target="https://drive.google.com/open?id=157mtY3fc8QYuVIVtyTbeJ4QX-mMTiq2I" TargetMode="External"/><Relationship Id="rId179" Type="http://schemas.openxmlformats.org/officeDocument/2006/relationships/hyperlink" Target="https://drive.google.com/open?id=1_6uI5I0pLhwAN-tYYgmJI22WJ1ACcGYu" TargetMode="External"/><Relationship Id="rId386" Type="http://schemas.openxmlformats.org/officeDocument/2006/relationships/hyperlink" Target="https://drive.google.com/open?id=1idI9O8jYBlqxO8yVanfpu18hvzSMfcj_" TargetMode="External"/><Relationship Id="rId551" Type="http://schemas.openxmlformats.org/officeDocument/2006/relationships/hyperlink" Target="https://drive.google.com/open?id=1EKvphQSKtq5f-ziSqUg4ooo8NU3Fu-42" TargetMode="External"/><Relationship Id="rId593" Type="http://schemas.openxmlformats.org/officeDocument/2006/relationships/hyperlink" Target="https://drive.google.com/open?id=1yEpNi0SHGl5qQOLJpWfFDSVrtUwOq4Cb" TargetMode="External"/><Relationship Id="rId607" Type="http://schemas.openxmlformats.org/officeDocument/2006/relationships/hyperlink" Target="https://drive.google.com/open?id=1syo7UaH687D-JpxJyPvut1j1pK3BMbje" TargetMode="External"/><Relationship Id="rId649" Type="http://schemas.openxmlformats.org/officeDocument/2006/relationships/hyperlink" Target="https://drive.google.com/open?id=1iWb8zN9FhCMzxE4WZdSAZflQ-SsHEGZ3" TargetMode="External"/><Relationship Id="rId190" Type="http://schemas.openxmlformats.org/officeDocument/2006/relationships/hyperlink" Target="https://drive.google.com/open?id=17N3BeMW8Hmh9A0Hdl076geARXIkgtdJg" TargetMode="External"/><Relationship Id="rId204" Type="http://schemas.openxmlformats.org/officeDocument/2006/relationships/hyperlink" Target="https://drive.google.com/open?id=1GUfl4mlnXROBrfPau_24WDQdpP5kWsjX" TargetMode="External"/><Relationship Id="rId246" Type="http://schemas.openxmlformats.org/officeDocument/2006/relationships/hyperlink" Target="https://drive.google.com/open?id=1sWMBO_Kz5DIB1sTOzC2ljXUUNi-6Jj7w" TargetMode="External"/><Relationship Id="rId288" Type="http://schemas.openxmlformats.org/officeDocument/2006/relationships/hyperlink" Target="https://drive.google.com/open?id=1buShck1TZ1p1G5nDkhqST59D4U3bZYLH" TargetMode="External"/><Relationship Id="rId411" Type="http://schemas.openxmlformats.org/officeDocument/2006/relationships/hyperlink" Target="https://drive.google.com/open?id=1MaIstHqnDkNHBOsPBnH7PCPqV-V-vA3u" TargetMode="External"/><Relationship Id="rId453" Type="http://schemas.openxmlformats.org/officeDocument/2006/relationships/hyperlink" Target="https://drive.google.com/open?id=1cqxllut2Fduqdqm6ZeBOazCpG_Pq87iB" TargetMode="External"/><Relationship Id="rId509" Type="http://schemas.openxmlformats.org/officeDocument/2006/relationships/hyperlink" Target="https://drive.google.com/open?id=1paBUJfz_M4Gigm8Veby7U8NWn40KrzpW" TargetMode="External"/><Relationship Id="rId660" Type="http://schemas.openxmlformats.org/officeDocument/2006/relationships/hyperlink" Target="https://drive.google.com/open?id=1benE_3z7zTx6AB3LHanz1gZmijC1bplb" TargetMode="External"/><Relationship Id="rId106" Type="http://schemas.openxmlformats.org/officeDocument/2006/relationships/hyperlink" Target="https://drive.google.com/open?id=1rafPhd2JGq6PbQEtzK_z-f8bXhTqly8M" TargetMode="External"/><Relationship Id="rId313" Type="http://schemas.openxmlformats.org/officeDocument/2006/relationships/hyperlink" Target="https://drive.google.com/open?id=19aeJwC8b5XnMxqmN3pfcrhfeawrRDQwJ" TargetMode="External"/><Relationship Id="rId495" Type="http://schemas.openxmlformats.org/officeDocument/2006/relationships/hyperlink" Target="https://drive.google.com/open?id=1h8NrepugU0ydNIsSDDJourgUc70hRnYH" TargetMode="External"/><Relationship Id="rId716" Type="http://schemas.openxmlformats.org/officeDocument/2006/relationships/hyperlink" Target="https://drive.google.com/open?id=1TUyODFuA8SDUk4pmlJD0pYlai6s0PrGx" TargetMode="External"/><Relationship Id="rId758" Type="http://schemas.openxmlformats.org/officeDocument/2006/relationships/hyperlink" Target="https://drive.google.com/open?id=1uMYoubfB8v7-pspQFMkVvPtH4JmIEAP6" TargetMode="External"/><Relationship Id="rId10" Type="http://schemas.openxmlformats.org/officeDocument/2006/relationships/hyperlink" Target="https://drive.google.com/open?id=1cIMtORVa3wnEsp897bTMvo0w3xH7ckoV" TargetMode="External"/><Relationship Id="rId52" Type="http://schemas.openxmlformats.org/officeDocument/2006/relationships/hyperlink" Target="https://drive.google.com/open?id=1wZ6vEmX8t7uRppb1rzrUDY46gzb-WT52" TargetMode="External"/><Relationship Id="rId94" Type="http://schemas.openxmlformats.org/officeDocument/2006/relationships/hyperlink" Target="https://drive.google.com/open?id=181GeCtBVogSFrpfprg4RD4Ah_1lWhBn7" TargetMode="External"/><Relationship Id="rId148" Type="http://schemas.openxmlformats.org/officeDocument/2006/relationships/hyperlink" Target="https://drive.google.com/open?id=1mDHA3t9wZzaCRSYZW_V_mQyWBk9Pz8ex" TargetMode="External"/><Relationship Id="rId355" Type="http://schemas.openxmlformats.org/officeDocument/2006/relationships/hyperlink" Target="https://drive.google.com/open?id=1rXxIP0-ycjvngDbWwuTy-ueH2NHTPTs_" TargetMode="External"/><Relationship Id="rId397" Type="http://schemas.openxmlformats.org/officeDocument/2006/relationships/hyperlink" Target="https://drive.google.com/open?id=19J4nmDFGt6M9WCEJQNAyedpsrJrnPnSO" TargetMode="External"/><Relationship Id="rId520" Type="http://schemas.openxmlformats.org/officeDocument/2006/relationships/hyperlink" Target="https://drive.google.com/open?id=1mxzJH-OG4In_VvdEQaVkfMt6-qVrqc3K" TargetMode="External"/><Relationship Id="rId562" Type="http://schemas.openxmlformats.org/officeDocument/2006/relationships/hyperlink" Target="https://drive.google.com/open?id=1aTxFzkWMJR1cFhAQbVY1S978LynkQJJF" TargetMode="External"/><Relationship Id="rId618" Type="http://schemas.openxmlformats.org/officeDocument/2006/relationships/hyperlink" Target="https://drive.google.com/open?id=1fOz66l3-hJZ8uJ9WTF7kYbv6x4urVCfn" TargetMode="External"/><Relationship Id="rId215" Type="http://schemas.openxmlformats.org/officeDocument/2006/relationships/hyperlink" Target="https://drive.google.com/open?id=1yGuzfZwmMNrNPTASHcdU8xTj7U-OG277" TargetMode="External"/><Relationship Id="rId257" Type="http://schemas.openxmlformats.org/officeDocument/2006/relationships/hyperlink" Target="https://drive.google.com/open?id=1Un1H0AIrb1uOW-ZLxouxeSlD51o_s6yJ" TargetMode="External"/><Relationship Id="rId422" Type="http://schemas.openxmlformats.org/officeDocument/2006/relationships/hyperlink" Target="https://drive.google.com/open?id=1ySydhHPSGF509jC_hYDhMEh1dGCh1YnY" TargetMode="External"/><Relationship Id="rId464" Type="http://schemas.openxmlformats.org/officeDocument/2006/relationships/hyperlink" Target="https://drive.google.com/open?id=1kAHHiXHPPzDaVNvKd1i1qugvelPnBGd5" TargetMode="External"/><Relationship Id="rId299" Type="http://schemas.openxmlformats.org/officeDocument/2006/relationships/hyperlink" Target="https://drive.google.com/open?id=1tOHKevKif4koHSLOdb0tc4-Ry3FHkosy" TargetMode="External"/><Relationship Id="rId727" Type="http://schemas.openxmlformats.org/officeDocument/2006/relationships/hyperlink" Target="https://drive.google.com/open?id=1D_MqyYU6mykNhb6EVNBTre0c9nh9ypiJ" TargetMode="External"/><Relationship Id="rId63" Type="http://schemas.openxmlformats.org/officeDocument/2006/relationships/hyperlink" Target="https://drive.google.com/open?id=1xqCzYUBCGabD8rGLakUdkhtRCClEnZlj" TargetMode="External"/><Relationship Id="rId159" Type="http://schemas.openxmlformats.org/officeDocument/2006/relationships/hyperlink" Target="https://drive.google.com/open?id=10DIYGLHZ9tYfI1fQ5KChqCTvurgWNlZo" TargetMode="External"/><Relationship Id="rId366" Type="http://schemas.openxmlformats.org/officeDocument/2006/relationships/hyperlink" Target="https://drive.google.com/open?id=1FrmD4FrVsbwjfv3n3SsjPWzxbBvJl3aH" TargetMode="External"/><Relationship Id="rId573" Type="http://schemas.openxmlformats.org/officeDocument/2006/relationships/hyperlink" Target="https://drive.google.com/open?id=1YYUrz4lf5EsBXTEPXNdUQAuk65vmtV5M" TargetMode="External"/><Relationship Id="rId226" Type="http://schemas.openxmlformats.org/officeDocument/2006/relationships/hyperlink" Target="https://drive.google.com/open?id=1oBQG3ddsVRj9xP203FS0eowppN38tU9h" TargetMode="External"/><Relationship Id="rId433" Type="http://schemas.openxmlformats.org/officeDocument/2006/relationships/hyperlink" Target="https://drive.google.com/open?id=1akSfmutBOQ2wbe7JeqQbyvifchGO0q9a" TargetMode="External"/><Relationship Id="rId640" Type="http://schemas.openxmlformats.org/officeDocument/2006/relationships/hyperlink" Target="https://drive.google.com/open?id=1TUdexaEHNdOiYPHV3Cha4uQbX5XqPZhW" TargetMode="External"/><Relationship Id="rId738" Type="http://schemas.openxmlformats.org/officeDocument/2006/relationships/hyperlink" Target="https://drive.google.com/open?id=195bDlEcFeF8Dkc1EwuP4HOHcdR4wl_h6" TargetMode="External"/><Relationship Id="rId74" Type="http://schemas.openxmlformats.org/officeDocument/2006/relationships/hyperlink" Target="https://drive.google.com/open?id=1hWZ3IU_hEzghk26-0Zy6EkmUgvGEumIh" TargetMode="External"/><Relationship Id="rId377" Type="http://schemas.openxmlformats.org/officeDocument/2006/relationships/hyperlink" Target="https://drive.google.com/open?id=1xuoVqr0QMgCsvz5rFTo9SVoMb5UeU67O" TargetMode="External"/><Relationship Id="rId500" Type="http://schemas.openxmlformats.org/officeDocument/2006/relationships/hyperlink" Target="https://drive.google.com/open?id=1tZvwC6rzsQDCj5lbFaKWVh3P1rWKOafa" TargetMode="External"/><Relationship Id="rId584" Type="http://schemas.openxmlformats.org/officeDocument/2006/relationships/hyperlink" Target="https://drive.google.com/open?id=1wjZLp-d60u1u4pMLRVmZviNunuo4_dWL" TargetMode="External"/><Relationship Id="rId5" Type="http://schemas.openxmlformats.org/officeDocument/2006/relationships/hyperlink" Target="https://drive.google.com/open?id=1B4eqhT6xtlTOUszrwY6nfoBTshlHSD4l" TargetMode="External"/><Relationship Id="rId237" Type="http://schemas.openxmlformats.org/officeDocument/2006/relationships/hyperlink" Target="https://drive.google.com/open?id=1S_xIhpWCnipqO8l3vqfjrx7_gB06fmn1" TargetMode="External"/><Relationship Id="rId444" Type="http://schemas.openxmlformats.org/officeDocument/2006/relationships/hyperlink" Target="https://drive.google.com/open?id=1pWjhSz02aRPeh3Gu2nw87YrCPDMuAnNn" TargetMode="External"/><Relationship Id="rId651" Type="http://schemas.openxmlformats.org/officeDocument/2006/relationships/hyperlink" Target="https://drive.google.com/open?id=17S0nuZ621-AqdZ9vMxAoKdI3ofBUA95x" TargetMode="External"/><Relationship Id="rId749" Type="http://schemas.openxmlformats.org/officeDocument/2006/relationships/hyperlink" Target="https://drive.google.com/open?id=192CUUib81oebiH3Uwg1EQpKZbzFPu8ch" TargetMode="External"/><Relationship Id="rId290" Type="http://schemas.openxmlformats.org/officeDocument/2006/relationships/hyperlink" Target="https://drive.google.com/open?id=15Pk_sGZWE6Flko1Wb2O2twwEnxSdKUX2" TargetMode="External"/><Relationship Id="rId304" Type="http://schemas.openxmlformats.org/officeDocument/2006/relationships/hyperlink" Target="https://drive.google.com/open?id=1KtTbj7IeX1qRiGMk6w-TrmpeGOo0SNxk" TargetMode="External"/><Relationship Id="rId388" Type="http://schemas.openxmlformats.org/officeDocument/2006/relationships/hyperlink" Target="https://drive.google.com/open?id=12vI9Z20YOFsMeRIFDcYp1nDbnAFwzEYW" TargetMode="External"/><Relationship Id="rId511" Type="http://schemas.openxmlformats.org/officeDocument/2006/relationships/hyperlink" Target="https://drive.google.com/open?id=198sBy60ZJuhV2m216INIEmBsIzHPJOir" TargetMode="External"/><Relationship Id="rId609" Type="http://schemas.openxmlformats.org/officeDocument/2006/relationships/hyperlink" Target="https://drive.google.com/open?id=1eC1pDXpm6Na2Yw9X6EHoZDI1_VQx9eSV" TargetMode="External"/><Relationship Id="rId85" Type="http://schemas.openxmlformats.org/officeDocument/2006/relationships/hyperlink" Target="https://drive.google.com/open?id=1W3R9v_hup1LUCJiss5p917DRrA5R7EIv" TargetMode="External"/><Relationship Id="rId150" Type="http://schemas.openxmlformats.org/officeDocument/2006/relationships/hyperlink" Target="https://drive.google.com/open?id=1w-IsasqP3t24jS8fpAoDARXoUNdVPN0Y" TargetMode="External"/><Relationship Id="rId595" Type="http://schemas.openxmlformats.org/officeDocument/2006/relationships/hyperlink" Target="https://drive.google.com/open?id=1Pdt8aypHVSwSzDIWguiP8nWMrEdB33h0" TargetMode="External"/><Relationship Id="rId248" Type="http://schemas.openxmlformats.org/officeDocument/2006/relationships/hyperlink" Target="https://drive.google.com/open?id=1zpmm0W3UGpW7gPZdfB1tomu7zAu655rf" TargetMode="External"/><Relationship Id="rId455" Type="http://schemas.openxmlformats.org/officeDocument/2006/relationships/hyperlink" Target="https://drive.google.com/open?id=1OtVz7NJkJOxhAlctniZAXLM5rkioRXHd" TargetMode="External"/><Relationship Id="rId662" Type="http://schemas.openxmlformats.org/officeDocument/2006/relationships/hyperlink" Target="https://drive.google.com/open?id=1IXNg6qLnKfWsK2iqSCIwl14UWLZf5Gng" TargetMode="External"/><Relationship Id="rId12" Type="http://schemas.openxmlformats.org/officeDocument/2006/relationships/hyperlink" Target="https://drive.google.com/open?id=1kdGC3HxK8cyPhg5MkQpXA8YVXgwBKdYF" TargetMode="External"/><Relationship Id="rId108" Type="http://schemas.openxmlformats.org/officeDocument/2006/relationships/hyperlink" Target="https://drive.google.com/open?id=1IWEHEfz3lbGYZAmHqbWoBE51TIggD5nL" TargetMode="External"/><Relationship Id="rId315" Type="http://schemas.openxmlformats.org/officeDocument/2006/relationships/hyperlink" Target="https://drive.google.com/open?id=1P8w8GvyxqUANvL9Jmnanhtu3FmIqQJiy" TargetMode="External"/><Relationship Id="rId522" Type="http://schemas.openxmlformats.org/officeDocument/2006/relationships/hyperlink" Target="https://drive.google.com/open?id=17Sl_rQ_ag42spqyJh38eNM10mb_mPENE" TargetMode="External"/><Relationship Id="rId96" Type="http://schemas.openxmlformats.org/officeDocument/2006/relationships/hyperlink" Target="https://drive.google.com/open?id=12MytZyqxTtur7HDjKk7tzk42J7to-H0B" TargetMode="External"/><Relationship Id="rId161" Type="http://schemas.openxmlformats.org/officeDocument/2006/relationships/hyperlink" Target="https://drive.google.com/open?id=1ZF9MwusSUKSs-S0c6iZa-SxEZTgYzEi5" TargetMode="External"/><Relationship Id="rId399" Type="http://schemas.openxmlformats.org/officeDocument/2006/relationships/hyperlink" Target="https://drive.google.com/open?id=1Ajs9l4X8WbxrWo2002eOfyCA9CGdMv9p" TargetMode="External"/><Relationship Id="rId259" Type="http://schemas.openxmlformats.org/officeDocument/2006/relationships/hyperlink" Target="https://drive.google.com/open?id=1KJE6jTvg3cwUXAjwv6DyLbIhO_2sf296" TargetMode="External"/><Relationship Id="rId466" Type="http://schemas.openxmlformats.org/officeDocument/2006/relationships/hyperlink" Target="https://drive.google.com/open?id=1UdFcBbraR4eMfq9v89NSg0Rw00m1jrLa" TargetMode="External"/><Relationship Id="rId673" Type="http://schemas.openxmlformats.org/officeDocument/2006/relationships/hyperlink" Target="https://drive.google.com/open?id=1CTAggaGmWTa_Z_oX62ADl7cNoIMHqgFQ" TargetMode="External"/><Relationship Id="rId23" Type="http://schemas.openxmlformats.org/officeDocument/2006/relationships/hyperlink" Target="https://drive.google.com/open?id=1ScZ7IOZPdhhfDJUXPF-CMEI1xDbJyAAv" TargetMode="External"/><Relationship Id="rId119" Type="http://schemas.openxmlformats.org/officeDocument/2006/relationships/hyperlink" Target="https://drive.google.com/open?id=1kpORz2olsLac_KiQt0KQ39YxBR7-BvWk" TargetMode="External"/><Relationship Id="rId326" Type="http://schemas.openxmlformats.org/officeDocument/2006/relationships/hyperlink" Target="https://drive.google.com/open?id=1j1LJB0cHO3-M56_bgxFu7Uv7ZXpyg8IL" TargetMode="External"/><Relationship Id="rId533" Type="http://schemas.openxmlformats.org/officeDocument/2006/relationships/hyperlink" Target="https://drive.google.com/open?id=1lZlrMRlBl-ZLTW1m78YX4pxu7K-6bUBi" TargetMode="External"/><Relationship Id="rId740" Type="http://schemas.openxmlformats.org/officeDocument/2006/relationships/hyperlink" Target="https://drive.google.com/open?id=1tl3mhFHOZyf6mgjcf4xPv-7-oHQyLmz5" TargetMode="External"/><Relationship Id="rId172" Type="http://schemas.openxmlformats.org/officeDocument/2006/relationships/hyperlink" Target="https://drive.google.com/open?id=1jXktun-HZQccdZTo1gydXxzOLTvv5CnM" TargetMode="External"/><Relationship Id="rId477" Type="http://schemas.openxmlformats.org/officeDocument/2006/relationships/hyperlink" Target="https://drive.google.com/open?id=1v01EIsd16wQQu_jl1eRzigztb8ixsaaB" TargetMode="External"/><Relationship Id="rId600" Type="http://schemas.openxmlformats.org/officeDocument/2006/relationships/hyperlink" Target="https://drive.google.com/open?id=1pSs7zzy3eJi0Z95pmNnGfABCvWGgsb_H" TargetMode="External"/><Relationship Id="rId684" Type="http://schemas.openxmlformats.org/officeDocument/2006/relationships/hyperlink" Target="https://drive.google.com/open?id=1cAMFTLKCHjWkBV2I-GunXg0YeOIJ-00c" TargetMode="External"/><Relationship Id="rId337" Type="http://schemas.openxmlformats.org/officeDocument/2006/relationships/hyperlink" Target="https://drive.google.com/open?id=1rOpA9Qf3MkBT8yJhdUGsZiyuUl0f6ufw" TargetMode="External"/><Relationship Id="rId34" Type="http://schemas.openxmlformats.org/officeDocument/2006/relationships/hyperlink" Target="https://drive.google.com/open?id=1FbWAOVoOljNV934Luz8kVJsk5CN-9IFP" TargetMode="External"/><Relationship Id="rId544" Type="http://schemas.openxmlformats.org/officeDocument/2006/relationships/hyperlink" Target="https://drive.google.com/open?id=1oFxnyj1h9VS2-8ETGMPGTcUZGcAYN4ZL" TargetMode="External"/><Relationship Id="rId751" Type="http://schemas.openxmlformats.org/officeDocument/2006/relationships/hyperlink" Target="https://drive.google.com/open?id=1wePIJtkTPBZxuduivAe0mSpK9IJ6_eEh" TargetMode="External"/><Relationship Id="rId183" Type="http://schemas.openxmlformats.org/officeDocument/2006/relationships/hyperlink" Target="https://drive.google.com/open?id=1fIttXo-0e7AW-B6zZWeKtI9UqK1Vr7U-" TargetMode="External"/><Relationship Id="rId390" Type="http://schemas.openxmlformats.org/officeDocument/2006/relationships/hyperlink" Target="https://drive.google.com/open?id=1WKQ6Zat4I6cv91_KTvrVBOEV6xr2MpY5" TargetMode="External"/><Relationship Id="rId404" Type="http://schemas.openxmlformats.org/officeDocument/2006/relationships/hyperlink" Target="https://drive.google.com/open?id=1mn0SSjIJN5TMndifLbcIyvt7Gn7ZzLDt" TargetMode="External"/><Relationship Id="rId611" Type="http://schemas.openxmlformats.org/officeDocument/2006/relationships/hyperlink" Target="https://drive.google.com/open?id=1UR6VzrlXN7BED6ACISPUMmROl_Ggh1qz" TargetMode="External"/><Relationship Id="rId250" Type="http://schemas.openxmlformats.org/officeDocument/2006/relationships/hyperlink" Target="https://drive.google.com/open?id=1Btn5Fd1QtPh7OtnhdJFnojpZJ3vuU6is" TargetMode="External"/><Relationship Id="rId488" Type="http://schemas.openxmlformats.org/officeDocument/2006/relationships/hyperlink" Target="https://drive.google.com/open?id=1zl0FM32wwsGqc5vNeMZ_jEgkKuRia6S2" TargetMode="External"/><Relationship Id="rId695" Type="http://schemas.openxmlformats.org/officeDocument/2006/relationships/hyperlink" Target="https://drive.google.com/open?id=1Nkz5PR1YPhs_TLj1JDtDK297yuCOyOj9" TargetMode="External"/><Relationship Id="rId709" Type="http://schemas.openxmlformats.org/officeDocument/2006/relationships/hyperlink" Target="https://drive.google.com/open?id=1bsMiDlZDRBWq4-h5hseMgfcMaG09BRWx" TargetMode="External"/><Relationship Id="rId45" Type="http://schemas.openxmlformats.org/officeDocument/2006/relationships/hyperlink" Target="https://drive.google.com/open?id=1rvgWR3i5McsxAnq_-ne6ZbqkJcF31fxr" TargetMode="External"/><Relationship Id="rId110" Type="http://schemas.openxmlformats.org/officeDocument/2006/relationships/hyperlink" Target="https://drive.google.com/open?id=1byWGeZTZx-0YwRF5T9ijQuTz8yqdfnDb" TargetMode="External"/><Relationship Id="rId348" Type="http://schemas.openxmlformats.org/officeDocument/2006/relationships/hyperlink" Target="https://drive.google.com/open?id=1EoNPL_1E82X1InuZl-Fo7mxvYqTLOY7X" TargetMode="External"/><Relationship Id="rId555" Type="http://schemas.openxmlformats.org/officeDocument/2006/relationships/hyperlink" Target="https://drive.google.com/open?id=1A-N-7jEjlW6kHxSpgtnAohojK6S_jEE3" TargetMode="External"/><Relationship Id="rId762" Type="http://schemas.openxmlformats.org/officeDocument/2006/relationships/hyperlink" Target="https://drive.google.com/open?id=1NziKGpNoGVQBJ--vVPZgARNfKMK01KI1" TargetMode="External"/><Relationship Id="rId194" Type="http://schemas.openxmlformats.org/officeDocument/2006/relationships/hyperlink" Target="https://drive.google.com/open?id=18ZGvBLENRDpnFtEk8pa5vgpH8LovCSxW" TargetMode="External"/><Relationship Id="rId208" Type="http://schemas.openxmlformats.org/officeDocument/2006/relationships/hyperlink" Target="https://drive.google.com/open?id=1aFiyWg3nKicVjRiTTKmWpmr6wrfEAy7Y" TargetMode="External"/><Relationship Id="rId415" Type="http://schemas.openxmlformats.org/officeDocument/2006/relationships/hyperlink" Target="https://drive.google.com/open?id=1sGwuj9VRKy0EKAY8yVgQ1Dcof6o5oKcu" TargetMode="External"/><Relationship Id="rId622" Type="http://schemas.openxmlformats.org/officeDocument/2006/relationships/hyperlink" Target="https://drive.google.com/open?id=1l0vq1U6sdFw3l4NRBTGo5zxgvr-9dRuI" TargetMode="External"/><Relationship Id="rId261" Type="http://schemas.openxmlformats.org/officeDocument/2006/relationships/hyperlink" Target="https://drive.google.com/open?id=1ToU8ynlyYDOTVYC4oabKICXuq5AnKW3p" TargetMode="External"/><Relationship Id="rId499" Type="http://schemas.openxmlformats.org/officeDocument/2006/relationships/hyperlink" Target="https://drive.google.com/open?id=1Ug5t3VNci3uyoMfvLwu4DoJcudtXmz6n" TargetMode="External"/><Relationship Id="rId56" Type="http://schemas.openxmlformats.org/officeDocument/2006/relationships/hyperlink" Target="https://drive.google.com/open?id=127AW0C839nzZAdcqYaMw-UrY4OUnaC49" TargetMode="External"/><Relationship Id="rId359" Type="http://schemas.openxmlformats.org/officeDocument/2006/relationships/hyperlink" Target="https://drive.google.com/open?id=1V3fybC-DGobMr_SsQLb8jGq39MBPwary" TargetMode="External"/><Relationship Id="rId566" Type="http://schemas.openxmlformats.org/officeDocument/2006/relationships/hyperlink" Target="https://drive.google.com/open?id=1asfdN6lSuj55iV4vkzAY9juwk-RRH0uu" TargetMode="External"/><Relationship Id="rId121" Type="http://schemas.openxmlformats.org/officeDocument/2006/relationships/hyperlink" Target="https://drive.google.com/open?id=1w0iKuQmyjwGbJ7rYkESG66j1--K7Kw9x" TargetMode="External"/><Relationship Id="rId219" Type="http://schemas.openxmlformats.org/officeDocument/2006/relationships/hyperlink" Target="https://drive.google.com/open?id=1_zRhbWe-ZIATBTKnt5Wrb3e5ad6h5zy4" TargetMode="External"/><Relationship Id="rId426" Type="http://schemas.openxmlformats.org/officeDocument/2006/relationships/hyperlink" Target="https://drive.google.com/open?id=1RbHsvYG8Vr-xXkN-ACZybU3Su2tqODs8" TargetMode="External"/><Relationship Id="rId633" Type="http://schemas.openxmlformats.org/officeDocument/2006/relationships/hyperlink" Target="https://drive.google.com/open?id=1FE0_HvNkyx3uHLZDuU658DZshp-63E4t" TargetMode="External"/><Relationship Id="rId67" Type="http://schemas.openxmlformats.org/officeDocument/2006/relationships/hyperlink" Target="https://drive.google.com/open?id=1GBl0nnG0xx1XN603Yge18K4HSJemYzOJ" TargetMode="External"/><Relationship Id="rId272" Type="http://schemas.openxmlformats.org/officeDocument/2006/relationships/hyperlink" Target="https://drive.google.com/open?id=1a89jgZ_mpPNAvxA-fn3pEpDnpQyYxyZM" TargetMode="External"/><Relationship Id="rId577" Type="http://schemas.openxmlformats.org/officeDocument/2006/relationships/hyperlink" Target="https://drive.google.com/open?id=107vLh-tHpLz0JFCbzy4bv8VfAWSobwvQ" TargetMode="External"/><Relationship Id="rId700" Type="http://schemas.openxmlformats.org/officeDocument/2006/relationships/hyperlink" Target="https://drive.google.com/open?id=1MEbN5MWCX2wNv3XIVa6p968qPB2__6Wl" TargetMode="External"/><Relationship Id="rId132" Type="http://schemas.openxmlformats.org/officeDocument/2006/relationships/hyperlink" Target="https://drive.google.com/open?id=12xA8tdA87ytI4YDWfbXDbBh_21lGhlC6" TargetMode="External"/><Relationship Id="rId437" Type="http://schemas.openxmlformats.org/officeDocument/2006/relationships/hyperlink" Target="https://drive.google.com/open?id=1WPfUXhW8cLHgHZxkW5IogO5j-ks-Ep7U" TargetMode="External"/><Relationship Id="rId644" Type="http://schemas.openxmlformats.org/officeDocument/2006/relationships/hyperlink" Target="https://drive.google.com/open?id=1c29JlK1hYarwHb69KZRXURiOigcjghFZ" TargetMode="External"/><Relationship Id="rId283" Type="http://schemas.openxmlformats.org/officeDocument/2006/relationships/hyperlink" Target="https://drive.google.com/open?id=11kUcBBqKkglYBl2WjxBweseQQrqhNbiJ" TargetMode="External"/><Relationship Id="rId490" Type="http://schemas.openxmlformats.org/officeDocument/2006/relationships/hyperlink" Target="https://drive.google.com/open?id=1EnSLOaNxEjnCT7OoDfIeiqBqy8uy1FsZ" TargetMode="External"/><Relationship Id="rId504" Type="http://schemas.openxmlformats.org/officeDocument/2006/relationships/hyperlink" Target="https://drive.google.com/open?id=1cSM7x8o4W_E3LFnpiS_Jm2WLq9tnhRZ2" TargetMode="External"/><Relationship Id="rId711" Type="http://schemas.openxmlformats.org/officeDocument/2006/relationships/hyperlink" Target="https://drive.google.com/open?id=1phbmltLQEK2mR3kTPLZlKXtmJkqUjbKv" TargetMode="External"/><Relationship Id="rId78" Type="http://schemas.openxmlformats.org/officeDocument/2006/relationships/hyperlink" Target="https://drive.google.com/open?id=1L1zMhfxTvNoi-qU4SQcbTr004amwsT8L" TargetMode="External"/><Relationship Id="rId143" Type="http://schemas.openxmlformats.org/officeDocument/2006/relationships/hyperlink" Target="https://drive.google.com/open?id=1gtaQNNyKbecMF1hVt0kUst-Ow5gy0n_U" TargetMode="External"/><Relationship Id="rId350" Type="http://schemas.openxmlformats.org/officeDocument/2006/relationships/hyperlink" Target="https://drive.google.com/open?id=1kFaXnM7AKbPqvJ7OkEBuEez0r0yNOk4J" TargetMode="External"/><Relationship Id="rId588" Type="http://schemas.openxmlformats.org/officeDocument/2006/relationships/hyperlink" Target="https://drive.google.com/open?id=1DhSnZ69qVniIEuIV6Sj5XL01lXVYCBSB" TargetMode="External"/><Relationship Id="rId9" Type="http://schemas.openxmlformats.org/officeDocument/2006/relationships/hyperlink" Target="https://drive.google.com/open?id=1KqskbhHVrDUN2HojQEHtK5JZwT3Tmxoz" TargetMode="External"/><Relationship Id="rId210" Type="http://schemas.openxmlformats.org/officeDocument/2006/relationships/hyperlink" Target="https://drive.google.com/open?id=1nARL6r93gj8v1ZcpPA2aTvnZZw4YZEE2" TargetMode="External"/><Relationship Id="rId448" Type="http://schemas.openxmlformats.org/officeDocument/2006/relationships/hyperlink" Target="https://drive.google.com/open?id=1QtbtvLWTBhNXZvDVypiun7FhSG7Wn0YN" TargetMode="External"/><Relationship Id="rId655" Type="http://schemas.openxmlformats.org/officeDocument/2006/relationships/hyperlink" Target="https://drive.google.com/open?id=14AuT_Gvb74eDAlwEuQ8_yb8X9RlK6cAF" TargetMode="External"/><Relationship Id="rId294" Type="http://schemas.openxmlformats.org/officeDocument/2006/relationships/hyperlink" Target="https://drive.google.com/open?id=1DR6n0B5vS7rx8FgO0IsPV3YHM7XgoHqq" TargetMode="External"/><Relationship Id="rId308" Type="http://schemas.openxmlformats.org/officeDocument/2006/relationships/hyperlink" Target="https://drive.google.com/open?id=1B45LHuXyosLJYJfrfizCUPhkpMVKLUxC" TargetMode="External"/><Relationship Id="rId515" Type="http://schemas.openxmlformats.org/officeDocument/2006/relationships/hyperlink" Target="https://drive.google.com/open?id=1pJnAHkwhsnPJtQBH37JAkhjqh901yg2r" TargetMode="External"/><Relationship Id="rId722" Type="http://schemas.openxmlformats.org/officeDocument/2006/relationships/hyperlink" Target="https://drive.google.com/open?id=1ZPfIrmV7dCUeaFjoT2l1nJVDvHUuN3Dx" TargetMode="External"/><Relationship Id="rId89" Type="http://schemas.openxmlformats.org/officeDocument/2006/relationships/hyperlink" Target="https://drive.google.com/open?id=1KxtjneWk-xmDymWeFiQvMkzvSpLeO477" TargetMode="External"/><Relationship Id="rId154" Type="http://schemas.openxmlformats.org/officeDocument/2006/relationships/hyperlink" Target="https://drive.google.com/open?id=1nMcjeDp3LFt1z1cRZug48GyfV1fbyZTG" TargetMode="External"/><Relationship Id="rId361" Type="http://schemas.openxmlformats.org/officeDocument/2006/relationships/hyperlink" Target="https://drive.google.com/open?id=1XzpEHnmsRo1Uja7H4Ago-dTSgB7E3juT" TargetMode="External"/><Relationship Id="rId599" Type="http://schemas.openxmlformats.org/officeDocument/2006/relationships/hyperlink" Target="https://drive.google.com/open?id=1mQBFKyhqohX-jOzI2tnPUxJ-CqO5aJpf" TargetMode="External"/><Relationship Id="rId459" Type="http://schemas.openxmlformats.org/officeDocument/2006/relationships/hyperlink" Target="https://drive.google.com/open?id=12U8nlGkFFj4wHZie88BUI6ywlqI9YugT" TargetMode="External"/><Relationship Id="rId666" Type="http://schemas.openxmlformats.org/officeDocument/2006/relationships/hyperlink" Target="https://drive.google.com/open?id=1twtW4Nmwd1QXFtq_YqRwnnhHTCc_X3wn" TargetMode="External"/><Relationship Id="rId16" Type="http://schemas.openxmlformats.org/officeDocument/2006/relationships/hyperlink" Target="https://drive.google.com/open?id=1ig_8iP1h4iycn08YAtmzeVSpDUbm7gtY" TargetMode="External"/><Relationship Id="rId221" Type="http://schemas.openxmlformats.org/officeDocument/2006/relationships/hyperlink" Target="https://drive.google.com/open?id=1jkM9Pz_-gM1Q-WaB6KkKawPZ14FeI4li" TargetMode="External"/><Relationship Id="rId319" Type="http://schemas.openxmlformats.org/officeDocument/2006/relationships/hyperlink" Target="https://drive.google.com/open?id=19Bz4-TSyMFGw2NJTz2LV242aaUzJXp0-" TargetMode="External"/><Relationship Id="rId526" Type="http://schemas.openxmlformats.org/officeDocument/2006/relationships/hyperlink" Target="https://drive.google.com/open?id=10YCOw4UsW0uhFlhA-QSLmEDz3KUDJMRG" TargetMode="External"/><Relationship Id="rId733" Type="http://schemas.openxmlformats.org/officeDocument/2006/relationships/hyperlink" Target="https://drive.google.com/open?id=1BMaENX90Y4WR0qcOD1aitqdZuLUI3Y_e" TargetMode="External"/><Relationship Id="rId165" Type="http://schemas.openxmlformats.org/officeDocument/2006/relationships/hyperlink" Target="https://drive.google.com/open?id=1lkOA7apObZaQGPC_yRymnEcyRs5JFC-y" TargetMode="External"/><Relationship Id="rId372" Type="http://schemas.openxmlformats.org/officeDocument/2006/relationships/hyperlink" Target="https://drive.google.com/open?id=1KVLd8bu3XroEMIX5eGBRLp0Ny1PYDFLa" TargetMode="External"/><Relationship Id="rId677" Type="http://schemas.openxmlformats.org/officeDocument/2006/relationships/hyperlink" Target="https://drive.google.com/open?id=1F0bEQ0NIRcGA9hAz_lnJMgqUTieVjbys" TargetMode="External"/><Relationship Id="rId232" Type="http://schemas.openxmlformats.org/officeDocument/2006/relationships/hyperlink" Target="https://drive.google.com/open?id=18TIirDTEcMvezXQ8kG1pGurYT2PnZ9xW" TargetMode="External"/><Relationship Id="rId27" Type="http://schemas.openxmlformats.org/officeDocument/2006/relationships/hyperlink" Target="https://drive.google.com/open?id=1_fCZDqKNIBX0w3m-dkaM6PGiYSEGIZC1" TargetMode="External"/><Relationship Id="rId537" Type="http://schemas.openxmlformats.org/officeDocument/2006/relationships/hyperlink" Target="https://drive.google.com/open?id=1wLqkG0B7CZj2enTBSaRevw6zhdZ39qcw" TargetMode="External"/><Relationship Id="rId744" Type="http://schemas.openxmlformats.org/officeDocument/2006/relationships/hyperlink" Target="https://drive.google.com/open?id=18mtx8Qh8QHls3niSfI1jM6LKdhvuuQeL" TargetMode="External"/><Relationship Id="rId80" Type="http://schemas.openxmlformats.org/officeDocument/2006/relationships/hyperlink" Target="https://drive.google.com/open?id=1DNSPS149gUyqLMTKWt0qSnJScql9abxN" TargetMode="External"/><Relationship Id="rId176" Type="http://schemas.openxmlformats.org/officeDocument/2006/relationships/hyperlink" Target="https://drive.google.com/open?id=1GHLPz2KKWtbbMW9wN7c_o4y2rt_PJ1IG" TargetMode="External"/><Relationship Id="rId383" Type="http://schemas.openxmlformats.org/officeDocument/2006/relationships/hyperlink" Target="https://drive.google.com/open?id=1GZ6HmXd0Z96Lgo4uEZ3qL3WT5kxQ6Pde" TargetMode="External"/><Relationship Id="rId590" Type="http://schemas.openxmlformats.org/officeDocument/2006/relationships/hyperlink" Target="https://drive.google.com/open?id=1tXo0HN5OLkUMNJa9xtUoZ2zzgNTuxps5" TargetMode="External"/><Relationship Id="rId604" Type="http://schemas.openxmlformats.org/officeDocument/2006/relationships/hyperlink" Target="https://drive.google.com/open?id=1FnC69aIhT2LBAjYSJwvd29MN09KMBmLd" TargetMode="External"/><Relationship Id="rId243" Type="http://schemas.openxmlformats.org/officeDocument/2006/relationships/hyperlink" Target="https://drive.google.com/open?id=14-6G2e_21ywg6bnLAmBUKYzIZlJF7i-X" TargetMode="External"/><Relationship Id="rId450" Type="http://schemas.openxmlformats.org/officeDocument/2006/relationships/hyperlink" Target="https://drive.google.com/open?id=1oaGjs8hJ2R12P4G98dW9kU2e-yGO4_xl" TargetMode="External"/><Relationship Id="rId688" Type="http://schemas.openxmlformats.org/officeDocument/2006/relationships/hyperlink" Target="https://drive.google.com/open?id=1fKww0SyugKLD3tmwY4Wlsn4glHuSBXmG" TargetMode="External"/><Relationship Id="rId38" Type="http://schemas.openxmlformats.org/officeDocument/2006/relationships/hyperlink" Target="https://drive.google.com/open?id=1cPx_WF0s9doUfM1_GkZe3bOU5GdjrSt5" TargetMode="External"/><Relationship Id="rId103" Type="http://schemas.openxmlformats.org/officeDocument/2006/relationships/hyperlink" Target="https://drive.google.com/open?id=1Yf2zDUoI8_xkNYtSbliWFcbfmxkzIlSp" TargetMode="External"/><Relationship Id="rId310" Type="http://schemas.openxmlformats.org/officeDocument/2006/relationships/hyperlink" Target="https://drive.google.com/open?id=1yXWfjkTzVJACdP3CmygqEhe8TFipaIH7" TargetMode="External"/><Relationship Id="rId548" Type="http://schemas.openxmlformats.org/officeDocument/2006/relationships/hyperlink" Target="https://drive.google.com/open?id=1pCYnpmlYoFMaw-kdno5tsj-86aWCShCa" TargetMode="External"/><Relationship Id="rId755" Type="http://schemas.openxmlformats.org/officeDocument/2006/relationships/hyperlink" Target="https://drive.google.com/open?id=1gvIeJBmIWboglyfy7muQNi943qgd3l6N" TargetMode="External"/><Relationship Id="rId91" Type="http://schemas.openxmlformats.org/officeDocument/2006/relationships/hyperlink" Target="https://drive.google.com/open?id=1Xptl1fq8dz1QeoTmoamjU_iN5PqHa11t" TargetMode="External"/><Relationship Id="rId187" Type="http://schemas.openxmlformats.org/officeDocument/2006/relationships/hyperlink" Target="https://drive.google.com/open?id=1wwftrjGcCgXc829tPDxaqXf_VUtsK_MT" TargetMode="External"/><Relationship Id="rId394" Type="http://schemas.openxmlformats.org/officeDocument/2006/relationships/hyperlink" Target="https://drive.google.com/open?id=1Gwih3gqGq6Q54ZAYZdM5T7GpIxCh4skf" TargetMode="External"/><Relationship Id="rId408" Type="http://schemas.openxmlformats.org/officeDocument/2006/relationships/hyperlink" Target="https://drive.google.com/open?id=1hK2pBkdTZDKlPOmiNsZBHAE_l9PK0ReV" TargetMode="External"/><Relationship Id="rId615" Type="http://schemas.openxmlformats.org/officeDocument/2006/relationships/hyperlink" Target="https://drive.google.com/open?id=1Ezod3LTtx06q8Nryu-0ZbTaoweFYbeQy" TargetMode="External"/><Relationship Id="rId254" Type="http://schemas.openxmlformats.org/officeDocument/2006/relationships/hyperlink" Target="https://drive.google.com/open?id=1uVtJF_NIxSsHhdA36qHb5H9Q1jIBSLHj" TargetMode="External"/><Relationship Id="rId699" Type="http://schemas.openxmlformats.org/officeDocument/2006/relationships/hyperlink" Target="https://drive.google.com/open?id=1iT3aQy7f8kCQcjnxTkXNfUB3IGNLj-sQ" TargetMode="External"/><Relationship Id="rId49" Type="http://schemas.openxmlformats.org/officeDocument/2006/relationships/hyperlink" Target="https://drive.google.com/open?id=16P-7gXP6ohJrWg3eywzto-usP9EqpkTz" TargetMode="External"/><Relationship Id="rId114" Type="http://schemas.openxmlformats.org/officeDocument/2006/relationships/hyperlink" Target="https://drive.google.com/open?id=1EfuGEnP_eBHvTjbT1pv_KO0PWBL4P-GW" TargetMode="External"/><Relationship Id="rId461" Type="http://schemas.openxmlformats.org/officeDocument/2006/relationships/hyperlink" Target="https://drive.google.com/open?id=1hPgl68HaJ-zzV1WqFQtYWNEhmfy5PCLs" TargetMode="External"/><Relationship Id="rId559" Type="http://schemas.openxmlformats.org/officeDocument/2006/relationships/hyperlink" Target="https://drive.google.com/open?id=1d9vD1QBmDfwIF3W6hIiCWW4h5GHAugI0" TargetMode="External"/><Relationship Id="rId198" Type="http://schemas.openxmlformats.org/officeDocument/2006/relationships/hyperlink" Target="https://drive.google.com/open?id=1-zCDceZm8HrT2MI98eNitL7FcvuByl22" TargetMode="External"/><Relationship Id="rId321" Type="http://schemas.openxmlformats.org/officeDocument/2006/relationships/hyperlink" Target="https://drive.google.com/open?id=19h15cFhPipW5vUj08jHS_uz6zvL_TrVJ" TargetMode="External"/><Relationship Id="rId419" Type="http://schemas.openxmlformats.org/officeDocument/2006/relationships/hyperlink" Target="https://drive.google.com/open?id=1Oon8p6ylgk_W4ZWn769axktQh7m85hqJ" TargetMode="External"/><Relationship Id="rId626" Type="http://schemas.openxmlformats.org/officeDocument/2006/relationships/hyperlink" Target="https://drive.google.com/open?id=1qbg09HWRvHvWMuQIuQSJ6sD4O5Mao3IC" TargetMode="External"/><Relationship Id="rId265" Type="http://schemas.openxmlformats.org/officeDocument/2006/relationships/hyperlink" Target="https://drive.google.com/open?id=1ywwRx2BTwuQhj21kkoPE0IoFic1e0lG4" TargetMode="External"/><Relationship Id="rId472" Type="http://schemas.openxmlformats.org/officeDocument/2006/relationships/hyperlink" Target="https://drive.google.com/open?id=16PngkmY2MrkDIn-g-e6sl8BNXl8J7Lpi" TargetMode="External"/><Relationship Id="rId125" Type="http://schemas.openxmlformats.org/officeDocument/2006/relationships/hyperlink" Target="https://drive.google.com/open?id=1b3VHZTk5JSmej9BlE4_egVB0SC9_mGf8" TargetMode="External"/><Relationship Id="rId332" Type="http://schemas.openxmlformats.org/officeDocument/2006/relationships/hyperlink" Target="https://drive.google.com/open?id=1Om5mTkeCm46j56W_vD94EOFJ_nV1AU5X" TargetMode="External"/><Relationship Id="rId637" Type="http://schemas.openxmlformats.org/officeDocument/2006/relationships/hyperlink" Target="https://drive.google.com/open?id=1j4dQCVh65KHXq89qFXkKzrxq4tCfzD-j" TargetMode="External"/><Relationship Id="rId276" Type="http://schemas.openxmlformats.org/officeDocument/2006/relationships/hyperlink" Target="https://drive.google.com/open?id=1T_NXKMeQmB7MiH4olcxYiiU7HYwI_m2z" TargetMode="External"/><Relationship Id="rId483" Type="http://schemas.openxmlformats.org/officeDocument/2006/relationships/hyperlink" Target="https://drive.google.com/open?id=1BKGViztp3IVXKGp0QsPQ8GzQD5egv4tn" TargetMode="External"/><Relationship Id="rId690" Type="http://schemas.openxmlformats.org/officeDocument/2006/relationships/hyperlink" Target="https://drive.google.com/open?id=1a0W0kLYN6X4c54EQ7RRsH55ywL6cAV93" TargetMode="External"/><Relationship Id="rId704" Type="http://schemas.openxmlformats.org/officeDocument/2006/relationships/hyperlink" Target="https://drive.google.com/open?id=1Rhhs-qPEZEVOUicbNK5xhYO7WNkLgKRA" TargetMode="External"/><Relationship Id="rId40" Type="http://schemas.openxmlformats.org/officeDocument/2006/relationships/hyperlink" Target="https://drive.google.com/open?id=1snLSTDItYM6XqrV7D2RDPUr_OFCaKzBn" TargetMode="External"/><Relationship Id="rId136" Type="http://schemas.openxmlformats.org/officeDocument/2006/relationships/hyperlink" Target="https://drive.google.com/open?id=1iwLu_bWwmWVWWsS1xqwK7HIQDR5WiX5h" TargetMode="External"/><Relationship Id="rId343" Type="http://schemas.openxmlformats.org/officeDocument/2006/relationships/hyperlink" Target="https://drive.google.com/open?id=1ewXXWm2TWYbNSnabislMMRorrSBEDccP" TargetMode="External"/><Relationship Id="rId550" Type="http://schemas.openxmlformats.org/officeDocument/2006/relationships/hyperlink" Target="https://drive.google.com/open?id=1_IwNi8vxw7ykR1mhqexmx1rJV-IOttVY" TargetMode="External"/><Relationship Id="rId203" Type="http://schemas.openxmlformats.org/officeDocument/2006/relationships/hyperlink" Target="https://drive.google.com/open?id=1Sa0mof6HF9WoRTINJHjV102SRQUn-hmg" TargetMode="External"/><Relationship Id="rId648" Type="http://schemas.openxmlformats.org/officeDocument/2006/relationships/hyperlink" Target="https://drive.google.com/open?id=1G1RlYV30pCbXGPQFAePsPFOPnByNKUBj" TargetMode="External"/><Relationship Id="rId287" Type="http://schemas.openxmlformats.org/officeDocument/2006/relationships/hyperlink" Target="https://drive.google.com/open?id=16Z5RdP2vQp6lMUtgglv2xjoJf6auni2F" TargetMode="External"/><Relationship Id="rId410" Type="http://schemas.openxmlformats.org/officeDocument/2006/relationships/hyperlink" Target="https://drive.google.com/open?id=1gwt9YnCs_Mw_5hdc2VLXTf3wKncfuc6Q" TargetMode="External"/><Relationship Id="rId494" Type="http://schemas.openxmlformats.org/officeDocument/2006/relationships/hyperlink" Target="https://drive.google.com/open?id=1BH-PRg3x3i8kT7ptfZj5TSMnBWA5QRY1" TargetMode="External"/><Relationship Id="rId508" Type="http://schemas.openxmlformats.org/officeDocument/2006/relationships/hyperlink" Target="https://drive.google.com/open?id=1SU1986z5Bl7T2ntuXWAw2vduIF4Z19lT" TargetMode="External"/><Relationship Id="rId715" Type="http://schemas.openxmlformats.org/officeDocument/2006/relationships/hyperlink" Target="https://drive.google.com/open?id=1DyiaPLijpbCG-XVC9VwD49bqqZ2URv9k" TargetMode="External"/><Relationship Id="rId147" Type="http://schemas.openxmlformats.org/officeDocument/2006/relationships/hyperlink" Target="https://drive.google.com/open?id=1GfiUIYmtc5lHuKVXjJFvcD_dMpiJydpn" TargetMode="External"/><Relationship Id="rId354" Type="http://schemas.openxmlformats.org/officeDocument/2006/relationships/hyperlink" Target="https://drive.google.com/open?id=1I29xo311bxhhi0UhASwQ_9tsxhTs0JSF" TargetMode="External"/><Relationship Id="rId51" Type="http://schemas.openxmlformats.org/officeDocument/2006/relationships/hyperlink" Target="https://drive.google.com/open?id=1jjoaRfGp6aVW5F5X17X0ibtIlEwpilm3" TargetMode="External"/><Relationship Id="rId561" Type="http://schemas.openxmlformats.org/officeDocument/2006/relationships/hyperlink" Target="https://drive.google.com/open?id=1zx7EtsWxcpgDi3bY2U3OCgWVposD6Bov" TargetMode="External"/><Relationship Id="rId659" Type="http://schemas.openxmlformats.org/officeDocument/2006/relationships/hyperlink" Target="https://drive.google.com/open?id=1bQZN1sdfANiS5a7TIxmGbUcEMHCKl7ad" TargetMode="External"/><Relationship Id="rId214" Type="http://schemas.openxmlformats.org/officeDocument/2006/relationships/hyperlink" Target="https://drive.google.com/open?id=1aUFVkujqx_v1nB1Enlhrf5_3ygCp9yAP" TargetMode="External"/><Relationship Id="rId298" Type="http://schemas.openxmlformats.org/officeDocument/2006/relationships/hyperlink" Target="https://drive.google.com/open?id=104yQPZ9U-vypFW9lO_evhFhRF4jQHd61" TargetMode="External"/><Relationship Id="rId421" Type="http://schemas.openxmlformats.org/officeDocument/2006/relationships/hyperlink" Target="https://drive.google.com/open?id=1ZZA504_CZJJomGE-VQrhHmlKo50Jlrb8" TargetMode="External"/><Relationship Id="rId519" Type="http://schemas.openxmlformats.org/officeDocument/2006/relationships/hyperlink" Target="https://drive.google.com/open?id=1AJghTvCvOYf2111qo8ySsjxTH-es7gtq" TargetMode="External"/><Relationship Id="rId158" Type="http://schemas.openxmlformats.org/officeDocument/2006/relationships/hyperlink" Target="https://drive.google.com/open?id=1nRDBC7pTdfCiYyaiOh-weXyRCKy4G_dh" TargetMode="External"/><Relationship Id="rId726" Type="http://schemas.openxmlformats.org/officeDocument/2006/relationships/hyperlink" Target="https://drive.google.com/open?id=1FjXr1Ng9TffXmB4XF1qXNJ2ZIcpbIWnl" TargetMode="External"/><Relationship Id="rId62" Type="http://schemas.openxmlformats.org/officeDocument/2006/relationships/hyperlink" Target="https://drive.google.com/open?id=1EqVwWxFgPBJOHvjZA0jScf8rURHuLvfM" TargetMode="External"/><Relationship Id="rId365" Type="http://schemas.openxmlformats.org/officeDocument/2006/relationships/hyperlink" Target="https://drive.google.com/open?id=1Sx1ZyD2BHcQN0GDSRkGEnVP0HUCSDu2X" TargetMode="External"/><Relationship Id="rId572" Type="http://schemas.openxmlformats.org/officeDocument/2006/relationships/hyperlink" Target="https://drive.google.com/open?id=1O9IChSxdXxCNQaVY-oWkutdb5PWmDKzV" TargetMode="External"/><Relationship Id="rId225" Type="http://schemas.openxmlformats.org/officeDocument/2006/relationships/hyperlink" Target="https://drive.google.com/open?id=1RJuokXaS3doZU8nzhvmSWD7IgeoPV_x4" TargetMode="External"/><Relationship Id="rId432" Type="http://schemas.openxmlformats.org/officeDocument/2006/relationships/hyperlink" Target="https://drive.google.com/open?id=1_y6iGGdoyvfMVY7JXc1BYWAP6GB_1jpL" TargetMode="External"/><Relationship Id="rId737" Type="http://schemas.openxmlformats.org/officeDocument/2006/relationships/hyperlink" Target="https://drive.google.com/open?id=175hZfT5mALbCnDjklXXHfa7xUoGcLVfa" TargetMode="External"/><Relationship Id="rId73" Type="http://schemas.openxmlformats.org/officeDocument/2006/relationships/hyperlink" Target="https://drive.google.com/open?id=1Ubp8_c4h7akiK0B3O4DqW0FOv0a_NPLu" TargetMode="External"/><Relationship Id="rId169" Type="http://schemas.openxmlformats.org/officeDocument/2006/relationships/hyperlink" Target="https://drive.google.com/open?id=1XD6n55u4083weBmzcpH610mjDGhsoYfd" TargetMode="External"/><Relationship Id="rId376" Type="http://schemas.openxmlformats.org/officeDocument/2006/relationships/hyperlink" Target="https://drive.google.com/open?id=1jRQLjFUB42L-7lWbY9cFdYdWHXICyjt1" TargetMode="External"/><Relationship Id="rId583" Type="http://schemas.openxmlformats.org/officeDocument/2006/relationships/hyperlink" Target="https://drive.google.com/open?id=1T4gMGUJ4XFABiYSCEBCvvtmcUDdii7k5" TargetMode="External"/></Relationships>
</file>

<file path=xl/worksheets/_rels/sheet7.xml.rels><?xml version="1.0" encoding="UTF-8" standalone="yes"?>
<Relationships xmlns="http://schemas.openxmlformats.org/package/2006/relationships"><Relationship Id="rId26" Type="http://schemas.openxmlformats.org/officeDocument/2006/relationships/hyperlink" Target="https://drive.google.com/open?id=1mmZ91l860Gob8yBSsKcYE-clugg18T9H" TargetMode="External"/><Relationship Id="rId117" Type="http://schemas.openxmlformats.org/officeDocument/2006/relationships/hyperlink" Target="https://drive.google.com/open?id=1CXij0NCjjlHixbFN2sf5gEXDE3wvUNSd" TargetMode="External"/><Relationship Id="rId21" Type="http://schemas.openxmlformats.org/officeDocument/2006/relationships/hyperlink" Target="https://drive.google.com/open?id=1u9whwEgeafFtxo1K4e69WtfCHd4-5x7u" TargetMode="External"/><Relationship Id="rId42" Type="http://schemas.openxmlformats.org/officeDocument/2006/relationships/hyperlink" Target="https://drive.google.com/open?id=1lxAJST8TXOy3XcL_6b_yYdnKszShgTct" TargetMode="External"/><Relationship Id="rId47" Type="http://schemas.openxmlformats.org/officeDocument/2006/relationships/hyperlink" Target="https://drive.google.com/open?id=19Vnr-yfir3mSMfja5hULLq4nv1UtLUFs" TargetMode="External"/><Relationship Id="rId63" Type="http://schemas.openxmlformats.org/officeDocument/2006/relationships/hyperlink" Target="https://drive.google.com/open?id=1GYI3beS34UKdwNxyKDCVgA7e5RJ2y8RA" TargetMode="External"/><Relationship Id="rId68" Type="http://schemas.openxmlformats.org/officeDocument/2006/relationships/hyperlink" Target="https://drive.google.com/open?id=1_Ond_jtt-d4exjAneB4sKCd2EikihoCK" TargetMode="External"/><Relationship Id="rId84" Type="http://schemas.openxmlformats.org/officeDocument/2006/relationships/hyperlink" Target="https://drive.google.com/open?id=1BoUN3WLMggs9Bm6YOfMVjkHpYDJ16YUP" TargetMode="External"/><Relationship Id="rId89" Type="http://schemas.openxmlformats.org/officeDocument/2006/relationships/hyperlink" Target="http://1stop.ai/" TargetMode="External"/><Relationship Id="rId112" Type="http://schemas.openxmlformats.org/officeDocument/2006/relationships/hyperlink" Target="https://drive.google.com/open?id=1i7HvRm7o_Fo5ru2AXb8mglLcWf9bU4VQ" TargetMode="External"/><Relationship Id="rId16" Type="http://schemas.openxmlformats.org/officeDocument/2006/relationships/hyperlink" Target="https://drive.google.com/open?id=1DJ2JnCvQr30lA7e1yMtsehGcovvjzUil" TargetMode="External"/><Relationship Id="rId107" Type="http://schemas.openxmlformats.org/officeDocument/2006/relationships/hyperlink" Target="https://drive.google.com/open?id=1eU1ODAZjWmC1lWUo_kbTMctGyyaKRRwt" TargetMode="External"/><Relationship Id="rId11" Type="http://schemas.openxmlformats.org/officeDocument/2006/relationships/hyperlink" Target="https://drive.google.com/open?id=1uAFAwt3dYk4mRC_UPUBn5AW5Zxo56IkM" TargetMode="External"/><Relationship Id="rId32" Type="http://schemas.openxmlformats.org/officeDocument/2006/relationships/hyperlink" Target="https://drive.google.com/open?id=1dMNxi_Or7UhKxJPL3YEinENFdowglzpI" TargetMode="External"/><Relationship Id="rId37" Type="http://schemas.openxmlformats.org/officeDocument/2006/relationships/hyperlink" Target="https://drive.google.com/open?id=1Xa6M5OzsQg1V9f_t8BfVNYGChbG7C8wf" TargetMode="External"/><Relationship Id="rId53" Type="http://schemas.openxmlformats.org/officeDocument/2006/relationships/hyperlink" Target="https://drive.google.com/open?id=1N7m8oEXhRnGzxG2-xw3itirH2SvkA6r9" TargetMode="External"/><Relationship Id="rId58" Type="http://schemas.openxmlformats.org/officeDocument/2006/relationships/hyperlink" Target="https://drive.google.com/open?id=1JKiX_JHVCRcuVNSyJyJaAbmdcYd1jhGE" TargetMode="External"/><Relationship Id="rId74" Type="http://schemas.openxmlformats.org/officeDocument/2006/relationships/hyperlink" Target="https://drive.google.com/open?id=1CUBc4XwsGKxtG0Gm3o57OEqgjSf_ux31" TargetMode="External"/><Relationship Id="rId79" Type="http://schemas.openxmlformats.org/officeDocument/2006/relationships/hyperlink" Target="https://drive.google.com/open?id=1f6QUzmNI0NAK3xQ4rBtytOxYcgP1jjNk" TargetMode="External"/><Relationship Id="rId102" Type="http://schemas.openxmlformats.org/officeDocument/2006/relationships/hyperlink" Target="https://drive.google.com/open?id=18KJNAHlNOgi39ODIHQNwA6UZDkEVrb_G" TargetMode="External"/><Relationship Id="rId5" Type="http://schemas.openxmlformats.org/officeDocument/2006/relationships/hyperlink" Target="https://drive.google.com/open?id=1Pe0T8pWf12QdeQ2l38yTmPICsIyeZbQy" TargetMode="External"/><Relationship Id="rId90" Type="http://schemas.openxmlformats.org/officeDocument/2006/relationships/hyperlink" Target="https://drive.google.com/open?id=1xHB7KlbUemK4WT97QXCv1wmS6wBM8Ib9" TargetMode="External"/><Relationship Id="rId95" Type="http://schemas.openxmlformats.org/officeDocument/2006/relationships/hyperlink" Target="https://drive.google.com/open?id=1NXOPsyh955aIGZjzTRRVIr0FWUw4rpis" TargetMode="External"/><Relationship Id="rId22" Type="http://schemas.openxmlformats.org/officeDocument/2006/relationships/hyperlink" Target="https://drive.google.com/open?id=1Y9_qqWpPAcz7k69iFzE4GAdFFfx03ljx" TargetMode="External"/><Relationship Id="rId27" Type="http://schemas.openxmlformats.org/officeDocument/2006/relationships/hyperlink" Target="https://drive.google.com/open?id=1ERDbRT7AXsv2WVl9XVABo_pFFLRjA9xp" TargetMode="External"/><Relationship Id="rId43" Type="http://schemas.openxmlformats.org/officeDocument/2006/relationships/hyperlink" Target="https://drive.google.com/open?id=1xgPDjIIWtlF8N_AbDktqiqkbj0DwF7lD" TargetMode="External"/><Relationship Id="rId48" Type="http://schemas.openxmlformats.org/officeDocument/2006/relationships/hyperlink" Target="https://drive.google.com/open?id=1b10yQQiqJa5x-8VGCPcRG_CInB4HWbui" TargetMode="External"/><Relationship Id="rId64" Type="http://schemas.openxmlformats.org/officeDocument/2006/relationships/hyperlink" Target="https://drive.google.com/open?id=1iOl5zk8jwAhdEaC20sFGrBDFkqGX_xRy" TargetMode="External"/><Relationship Id="rId69" Type="http://schemas.openxmlformats.org/officeDocument/2006/relationships/hyperlink" Target="https://drive.google.com/open?id=1YuVsBrH8JGCYk8UYHg-tqKCJZ8AOJa3k" TargetMode="External"/><Relationship Id="rId113" Type="http://schemas.openxmlformats.org/officeDocument/2006/relationships/hyperlink" Target="https://drive.google.com/open?id=1KXxLf3kmQ7XkswAbYhV3eiJBIuHbXixm" TargetMode="External"/><Relationship Id="rId118" Type="http://schemas.openxmlformats.org/officeDocument/2006/relationships/hyperlink" Target="https://drive.google.com/open?id=1pUeLcOiE1mkVTh4yivLyyXGlkX3NswyC" TargetMode="External"/><Relationship Id="rId80" Type="http://schemas.openxmlformats.org/officeDocument/2006/relationships/hyperlink" Target="https://drive.google.com/open?id=1FPX2QrZLTvGZfjzHUBavNjiV9l1kTGPq" TargetMode="External"/><Relationship Id="rId85" Type="http://schemas.openxmlformats.org/officeDocument/2006/relationships/hyperlink" Target="https://drive.google.com/open?id=1-VEYMCW3l0PXFEtYFpD3jldSLz6PLv8l" TargetMode="External"/><Relationship Id="rId12" Type="http://schemas.openxmlformats.org/officeDocument/2006/relationships/hyperlink" Target="https://drive.google.com/open?id=18nREiU1AqlhbNSEtT3q_qfWZ3kD-lLE5" TargetMode="External"/><Relationship Id="rId17" Type="http://schemas.openxmlformats.org/officeDocument/2006/relationships/hyperlink" Target="https://drive.google.com/open?id=1bymUP6eHfxlufPNEm_LBn01j8OdUH3ZD" TargetMode="External"/><Relationship Id="rId33" Type="http://schemas.openxmlformats.org/officeDocument/2006/relationships/hyperlink" Target="https://drive.google.com/open?id=19Ka6YBVza_JMpDFUmAyufew4waw_D5y0" TargetMode="External"/><Relationship Id="rId38" Type="http://schemas.openxmlformats.org/officeDocument/2006/relationships/hyperlink" Target="https://drive.google.com/open?id=1WASeusBpiMpHwN8Tc4olsQAqUnPt0BGt" TargetMode="External"/><Relationship Id="rId59" Type="http://schemas.openxmlformats.org/officeDocument/2006/relationships/hyperlink" Target="https://drive.google.com/open?id=1-YPdD-Vl_sybYqQmOafz3bTBgBWsgVDU" TargetMode="External"/><Relationship Id="rId103" Type="http://schemas.openxmlformats.org/officeDocument/2006/relationships/hyperlink" Target="https://drive.google.com/open?id=1K4YvXyrOQTuJ2FfJ45B5JuJcD8DQ_fTh" TargetMode="External"/><Relationship Id="rId108" Type="http://schemas.openxmlformats.org/officeDocument/2006/relationships/hyperlink" Target="https://drive.google.com/open?id=1CdIhKOLxHMKon7MhlxfbyeqhVil30Pmz" TargetMode="External"/><Relationship Id="rId54" Type="http://schemas.openxmlformats.org/officeDocument/2006/relationships/hyperlink" Target="https://drive.google.com/open?id=1IrAvW02zQnWaBoFjCxeNvfNtAZnO5_n7" TargetMode="External"/><Relationship Id="rId70" Type="http://schemas.openxmlformats.org/officeDocument/2006/relationships/hyperlink" Target="https://drive.google.com/open?id=1hsdS8x6QAkr093ZKVQozx_VW02UX_ciT" TargetMode="External"/><Relationship Id="rId75" Type="http://schemas.openxmlformats.org/officeDocument/2006/relationships/hyperlink" Target="https://drive.google.com/open?id=1wRDnWjVgTMxaH-hngAwYfoHXbiKKZt70" TargetMode="External"/><Relationship Id="rId91" Type="http://schemas.openxmlformats.org/officeDocument/2006/relationships/hyperlink" Target="https://drive.google.com/open?id=1SITLo59BA2g6jPYZieToe5GLnG9g9zbO" TargetMode="External"/><Relationship Id="rId96" Type="http://schemas.openxmlformats.org/officeDocument/2006/relationships/hyperlink" Target="https://drive.google.com/open?id=1g38x1n1M60apvsFzB3wZCCoaSepNDmv9" TargetMode="External"/><Relationship Id="rId1" Type="http://schemas.openxmlformats.org/officeDocument/2006/relationships/hyperlink" Target="https://drive.google.com/open?id=1GzSlloib5_ZjM3U8BaXAS0iZVY4Qvefl" TargetMode="External"/><Relationship Id="rId6" Type="http://schemas.openxmlformats.org/officeDocument/2006/relationships/hyperlink" Target="https://drive.google.com/open?id=1W3oS3s45iTQmlMEJQi1z29zqvH6WU2Oe" TargetMode="External"/><Relationship Id="rId23" Type="http://schemas.openxmlformats.org/officeDocument/2006/relationships/hyperlink" Target="https://drive.google.com/open?id=1f68sWt-5rGKluE20-P2Im7xMMD-04opV" TargetMode="External"/><Relationship Id="rId28" Type="http://schemas.openxmlformats.org/officeDocument/2006/relationships/hyperlink" Target="https://drive.google.com/open?id=1lwSOwIwTVqpRGpHUzE0w7n6RB76vPn-L" TargetMode="External"/><Relationship Id="rId49" Type="http://schemas.openxmlformats.org/officeDocument/2006/relationships/hyperlink" Target="https://drive.google.com/open?id=1tEBdOaI5D-hDwEhnzhVTlujb8AifOd6E" TargetMode="External"/><Relationship Id="rId114" Type="http://schemas.openxmlformats.org/officeDocument/2006/relationships/hyperlink" Target="https://drive.google.com/open?id=1MDrSYOioEUHeQwB-6smO-gSyxJqD4CJI" TargetMode="External"/><Relationship Id="rId119" Type="http://schemas.openxmlformats.org/officeDocument/2006/relationships/hyperlink" Target="https://drive.google.com/open?id=1ELPYEE3rpdtKRQRpwVSO-bZmIYuc3FF8" TargetMode="External"/><Relationship Id="rId10" Type="http://schemas.openxmlformats.org/officeDocument/2006/relationships/hyperlink" Target="https://drive.google.com/open?id=1uuWNhUbL1MBPVA0Q1VgPjVpSFZOEDzao" TargetMode="External"/><Relationship Id="rId31" Type="http://schemas.openxmlformats.org/officeDocument/2006/relationships/hyperlink" Target="https://drive.google.com/open?id=1v5U4mH5Q8y5JkinMsVnRQk6Qam2Nz3kX" TargetMode="External"/><Relationship Id="rId44" Type="http://schemas.openxmlformats.org/officeDocument/2006/relationships/hyperlink" Target="https://drive.google.com/open?id=1Xw2oJAu2cW0rAc9TPYjclklox-UbSYzd" TargetMode="External"/><Relationship Id="rId52" Type="http://schemas.openxmlformats.org/officeDocument/2006/relationships/hyperlink" Target="https://drive.google.com/open?id=165gm2cIFcNxj5zaOUv4C6bN2YlDlYYeR" TargetMode="External"/><Relationship Id="rId60" Type="http://schemas.openxmlformats.org/officeDocument/2006/relationships/hyperlink" Target="https://drive.google.com/open?id=1f7ZdZP0Y8ylvFDgvbt3EbAAAlwQBCWbP" TargetMode="External"/><Relationship Id="rId65" Type="http://schemas.openxmlformats.org/officeDocument/2006/relationships/hyperlink" Target="https://drive.google.com/open?id=1Q-7YhkSF7m4wLi3K0CVmURJR9q2aTB2J" TargetMode="External"/><Relationship Id="rId73" Type="http://schemas.openxmlformats.org/officeDocument/2006/relationships/hyperlink" Target="https://drive.google.com/open?id=1uVsSqbzOHsEXd8qtejGTUQkuw-oQqRX2" TargetMode="External"/><Relationship Id="rId78" Type="http://schemas.openxmlformats.org/officeDocument/2006/relationships/hyperlink" Target="https://drive.google.com/open?id=1ANx1BaRz1AoBB0EdoUoNP7vJe5AVsnVV" TargetMode="External"/><Relationship Id="rId81" Type="http://schemas.openxmlformats.org/officeDocument/2006/relationships/hyperlink" Target="https://drive.google.com/open?id=1P_SDynCHaaW72tBwCIbXv8UEO8NUopEk" TargetMode="External"/><Relationship Id="rId86" Type="http://schemas.openxmlformats.org/officeDocument/2006/relationships/hyperlink" Target="https://drive.google.com/open?id=12oZBqNOCdGscf-2Q9CeT0JV9-npaxoEZ" TargetMode="External"/><Relationship Id="rId94" Type="http://schemas.openxmlformats.org/officeDocument/2006/relationships/hyperlink" Target="https://drive.google.com/open?id=1NowfernrLisMsTjXwN2MTz0gb5_43kXk" TargetMode="External"/><Relationship Id="rId99" Type="http://schemas.openxmlformats.org/officeDocument/2006/relationships/hyperlink" Target="https://drive.google.com/open?id=1g0QXVO9noo4etUmIUP_oXpwHqMjRE4Bt" TargetMode="External"/><Relationship Id="rId101" Type="http://schemas.openxmlformats.org/officeDocument/2006/relationships/hyperlink" Target="https://drive.google.com/open?id=1EkYPRhT0FUNeDhx1N_rR_eAwme2sNrD8" TargetMode="External"/><Relationship Id="rId4" Type="http://schemas.openxmlformats.org/officeDocument/2006/relationships/hyperlink" Target="https://drive.google.com/open?id=1QmIkUIxHvdzBAcki1wIXRP47a-PU77Kk" TargetMode="External"/><Relationship Id="rId9" Type="http://schemas.openxmlformats.org/officeDocument/2006/relationships/hyperlink" Target="https://drive.google.com/open?id=1TYqCMYsPfhi8HRht_jC-sxycUMe9HGFz" TargetMode="External"/><Relationship Id="rId13" Type="http://schemas.openxmlformats.org/officeDocument/2006/relationships/hyperlink" Target="https://drive.google.com/open?id=1a0rY2N1aRx84OJCd0TO_zTJMfUd5I30t" TargetMode="External"/><Relationship Id="rId18" Type="http://schemas.openxmlformats.org/officeDocument/2006/relationships/hyperlink" Target="https://drive.google.com/open?id=1L1Qo1Mxhgikalx904HBgg4GAs8INbe9I" TargetMode="External"/><Relationship Id="rId39" Type="http://schemas.openxmlformats.org/officeDocument/2006/relationships/hyperlink" Target="https://drive.google.com/open?id=1-5ulWFAkRwnJeAKm0eIUioBG-oDd3-t6" TargetMode="External"/><Relationship Id="rId109" Type="http://schemas.openxmlformats.org/officeDocument/2006/relationships/hyperlink" Target="https://drive.google.com/open?id=1RNxNHVErA7ZetNxkkw55UxK_dJZ0frz-" TargetMode="External"/><Relationship Id="rId34" Type="http://schemas.openxmlformats.org/officeDocument/2006/relationships/hyperlink" Target="https://drive.google.com/open?id=1snuULu0HwVOJ687g5nrp_n5xXeDOBAOD" TargetMode="External"/><Relationship Id="rId50" Type="http://schemas.openxmlformats.org/officeDocument/2006/relationships/hyperlink" Target="https://drive.google.com/open?id=1KNB5mdpBylr3Sq-X6G2GSjH6Uo6pYECQ" TargetMode="External"/><Relationship Id="rId55" Type="http://schemas.openxmlformats.org/officeDocument/2006/relationships/hyperlink" Target="https://drive.google.com/open?id=1JTnzJnLZbGd66fe_TL_fryOq94tevmAZ" TargetMode="External"/><Relationship Id="rId76" Type="http://schemas.openxmlformats.org/officeDocument/2006/relationships/hyperlink" Target="https://drive.google.com/open?id=1fgv5CvK18243Ysu4UJmQrd7eBoTRVQvp" TargetMode="External"/><Relationship Id="rId97" Type="http://schemas.openxmlformats.org/officeDocument/2006/relationships/hyperlink" Target="https://drive.google.com/open?id=1VIjxi_MlNnA9ugQx67YvTGsEQC5oDd4y" TargetMode="External"/><Relationship Id="rId104" Type="http://schemas.openxmlformats.org/officeDocument/2006/relationships/hyperlink" Target="https://drive.google.com/open?id=1WkQtQLdGhQBJEgkiVn1gYaIcUbBhvm13" TargetMode="External"/><Relationship Id="rId120" Type="http://schemas.openxmlformats.org/officeDocument/2006/relationships/hyperlink" Target="https://drive.google.com/open?id=1CHLGWB1XlhaqLC5Og-QimOht_H5MHELK" TargetMode="External"/><Relationship Id="rId7" Type="http://schemas.openxmlformats.org/officeDocument/2006/relationships/hyperlink" Target="https://drive.google.com/open?id=1RgZ80kmSdlvQtzc3UJScqGgKGkzKnbfI" TargetMode="External"/><Relationship Id="rId71" Type="http://schemas.openxmlformats.org/officeDocument/2006/relationships/hyperlink" Target="https://drive.google.com/open?id=12mLbgSr8BQGMi1V9Ki3S11KzhbWIS1ne" TargetMode="External"/><Relationship Id="rId92" Type="http://schemas.openxmlformats.org/officeDocument/2006/relationships/hyperlink" Target="https://drive.google.com/open?id=1Ra_1aYRguclV2sJfGLJG3mjP_04GJuSP" TargetMode="External"/><Relationship Id="rId2" Type="http://schemas.openxmlformats.org/officeDocument/2006/relationships/hyperlink" Target="https://drive.google.com/open?id=1nOXIgsmw_1iZ20dMcolXCnFpxNh3geu6" TargetMode="External"/><Relationship Id="rId29" Type="http://schemas.openxmlformats.org/officeDocument/2006/relationships/hyperlink" Target="https://drive.google.com/open?id=1YJN4rRyY1B01XvUq4hn70_L_LIvcg3Kv" TargetMode="External"/><Relationship Id="rId24" Type="http://schemas.openxmlformats.org/officeDocument/2006/relationships/hyperlink" Target="https://drive.google.com/open?id=13LkRJTs4XF0_4gVHPtBDYYbiBl1B3cT3" TargetMode="External"/><Relationship Id="rId40" Type="http://schemas.openxmlformats.org/officeDocument/2006/relationships/hyperlink" Target="https://drive.google.com/open?id=1zvZKnreh3OXHMk5VhsXTjp2KaWv929to" TargetMode="External"/><Relationship Id="rId45" Type="http://schemas.openxmlformats.org/officeDocument/2006/relationships/hyperlink" Target="https://drive.google.com/open?id=1DhXoFA1w4UZTLOmDgJtSJ8eYXX20ozee" TargetMode="External"/><Relationship Id="rId66" Type="http://schemas.openxmlformats.org/officeDocument/2006/relationships/hyperlink" Target="https://drive.google.com/open?id=1nHKEpBmLzwDIC7-hYAYMG2_dJItDviPX" TargetMode="External"/><Relationship Id="rId87" Type="http://schemas.openxmlformats.org/officeDocument/2006/relationships/hyperlink" Target="http://1stop.ai/" TargetMode="External"/><Relationship Id="rId110" Type="http://schemas.openxmlformats.org/officeDocument/2006/relationships/hyperlink" Target="https://drive.google.com/open?id=13ZIfIPothsMAgPWvm_xwT_qHdQfFypAW" TargetMode="External"/><Relationship Id="rId115" Type="http://schemas.openxmlformats.org/officeDocument/2006/relationships/hyperlink" Target="https://drive.google.com/open?id=1cD-nvUkKghHS_22NQ1cJ-jlCn5Gm2Flt" TargetMode="External"/><Relationship Id="rId61" Type="http://schemas.openxmlformats.org/officeDocument/2006/relationships/hyperlink" Target="https://drive.google.com/open?id=18qYGJEXtnFFuODV51Xsx6ukkfnK9x7e_" TargetMode="External"/><Relationship Id="rId82" Type="http://schemas.openxmlformats.org/officeDocument/2006/relationships/hyperlink" Target="https://drive.google.com/open?id=134P2I3pD2SS-W20-g3ud9BmBsVEiO2FR" TargetMode="External"/><Relationship Id="rId19" Type="http://schemas.openxmlformats.org/officeDocument/2006/relationships/hyperlink" Target="https://drive.google.com/open?id=1rWOtnSib5pNevDKPrBsgqUJemwthqMRE" TargetMode="External"/><Relationship Id="rId14" Type="http://schemas.openxmlformats.org/officeDocument/2006/relationships/hyperlink" Target="https://drive.google.com/open?id=1t2RW8Ou2_Z21Ub-FmXX3n8O8MdXYovhZ" TargetMode="External"/><Relationship Id="rId30" Type="http://schemas.openxmlformats.org/officeDocument/2006/relationships/hyperlink" Target="https://drive.google.com/open?id=1_AmuudImeuAke-60a-pwhO2xVaxGX9rn" TargetMode="External"/><Relationship Id="rId35" Type="http://schemas.openxmlformats.org/officeDocument/2006/relationships/hyperlink" Target="https://drive.google.com/open?id=1Wm4MnZKWaOo8kn9bpOgiuXGTJuxbVBfo" TargetMode="External"/><Relationship Id="rId56" Type="http://schemas.openxmlformats.org/officeDocument/2006/relationships/hyperlink" Target="https://drive.google.com/open?id=16x3z72xdhCk6YK9A67W_yXtuyx05bPN1" TargetMode="External"/><Relationship Id="rId77" Type="http://schemas.openxmlformats.org/officeDocument/2006/relationships/hyperlink" Target="https://drive.google.com/open?id=1R7MqIRs3YZOruWBtAqBzwhgUzbDpw4tb" TargetMode="External"/><Relationship Id="rId100" Type="http://schemas.openxmlformats.org/officeDocument/2006/relationships/hyperlink" Target="https://drive.google.com/open?id=1u3NS11v0fvpPHhZMHMMRQxaGA8DySqfG" TargetMode="External"/><Relationship Id="rId105" Type="http://schemas.openxmlformats.org/officeDocument/2006/relationships/hyperlink" Target="https://drive.google.com/open?id=15ej9vscZ0I8ge1ld4LdQpKYaykpN1SaF" TargetMode="External"/><Relationship Id="rId8" Type="http://schemas.openxmlformats.org/officeDocument/2006/relationships/hyperlink" Target="https://drive.google.com/open?id=1dK_D_RDE24bPlmDiUo1YrkdeeNUXFGV-" TargetMode="External"/><Relationship Id="rId51" Type="http://schemas.openxmlformats.org/officeDocument/2006/relationships/hyperlink" Target="https://drive.google.com/open?id=15KfSnOojoq7cgldAyhisNnYZCXghX_TB" TargetMode="External"/><Relationship Id="rId72" Type="http://schemas.openxmlformats.org/officeDocument/2006/relationships/hyperlink" Target="https://drive.google.com/open?id=1BE7JQdinxMsRNrXWG8ECY6NhXcr3E34U" TargetMode="External"/><Relationship Id="rId93" Type="http://schemas.openxmlformats.org/officeDocument/2006/relationships/hyperlink" Target="https://drive.google.com/open?id=16U575sMRpFQYinxQDwYYXgmIvOKTrbCr" TargetMode="External"/><Relationship Id="rId98" Type="http://schemas.openxmlformats.org/officeDocument/2006/relationships/hyperlink" Target="https://drive.google.com/open?id=1VTe8G3ag7QW6ZX3AXCtEh60hSBycfJ4w" TargetMode="External"/><Relationship Id="rId3" Type="http://schemas.openxmlformats.org/officeDocument/2006/relationships/hyperlink" Target="https://drive.google.com/open?id=1afo59aMa85woopBPrtJmp_56u-PY7HTs" TargetMode="External"/><Relationship Id="rId25" Type="http://schemas.openxmlformats.org/officeDocument/2006/relationships/hyperlink" Target="https://drive.google.com/open?id=1MN72QEOBlsJEpBytw8ieoI5Y1fdvvO8B" TargetMode="External"/><Relationship Id="rId46" Type="http://schemas.openxmlformats.org/officeDocument/2006/relationships/hyperlink" Target="https://drive.google.com/open?id=1St4ALTYPjBjD_fwPzqO2wiDh4k_BcGAm" TargetMode="External"/><Relationship Id="rId67" Type="http://schemas.openxmlformats.org/officeDocument/2006/relationships/hyperlink" Target="https://drive.google.com/open?id=1KloXdaVGNkXol7VQk2g9ENDnLuu-Zmt5" TargetMode="External"/><Relationship Id="rId116" Type="http://schemas.openxmlformats.org/officeDocument/2006/relationships/hyperlink" Target="https://drive.google.com/open?id=1P39TxcaJYNVH5sxUyMPon24uWCHmo6Qe" TargetMode="External"/><Relationship Id="rId20" Type="http://schemas.openxmlformats.org/officeDocument/2006/relationships/hyperlink" Target="https://drive.google.com/open?id=1k-RdzvCgtdevHdpknc1frcI8zeceBy31" TargetMode="External"/><Relationship Id="rId41" Type="http://schemas.openxmlformats.org/officeDocument/2006/relationships/hyperlink" Target="https://drive.google.com/open?id=1QnUhsVy-V9By4eiuivhfai7KsnOFOEpg" TargetMode="External"/><Relationship Id="rId62" Type="http://schemas.openxmlformats.org/officeDocument/2006/relationships/hyperlink" Target="https://drive.google.com/open?id=1ijOUB7VQ2hNHPGHW72G42Z4NKaQLEOd1" TargetMode="External"/><Relationship Id="rId83" Type="http://schemas.openxmlformats.org/officeDocument/2006/relationships/hyperlink" Target="https://drive.google.com/open?id=12Aw9JBnVJ5rWOQ2L_VqcpXMWITfO6AgA" TargetMode="External"/><Relationship Id="rId88" Type="http://schemas.openxmlformats.org/officeDocument/2006/relationships/hyperlink" Target="https://drive.google.com/open?id=135lffPeuyEr33WeMtI8SWpmgcErped5g" TargetMode="External"/><Relationship Id="rId111" Type="http://schemas.openxmlformats.org/officeDocument/2006/relationships/hyperlink" Target="https://drive.google.com/open?id=1DEdRuYekCFhzd1erkA9WdK8eaGdsNCPZ" TargetMode="External"/><Relationship Id="rId15" Type="http://schemas.openxmlformats.org/officeDocument/2006/relationships/hyperlink" Target="https://drive.google.com/open?id=1cXf0pIBBC1kOVLsyX-_DetYOgp09YzA_" TargetMode="External"/><Relationship Id="rId36" Type="http://schemas.openxmlformats.org/officeDocument/2006/relationships/hyperlink" Target="https://drive.google.com/open?id=1UW4JMALPhi0QZwc7UJeLomfBEpWwBMSu" TargetMode="External"/><Relationship Id="rId57" Type="http://schemas.openxmlformats.org/officeDocument/2006/relationships/hyperlink" Target="https://drive.google.com/open?id=1skgTASfCSWO8hGQPc6u4CIRldHi6rvWf" TargetMode="External"/><Relationship Id="rId106" Type="http://schemas.openxmlformats.org/officeDocument/2006/relationships/hyperlink" Target="https://drive.google.com/open?id=1BiLv-XLj1k_RULgHrqvPtYN3P8kqC0QZ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open?id=16HY80oc6HtCuuvj5JewUNCelUtFbxbkg" TargetMode="External"/><Relationship Id="rId13" Type="http://schemas.openxmlformats.org/officeDocument/2006/relationships/hyperlink" Target="https://drive.google.com/open?id=1ZG1YYMjQ4TXCkBaoZqizj2_VmRSfoIKO" TargetMode="External"/><Relationship Id="rId18" Type="http://schemas.openxmlformats.org/officeDocument/2006/relationships/hyperlink" Target="https://drive.google.com/open?id=1ycpGI9ww9o25WRe9xh6ExTvdOLI-e72k" TargetMode="External"/><Relationship Id="rId3" Type="http://schemas.openxmlformats.org/officeDocument/2006/relationships/hyperlink" Target="https://drive.google.com/open?id=1Rv0duWK5org1VQf4Lv2k64_LZkKBgSPi" TargetMode="External"/><Relationship Id="rId21" Type="http://schemas.openxmlformats.org/officeDocument/2006/relationships/hyperlink" Target="https://drive.google.com/open?id=1Ge4SRokCJY04Io2zfoiUhLhrAKh00_Ga" TargetMode="External"/><Relationship Id="rId7" Type="http://schemas.openxmlformats.org/officeDocument/2006/relationships/hyperlink" Target="https://drive.google.com/open?id=1mGpPuvf5TuUWPtLTJqcAplQbHfswZDei" TargetMode="External"/><Relationship Id="rId12" Type="http://schemas.openxmlformats.org/officeDocument/2006/relationships/hyperlink" Target="https://drive.google.com/open?id=1CgkJja-xS0LqyyIfSu4y9kgIUYuvt0gx" TargetMode="External"/><Relationship Id="rId17" Type="http://schemas.openxmlformats.org/officeDocument/2006/relationships/hyperlink" Target="https://drive.google.com/open?id=100ON6FXXFJQCTUfsWvvxEkja3pplX6TH" TargetMode="External"/><Relationship Id="rId2" Type="http://schemas.openxmlformats.org/officeDocument/2006/relationships/hyperlink" Target="https://drive.google.com/open?id=10hLmuCevcj4rym65LtXH_pBpFzZsdz2h" TargetMode="External"/><Relationship Id="rId16" Type="http://schemas.openxmlformats.org/officeDocument/2006/relationships/hyperlink" Target="https://drive.google.com/open?id=1GYGDiZixLyORKX67jOnV6DN7WueVpLsm" TargetMode="External"/><Relationship Id="rId20" Type="http://schemas.openxmlformats.org/officeDocument/2006/relationships/hyperlink" Target="https://drive.google.com/open?id=1n51ksBrcJzu8FL6s0RaMBBoDHsOxzL4B" TargetMode="External"/><Relationship Id="rId1" Type="http://schemas.openxmlformats.org/officeDocument/2006/relationships/hyperlink" Target="https://drive.google.com/open?id=1piWHs3Y2Ya4_4oUq9AiKaWdJA4SIpaiH" TargetMode="External"/><Relationship Id="rId6" Type="http://schemas.openxmlformats.org/officeDocument/2006/relationships/hyperlink" Target="https://drive.google.com/open?id=1rNKTlVQ1Mg-UyM2vSMSBZCEV7h0azLbL" TargetMode="External"/><Relationship Id="rId11" Type="http://schemas.openxmlformats.org/officeDocument/2006/relationships/hyperlink" Target="https://drive.google.com/open?id=10ICl2iGnFmohHhEghsK1kCY2vbKE3S4V" TargetMode="External"/><Relationship Id="rId5" Type="http://schemas.openxmlformats.org/officeDocument/2006/relationships/hyperlink" Target="https://drive.google.com/open?id=1tzckmNokaVHGruMN6Hc_EC3u6-od9oOJ" TargetMode="External"/><Relationship Id="rId15" Type="http://schemas.openxmlformats.org/officeDocument/2006/relationships/hyperlink" Target="https://drive.google.com/open?id=1TUDXE9LzcTF8LfMkXxNqJqzwyfWVxVjM" TargetMode="External"/><Relationship Id="rId10" Type="http://schemas.openxmlformats.org/officeDocument/2006/relationships/hyperlink" Target="https://drive.google.com/open?id=1SWhau6BZsYrQW2m8wvGigOczG7S684k8" TargetMode="External"/><Relationship Id="rId19" Type="http://schemas.openxmlformats.org/officeDocument/2006/relationships/hyperlink" Target="https://drive.google.com/open?id=1g39anyffvpUh0R9NdOuTGXraa6W7E7g-" TargetMode="External"/><Relationship Id="rId4" Type="http://schemas.openxmlformats.org/officeDocument/2006/relationships/hyperlink" Target="https://drive.google.com/open?id=1Ljw76TOEBELwkGryhr8VqCI-2coBs_iX" TargetMode="External"/><Relationship Id="rId9" Type="http://schemas.openxmlformats.org/officeDocument/2006/relationships/hyperlink" Target="https://drive.google.com/open?id=1cxNgSdtZCgxXJy14XYM9W6ctcNxeemck" TargetMode="External"/><Relationship Id="rId14" Type="http://schemas.openxmlformats.org/officeDocument/2006/relationships/hyperlink" Target="https://drive.google.com/open?id=1TA671kxGBe6lEKNctxZgT38P8oIqNMJb" TargetMode="External"/><Relationship Id="rId22" Type="http://schemas.openxmlformats.org/officeDocument/2006/relationships/hyperlink" Target="https://drive.google.com/open?id=1MifZlr4QTyfjCEJejPJbr5s190TAXprE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open?id=1BEZt90cEEdzOA0qkKyqNAyG_fheG72hZ" TargetMode="External"/><Relationship Id="rId3" Type="http://schemas.openxmlformats.org/officeDocument/2006/relationships/hyperlink" Target="https://drive.google.com/open?id=1-v8R8caNSpd9aQqqGDaTIf13ETG7x4f_" TargetMode="External"/><Relationship Id="rId7" Type="http://schemas.openxmlformats.org/officeDocument/2006/relationships/hyperlink" Target="https://drive.google.com/open?id=1JdfIuSWEbOy-mVPSaH9DMtIU1XBJuDkC" TargetMode="External"/><Relationship Id="rId2" Type="http://schemas.openxmlformats.org/officeDocument/2006/relationships/hyperlink" Target="https://drive.google.com/open?id=16hFTXxdc9QEZmhVAzu2w4tuF05DhDNfC" TargetMode="External"/><Relationship Id="rId1" Type="http://schemas.openxmlformats.org/officeDocument/2006/relationships/hyperlink" Target="https://drive.google.com/open?id=1FDgWJRLG-0YmUX-Ho8W9BzIF5VOe8920" TargetMode="External"/><Relationship Id="rId6" Type="http://schemas.openxmlformats.org/officeDocument/2006/relationships/hyperlink" Target="https://drive.google.com/open?id=14_kjEFWXuvWr-8EVjs6NZleSOjYppHsb" TargetMode="External"/><Relationship Id="rId11" Type="http://schemas.openxmlformats.org/officeDocument/2006/relationships/hyperlink" Target="https://drive.google.com/open?id=1PxUOyyuy2MDilQIZtpCG6-BGaxfslHXc" TargetMode="External"/><Relationship Id="rId5" Type="http://schemas.openxmlformats.org/officeDocument/2006/relationships/hyperlink" Target="https://drive.google.com/open?id=1qg0PxyqcGhx6JTmOlDsBiPQ91aW-JAjo" TargetMode="External"/><Relationship Id="rId10" Type="http://schemas.openxmlformats.org/officeDocument/2006/relationships/hyperlink" Target="https://drive.google.com/open?id=1GbkxbsFGmye-z56y_xPiRNG9eToM2ch7" TargetMode="External"/><Relationship Id="rId4" Type="http://schemas.openxmlformats.org/officeDocument/2006/relationships/hyperlink" Target="https://drive.google.com/open?id=1LoHF43KbwnVo_okD5d4L7957XnqQvQmj" TargetMode="External"/><Relationship Id="rId9" Type="http://schemas.openxmlformats.org/officeDocument/2006/relationships/hyperlink" Target="https://drive.google.com/open?id=1d3CJEwqnnG0DPf8lZ3jX3U-orHJ8_B2K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open?id=1ifa6yjOXG4TtdUNUSfZBrITLDK4L2_f0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open?id=1Kwci2O8yMxhrJdcfh3GEfc9JIKNlizun" TargetMode="External"/><Relationship Id="rId2" Type="http://schemas.openxmlformats.org/officeDocument/2006/relationships/hyperlink" Target="https://drive.google.com/open?id=1A27DXNoiss-Gco3r7lf4BKFY1X0B1UjN" TargetMode="External"/><Relationship Id="rId1" Type="http://schemas.openxmlformats.org/officeDocument/2006/relationships/hyperlink" Target="https://drive.google.com/open?id=1pFZMSg0U5JTeBIAvD-st02kTb3uFM-8Z" TargetMode="External"/></Relationships>
</file>

<file path=xl/worksheets/_rels/sheet13.xml.rels><?xml version="1.0" encoding="UTF-8" standalone="yes"?>
<Relationships xmlns="http://schemas.openxmlformats.org/package/2006/relationships"><Relationship Id="rId13" Type="http://schemas.openxmlformats.org/officeDocument/2006/relationships/hyperlink" Target="https://drive.google.com/open?id=1CGoEV-2e8V_Lk7tS14KxSr7ESQ8kcu19" TargetMode="External"/><Relationship Id="rId18" Type="http://schemas.openxmlformats.org/officeDocument/2006/relationships/hyperlink" Target="https://drive.google.com/open?id=1DkiGuPWNrrJ17ziZzyj9FJD6S56uqueV" TargetMode="External"/><Relationship Id="rId26" Type="http://schemas.openxmlformats.org/officeDocument/2006/relationships/hyperlink" Target="https://drive.google.com/open?id=1uTswfh5k6-rIOfPskt7WzSag8mhnF2uE" TargetMode="External"/><Relationship Id="rId39" Type="http://schemas.openxmlformats.org/officeDocument/2006/relationships/hyperlink" Target="https://drive.google.com/open?id=1VBFzDwiftdcDb4NNTOQzmJZ83ltxNxGZ" TargetMode="External"/><Relationship Id="rId21" Type="http://schemas.openxmlformats.org/officeDocument/2006/relationships/hyperlink" Target="https://drive.google.com/open?id=1HwOWXJMOaF_1InxGLgLG3n7bJEc8Wqoy" TargetMode="External"/><Relationship Id="rId34" Type="http://schemas.openxmlformats.org/officeDocument/2006/relationships/hyperlink" Target="https://drive.google.com/open?id=11oFg23t3ZKMD-lJrDa5C7OpBFpQ9H73T" TargetMode="External"/><Relationship Id="rId42" Type="http://schemas.openxmlformats.org/officeDocument/2006/relationships/hyperlink" Target="https://drive.google.com/open?id=1JJuiFEf9tPTTCoSLFcd05jYGhtg__3XX" TargetMode="External"/><Relationship Id="rId47" Type="http://schemas.openxmlformats.org/officeDocument/2006/relationships/hyperlink" Target="https://drive.google.com/open?id=15fShLSYa95M1CMx2QjXwiLnXqFK26po5" TargetMode="External"/><Relationship Id="rId50" Type="http://schemas.openxmlformats.org/officeDocument/2006/relationships/hyperlink" Target="https://drive.google.com/open?id=1rur1MIBRmakoHW0PG-WRkLUbz7xGtELk" TargetMode="External"/><Relationship Id="rId55" Type="http://schemas.openxmlformats.org/officeDocument/2006/relationships/hyperlink" Target="https://drive.google.com/open?id=1YP4_waRixUhOZpsEhOc70FDSoErnVSsW" TargetMode="External"/><Relationship Id="rId7" Type="http://schemas.openxmlformats.org/officeDocument/2006/relationships/hyperlink" Target="https://drive.google.com/open?id=1fgbpRkkKznyY-PKI5Dnda_W7Byo0CdFa" TargetMode="External"/><Relationship Id="rId2" Type="http://schemas.openxmlformats.org/officeDocument/2006/relationships/hyperlink" Target="https://drive.google.com/open?id=1mtbP1QQNgrt8Quklkt73D96IAgRWsd43" TargetMode="External"/><Relationship Id="rId16" Type="http://schemas.openxmlformats.org/officeDocument/2006/relationships/hyperlink" Target="https://drive.google.com/open?id=1GSySQ9XWzPG4_CT4scF7g4D8a1w0HNVg" TargetMode="External"/><Relationship Id="rId29" Type="http://schemas.openxmlformats.org/officeDocument/2006/relationships/hyperlink" Target="https://drive.google.com/open?id=1qP9qZmE22ppsqqe3S3RAkzkCzz1VlT7d" TargetMode="External"/><Relationship Id="rId11" Type="http://schemas.openxmlformats.org/officeDocument/2006/relationships/hyperlink" Target="https://drive.google.com/open?id=1cj6KMrfRUN35LIBGgAZrYmyvlNpJT8rK" TargetMode="External"/><Relationship Id="rId24" Type="http://schemas.openxmlformats.org/officeDocument/2006/relationships/hyperlink" Target="https://drive.google.com/open?id=1zWfCKVgNCwM-_UZ2Ju37CgfKQENuNThd" TargetMode="External"/><Relationship Id="rId32" Type="http://schemas.openxmlformats.org/officeDocument/2006/relationships/hyperlink" Target="https://drive.google.com/open?id=1R2LLLsbXQwIwW4V-BCvJ1JlshXZWl59-" TargetMode="External"/><Relationship Id="rId37" Type="http://schemas.openxmlformats.org/officeDocument/2006/relationships/hyperlink" Target="https://drive.google.com/open?id=1gFA1lCu4rHLk8s0vfQ6Wa3HEML6MLnnW" TargetMode="External"/><Relationship Id="rId40" Type="http://schemas.openxmlformats.org/officeDocument/2006/relationships/hyperlink" Target="https://drive.google.com/open?id=18DQ-a_SgSwwQNnJR71iVduvkRog5eD4i" TargetMode="External"/><Relationship Id="rId45" Type="http://schemas.openxmlformats.org/officeDocument/2006/relationships/hyperlink" Target="https://drive.google.com/open?id=1zjAe8X2zfPzNCJ-qrVbm0yKxYzq2Ms1A" TargetMode="External"/><Relationship Id="rId53" Type="http://schemas.openxmlformats.org/officeDocument/2006/relationships/hyperlink" Target="https://drive.google.com/open?id=1E8igZRSp5FI396jnkfTgwu5IJlHZfWol" TargetMode="External"/><Relationship Id="rId58" Type="http://schemas.openxmlformats.org/officeDocument/2006/relationships/hyperlink" Target="https://drive.google.com/open?id=1-gJsyg_GwG0B9yU1z85C9j7zOc7dCjCb" TargetMode="External"/><Relationship Id="rId5" Type="http://schemas.openxmlformats.org/officeDocument/2006/relationships/hyperlink" Target="https://drive.google.com/open?id=1ERO6TVwxYl1AFWaNaYPJyUygy_Alj8rw" TargetMode="External"/><Relationship Id="rId61" Type="http://schemas.openxmlformats.org/officeDocument/2006/relationships/hyperlink" Target="https://drive.google.com/open?id=1VqEA1AaA1YYsrUB7lhpw7VddimQkfcmN" TargetMode="External"/><Relationship Id="rId19" Type="http://schemas.openxmlformats.org/officeDocument/2006/relationships/hyperlink" Target="https://drive.google.com/open?id=1gSqponAO_29zt3P0egTKxJUtj0kBDxM5" TargetMode="External"/><Relationship Id="rId14" Type="http://schemas.openxmlformats.org/officeDocument/2006/relationships/hyperlink" Target="https://drive.google.com/open?id=1J6jQbfJk6dWBsUdK5PdL31TlD2H8n1mi" TargetMode="External"/><Relationship Id="rId22" Type="http://schemas.openxmlformats.org/officeDocument/2006/relationships/hyperlink" Target="https://drive.google.com/open?id=1v0hWKNZmunFG-b1zOpH2nMicycDJXoC2" TargetMode="External"/><Relationship Id="rId27" Type="http://schemas.openxmlformats.org/officeDocument/2006/relationships/hyperlink" Target="https://drive.google.com/open?id=1OZDw1MRW-j1Pk_z6DL1I2axO9gKAPHzB" TargetMode="External"/><Relationship Id="rId30" Type="http://schemas.openxmlformats.org/officeDocument/2006/relationships/hyperlink" Target="https://drive.google.com/open?id=1DUCmRPc7cYSEu1VOX3CbZFwMrxdmKmBg" TargetMode="External"/><Relationship Id="rId35" Type="http://schemas.openxmlformats.org/officeDocument/2006/relationships/hyperlink" Target="https://drive.google.com/open?id=1_hWaWfnrw-tMxz7sGcU2vpEumtEmhwt6" TargetMode="External"/><Relationship Id="rId43" Type="http://schemas.openxmlformats.org/officeDocument/2006/relationships/hyperlink" Target="https://drive.google.com/open?id=164PkLKDM0UG_ADq-iyJk3eLt2LeK4efP" TargetMode="External"/><Relationship Id="rId48" Type="http://schemas.openxmlformats.org/officeDocument/2006/relationships/hyperlink" Target="https://drive.google.com/open?id=1QhCd4X2faGs2frmeSijuspb-SsA1hgvh" TargetMode="External"/><Relationship Id="rId56" Type="http://schemas.openxmlformats.org/officeDocument/2006/relationships/hyperlink" Target="https://drive.google.com/open?id=1hstXQ_rkvbzK5KWZpu81SJe3YLtZFkJm" TargetMode="External"/><Relationship Id="rId8" Type="http://schemas.openxmlformats.org/officeDocument/2006/relationships/hyperlink" Target="https://drive.google.com/open?id=12KkFitX19-ii4YF7cu-Zw7LKTTP6wTY1" TargetMode="External"/><Relationship Id="rId51" Type="http://schemas.openxmlformats.org/officeDocument/2006/relationships/hyperlink" Target="https://drive.google.com/open?id=1SJ77RbJvhha7Ixqu9_K1Mj891gesr6jJ" TargetMode="External"/><Relationship Id="rId3" Type="http://schemas.openxmlformats.org/officeDocument/2006/relationships/hyperlink" Target="https://drive.google.com/open?id=1ePQdQjmHPiagxHQtHPNkmgkhs0CpKRVk" TargetMode="External"/><Relationship Id="rId12" Type="http://schemas.openxmlformats.org/officeDocument/2006/relationships/hyperlink" Target="https://drive.google.com/open?id=13SNgW7VupL2K7SWxmqQnnrjTaqBBbZcq" TargetMode="External"/><Relationship Id="rId17" Type="http://schemas.openxmlformats.org/officeDocument/2006/relationships/hyperlink" Target="https://drive.google.com/open?id=14qjDpxA_-qxw3L62ORAV10i6-yrPoJ82" TargetMode="External"/><Relationship Id="rId25" Type="http://schemas.openxmlformats.org/officeDocument/2006/relationships/hyperlink" Target="https://drive.google.com/open?id=134UiPRoXaCxJnCMdOhg1Gql8_3OtEd_z" TargetMode="External"/><Relationship Id="rId33" Type="http://schemas.openxmlformats.org/officeDocument/2006/relationships/hyperlink" Target="https://drive.google.com/open?id=1YRzFQEBgsDlYrmKJpQZK7rihv1Ts_b0I" TargetMode="External"/><Relationship Id="rId38" Type="http://schemas.openxmlformats.org/officeDocument/2006/relationships/hyperlink" Target="https://drive.google.com/open?id=1exrzR0Tq1AAGjjixli_wHi2BLmsP9l2J" TargetMode="External"/><Relationship Id="rId46" Type="http://schemas.openxmlformats.org/officeDocument/2006/relationships/hyperlink" Target="https://drive.google.com/open?id=1sDwciOtEuxq5IPhQZaT5VEoNzXGiQgdN" TargetMode="External"/><Relationship Id="rId59" Type="http://schemas.openxmlformats.org/officeDocument/2006/relationships/hyperlink" Target="https://drive.google.com/open?id=1Q123BBUxI1L9zmyqsMZASDg90DO_z1Yz" TargetMode="External"/><Relationship Id="rId20" Type="http://schemas.openxmlformats.org/officeDocument/2006/relationships/hyperlink" Target="https://drive.google.com/open?id=1u4P98AFX96-DheFXYHueISXv5rFBW69n" TargetMode="External"/><Relationship Id="rId41" Type="http://schemas.openxmlformats.org/officeDocument/2006/relationships/hyperlink" Target="https://drive.google.com/open?id=12CWg_r8JF53cf3Baygsp9xmHsKumoWl6" TargetMode="External"/><Relationship Id="rId54" Type="http://schemas.openxmlformats.org/officeDocument/2006/relationships/hyperlink" Target="https://drive.google.com/open?id=1rFAppWC-72fQPrU4o8uPvGih8eD1oEDz" TargetMode="External"/><Relationship Id="rId62" Type="http://schemas.openxmlformats.org/officeDocument/2006/relationships/hyperlink" Target="https://drive.google.com/open?id=1UH4S_W_AVPs96zXmSoZ10StSHm20Vzhf" TargetMode="External"/><Relationship Id="rId1" Type="http://schemas.openxmlformats.org/officeDocument/2006/relationships/hyperlink" Target="https://drive.google.com/open?id=1gn3ikCIhs-dev83eRRxjViW8zJF-T-k7" TargetMode="External"/><Relationship Id="rId6" Type="http://schemas.openxmlformats.org/officeDocument/2006/relationships/hyperlink" Target="https://drive.google.com/open?id=1bBYyu0DE3yVgrgfKcr-yZxyqJ5zXhHaF" TargetMode="External"/><Relationship Id="rId15" Type="http://schemas.openxmlformats.org/officeDocument/2006/relationships/hyperlink" Target="https://drive.google.com/open?id=1uTGVtRaRxKQKLb_Ehjblj80sg5F5loWs" TargetMode="External"/><Relationship Id="rId23" Type="http://schemas.openxmlformats.org/officeDocument/2006/relationships/hyperlink" Target="https://drive.google.com/open?id=1B0HiC2xPJwhIF3MC1nGrmuBGAsKXTckG" TargetMode="External"/><Relationship Id="rId28" Type="http://schemas.openxmlformats.org/officeDocument/2006/relationships/hyperlink" Target="https://drive.google.com/open?id=1WU1m7CU_TcognuKDh7Q7HrvZgSOLydXL" TargetMode="External"/><Relationship Id="rId36" Type="http://schemas.openxmlformats.org/officeDocument/2006/relationships/hyperlink" Target="https://drive.google.com/open?id=1f5fkYcbl5lPC1KzM9l4IKPF55533wJ9L" TargetMode="External"/><Relationship Id="rId49" Type="http://schemas.openxmlformats.org/officeDocument/2006/relationships/hyperlink" Target="https://drive.google.com/open?id=1dxsEMUXbJMfkH09yBl3V1nbaVPYmlu0q" TargetMode="External"/><Relationship Id="rId57" Type="http://schemas.openxmlformats.org/officeDocument/2006/relationships/hyperlink" Target="https://drive.google.com/open?id=1p5-HbiZyGgZdl2vroKQPYUKklhEWweY-" TargetMode="External"/><Relationship Id="rId10" Type="http://schemas.openxmlformats.org/officeDocument/2006/relationships/hyperlink" Target="https://drive.google.com/open?id=1a7_i4mBy91rc-1wnj7fXUZe2lgdZ_dUp" TargetMode="External"/><Relationship Id="rId31" Type="http://schemas.openxmlformats.org/officeDocument/2006/relationships/hyperlink" Target="https://drive.google.com/open?id=1G7RDq0-LLMZyM_EG-AGSwXh3R1SHMW6k" TargetMode="External"/><Relationship Id="rId44" Type="http://schemas.openxmlformats.org/officeDocument/2006/relationships/hyperlink" Target="https://drive.google.com/open?id=1lielZ9SCE8IidGkSQqOF6wsdXvjIU3iV" TargetMode="External"/><Relationship Id="rId52" Type="http://schemas.openxmlformats.org/officeDocument/2006/relationships/hyperlink" Target="https://drive.google.com/open?id=1RqkczE9AyMhEK147VBBtVh5cSdIieWKN" TargetMode="External"/><Relationship Id="rId60" Type="http://schemas.openxmlformats.org/officeDocument/2006/relationships/hyperlink" Target="https://drive.google.com/open?id=12rTU4jG8tcrAz8LiJ33uRa8PfNT2Qxpw" TargetMode="External"/><Relationship Id="rId4" Type="http://schemas.openxmlformats.org/officeDocument/2006/relationships/hyperlink" Target="https://drive.google.com/open?id=1G4WFlSvqJ_jZjUheUgUalNNZL1kQmzhN" TargetMode="External"/><Relationship Id="rId9" Type="http://schemas.openxmlformats.org/officeDocument/2006/relationships/hyperlink" Target="https://drive.google.com/open?id=1TV9WHLuDDCpqYakrw3vT8Q4B94v1NnqP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open?id=1lmrb71Nm-41_5xPCanOYRZqI2qrZVI5Q" TargetMode="External"/><Relationship Id="rId2" Type="http://schemas.openxmlformats.org/officeDocument/2006/relationships/hyperlink" Target="https://drive.google.com/open?id=1c_dom1yBEfrg7AcSOQr54fVgwxMKaGJK" TargetMode="External"/><Relationship Id="rId1" Type="http://schemas.openxmlformats.org/officeDocument/2006/relationships/hyperlink" Target="https://drive.google.com/open?id=1PjR39K2HwkwQPNZ5t-nniB3dOKXMOnAs" TargetMode="External"/><Relationship Id="rId4" Type="http://schemas.openxmlformats.org/officeDocument/2006/relationships/hyperlink" Target="https://drive.google.com/open?id=1QIXtVuPtDJ-tn8Cng1QKSSt3CNyRaikQ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open?id=1pXi0t5byqcGcH9faXaSFlImJi7ZXoM8S" TargetMode="External"/><Relationship Id="rId7" Type="http://schemas.openxmlformats.org/officeDocument/2006/relationships/hyperlink" Target="https://drive.google.com/open?id=1dSDVLhcrt7gnGStAc0MGnLY3tlUVTYjV" TargetMode="External"/><Relationship Id="rId2" Type="http://schemas.openxmlformats.org/officeDocument/2006/relationships/hyperlink" Target="https://drive.google.com/open?id=1lCQIP6NcvtwOI3Qp-ygztSrRYNle8Fno" TargetMode="External"/><Relationship Id="rId1" Type="http://schemas.openxmlformats.org/officeDocument/2006/relationships/hyperlink" Target="https://drive.google.com/open?id=1RxQJURGeMsrUZuJpXuO9L3e9voYAgdDo" TargetMode="External"/><Relationship Id="rId6" Type="http://schemas.openxmlformats.org/officeDocument/2006/relationships/hyperlink" Target="https://drive.google.com/open?id=1stKWQG_enFOYdDbP2puflITk4RHtpwWk" TargetMode="External"/><Relationship Id="rId5" Type="http://schemas.openxmlformats.org/officeDocument/2006/relationships/hyperlink" Target="https://drive.google.com/open?id=1kQAU-tOs-0tvu_Vylj2B4e_FYdYkkup4" TargetMode="External"/><Relationship Id="rId4" Type="http://schemas.openxmlformats.org/officeDocument/2006/relationships/hyperlink" Target="https://drive.google.com/open?id=1AeoCf75DFmus-547YYjYZdDtYHiUXCrr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open?id=1_fR-LdhuKTTzZxiOKp3PDnIv3EijWFWW" TargetMode="External"/><Relationship Id="rId2" Type="http://schemas.openxmlformats.org/officeDocument/2006/relationships/hyperlink" Target="https://drive.google.com/open?id=1WUmGmLGyf8ZbZCJ8S4Y5ZUMjDsGOZsFK" TargetMode="External"/><Relationship Id="rId1" Type="http://schemas.openxmlformats.org/officeDocument/2006/relationships/hyperlink" Target="https://drive.google.com/open?id=12g2wjrfUifDh3Gx7TlgWMhP8oc4dxI9d" TargetMode="External"/><Relationship Id="rId5" Type="http://schemas.openxmlformats.org/officeDocument/2006/relationships/hyperlink" Target="https://drive.google.com/open?id=1tCFSDUGZcL96PWWWsBS3guVCHlFkThUP" TargetMode="External"/><Relationship Id="rId4" Type="http://schemas.openxmlformats.org/officeDocument/2006/relationships/hyperlink" Target="https://drive.google.com/open?id=1uk8fg4IYYCEf7-Gu0dZr-ENgBY6pXBXP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hyperlink" Target="https://drive.google.com/open?id=1kl_yv6lEbe4MkUx-7DDutSvZygUj_uo8" TargetMode="External"/><Relationship Id="rId1" Type="http://schemas.openxmlformats.org/officeDocument/2006/relationships/hyperlink" Target="https://drive.google.com/open?id=1JDkbWTWW31HZtahRtdxiRWL1l2STgDcF" TargetMode="External"/></Relationships>
</file>

<file path=xl/worksheets/_rels/sheet20.xml.rels><?xml version="1.0" encoding="UTF-8" standalone="yes"?>
<Relationships xmlns="http://schemas.openxmlformats.org/package/2006/relationships"><Relationship Id="rId13" Type="http://schemas.openxmlformats.org/officeDocument/2006/relationships/hyperlink" Target="https://drive.google.com/open?id=1SQnF_8DCN91WHC55Or2_3svZTsc2qfWR" TargetMode="External"/><Relationship Id="rId18" Type="http://schemas.openxmlformats.org/officeDocument/2006/relationships/hyperlink" Target="https://drive.google.com/open?id=15n55aEqfKyP6UPUXflhsoxybtRV7Im2Z" TargetMode="External"/><Relationship Id="rId26" Type="http://schemas.openxmlformats.org/officeDocument/2006/relationships/hyperlink" Target="https://drive.google.com/open?id=1b_sBzr_AVYvGHgUPUw4RBFGXzGbjNYxw" TargetMode="External"/><Relationship Id="rId39" Type="http://schemas.openxmlformats.org/officeDocument/2006/relationships/hyperlink" Target="https://drive.google.com/open?id=1Gi_5ij4VeUVfCmlwcC-fub9ubQUZaqe2" TargetMode="External"/><Relationship Id="rId21" Type="http://schemas.openxmlformats.org/officeDocument/2006/relationships/hyperlink" Target="https://drive.google.com/open?id=1WPQVCAEf6avo8QyVvfSh5zhD9uLCPNij" TargetMode="External"/><Relationship Id="rId34" Type="http://schemas.openxmlformats.org/officeDocument/2006/relationships/hyperlink" Target="https://drive.google.com/open?id=1SzwVma1bvQzySAMcnIUyR86UB4_jEDZx" TargetMode="External"/><Relationship Id="rId42" Type="http://schemas.openxmlformats.org/officeDocument/2006/relationships/hyperlink" Target="https://drive.google.com/open?id=10Ku5E62Gd_X9NlW3SyI23bLo1nHVOOTr" TargetMode="External"/><Relationship Id="rId47" Type="http://schemas.openxmlformats.org/officeDocument/2006/relationships/hyperlink" Target="https://drive.google.com/open?id=1sdkBp2g2wlH95wnFfXO8E9JBzRju_s2I" TargetMode="External"/><Relationship Id="rId7" Type="http://schemas.openxmlformats.org/officeDocument/2006/relationships/hyperlink" Target="https://drive.google.com/open?id=1LCsKkG24i9wmznr03mspYdIeItEzVxqQ" TargetMode="External"/><Relationship Id="rId2" Type="http://schemas.openxmlformats.org/officeDocument/2006/relationships/hyperlink" Target="https://drive.google.com/open?id=1M75Zuz94mobCB2u7SAfxI6p_Ap3Wqno0" TargetMode="External"/><Relationship Id="rId16" Type="http://schemas.openxmlformats.org/officeDocument/2006/relationships/hyperlink" Target="https://drive.google.com/open?id=1rlINLdDNg-MSnn6DBnOVVMwxnH4wwjcj" TargetMode="External"/><Relationship Id="rId29" Type="http://schemas.openxmlformats.org/officeDocument/2006/relationships/hyperlink" Target="https://drive.google.com/open?id=1hBqV4sg4Pw3O_UkYZNPEOc25dVaFCQ2c" TargetMode="External"/><Relationship Id="rId1" Type="http://schemas.openxmlformats.org/officeDocument/2006/relationships/hyperlink" Target="https://drive.google.com/open?id=1njaOo2FQclLRPfdKvfW1gZpxGn7_94Ih" TargetMode="External"/><Relationship Id="rId6" Type="http://schemas.openxmlformats.org/officeDocument/2006/relationships/hyperlink" Target="https://drive.google.com/open?id=1TzKAWwUItopmdVYKWq0Fxz3cBchc2C9s" TargetMode="External"/><Relationship Id="rId11" Type="http://schemas.openxmlformats.org/officeDocument/2006/relationships/hyperlink" Target="https://drive.google.com/open?id=1AdnImYkBMQpTsxJI24rJgH5FhywglYup" TargetMode="External"/><Relationship Id="rId24" Type="http://schemas.openxmlformats.org/officeDocument/2006/relationships/hyperlink" Target="https://drive.google.com/open?id=1Sc50u7O2yN6wdOggs836WOqMRMciijHi" TargetMode="External"/><Relationship Id="rId32" Type="http://schemas.openxmlformats.org/officeDocument/2006/relationships/hyperlink" Target="https://drive.google.com/open?id=1xnS1kpvZ4yuMLZLTiAlOP-A_y-Vyza1i" TargetMode="External"/><Relationship Id="rId37" Type="http://schemas.openxmlformats.org/officeDocument/2006/relationships/hyperlink" Target="https://drive.google.com/open?id=1HxRFFojddfZhy4pNdOKAY6TXBt1DeE3G" TargetMode="External"/><Relationship Id="rId40" Type="http://schemas.openxmlformats.org/officeDocument/2006/relationships/hyperlink" Target="https://drive.google.com/open?id=1EDQ4Q2i0hjkmh99LPVKvOHUeTL69iJz-" TargetMode="External"/><Relationship Id="rId45" Type="http://schemas.openxmlformats.org/officeDocument/2006/relationships/hyperlink" Target="https://drive.google.com/open?id=1kDF-MB6lGC-Z5LbMtHfLutR5nCFaEE1X" TargetMode="External"/><Relationship Id="rId5" Type="http://schemas.openxmlformats.org/officeDocument/2006/relationships/hyperlink" Target="https://drive.google.com/open?id=1eqRDfKf6TAFamnY0kDJLrMwUjrnB1G6L" TargetMode="External"/><Relationship Id="rId15" Type="http://schemas.openxmlformats.org/officeDocument/2006/relationships/hyperlink" Target="https://drive.google.com/open?id=15v-MfMEFmUzEFJ3ZTLKtrm2EVBoDx79w" TargetMode="External"/><Relationship Id="rId23" Type="http://schemas.openxmlformats.org/officeDocument/2006/relationships/hyperlink" Target="https://drive.google.com/open?id=1mupstIOV7geibVsKyebzZh5v-A2TfVam" TargetMode="External"/><Relationship Id="rId28" Type="http://schemas.openxmlformats.org/officeDocument/2006/relationships/hyperlink" Target="https://drive.google.com/open?id=1KuNBmpMZS_uA0_73kYuTsGnKJkSaxJNR" TargetMode="External"/><Relationship Id="rId36" Type="http://schemas.openxmlformats.org/officeDocument/2006/relationships/hyperlink" Target="https://drive.google.com/open?id=1oQTlIUlLTU4l6H3Z8lsz7HxqgYeHhzzs" TargetMode="External"/><Relationship Id="rId10" Type="http://schemas.openxmlformats.org/officeDocument/2006/relationships/hyperlink" Target="https://drive.google.com/open?id=1R4u3fohaTi7TEZxouCeFMmE0I7vah8Pd" TargetMode="External"/><Relationship Id="rId19" Type="http://schemas.openxmlformats.org/officeDocument/2006/relationships/hyperlink" Target="https://drive.google.com/open?id=1dKrpoYYtE0hUM6zbt2JQ32HhCmpAw7eb" TargetMode="External"/><Relationship Id="rId31" Type="http://schemas.openxmlformats.org/officeDocument/2006/relationships/hyperlink" Target="https://drive.google.com/open?id=18CSIBf0DwDGccDZjuZgC5i44VXJQgrE0" TargetMode="External"/><Relationship Id="rId44" Type="http://schemas.openxmlformats.org/officeDocument/2006/relationships/hyperlink" Target="https://drive.google.com/open?id=1Fq8ntn83IQFZjCmTbG2xuGOFjEVnA7oP" TargetMode="External"/><Relationship Id="rId4" Type="http://schemas.openxmlformats.org/officeDocument/2006/relationships/hyperlink" Target="https://drive.google.com/open?id=1n27dXeSQi_XbyI0Qxh545-88cmtBtSqd" TargetMode="External"/><Relationship Id="rId9" Type="http://schemas.openxmlformats.org/officeDocument/2006/relationships/hyperlink" Target="https://drive.google.com/open?id=182CeUHgul8js2A2Xhtd4IrhsNNqCMqVI" TargetMode="External"/><Relationship Id="rId14" Type="http://schemas.openxmlformats.org/officeDocument/2006/relationships/hyperlink" Target="https://drive.google.com/open?id=1MyYAqkRZDWCeVSdVFKaTl8YKOzJnYgtW" TargetMode="External"/><Relationship Id="rId22" Type="http://schemas.openxmlformats.org/officeDocument/2006/relationships/hyperlink" Target="https://drive.google.com/open?id=1WqlqoKN7RCPaHZu3tKUP64aR1eTIIRms" TargetMode="External"/><Relationship Id="rId27" Type="http://schemas.openxmlformats.org/officeDocument/2006/relationships/hyperlink" Target="https://drive.google.com/open?id=1nZEMt24baX0onTXz2Liyrd92-XxHFnF0" TargetMode="External"/><Relationship Id="rId30" Type="http://schemas.openxmlformats.org/officeDocument/2006/relationships/hyperlink" Target="https://drive.google.com/open?id=12IpAFvbUR9zj0mziUqWU7AgiiGFeWJDn" TargetMode="External"/><Relationship Id="rId35" Type="http://schemas.openxmlformats.org/officeDocument/2006/relationships/hyperlink" Target="https://drive.google.com/open?id=1xh-6CUN_jqOL7YsUT-Wu8T20JJbUj-UT" TargetMode="External"/><Relationship Id="rId43" Type="http://schemas.openxmlformats.org/officeDocument/2006/relationships/hyperlink" Target="https://drive.google.com/open?id=1aoUkZBcN2ML6PLKzMhKZOLGvSduWTyzX" TargetMode="External"/><Relationship Id="rId8" Type="http://schemas.openxmlformats.org/officeDocument/2006/relationships/hyperlink" Target="https://drive.google.com/open?id=1rRH2ZCJXnOgm37WwXkGf_PG02fe6BEU5" TargetMode="External"/><Relationship Id="rId3" Type="http://schemas.openxmlformats.org/officeDocument/2006/relationships/hyperlink" Target="https://drive.google.com/open?id=14_zULZ6Hd6xjm0n-EZCNgOfM0U3palZz" TargetMode="External"/><Relationship Id="rId12" Type="http://schemas.openxmlformats.org/officeDocument/2006/relationships/hyperlink" Target="https://drive.google.com/open?id=1oKlHFLgb197iFG06xERQ80MBgMyQFlCO" TargetMode="External"/><Relationship Id="rId17" Type="http://schemas.openxmlformats.org/officeDocument/2006/relationships/hyperlink" Target="https://drive.google.com/open?id=1oE8-5Rv1pgHd2n7iM2-tekmBSDdmdp1X" TargetMode="External"/><Relationship Id="rId25" Type="http://schemas.openxmlformats.org/officeDocument/2006/relationships/hyperlink" Target="https://drive.google.com/open?id=1ygSpxfiwRrg2HFxEQJvY4dUJ1FceX5cU" TargetMode="External"/><Relationship Id="rId33" Type="http://schemas.openxmlformats.org/officeDocument/2006/relationships/hyperlink" Target="https://drive.google.com/open?id=1kI4PwakFQ2t4yeEjeLQQ1x8M8NSXTHlj" TargetMode="External"/><Relationship Id="rId38" Type="http://schemas.openxmlformats.org/officeDocument/2006/relationships/hyperlink" Target="https://drive.google.com/open?id=1v9JLEHywb-uUy8bGNC3GjW6SgkJmpS0c" TargetMode="External"/><Relationship Id="rId46" Type="http://schemas.openxmlformats.org/officeDocument/2006/relationships/hyperlink" Target="https://drive.google.com/open?id=1E5XqRSmk05zWihTMLgZg6Ql9IoaxNiDl" TargetMode="External"/><Relationship Id="rId20" Type="http://schemas.openxmlformats.org/officeDocument/2006/relationships/hyperlink" Target="https://drive.google.com/open?id=11I6_ATL91tvllYsQB01c8ZC_aPNM__yt" TargetMode="External"/><Relationship Id="rId41" Type="http://schemas.openxmlformats.org/officeDocument/2006/relationships/hyperlink" Target="https://drive.google.com/open?id=1PRE1qe4Sha5GpZbyDT-TrczxIuR5f2B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HA133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baseColWidth="10" defaultColWidth="12.6640625" defaultRowHeight="15.75" customHeight="1" x14ac:dyDescent="0.15"/>
  <cols>
    <col min="1" max="1" width="15.1640625" customWidth="1"/>
    <col min="2" max="2" width="17.5" customWidth="1"/>
    <col min="3" max="3" width="41.5" customWidth="1"/>
    <col min="4" max="4" width="15.1640625" customWidth="1"/>
    <col min="5" max="5" width="10.1640625" customWidth="1"/>
    <col min="6" max="6" width="9" customWidth="1"/>
    <col min="7" max="7" width="11.1640625" customWidth="1"/>
    <col min="8" max="8" width="21.33203125" customWidth="1"/>
    <col min="9" max="9" width="11.1640625" customWidth="1"/>
    <col min="10" max="10" width="24" customWidth="1"/>
    <col min="11" max="11" width="90" customWidth="1"/>
    <col min="12" max="12" width="14.6640625" customWidth="1"/>
    <col min="13" max="13" width="4.1640625" customWidth="1"/>
    <col min="14" max="14" width="11.1640625" customWidth="1"/>
    <col min="15" max="15" width="4.6640625" customWidth="1"/>
    <col min="16" max="16" width="12.1640625" customWidth="1"/>
    <col min="17" max="17" width="29.6640625" customWidth="1"/>
    <col min="18" max="18" width="13" customWidth="1"/>
    <col min="19" max="19" width="15.1640625" customWidth="1"/>
    <col min="20" max="20" width="10.1640625" customWidth="1"/>
    <col min="21" max="21" width="9" customWidth="1"/>
    <col min="22" max="22" width="13.6640625" customWidth="1"/>
    <col min="23" max="23" width="7.1640625" customWidth="1"/>
    <col min="24" max="24" width="7.83203125" customWidth="1"/>
    <col min="25" max="25" width="14.1640625" customWidth="1"/>
    <col min="26" max="26" width="14.6640625" customWidth="1"/>
    <col min="27" max="27" width="4.6640625" customWidth="1"/>
    <col min="28" max="28" width="11.1640625" customWidth="1"/>
    <col min="29" max="29" width="10" customWidth="1"/>
    <col min="30" max="30" width="4.1640625" customWidth="1"/>
    <col min="31" max="31" width="15.5" customWidth="1"/>
    <col min="32" max="32" width="12.1640625" customWidth="1"/>
    <col min="33" max="33" width="34.1640625" customWidth="1"/>
    <col min="34" max="34" width="38.6640625" customWidth="1"/>
    <col min="35" max="35" width="18.1640625" customWidth="1"/>
    <col min="36" max="36" width="13.1640625" customWidth="1"/>
    <col min="37" max="37" width="30.5" customWidth="1"/>
    <col min="38" max="38" width="35.1640625" customWidth="1"/>
    <col min="39" max="39" width="10.5" customWidth="1"/>
    <col min="40" max="40" width="22.1640625" customWidth="1"/>
    <col min="41" max="41" width="10.1640625" customWidth="1"/>
    <col min="42" max="42" width="21.6640625" customWidth="1"/>
    <col min="43" max="43" width="17" customWidth="1"/>
    <col min="44" max="45" width="8.6640625" customWidth="1"/>
    <col min="46" max="46" width="32.6640625" customWidth="1"/>
    <col min="47" max="47" width="40.5" customWidth="1"/>
    <col min="48" max="48" width="14" customWidth="1"/>
    <col min="49" max="49" width="60.33203125" customWidth="1"/>
    <col min="50" max="50" width="20.1640625" customWidth="1"/>
    <col min="51" max="51" width="10.1640625" customWidth="1"/>
    <col min="52" max="52" width="33.5" customWidth="1"/>
    <col min="53" max="53" width="44.33203125" customWidth="1"/>
    <col min="54" max="54" width="8" customWidth="1"/>
    <col min="55" max="56" width="8.6640625" customWidth="1"/>
    <col min="57" max="57" width="10.1640625" customWidth="1"/>
    <col min="58" max="58" width="5.1640625" customWidth="1"/>
    <col min="59" max="59" width="17.5" customWidth="1"/>
    <col min="60" max="60" width="59.6640625" customWidth="1"/>
    <col min="61" max="61" width="35" customWidth="1"/>
    <col min="62" max="62" width="10.1640625" customWidth="1"/>
    <col min="63" max="63" width="11.6640625" customWidth="1"/>
    <col min="64" max="64" width="9.1640625" customWidth="1"/>
    <col min="65" max="65" width="52.6640625" customWidth="1"/>
    <col min="66" max="66" width="13.1640625" customWidth="1"/>
    <col min="67" max="68" width="8.6640625" customWidth="1"/>
    <col min="69" max="69" width="59.6640625" customWidth="1"/>
    <col min="70" max="70" width="73.1640625" customWidth="1"/>
    <col min="71" max="71" width="10.5" customWidth="1"/>
    <col min="72" max="72" width="14.83203125" customWidth="1"/>
    <col min="73" max="73" width="30.6640625" customWidth="1"/>
    <col min="74" max="74" width="59.33203125" customWidth="1"/>
    <col min="75" max="75" width="15.1640625" customWidth="1"/>
    <col min="76" max="76" width="10.1640625" customWidth="1"/>
    <col min="77" max="78" width="12.83203125" customWidth="1"/>
    <col min="79" max="79" width="28.83203125" customWidth="1"/>
    <col min="80" max="80" width="27.6640625" customWidth="1"/>
    <col min="81" max="81" width="7.6640625" customWidth="1"/>
    <col min="82" max="82" width="8.6640625" customWidth="1"/>
    <col min="83" max="83" width="8" customWidth="1"/>
    <col min="84" max="84" width="6.1640625" customWidth="1"/>
    <col min="85" max="85" width="56.6640625" customWidth="1"/>
    <col min="86" max="86" width="35.5" customWidth="1"/>
    <col min="87" max="87" width="7.6640625" customWidth="1"/>
    <col min="88" max="88" width="8.6640625" customWidth="1"/>
    <col min="89" max="89" width="8" customWidth="1"/>
    <col min="90" max="90" width="26.6640625" customWidth="1"/>
    <col min="91" max="93" width="14.6640625" customWidth="1"/>
    <col min="94" max="94" width="16" customWidth="1"/>
    <col min="95" max="95" width="13" customWidth="1"/>
    <col min="96" max="96" width="6.1640625" customWidth="1"/>
    <col min="97" max="97" width="66" customWidth="1"/>
    <col min="98" max="98" width="7.6640625" customWidth="1"/>
    <col min="99" max="100" width="9.33203125" customWidth="1"/>
    <col min="101" max="101" width="26.6640625" customWidth="1"/>
    <col min="102" max="102" width="107.1640625" customWidth="1"/>
    <col min="103" max="103" width="32.1640625" customWidth="1"/>
    <col min="104" max="104" width="14.6640625" customWidth="1"/>
    <col min="105" max="105" width="16" customWidth="1"/>
    <col min="106" max="106" width="13" customWidth="1"/>
    <col min="107" max="107" width="59.6640625" customWidth="1"/>
    <col min="108" max="108" width="32.33203125" customWidth="1"/>
    <col min="109" max="109" width="7.6640625" customWidth="1"/>
    <col min="110" max="111" width="9.1640625" customWidth="1"/>
    <col min="112" max="112" width="26.6640625" customWidth="1"/>
    <col min="113" max="113" width="26.33203125" customWidth="1"/>
    <col min="114" max="114" width="18.1640625" customWidth="1"/>
    <col min="115" max="115" width="14.6640625" customWidth="1"/>
    <col min="116" max="116" width="16" customWidth="1"/>
    <col min="117" max="117" width="55.6640625" customWidth="1"/>
    <col min="118" max="118" width="16.5" customWidth="1"/>
    <col min="119" max="119" width="7.6640625" customWidth="1"/>
    <col min="120" max="120" width="8.6640625" customWidth="1"/>
    <col min="121" max="121" width="8.33203125" customWidth="1"/>
    <col min="122" max="122" width="26.6640625" customWidth="1"/>
    <col min="123" max="123" width="22.5" customWidth="1"/>
    <col min="124" max="124" width="16.1640625" customWidth="1"/>
    <col min="125" max="125" width="14.6640625" customWidth="1"/>
    <col min="126" max="126" width="16" customWidth="1"/>
    <col min="127" max="127" width="57" customWidth="1"/>
    <col min="128" max="128" width="19.33203125" customWidth="1"/>
    <col min="129" max="129" width="10.83203125" customWidth="1"/>
    <col min="130" max="130" width="12.83203125" customWidth="1"/>
    <col min="131" max="131" width="49.5" customWidth="1"/>
    <col min="132" max="132" width="17.1640625" customWidth="1"/>
    <col min="133" max="133" width="27.6640625" customWidth="1"/>
    <col min="134" max="134" width="57" customWidth="1"/>
    <col min="135" max="135" width="40.1640625" customWidth="1"/>
    <col min="136" max="137" width="13" customWidth="1"/>
    <col min="138" max="138" width="17.1640625" customWidth="1"/>
    <col min="139" max="139" width="12.83203125" customWidth="1"/>
    <col min="140" max="140" width="14.6640625" customWidth="1"/>
    <col min="141" max="141" width="28.6640625" customWidth="1"/>
    <col min="142" max="142" width="26.6640625" customWidth="1"/>
    <col min="143" max="143" width="7.83203125" customWidth="1"/>
    <col min="144" max="144" width="8.5" customWidth="1"/>
    <col min="145" max="145" width="7.83203125" customWidth="1"/>
    <col min="146" max="146" width="5.1640625" customWidth="1"/>
    <col min="147" max="147" width="28.1640625" customWidth="1"/>
    <col min="148" max="148" width="24.5" customWidth="1"/>
    <col min="149" max="149" width="11.83203125" customWidth="1"/>
    <col min="150" max="150" width="54.1640625" customWidth="1"/>
    <col min="151" max="151" width="21.1640625" customWidth="1"/>
    <col min="152" max="152" width="12.83203125" customWidth="1"/>
    <col min="153" max="153" width="10.83203125" customWidth="1"/>
    <col min="154" max="154" width="32.1640625" customWidth="1"/>
    <col min="155" max="155" width="42.33203125" customWidth="1"/>
    <col min="156" max="156" width="7.83203125" customWidth="1"/>
    <col min="157" max="157" width="12.6640625" customWidth="1"/>
    <col min="158" max="158" width="7.83203125" customWidth="1"/>
    <col min="159" max="159" width="5.1640625" customWidth="1"/>
    <col min="160" max="160" width="28.1640625" customWidth="1"/>
    <col min="161" max="161" width="24.5" customWidth="1"/>
    <col min="162" max="162" width="63.1640625" customWidth="1"/>
    <col min="163" max="163" width="17" customWidth="1"/>
    <col min="164" max="164" width="10.83203125" customWidth="1"/>
    <col min="165" max="165" width="10.5" customWidth="1"/>
    <col min="166" max="166" width="15" customWidth="1"/>
    <col min="167" max="167" width="59.6640625" customWidth="1"/>
    <col min="168" max="168" width="25.6640625" customWidth="1"/>
    <col min="169" max="169" width="10.1640625" customWidth="1"/>
    <col min="170" max="170" width="17" customWidth="1"/>
    <col min="171" max="171" width="10.83203125" customWidth="1"/>
    <col min="172" max="172" width="18.6640625" customWidth="1"/>
    <col min="173" max="173" width="10.5" customWidth="1"/>
    <col min="174" max="174" width="13.5" customWidth="1"/>
    <col min="175" max="175" width="37.33203125" customWidth="1"/>
    <col min="176" max="176" width="17" customWidth="1"/>
    <col min="177" max="177" width="10.83203125" customWidth="1"/>
    <col min="178" max="178" width="17.5" customWidth="1"/>
    <col min="179" max="179" width="4.6640625" customWidth="1"/>
    <col min="180" max="180" width="5.33203125" customWidth="1"/>
    <col min="181" max="181" width="26.5" customWidth="1"/>
    <col min="182" max="182" width="17" customWidth="1"/>
    <col min="183" max="183" width="10.83203125" customWidth="1"/>
    <col min="184" max="184" width="14" customWidth="1"/>
    <col min="185" max="185" width="8.83203125" customWidth="1"/>
    <col min="186" max="186" width="10.1640625" customWidth="1"/>
    <col min="187" max="187" width="8.1640625" customWidth="1"/>
    <col min="188" max="188" width="17" customWidth="1"/>
    <col min="189" max="189" width="10.83203125" customWidth="1"/>
    <col min="190" max="190" width="13.6640625" customWidth="1"/>
    <col min="191" max="191" width="15.33203125" customWidth="1"/>
    <col min="192" max="192" width="22.1640625" customWidth="1"/>
    <col min="193" max="193" width="8" customWidth="1"/>
    <col min="194" max="194" width="22.6640625" customWidth="1"/>
    <col min="195" max="195" width="10.1640625" customWidth="1"/>
    <col min="196" max="196" width="26.5" customWidth="1"/>
    <col min="197" max="197" width="37.33203125" customWidth="1"/>
    <col min="198" max="198" width="59.6640625" customWidth="1"/>
    <col min="199" max="199" width="5.83203125" customWidth="1"/>
    <col min="200" max="200" width="3.1640625" customWidth="1"/>
    <col min="201" max="201" width="11.1640625" customWidth="1"/>
    <col min="202" max="202" width="10.1640625" customWidth="1"/>
    <col min="203" max="203" width="28.6640625" customWidth="1"/>
    <col min="204" max="209" width="18.83203125" customWidth="1"/>
  </cols>
  <sheetData>
    <row r="1" spans="1:209" ht="23.25" customHeight="1" x14ac:dyDescent="0.15">
      <c r="A1" s="12" t="s">
        <v>23</v>
      </c>
      <c r="B1" s="13" t="s">
        <v>24</v>
      </c>
      <c r="C1" s="12" t="s">
        <v>1</v>
      </c>
      <c r="D1" s="12" t="s">
        <v>25</v>
      </c>
      <c r="E1" s="12" t="s">
        <v>26</v>
      </c>
      <c r="F1" s="12" t="s">
        <v>27</v>
      </c>
      <c r="G1" s="12" t="s">
        <v>28</v>
      </c>
      <c r="H1" s="12" t="s">
        <v>29</v>
      </c>
      <c r="I1" s="12" t="s">
        <v>30</v>
      </c>
      <c r="J1" s="12" t="s">
        <v>31</v>
      </c>
      <c r="K1" s="12" t="s">
        <v>32</v>
      </c>
      <c r="L1" s="12" t="s">
        <v>33</v>
      </c>
      <c r="M1" s="12" t="s">
        <v>34</v>
      </c>
      <c r="N1" s="12" t="s">
        <v>35</v>
      </c>
      <c r="O1" s="12" t="s">
        <v>36</v>
      </c>
      <c r="P1" s="12" t="s">
        <v>37</v>
      </c>
      <c r="Q1" s="12" t="s">
        <v>38</v>
      </c>
      <c r="R1" s="12" t="s">
        <v>39</v>
      </c>
      <c r="S1" s="12" t="s">
        <v>25</v>
      </c>
      <c r="T1" s="12" t="s">
        <v>26</v>
      </c>
      <c r="U1" s="12" t="s">
        <v>27</v>
      </c>
      <c r="V1" s="12" t="s">
        <v>40</v>
      </c>
      <c r="W1" s="12" t="s">
        <v>41</v>
      </c>
      <c r="X1" s="12" t="s">
        <v>42</v>
      </c>
      <c r="Y1" s="12" t="s">
        <v>43</v>
      </c>
      <c r="Z1" s="12" t="s">
        <v>33</v>
      </c>
      <c r="AA1" s="12" t="s">
        <v>36</v>
      </c>
      <c r="AB1" s="12" t="s">
        <v>35</v>
      </c>
      <c r="AC1" s="12" t="s">
        <v>44</v>
      </c>
      <c r="AD1" s="12" t="s">
        <v>34</v>
      </c>
      <c r="AE1" s="12" t="s">
        <v>45</v>
      </c>
      <c r="AF1" s="12" t="s">
        <v>37</v>
      </c>
      <c r="AG1" s="12" t="s">
        <v>46</v>
      </c>
      <c r="AH1" s="12" t="s">
        <v>47</v>
      </c>
      <c r="AI1" s="12" t="s">
        <v>48</v>
      </c>
      <c r="AJ1" s="12" t="s">
        <v>49</v>
      </c>
      <c r="AK1" s="12" t="s">
        <v>50</v>
      </c>
      <c r="AL1" s="12" t="s">
        <v>51</v>
      </c>
      <c r="AM1" s="12" t="s">
        <v>52</v>
      </c>
      <c r="AN1" s="12" t="s">
        <v>25</v>
      </c>
      <c r="AO1" s="12" t="s">
        <v>26</v>
      </c>
      <c r="AP1" s="12" t="s">
        <v>53</v>
      </c>
      <c r="AQ1" s="12" t="s">
        <v>54</v>
      </c>
      <c r="AR1" s="12" t="s">
        <v>55</v>
      </c>
      <c r="AS1" s="12" t="s">
        <v>56</v>
      </c>
      <c r="AT1" s="12" t="s">
        <v>57</v>
      </c>
      <c r="AU1" s="12" t="s">
        <v>58</v>
      </c>
      <c r="AV1" s="12" t="s">
        <v>59</v>
      </c>
      <c r="AW1" s="12" t="s">
        <v>60</v>
      </c>
      <c r="AX1" s="12" t="s">
        <v>25</v>
      </c>
      <c r="AY1" s="12" t="s">
        <v>26</v>
      </c>
      <c r="AZ1" s="12" t="s">
        <v>61</v>
      </c>
      <c r="BA1" s="12" t="s">
        <v>62</v>
      </c>
      <c r="BB1" s="12" t="s">
        <v>63</v>
      </c>
      <c r="BC1" s="12" t="s">
        <v>55</v>
      </c>
      <c r="BD1" s="12" t="s">
        <v>56</v>
      </c>
      <c r="BE1" s="12" t="s">
        <v>64</v>
      </c>
      <c r="BF1" s="12" t="s">
        <v>65</v>
      </c>
      <c r="BG1" s="12" t="s">
        <v>66</v>
      </c>
      <c r="BH1" s="12" t="s">
        <v>67</v>
      </c>
      <c r="BI1" s="12" t="s">
        <v>25</v>
      </c>
      <c r="BJ1" s="12" t="s">
        <v>26</v>
      </c>
      <c r="BK1" s="12" t="s">
        <v>68</v>
      </c>
      <c r="BL1" s="12" t="s">
        <v>69</v>
      </c>
      <c r="BM1" s="13" t="s">
        <v>70</v>
      </c>
      <c r="BN1" s="12" t="s">
        <v>71</v>
      </c>
      <c r="BO1" s="12" t="s">
        <v>55</v>
      </c>
      <c r="BP1" s="12" t="s">
        <v>56</v>
      </c>
      <c r="BQ1" s="12" t="s">
        <v>72</v>
      </c>
      <c r="BR1" s="12" t="s">
        <v>73</v>
      </c>
      <c r="BS1" s="12" t="s">
        <v>74</v>
      </c>
      <c r="BT1" s="12" t="s">
        <v>75</v>
      </c>
      <c r="BU1" s="13" t="s">
        <v>76</v>
      </c>
      <c r="BV1" s="12" t="s">
        <v>77</v>
      </c>
      <c r="BW1" s="12" t="s">
        <v>25</v>
      </c>
      <c r="BX1" s="12" t="s">
        <v>26</v>
      </c>
      <c r="BY1" s="14"/>
      <c r="BZ1" s="14" t="s">
        <v>68</v>
      </c>
      <c r="CA1" s="14" t="s">
        <v>78</v>
      </c>
      <c r="CB1" s="14" t="s">
        <v>79</v>
      </c>
      <c r="CC1" s="14" t="s">
        <v>80</v>
      </c>
      <c r="CD1" s="14" t="s">
        <v>55</v>
      </c>
      <c r="CE1" s="14" t="s">
        <v>56</v>
      </c>
      <c r="CF1" s="14" t="s">
        <v>81</v>
      </c>
      <c r="CG1" s="14" t="s">
        <v>82</v>
      </c>
      <c r="CH1" s="14" t="s">
        <v>83</v>
      </c>
      <c r="CI1" s="14" t="s">
        <v>80</v>
      </c>
      <c r="CJ1" s="14" t="s">
        <v>55</v>
      </c>
      <c r="CK1" s="14" t="s">
        <v>56</v>
      </c>
      <c r="CL1" s="14" t="s">
        <v>84</v>
      </c>
      <c r="CM1" s="14" t="s">
        <v>85</v>
      </c>
      <c r="CN1" s="14" t="s">
        <v>86</v>
      </c>
      <c r="CO1" s="14" t="s">
        <v>87</v>
      </c>
      <c r="CP1" s="14" t="s">
        <v>88</v>
      </c>
      <c r="CQ1" s="14" t="s">
        <v>89</v>
      </c>
      <c r="CR1" s="14" t="s">
        <v>90</v>
      </c>
      <c r="CS1" s="14" t="s">
        <v>91</v>
      </c>
      <c r="CT1" s="14" t="s">
        <v>80</v>
      </c>
      <c r="CU1" s="14" t="s">
        <v>55</v>
      </c>
      <c r="CV1" s="14" t="s">
        <v>56</v>
      </c>
      <c r="CW1" s="14" t="s">
        <v>84</v>
      </c>
      <c r="CX1" s="15" t="s">
        <v>92</v>
      </c>
      <c r="CY1" s="14" t="s">
        <v>86</v>
      </c>
      <c r="CZ1" s="14" t="s">
        <v>87</v>
      </c>
      <c r="DA1" s="14" t="s">
        <v>88</v>
      </c>
      <c r="DB1" s="14" t="s">
        <v>89</v>
      </c>
      <c r="DC1" s="14" t="s">
        <v>90</v>
      </c>
      <c r="DD1" s="14" t="s">
        <v>91</v>
      </c>
      <c r="DE1" s="14" t="s">
        <v>80</v>
      </c>
      <c r="DF1" s="14" t="s">
        <v>55</v>
      </c>
      <c r="DG1" s="14" t="s">
        <v>56</v>
      </c>
      <c r="DH1" s="14" t="s">
        <v>84</v>
      </c>
      <c r="DI1" s="14" t="s">
        <v>85</v>
      </c>
      <c r="DJ1" s="14" t="s">
        <v>86</v>
      </c>
      <c r="DK1" s="14" t="s">
        <v>87</v>
      </c>
      <c r="DL1" s="14" t="s">
        <v>88</v>
      </c>
      <c r="DM1" s="14" t="s">
        <v>90</v>
      </c>
      <c r="DN1" s="14" t="s">
        <v>91</v>
      </c>
      <c r="DO1" s="14" t="s">
        <v>80</v>
      </c>
      <c r="DP1" s="14" t="s">
        <v>55</v>
      </c>
      <c r="DQ1" s="14" t="s">
        <v>56</v>
      </c>
      <c r="DR1" s="14" t="s">
        <v>84</v>
      </c>
      <c r="DS1" s="14" t="s">
        <v>85</v>
      </c>
      <c r="DT1" s="14" t="s">
        <v>86</v>
      </c>
      <c r="DU1" s="14" t="s">
        <v>87</v>
      </c>
      <c r="DV1" s="14" t="s">
        <v>88</v>
      </c>
      <c r="DW1" s="14" t="s">
        <v>90</v>
      </c>
      <c r="DX1" s="14" t="s">
        <v>25</v>
      </c>
      <c r="DY1" s="14" t="s">
        <v>26</v>
      </c>
      <c r="DZ1" s="14" t="s">
        <v>68</v>
      </c>
      <c r="EA1" s="14" t="s">
        <v>93</v>
      </c>
      <c r="EB1" s="14" t="s">
        <v>94</v>
      </c>
      <c r="EC1" s="14" t="s">
        <v>95</v>
      </c>
      <c r="ED1" s="14" t="s">
        <v>90</v>
      </c>
      <c r="EE1" s="15" t="s">
        <v>96</v>
      </c>
      <c r="EF1" s="15" t="s">
        <v>89</v>
      </c>
      <c r="EG1" s="15" t="s">
        <v>89</v>
      </c>
      <c r="EH1" s="15" t="s">
        <v>97</v>
      </c>
      <c r="EI1" s="15" t="s">
        <v>68</v>
      </c>
      <c r="EJ1" s="15" t="s">
        <v>98</v>
      </c>
      <c r="EK1" s="15" t="s">
        <v>99</v>
      </c>
      <c r="EL1" s="15" t="s">
        <v>84</v>
      </c>
      <c r="EM1" s="15" t="s">
        <v>63</v>
      </c>
      <c r="EN1" s="15" t="s">
        <v>100</v>
      </c>
      <c r="EO1" s="15" t="s">
        <v>101</v>
      </c>
      <c r="EP1" s="15" t="s">
        <v>74</v>
      </c>
      <c r="EQ1" s="15" t="s">
        <v>102</v>
      </c>
      <c r="ER1" s="15" t="s">
        <v>103</v>
      </c>
      <c r="ES1" s="15" t="s">
        <v>104</v>
      </c>
      <c r="ET1" s="15" t="s">
        <v>105</v>
      </c>
      <c r="EU1" s="15" t="s">
        <v>25</v>
      </c>
      <c r="EV1" s="15" t="s">
        <v>68</v>
      </c>
      <c r="EW1" s="15" t="s">
        <v>26</v>
      </c>
      <c r="EX1" s="15" t="s">
        <v>106</v>
      </c>
      <c r="EY1" s="15" t="s">
        <v>107</v>
      </c>
      <c r="EZ1" s="15" t="s">
        <v>63</v>
      </c>
      <c r="FA1" s="15" t="s">
        <v>108</v>
      </c>
      <c r="FB1" s="15" t="s">
        <v>101</v>
      </c>
      <c r="FC1" s="15" t="s">
        <v>74</v>
      </c>
      <c r="FD1" s="15" t="s">
        <v>102</v>
      </c>
      <c r="FE1" s="15" t="s">
        <v>103</v>
      </c>
      <c r="FF1" s="15" t="s">
        <v>109</v>
      </c>
      <c r="FG1" s="15" t="s">
        <v>25</v>
      </c>
      <c r="FH1" s="15" t="s">
        <v>26</v>
      </c>
      <c r="FI1" s="15" t="s">
        <v>110</v>
      </c>
      <c r="FJ1" s="15" t="s">
        <v>111</v>
      </c>
      <c r="FK1" s="15" t="s">
        <v>112</v>
      </c>
      <c r="FL1" s="15" t="s">
        <v>113</v>
      </c>
      <c r="FM1" s="15" t="s">
        <v>114</v>
      </c>
      <c r="FN1" s="15" t="s">
        <v>25</v>
      </c>
      <c r="FO1" s="15" t="s">
        <v>26</v>
      </c>
      <c r="FP1" s="15" t="s">
        <v>53</v>
      </c>
      <c r="FQ1" s="15" t="s">
        <v>115</v>
      </c>
      <c r="FR1" s="15" t="s">
        <v>116</v>
      </c>
      <c r="FS1" s="15" t="s">
        <v>117</v>
      </c>
      <c r="FT1" s="15" t="s">
        <v>25</v>
      </c>
      <c r="FU1" s="15" t="s">
        <v>26</v>
      </c>
      <c r="FV1" s="15" t="s">
        <v>118</v>
      </c>
      <c r="FW1" s="15" t="s">
        <v>119</v>
      </c>
      <c r="FX1" s="15" t="s">
        <v>120</v>
      </c>
      <c r="FY1" s="15" t="s">
        <v>121</v>
      </c>
      <c r="FZ1" s="15" t="s">
        <v>25</v>
      </c>
      <c r="GA1" s="15" t="s">
        <v>26</v>
      </c>
      <c r="GB1" s="15" t="s">
        <v>122</v>
      </c>
      <c r="GC1" s="15" t="s">
        <v>123</v>
      </c>
      <c r="GD1" s="15" t="s">
        <v>124</v>
      </c>
      <c r="GE1" s="15" t="s">
        <v>125</v>
      </c>
      <c r="GF1" s="15" t="s">
        <v>25</v>
      </c>
      <c r="GG1" s="15" t="s">
        <v>26</v>
      </c>
      <c r="GH1" s="15" t="s">
        <v>126</v>
      </c>
      <c r="GI1" s="15" t="s">
        <v>127</v>
      </c>
      <c r="GJ1" s="15" t="s">
        <v>128</v>
      </c>
      <c r="GK1" s="15" t="s">
        <v>41</v>
      </c>
      <c r="GL1" s="15" t="s">
        <v>129</v>
      </c>
      <c r="GM1" s="15" t="s">
        <v>124</v>
      </c>
      <c r="GN1" s="15" t="s">
        <v>121</v>
      </c>
      <c r="GO1" s="15" t="s">
        <v>117</v>
      </c>
      <c r="GP1" s="15" t="s">
        <v>112</v>
      </c>
      <c r="GQ1" s="15" t="s">
        <v>130</v>
      </c>
      <c r="GR1" s="15" t="s">
        <v>131</v>
      </c>
      <c r="GS1" s="15" t="s">
        <v>132</v>
      </c>
      <c r="GT1" s="15" t="s">
        <v>114</v>
      </c>
      <c r="GU1" s="15" t="s">
        <v>105</v>
      </c>
      <c r="GV1" s="14"/>
      <c r="GW1" s="14"/>
      <c r="GX1" s="14"/>
      <c r="GY1" s="14"/>
      <c r="GZ1" s="14"/>
      <c r="HA1" s="14"/>
    </row>
    <row r="2" spans="1:209" ht="23.25" customHeight="1" x14ac:dyDescent="0.15">
      <c r="A2" s="16">
        <v>44132.81100371528</v>
      </c>
      <c r="B2" s="17">
        <v>3</v>
      </c>
      <c r="C2" s="17" t="s">
        <v>14</v>
      </c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20" t="s">
        <v>133</v>
      </c>
      <c r="CT2" s="20" t="s">
        <v>134</v>
      </c>
      <c r="CU2" s="21">
        <v>44121</v>
      </c>
      <c r="CV2" s="21">
        <v>44121</v>
      </c>
      <c r="CW2" s="20">
        <v>111</v>
      </c>
      <c r="CX2" s="20" t="s">
        <v>135</v>
      </c>
      <c r="CY2" s="20" t="s">
        <v>136</v>
      </c>
      <c r="CZ2" s="20">
        <v>0</v>
      </c>
      <c r="DA2" s="20">
        <v>0</v>
      </c>
      <c r="DB2" s="20">
        <v>0</v>
      </c>
      <c r="DC2" s="22" t="s">
        <v>137</v>
      </c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  <c r="FG2" s="19"/>
      <c r="FH2" s="19"/>
      <c r="FI2" s="19"/>
      <c r="FJ2" s="19"/>
      <c r="FK2" s="19"/>
      <c r="FL2" s="20" t="s">
        <v>138</v>
      </c>
      <c r="FM2" s="23"/>
      <c r="FN2" s="23"/>
      <c r="FO2" s="23"/>
      <c r="FP2" s="23"/>
      <c r="FQ2" s="23"/>
      <c r="FR2" s="23"/>
      <c r="FS2" s="23"/>
      <c r="FT2" s="23"/>
      <c r="FU2" s="23"/>
      <c r="FV2" s="23"/>
      <c r="FW2" s="23"/>
      <c r="FX2" s="23"/>
      <c r="FY2" s="23"/>
      <c r="FZ2" s="23"/>
      <c r="GA2" s="23"/>
      <c r="GB2" s="23"/>
      <c r="GC2" s="23"/>
      <c r="GD2" s="23"/>
      <c r="GE2" s="23"/>
      <c r="GF2" s="23"/>
      <c r="GG2" s="23"/>
      <c r="GH2" s="23"/>
      <c r="GI2" s="23"/>
      <c r="GJ2" s="23"/>
      <c r="GK2" s="23"/>
      <c r="GL2" s="23"/>
      <c r="GM2" s="23"/>
      <c r="GN2" s="23"/>
      <c r="GO2" s="23"/>
      <c r="GP2" s="23"/>
      <c r="GQ2" s="23"/>
      <c r="GR2" s="23"/>
      <c r="GS2" s="23"/>
      <c r="GT2" s="23"/>
      <c r="GU2" s="19"/>
      <c r="GV2" s="19"/>
      <c r="GW2" s="19"/>
      <c r="GX2" s="19"/>
      <c r="GY2" s="19"/>
      <c r="GZ2" s="19"/>
      <c r="HA2" s="19"/>
    </row>
    <row r="3" spans="1:209" ht="23.25" customHeight="1" x14ac:dyDescent="0.15">
      <c r="A3" s="16">
        <v>44132.829308101849</v>
      </c>
      <c r="B3" s="17">
        <v>7</v>
      </c>
      <c r="C3" s="17" t="s">
        <v>14</v>
      </c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20" t="s">
        <v>139</v>
      </c>
      <c r="CT3" s="20" t="s">
        <v>134</v>
      </c>
      <c r="CU3" s="21">
        <v>44093</v>
      </c>
      <c r="CV3" s="21">
        <v>44093</v>
      </c>
      <c r="CW3" s="20">
        <v>50</v>
      </c>
      <c r="CX3" s="20" t="s">
        <v>140</v>
      </c>
      <c r="CY3" s="20" t="s">
        <v>141</v>
      </c>
      <c r="CZ3" s="20">
        <v>0</v>
      </c>
      <c r="DA3" s="20">
        <v>0</v>
      </c>
      <c r="DB3" s="20">
        <v>0</v>
      </c>
      <c r="DC3" s="22" t="s">
        <v>142</v>
      </c>
      <c r="DD3" s="19"/>
      <c r="DE3" s="19"/>
      <c r="DF3" s="19"/>
      <c r="DG3" s="19"/>
      <c r="DH3" s="19"/>
      <c r="DI3" s="19"/>
      <c r="DJ3" s="19"/>
      <c r="DK3" s="19"/>
      <c r="DL3" s="19"/>
      <c r="DM3" s="19"/>
      <c r="DN3" s="19"/>
      <c r="DO3" s="19"/>
      <c r="DP3" s="19"/>
      <c r="DQ3" s="19"/>
      <c r="DR3" s="19"/>
      <c r="DS3" s="19"/>
      <c r="DT3" s="19"/>
      <c r="DU3" s="19"/>
      <c r="DV3" s="19"/>
      <c r="DW3" s="19"/>
      <c r="DX3" s="19"/>
      <c r="DY3" s="19"/>
      <c r="DZ3" s="19"/>
      <c r="EA3" s="19"/>
      <c r="EB3" s="19"/>
      <c r="EC3" s="19"/>
      <c r="ED3" s="19"/>
      <c r="EE3" s="19"/>
      <c r="EF3" s="19"/>
      <c r="EG3" s="19"/>
      <c r="EH3" s="19"/>
      <c r="EI3" s="19"/>
      <c r="EJ3" s="19"/>
      <c r="EK3" s="19"/>
      <c r="EL3" s="19"/>
      <c r="EM3" s="19"/>
      <c r="EN3" s="19"/>
      <c r="EO3" s="19"/>
      <c r="EP3" s="19"/>
      <c r="EQ3" s="19"/>
      <c r="ER3" s="19"/>
      <c r="ES3" s="19"/>
      <c r="ET3" s="19"/>
      <c r="EU3" s="19"/>
      <c r="EV3" s="19"/>
      <c r="EW3" s="19"/>
      <c r="EX3" s="19"/>
      <c r="EY3" s="19"/>
      <c r="EZ3" s="19"/>
      <c r="FA3" s="19"/>
      <c r="FB3" s="19"/>
      <c r="FC3" s="19"/>
      <c r="FD3" s="19"/>
      <c r="FE3" s="19"/>
      <c r="FF3" s="19"/>
      <c r="FG3" s="19"/>
      <c r="FH3" s="19"/>
      <c r="FI3" s="19"/>
      <c r="FJ3" s="19"/>
      <c r="FK3" s="19"/>
      <c r="FL3" s="20" t="s">
        <v>138</v>
      </c>
      <c r="FM3" s="23"/>
      <c r="FN3" s="23"/>
      <c r="FO3" s="23"/>
      <c r="FP3" s="23"/>
      <c r="FQ3" s="23"/>
      <c r="FR3" s="23"/>
      <c r="FS3" s="23"/>
      <c r="FT3" s="23"/>
      <c r="FU3" s="23"/>
      <c r="FV3" s="23"/>
      <c r="FW3" s="23"/>
      <c r="FX3" s="23"/>
      <c r="FY3" s="23"/>
      <c r="FZ3" s="23"/>
      <c r="GA3" s="23"/>
      <c r="GB3" s="23"/>
      <c r="GC3" s="23"/>
      <c r="GD3" s="23"/>
      <c r="GE3" s="23"/>
      <c r="GF3" s="23"/>
      <c r="GG3" s="23"/>
      <c r="GH3" s="23"/>
      <c r="GI3" s="23"/>
      <c r="GJ3" s="23"/>
      <c r="GK3" s="23"/>
      <c r="GL3" s="23"/>
      <c r="GM3" s="23"/>
      <c r="GN3" s="23"/>
      <c r="GO3" s="23"/>
      <c r="GP3" s="23"/>
      <c r="GQ3" s="23"/>
      <c r="GR3" s="23"/>
      <c r="GS3" s="23"/>
      <c r="GT3" s="23"/>
      <c r="GU3" s="19"/>
      <c r="GV3" s="19"/>
      <c r="GW3" s="19"/>
      <c r="GX3" s="19"/>
      <c r="GY3" s="19"/>
      <c r="GZ3" s="19"/>
      <c r="HA3" s="19"/>
    </row>
    <row r="4" spans="1:209" ht="23.25" customHeight="1" x14ac:dyDescent="0.15">
      <c r="A4" s="16">
        <v>44133.845226377314</v>
      </c>
      <c r="B4" s="17">
        <v>5</v>
      </c>
      <c r="C4" s="17" t="s">
        <v>12</v>
      </c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7" t="s">
        <v>143</v>
      </c>
      <c r="BJ4" s="17" t="s">
        <v>144</v>
      </c>
      <c r="BK4" s="17" t="s">
        <v>145</v>
      </c>
      <c r="BL4" s="17" t="s">
        <v>146</v>
      </c>
      <c r="BM4" s="17" t="s">
        <v>147</v>
      </c>
      <c r="BN4" s="17">
        <v>2</v>
      </c>
      <c r="BO4" s="24">
        <v>43462</v>
      </c>
      <c r="BP4" s="24">
        <v>43463</v>
      </c>
      <c r="BQ4" s="17" t="s">
        <v>148</v>
      </c>
      <c r="BR4" s="17" t="s">
        <v>149</v>
      </c>
      <c r="BS4" s="17" t="s">
        <v>150</v>
      </c>
      <c r="BT4" s="17" t="s">
        <v>151</v>
      </c>
      <c r="BU4" s="18"/>
      <c r="BV4" s="25" t="s">
        <v>152</v>
      </c>
      <c r="BW4" s="18"/>
      <c r="BX4" s="18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  <c r="CJ4" s="19"/>
      <c r="CK4" s="19"/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19"/>
      <c r="DA4" s="19"/>
      <c r="DB4" s="19"/>
      <c r="DC4" s="19"/>
      <c r="DD4" s="19"/>
      <c r="DE4" s="19"/>
      <c r="DF4" s="19"/>
      <c r="DG4" s="19"/>
      <c r="DH4" s="19"/>
      <c r="DI4" s="19"/>
      <c r="DJ4" s="19"/>
      <c r="DK4" s="19"/>
      <c r="DL4" s="19"/>
      <c r="DM4" s="19"/>
      <c r="DN4" s="19"/>
      <c r="DO4" s="19"/>
      <c r="DP4" s="19"/>
      <c r="DQ4" s="19"/>
      <c r="DR4" s="19"/>
      <c r="DS4" s="19"/>
      <c r="DT4" s="19"/>
      <c r="DU4" s="19"/>
      <c r="DV4" s="19"/>
      <c r="DW4" s="19"/>
      <c r="DX4" s="19"/>
      <c r="DY4" s="19"/>
      <c r="DZ4" s="19"/>
      <c r="EA4" s="19"/>
      <c r="EB4" s="19"/>
      <c r="EC4" s="19"/>
      <c r="ED4" s="19"/>
      <c r="EE4" s="19"/>
      <c r="EF4" s="19"/>
      <c r="EG4" s="19"/>
      <c r="EH4" s="19"/>
      <c r="EI4" s="19"/>
      <c r="EJ4" s="19"/>
      <c r="EK4" s="19"/>
      <c r="EL4" s="19"/>
      <c r="EM4" s="19"/>
      <c r="EN4" s="19"/>
      <c r="EO4" s="19"/>
      <c r="EP4" s="19"/>
      <c r="EQ4" s="19"/>
      <c r="ER4" s="19"/>
      <c r="ES4" s="19"/>
      <c r="ET4" s="19"/>
      <c r="EU4" s="19"/>
      <c r="EV4" s="19"/>
      <c r="EW4" s="19"/>
      <c r="EX4" s="19"/>
      <c r="EY4" s="19"/>
      <c r="EZ4" s="19"/>
      <c r="FA4" s="19"/>
      <c r="FB4" s="19"/>
      <c r="FC4" s="19"/>
      <c r="FD4" s="19"/>
      <c r="FE4" s="19"/>
      <c r="FF4" s="19"/>
      <c r="FG4" s="19"/>
      <c r="FH4" s="19"/>
      <c r="FI4" s="19"/>
      <c r="FJ4" s="19"/>
      <c r="FK4" s="19"/>
      <c r="FL4" s="20" t="s">
        <v>153</v>
      </c>
      <c r="FM4" s="23"/>
      <c r="FN4" s="23"/>
      <c r="FO4" s="23"/>
      <c r="FP4" s="23"/>
      <c r="FQ4" s="23"/>
      <c r="FR4" s="23"/>
      <c r="FS4" s="23"/>
      <c r="FT4" s="23"/>
      <c r="FU4" s="23"/>
      <c r="FV4" s="23"/>
      <c r="FW4" s="23"/>
      <c r="FX4" s="23"/>
      <c r="FY4" s="23"/>
      <c r="FZ4" s="23"/>
      <c r="GA4" s="23"/>
      <c r="GB4" s="23"/>
      <c r="GC4" s="23"/>
      <c r="GD4" s="23"/>
      <c r="GE4" s="23"/>
      <c r="GF4" s="23"/>
      <c r="GG4" s="23"/>
      <c r="GH4" s="23"/>
      <c r="GI4" s="23"/>
      <c r="GJ4" s="23"/>
      <c r="GK4" s="23"/>
      <c r="GL4" s="23"/>
      <c r="GM4" s="23"/>
      <c r="GN4" s="23"/>
      <c r="GO4" s="23"/>
      <c r="GP4" s="23"/>
      <c r="GQ4" s="23"/>
      <c r="GR4" s="23"/>
      <c r="GS4" s="23"/>
      <c r="GT4" s="23"/>
      <c r="GU4" s="19"/>
      <c r="GV4" s="19"/>
      <c r="GW4" s="19"/>
      <c r="GX4" s="19"/>
      <c r="GY4" s="19"/>
      <c r="GZ4" s="19"/>
      <c r="HA4" s="19"/>
    </row>
    <row r="5" spans="1:209" ht="23.25" customHeight="1" x14ac:dyDescent="0.15">
      <c r="A5" s="16">
        <v>44134.791262604165</v>
      </c>
      <c r="B5" s="17">
        <v>5</v>
      </c>
      <c r="C5" s="17" t="s">
        <v>17</v>
      </c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9"/>
      <c r="BZ5" s="19"/>
      <c r="CA5" s="19"/>
      <c r="CB5" s="19"/>
      <c r="CC5" s="19"/>
      <c r="CD5" s="19"/>
      <c r="CE5" s="19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/>
      <c r="DL5" s="19"/>
      <c r="DM5" s="19"/>
      <c r="DN5" s="19"/>
      <c r="DO5" s="19"/>
      <c r="DP5" s="19"/>
      <c r="DQ5" s="19"/>
      <c r="DR5" s="19"/>
      <c r="DS5" s="19"/>
      <c r="DT5" s="19"/>
      <c r="DU5" s="19"/>
      <c r="DV5" s="19"/>
      <c r="DW5" s="19"/>
      <c r="DX5" s="20" t="s">
        <v>143</v>
      </c>
      <c r="DY5" s="20" t="s">
        <v>144</v>
      </c>
      <c r="DZ5" s="20" t="s">
        <v>154</v>
      </c>
      <c r="EA5" s="20" t="s">
        <v>155</v>
      </c>
      <c r="EB5" s="21">
        <v>43897</v>
      </c>
      <c r="EC5" s="20" t="s">
        <v>156</v>
      </c>
      <c r="ED5" s="22" t="s">
        <v>157</v>
      </c>
      <c r="EE5" s="19"/>
      <c r="EF5" s="19"/>
      <c r="EG5" s="19"/>
      <c r="EH5" s="19"/>
      <c r="EI5" s="19"/>
      <c r="EJ5" s="19"/>
      <c r="EK5" s="19"/>
      <c r="EL5" s="19"/>
      <c r="EM5" s="19"/>
      <c r="EN5" s="19"/>
      <c r="EO5" s="19"/>
      <c r="EP5" s="19"/>
      <c r="EQ5" s="19"/>
      <c r="ER5" s="19"/>
      <c r="ES5" s="19"/>
      <c r="ET5" s="19"/>
      <c r="EU5" s="19"/>
      <c r="EV5" s="19"/>
      <c r="EW5" s="19"/>
      <c r="EX5" s="19"/>
      <c r="EY5" s="19"/>
      <c r="EZ5" s="19"/>
      <c r="FA5" s="19"/>
      <c r="FB5" s="19"/>
      <c r="FC5" s="19"/>
      <c r="FD5" s="19"/>
      <c r="FE5" s="19"/>
      <c r="FF5" s="19"/>
      <c r="FG5" s="19"/>
      <c r="FH5" s="19"/>
      <c r="FI5" s="19"/>
      <c r="FJ5" s="19"/>
      <c r="FK5" s="19"/>
      <c r="FL5" s="20" t="s">
        <v>153</v>
      </c>
      <c r="FM5" s="23"/>
      <c r="FN5" s="23"/>
      <c r="FO5" s="23"/>
      <c r="FP5" s="23"/>
      <c r="FQ5" s="23"/>
      <c r="FR5" s="23"/>
      <c r="FS5" s="23"/>
      <c r="FT5" s="23"/>
      <c r="FU5" s="23"/>
      <c r="FV5" s="23"/>
      <c r="FW5" s="23"/>
      <c r="FX5" s="23"/>
      <c r="FY5" s="23"/>
      <c r="FZ5" s="23"/>
      <c r="GA5" s="23"/>
      <c r="GB5" s="23"/>
      <c r="GC5" s="23"/>
      <c r="GD5" s="23"/>
      <c r="GE5" s="23"/>
      <c r="GF5" s="23"/>
      <c r="GG5" s="23"/>
      <c r="GH5" s="23"/>
      <c r="GI5" s="23"/>
      <c r="GJ5" s="23"/>
      <c r="GK5" s="23"/>
      <c r="GL5" s="23"/>
      <c r="GM5" s="23"/>
      <c r="GN5" s="23"/>
      <c r="GO5" s="23"/>
      <c r="GP5" s="23"/>
      <c r="GQ5" s="23"/>
      <c r="GR5" s="23"/>
      <c r="GS5" s="23"/>
      <c r="GT5" s="23"/>
      <c r="GU5" s="19"/>
      <c r="GV5" s="19"/>
      <c r="GW5" s="19"/>
      <c r="GX5" s="19"/>
      <c r="GY5" s="19"/>
      <c r="GZ5" s="19"/>
      <c r="HA5" s="19"/>
    </row>
    <row r="6" spans="1:209" ht="23.25" customHeight="1" x14ac:dyDescent="0.15">
      <c r="A6" s="16">
        <v>44154.968595509257</v>
      </c>
      <c r="B6" s="17">
        <v>3</v>
      </c>
      <c r="C6" s="17" t="s">
        <v>15</v>
      </c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9"/>
      <c r="BZ6" s="19"/>
      <c r="CA6" s="19"/>
      <c r="CB6" s="19"/>
      <c r="CC6" s="19"/>
      <c r="CD6" s="19"/>
      <c r="CE6" s="19"/>
      <c r="CF6" s="19"/>
      <c r="CG6" s="19"/>
      <c r="CH6" s="19"/>
      <c r="CI6" s="19"/>
      <c r="CJ6" s="19"/>
      <c r="CK6" s="19"/>
      <c r="CL6" s="19"/>
      <c r="CM6" s="19"/>
      <c r="CN6" s="19"/>
      <c r="CO6" s="19"/>
      <c r="CP6" s="19"/>
      <c r="CQ6" s="19"/>
      <c r="CR6" s="19"/>
      <c r="CS6" s="19"/>
      <c r="CT6" s="19"/>
      <c r="CU6" s="19"/>
      <c r="CV6" s="19"/>
      <c r="CW6" s="19"/>
      <c r="CX6" s="19"/>
      <c r="CY6" s="19"/>
      <c r="CZ6" s="19"/>
      <c r="DA6" s="19"/>
      <c r="DB6" s="19"/>
      <c r="DC6" s="19"/>
      <c r="DD6" s="20" t="s">
        <v>158</v>
      </c>
      <c r="DE6" s="20" t="s">
        <v>159</v>
      </c>
      <c r="DF6" s="21">
        <v>44151</v>
      </c>
      <c r="DG6" s="21">
        <v>44151</v>
      </c>
      <c r="DH6" s="20">
        <v>100</v>
      </c>
      <c r="DI6" s="20" t="s">
        <v>160</v>
      </c>
      <c r="DJ6" s="20" t="s">
        <v>161</v>
      </c>
      <c r="DK6" s="20">
        <v>0</v>
      </c>
      <c r="DL6" s="20">
        <v>0</v>
      </c>
      <c r="DM6" s="22" t="s">
        <v>162</v>
      </c>
      <c r="DN6" s="19"/>
      <c r="DO6" s="19"/>
      <c r="DP6" s="19"/>
      <c r="DQ6" s="19"/>
      <c r="DR6" s="19"/>
      <c r="DS6" s="19"/>
      <c r="DT6" s="19"/>
      <c r="DU6" s="19"/>
      <c r="DV6" s="19"/>
      <c r="DW6" s="19"/>
      <c r="DX6" s="19"/>
      <c r="DY6" s="19"/>
      <c r="DZ6" s="19"/>
      <c r="EA6" s="19"/>
      <c r="EB6" s="19"/>
      <c r="EC6" s="19"/>
      <c r="ED6" s="19"/>
      <c r="EE6" s="19"/>
      <c r="EF6" s="20">
        <v>0</v>
      </c>
      <c r="EG6" s="19"/>
      <c r="EH6" s="19"/>
      <c r="EI6" s="19"/>
      <c r="EJ6" s="19"/>
      <c r="EK6" s="19"/>
      <c r="EL6" s="19"/>
      <c r="EM6" s="19"/>
      <c r="EN6" s="19"/>
      <c r="EO6" s="19"/>
      <c r="EP6" s="19"/>
      <c r="EQ6" s="19"/>
      <c r="ER6" s="19"/>
      <c r="ES6" s="19"/>
      <c r="ET6" s="19"/>
      <c r="EU6" s="19"/>
      <c r="EV6" s="19"/>
      <c r="EW6" s="19"/>
      <c r="EX6" s="19"/>
      <c r="EY6" s="19"/>
      <c r="EZ6" s="19"/>
      <c r="FA6" s="19"/>
      <c r="FB6" s="19"/>
      <c r="FC6" s="19"/>
      <c r="FD6" s="19"/>
      <c r="FE6" s="19"/>
      <c r="FF6" s="19"/>
      <c r="FG6" s="19"/>
      <c r="FH6" s="19"/>
      <c r="FI6" s="19"/>
      <c r="FJ6" s="19"/>
      <c r="FK6" s="19"/>
      <c r="FL6" s="20" t="s">
        <v>163</v>
      </c>
      <c r="FM6" s="23"/>
      <c r="FN6" s="23"/>
      <c r="FO6" s="23"/>
      <c r="FP6" s="23"/>
      <c r="FQ6" s="23"/>
      <c r="FR6" s="23"/>
      <c r="FS6" s="23"/>
      <c r="FT6" s="23"/>
      <c r="FU6" s="23"/>
      <c r="FV6" s="23"/>
      <c r="FW6" s="23"/>
      <c r="FX6" s="23"/>
      <c r="FY6" s="23"/>
      <c r="FZ6" s="23"/>
      <c r="GA6" s="23"/>
      <c r="GB6" s="23"/>
      <c r="GC6" s="23"/>
      <c r="GD6" s="23"/>
      <c r="GE6" s="23"/>
      <c r="GF6" s="23"/>
      <c r="GG6" s="23"/>
      <c r="GH6" s="23"/>
      <c r="GI6" s="23"/>
      <c r="GJ6" s="23"/>
      <c r="GK6" s="23"/>
      <c r="GL6" s="23"/>
      <c r="GM6" s="23"/>
      <c r="GN6" s="23"/>
      <c r="GO6" s="23"/>
      <c r="GP6" s="23"/>
      <c r="GQ6" s="23"/>
      <c r="GR6" s="23"/>
      <c r="GS6" s="23"/>
      <c r="GT6" s="23"/>
      <c r="GU6" s="19"/>
      <c r="GV6" s="19"/>
      <c r="GW6" s="19"/>
      <c r="GX6" s="19"/>
      <c r="GY6" s="19"/>
      <c r="GZ6" s="19"/>
      <c r="HA6" s="19"/>
    </row>
    <row r="7" spans="1:209" ht="23.25" customHeight="1" x14ac:dyDescent="0.15">
      <c r="A7" s="16">
        <v>44258.466250069439</v>
      </c>
      <c r="B7" s="17">
        <v>3</v>
      </c>
      <c r="C7" s="17" t="s">
        <v>12</v>
      </c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7" t="s">
        <v>164</v>
      </c>
      <c r="BJ7" s="17" t="s">
        <v>165</v>
      </c>
      <c r="BK7" s="17" t="s">
        <v>166</v>
      </c>
      <c r="BL7" s="17" t="s">
        <v>167</v>
      </c>
      <c r="BM7" s="17" t="s">
        <v>168</v>
      </c>
      <c r="BN7" s="17">
        <v>1</v>
      </c>
      <c r="BO7" s="24">
        <v>44254</v>
      </c>
      <c r="BP7" s="24">
        <v>44254</v>
      </c>
      <c r="BQ7" s="17" t="s">
        <v>169</v>
      </c>
      <c r="BR7" s="17" t="s">
        <v>170</v>
      </c>
      <c r="BS7" s="17" t="s">
        <v>171</v>
      </c>
      <c r="BT7" s="17" t="s">
        <v>151</v>
      </c>
      <c r="BU7" s="18"/>
      <c r="BV7" s="25" t="s">
        <v>172</v>
      </c>
      <c r="BW7" s="18"/>
      <c r="BX7" s="18"/>
      <c r="BY7" s="19"/>
      <c r="BZ7" s="19"/>
      <c r="CA7" s="19"/>
      <c r="CB7" s="19"/>
      <c r="CC7" s="19"/>
      <c r="CD7" s="19"/>
      <c r="CE7" s="19"/>
      <c r="CF7" s="19"/>
      <c r="CG7" s="19"/>
      <c r="CH7" s="19"/>
      <c r="CI7" s="19"/>
      <c r="CJ7" s="19"/>
      <c r="CK7" s="19"/>
      <c r="CL7" s="19"/>
      <c r="CM7" s="19"/>
      <c r="CN7" s="19"/>
      <c r="CO7" s="19"/>
      <c r="CP7" s="19"/>
      <c r="CQ7" s="19"/>
      <c r="CR7" s="19"/>
      <c r="CS7" s="19"/>
      <c r="CT7" s="19"/>
      <c r="CU7" s="19"/>
      <c r="CV7" s="19"/>
      <c r="CW7" s="19"/>
      <c r="CX7" s="19"/>
      <c r="CY7" s="19"/>
      <c r="CZ7" s="19"/>
      <c r="DA7" s="19"/>
      <c r="DB7" s="19"/>
      <c r="DC7" s="19"/>
      <c r="DD7" s="19"/>
      <c r="DE7" s="19"/>
      <c r="DF7" s="19"/>
      <c r="DG7" s="19"/>
      <c r="DH7" s="19"/>
      <c r="DI7" s="19"/>
      <c r="DJ7" s="19"/>
      <c r="DK7" s="19"/>
      <c r="DL7" s="19"/>
      <c r="DM7" s="19"/>
      <c r="DN7" s="19"/>
      <c r="DO7" s="19"/>
      <c r="DP7" s="19"/>
      <c r="DQ7" s="19"/>
      <c r="DR7" s="19"/>
      <c r="DS7" s="19"/>
      <c r="DT7" s="19"/>
      <c r="DU7" s="19"/>
      <c r="DV7" s="19"/>
      <c r="DW7" s="19"/>
      <c r="DX7" s="19"/>
      <c r="DY7" s="19"/>
      <c r="DZ7" s="19"/>
      <c r="EA7" s="19"/>
      <c r="EB7" s="19"/>
      <c r="EC7" s="19"/>
      <c r="ED7" s="19"/>
      <c r="EE7" s="19"/>
      <c r="EF7" s="19"/>
      <c r="EG7" s="19"/>
      <c r="EH7" s="19"/>
      <c r="EI7" s="19"/>
      <c r="EJ7" s="19"/>
      <c r="EK7" s="19"/>
      <c r="EL7" s="19"/>
      <c r="EM7" s="19"/>
      <c r="EN7" s="19"/>
      <c r="EO7" s="19"/>
      <c r="EP7" s="19"/>
      <c r="EQ7" s="19"/>
      <c r="ER7" s="19"/>
      <c r="ES7" s="19"/>
      <c r="ET7" s="19"/>
      <c r="EU7" s="19"/>
      <c r="EV7" s="19"/>
      <c r="EW7" s="19"/>
      <c r="EX7" s="19"/>
      <c r="EY7" s="19"/>
      <c r="EZ7" s="19"/>
      <c r="FA7" s="19"/>
      <c r="FB7" s="19"/>
      <c r="FC7" s="19"/>
      <c r="FD7" s="19"/>
      <c r="FE7" s="19"/>
      <c r="FF7" s="19"/>
      <c r="FG7" s="19"/>
      <c r="FH7" s="19"/>
      <c r="FI7" s="19"/>
      <c r="FJ7" s="19"/>
      <c r="FK7" s="19"/>
      <c r="FL7" s="20" t="s">
        <v>173</v>
      </c>
      <c r="FM7" s="23"/>
      <c r="FN7" s="23"/>
      <c r="FO7" s="23"/>
      <c r="FP7" s="23"/>
      <c r="FQ7" s="23"/>
      <c r="FR7" s="23"/>
      <c r="FS7" s="23"/>
      <c r="FT7" s="23"/>
      <c r="FU7" s="23"/>
      <c r="FV7" s="23"/>
      <c r="FW7" s="23"/>
      <c r="FX7" s="23"/>
      <c r="FY7" s="23"/>
      <c r="FZ7" s="23"/>
      <c r="GA7" s="23"/>
      <c r="GB7" s="23"/>
      <c r="GC7" s="23"/>
      <c r="GD7" s="23"/>
      <c r="GE7" s="23"/>
      <c r="GF7" s="23"/>
      <c r="GG7" s="23"/>
      <c r="GH7" s="23"/>
      <c r="GI7" s="23"/>
      <c r="GJ7" s="23"/>
      <c r="GK7" s="23"/>
      <c r="GL7" s="23"/>
      <c r="GM7" s="23"/>
      <c r="GN7" s="23"/>
      <c r="GO7" s="23"/>
      <c r="GP7" s="23"/>
      <c r="GQ7" s="23"/>
      <c r="GR7" s="23"/>
      <c r="GS7" s="23"/>
      <c r="GT7" s="23"/>
      <c r="GU7" s="19"/>
      <c r="GV7" s="19"/>
      <c r="GW7" s="19"/>
      <c r="GX7" s="19"/>
      <c r="GY7" s="19"/>
      <c r="GZ7" s="19"/>
      <c r="HA7" s="19"/>
    </row>
    <row r="8" spans="1:209" ht="23.25" customHeight="1" x14ac:dyDescent="0.15">
      <c r="A8" s="16">
        <v>44258.469395868058</v>
      </c>
      <c r="B8" s="17">
        <v>3</v>
      </c>
      <c r="C8" s="17" t="s">
        <v>12</v>
      </c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7" t="s">
        <v>174</v>
      </c>
      <c r="BJ8" s="17" t="s">
        <v>175</v>
      </c>
      <c r="BK8" s="17" t="s">
        <v>166</v>
      </c>
      <c r="BL8" s="17" t="s">
        <v>167</v>
      </c>
      <c r="BM8" s="17" t="s">
        <v>168</v>
      </c>
      <c r="BN8" s="17">
        <v>1</v>
      </c>
      <c r="BO8" s="24">
        <v>44254</v>
      </c>
      <c r="BP8" s="24">
        <v>44254</v>
      </c>
      <c r="BQ8" s="17" t="s">
        <v>169</v>
      </c>
      <c r="BR8" s="17" t="s">
        <v>176</v>
      </c>
      <c r="BS8" s="17" t="s">
        <v>171</v>
      </c>
      <c r="BT8" s="17" t="s">
        <v>151</v>
      </c>
      <c r="BU8" s="18"/>
      <c r="BV8" s="25" t="s">
        <v>177</v>
      </c>
      <c r="BW8" s="18"/>
      <c r="BX8" s="18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19"/>
      <c r="FE8" s="19"/>
      <c r="FF8" s="19"/>
      <c r="FG8" s="19"/>
      <c r="FH8" s="19"/>
      <c r="FI8" s="19"/>
      <c r="FJ8" s="19"/>
      <c r="FK8" s="19"/>
      <c r="FL8" s="20" t="s">
        <v>173</v>
      </c>
      <c r="FM8" s="23"/>
      <c r="FN8" s="23"/>
      <c r="FO8" s="23"/>
      <c r="FP8" s="23"/>
      <c r="FQ8" s="23"/>
      <c r="FR8" s="23"/>
      <c r="FS8" s="23"/>
      <c r="FT8" s="23"/>
      <c r="FU8" s="23"/>
      <c r="FV8" s="23"/>
      <c r="FW8" s="23"/>
      <c r="FX8" s="23"/>
      <c r="FY8" s="23"/>
      <c r="FZ8" s="23"/>
      <c r="GA8" s="23"/>
      <c r="GB8" s="23"/>
      <c r="GC8" s="23"/>
      <c r="GD8" s="23"/>
      <c r="GE8" s="23"/>
      <c r="GF8" s="23"/>
      <c r="GG8" s="23"/>
      <c r="GH8" s="23"/>
      <c r="GI8" s="23"/>
      <c r="GJ8" s="23"/>
      <c r="GK8" s="23"/>
      <c r="GL8" s="23"/>
      <c r="GM8" s="23"/>
      <c r="GN8" s="23"/>
      <c r="GO8" s="23"/>
      <c r="GP8" s="23"/>
      <c r="GQ8" s="23"/>
      <c r="GR8" s="23"/>
      <c r="GS8" s="23"/>
      <c r="GT8" s="23"/>
      <c r="GU8" s="19"/>
      <c r="GV8" s="19"/>
      <c r="GW8" s="19"/>
      <c r="GX8" s="19"/>
      <c r="GY8" s="19"/>
      <c r="GZ8" s="19"/>
      <c r="HA8" s="19"/>
    </row>
    <row r="9" spans="1:209" ht="23.25" customHeight="1" x14ac:dyDescent="0.15">
      <c r="A9" s="16">
        <v>44258.471110902778</v>
      </c>
      <c r="B9" s="17">
        <v>3</v>
      </c>
      <c r="C9" s="17" t="s">
        <v>12</v>
      </c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7" t="s">
        <v>178</v>
      </c>
      <c r="BJ9" s="17" t="s">
        <v>179</v>
      </c>
      <c r="BK9" s="17" t="s">
        <v>166</v>
      </c>
      <c r="BL9" s="17" t="s">
        <v>167</v>
      </c>
      <c r="BM9" s="17" t="s">
        <v>180</v>
      </c>
      <c r="BN9" s="17">
        <v>1</v>
      </c>
      <c r="BO9" s="24">
        <v>44254</v>
      </c>
      <c r="BP9" s="24">
        <v>44254</v>
      </c>
      <c r="BQ9" s="17" t="s">
        <v>169</v>
      </c>
      <c r="BR9" s="17" t="s">
        <v>181</v>
      </c>
      <c r="BS9" s="17" t="s">
        <v>171</v>
      </c>
      <c r="BT9" s="17" t="s">
        <v>151</v>
      </c>
      <c r="BU9" s="18"/>
      <c r="BV9" s="25" t="s">
        <v>182</v>
      </c>
      <c r="BW9" s="18"/>
      <c r="BX9" s="18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  <c r="DM9" s="19"/>
      <c r="DN9" s="19"/>
      <c r="DO9" s="19"/>
      <c r="DP9" s="19"/>
      <c r="DQ9" s="19"/>
      <c r="DR9" s="19"/>
      <c r="DS9" s="19"/>
      <c r="DT9" s="19"/>
      <c r="DU9" s="19"/>
      <c r="DV9" s="19"/>
      <c r="DW9" s="19"/>
      <c r="DX9" s="19"/>
      <c r="DY9" s="19"/>
      <c r="DZ9" s="19"/>
      <c r="EA9" s="19"/>
      <c r="EB9" s="19"/>
      <c r="EC9" s="19"/>
      <c r="ED9" s="19"/>
      <c r="EE9" s="19"/>
      <c r="EF9" s="19"/>
      <c r="EG9" s="19"/>
      <c r="EH9" s="19"/>
      <c r="EI9" s="19"/>
      <c r="EJ9" s="19"/>
      <c r="EK9" s="19"/>
      <c r="EL9" s="19"/>
      <c r="EM9" s="19"/>
      <c r="EN9" s="19"/>
      <c r="EO9" s="19"/>
      <c r="EP9" s="19"/>
      <c r="EQ9" s="19"/>
      <c r="ER9" s="19"/>
      <c r="ES9" s="19"/>
      <c r="ET9" s="19"/>
      <c r="EU9" s="19"/>
      <c r="EV9" s="19"/>
      <c r="EW9" s="19"/>
      <c r="EX9" s="19"/>
      <c r="EY9" s="19"/>
      <c r="EZ9" s="19"/>
      <c r="FA9" s="19"/>
      <c r="FB9" s="19"/>
      <c r="FC9" s="19"/>
      <c r="FD9" s="19"/>
      <c r="FE9" s="19"/>
      <c r="FF9" s="19"/>
      <c r="FG9" s="19"/>
      <c r="FH9" s="19"/>
      <c r="FI9" s="19"/>
      <c r="FJ9" s="19"/>
      <c r="FK9" s="19"/>
      <c r="FL9" s="20" t="s">
        <v>173</v>
      </c>
      <c r="FM9" s="23"/>
      <c r="FN9" s="23"/>
      <c r="FO9" s="23"/>
      <c r="FP9" s="23"/>
      <c r="FQ9" s="23"/>
      <c r="FR9" s="23"/>
      <c r="FS9" s="23"/>
      <c r="FT9" s="23"/>
      <c r="FU9" s="23"/>
      <c r="FV9" s="23"/>
      <c r="FW9" s="23"/>
      <c r="FX9" s="23"/>
      <c r="FY9" s="23"/>
      <c r="FZ9" s="23"/>
      <c r="GA9" s="23"/>
      <c r="GB9" s="23"/>
      <c r="GC9" s="23"/>
      <c r="GD9" s="23"/>
      <c r="GE9" s="23"/>
      <c r="GF9" s="23"/>
      <c r="GG9" s="23"/>
      <c r="GH9" s="23"/>
      <c r="GI9" s="23"/>
      <c r="GJ9" s="23"/>
      <c r="GK9" s="23"/>
      <c r="GL9" s="23"/>
      <c r="GM9" s="23"/>
      <c r="GN9" s="23"/>
      <c r="GO9" s="23"/>
      <c r="GP9" s="23"/>
      <c r="GQ9" s="23"/>
      <c r="GR9" s="23"/>
      <c r="GS9" s="23"/>
      <c r="GT9" s="23"/>
      <c r="GU9" s="19"/>
      <c r="GV9" s="19"/>
      <c r="GW9" s="19"/>
      <c r="GX9" s="19"/>
      <c r="GY9" s="19"/>
      <c r="GZ9" s="19"/>
      <c r="HA9" s="19"/>
    </row>
    <row r="10" spans="1:209" ht="23.25" customHeight="1" x14ac:dyDescent="0.15">
      <c r="A10" s="16">
        <v>44258.472711562499</v>
      </c>
      <c r="B10" s="17">
        <v>3</v>
      </c>
      <c r="C10" s="17" t="s">
        <v>12</v>
      </c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7" t="s">
        <v>183</v>
      </c>
      <c r="BJ10" s="17" t="s">
        <v>184</v>
      </c>
      <c r="BK10" s="17" t="s">
        <v>166</v>
      </c>
      <c r="BL10" s="17" t="s">
        <v>167</v>
      </c>
      <c r="BM10" s="17" t="s">
        <v>180</v>
      </c>
      <c r="BN10" s="17">
        <v>1</v>
      </c>
      <c r="BO10" s="24">
        <v>44254</v>
      </c>
      <c r="BP10" s="24">
        <v>44254</v>
      </c>
      <c r="BQ10" s="17" t="s">
        <v>169</v>
      </c>
      <c r="BR10" s="17" t="s">
        <v>185</v>
      </c>
      <c r="BS10" s="17" t="s">
        <v>171</v>
      </c>
      <c r="BT10" s="17" t="s">
        <v>151</v>
      </c>
      <c r="BU10" s="18"/>
      <c r="BV10" s="25" t="s">
        <v>186</v>
      </c>
      <c r="BW10" s="18"/>
      <c r="BX10" s="18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19"/>
      <c r="CJ10" s="19"/>
      <c r="CK10" s="19"/>
      <c r="CL10" s="19"/>
      <c r="CM10" s="19"/>
      <c r="CN10" s="19"/>
      <c r="CO10" s="19"/>
      <c r="CP10" s="19"/>
      <c r="CQ10" s="19"/>
      <c r="CR10" s="19"/>
      <c r="CS10" s="19"/>
      <c r="CT10" s="19"/>
      <c r="CU10" s="19"/>
      <c r="CV10" s="19"/>
      <c r="CW10" s="19"/>
      <c r="CX10" s="19"/>
      <c r="CY10" s="19"/>
      <c r="CZ10" s="19"/>
      <c r="DA10" s="19"/>
      <c r="DB10" s="19"/>
      <c r="DC10" s="19"/>
      <c r="DD10" s="19"/>
      <c r="DE10" s="19"/>
      <c r="DF10" s="19"/>
      <c r="DG10" s="19"/>
      <c r="DH10" s="19"/>
      <c r="DI10" s="19"/>
      <c r="DJ10" s="19"/>
      <c r="DK10" s="19"/>
      <c r="DL10" s="19"/>
      <c r="DM10" s="19"/>
      <c r="DN10" s="19"/>
      <c r="DO10" s="19"/>
      <c r="DP10" s="19"/>
      <c r="DQ10" s="19"/>
      <c r="DR10" s="19"/>
      <c r="DS10" s="19"/>
      <c r="DT10" s="19"/>
      <c r="DU10" s="19"/>
      <c r="DV10" s="19"/>
      <c r="DW10" s="19"/>
      <c r="DX10" s="19"/>
      <c r="DY10" s="19"/>
      <c r="DZ10" s="19"/>
      <c r="EA10" s="19"/>
      <c r="EB10" s="19"/>
      <c r="EC10" s="19"/>
      <c r="ED10" s="19"/>
      <c r="EE10" s="19"/>
      <c r="EF10" s="19"/>
      <c r="EG10" s="19"/>
      <c r="EH10" s="19"/>
      <c r="EI10" s="19"/>
      <c r="EJ10" s="19"/>
      <c r="EK10" s="19"/>
      <c r="EL10" s="19"/>
      <c r="EM10" s="19"/>
      <c r="EN10" s="19"/>
      <c r="EO10" s="19"/>
      <c r="EP10" s="19"/>
      <c r="EQ10" s="19"/>
      <c r="ER10" s="19"/>
      <c r="ES10" s="19"/>
      <c r="ET10" s="19"/>
      <c r="EU10" s="19"/>
      <c r="EV10" s="19"/>
      <c r="EW10" s="19"/>
      <c r="EX10" s="19"/>
      <c r="EY10" s="19"/>
      <c r="EZ10" s="19"/>
      <c r="FA10" s="19"/>
      <c r="FB10" s="19"/>
      <c r="FC10" s="19"/>
      <c r="FD10" s="19"/>
      <c r="FE10" s="19"/>
      <c r="FF10" s="19"/>
      <c r="FG10" s="19"/>
      <c r="FH10" s="19"/>
      <c r="FI10" s="19"/>
      <c r="FJ10" s="19"/>
      <c r="FK10" s="19"/>
      <c r="FL10" s="20" t="s">
        <v>173</v>
      </c>
      <c r="FM10" s="23"/>
      <c r="FN10" s="23"/>
      <c r="FO10" s="23"/>
      <c r="FP10" s="23"/>
      <c r="FQ10" s="23"/>
      <c r="FR10" s="23"/>
      <c r="FS10" s="23"/>
      <c r="FT10" s="23"/>
      <c r="FU10" s="23"/>
      <c r="FV10" s="23"/>
      <c r="FW10" s="23"/>
      <c r="FX10" s="23"/>
      <c r="FY10" s="23"/>
      <c r="FZ10" s="23"/>
      <c r="GA10" s="23"/>
      <c r="GB10" s="23"/>
      <c r="GC10" s="23"/>
      <c r="GD10" s="23"/>
      <c r="GE10" s="23"/>
      <c r="GF10" s="23"/>
      <c r="GG10" s="23"/>
      <c r="GH10" s="23"/>
      <c r="GI10" s="23"/>
      <c r="GJ10" s="23"/>
      <c r="GK10" s="23"/>
      <c r="GL10" s="23"/>
      <c r="GM10" s="23"/>
      <c r="GN10" s="23"/>
      <c r="GO10" s="23"/>
      <c r="GP10" s="23"/>
      <c r="GQ10" s="23"/>
      <c r="GR10" s="23"/>
      <c r="GS10" s="23"/>
      <c r="GT10" s="23"/>
      <c r="GU10" s="19"/>
      <c r="GV10" s="19"/>
      <c r="GW10" s="19"/>
      <c r="GX10" s="19"/>
      <c r="GY10" s="19"/>
      <c r="GZ10" s="19"/>
      <c r="HA10" s="19"/>
    </row>
    <row r="11" spans="1:209" ht="23.25" customHeight="1" x14ac:dyDescent="0.15">
      <c r="A11" s="16">
        <v>44258.474352962963</v>
      </c>
      <c r="B11" s="17">
        <v>3</v>
      </c>
      <c r="C11" s="17" t="s">
        <v>12</v>
      </c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7" t="s">
        <v>187</v>
      </c>
      <c r="BJ11" s="17" t="s">
        <v>188</v>
      </c>
      <c r="BK11" s="17" t="s">
        <v>166</v>
      </c>
      <c r="BL11" s="17" t="s">
        <v>167</v>
      </c>
      <c r="BM11" s="17" t="s">
        <v>180</v>
      </c>
      <c r="BN11" s="17">
        <v>1</v>
      </c>
      <c r="BO11" s="24">
        <v>44254</v>
      </c>
      <c r="BP11" s="24">
        <v>44254</v>
      </c>
      <c r="BQ11" s="17" t="s">
        <v>169</v>
      </c>
      <c r="BR11" s="17" t="s">
        <v>185</v>
      </c>
      <c r="BS11" s="17" t="s">
        <v>171</v>
      </c>
      <c r="BT11" s="17" t="s">
        <v>151</v>
      </c>
      <c r="BU11" s="18"/>
      <c r="BV11" s="25" t="s">
        <v>189</v>
      </c>
      <c r="BW11" s="18"/>
      <c r="BX11" s="18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C11" s="19"/>
      <c r="DD11" s="19"/>
      <c r="DE11" s="19"/>
      <c r="DF11" s="19"/>
      <c r="DG11" s="19"/>
      <c r="DH11" s="19"/>
      <c r="DI11" s="19"/>
      <c r="DJ11" s="19"/>
      <c r="DK11" s="19"/>
      <c r="DL11" s="19"/>
      <c r="DM11" s="19"/>
      <c r="DN11" s="19"/>
      <c r="DO11" s="19"/>
      <c r="DP11" s="19"/>
      <c r="DQ11" s="19"/>
      <c r="DR11" s="19"/>
      <c r="DS11" s="19"/>
      <c r="DT11" s="19"/>
      <c r="DU11" s="19"/>
      <c r="DV11" s="19"/>
      <c r="DW11" s="19"/>
      <c r="DX11" s="19"/>
      <c r="DY11" s="19"/>
      <c r="DZ11" s="19"/>
      <c r="EA11" s="19"/>
      <c r="EB11" s="19"/>
      <c r="EC11" s="19"/>
      <c r="ED11" s="19"/>
      <c r="EE11" s="19"/>
      <c r="EF11" s="19"/>
      <c r="EG11" s="19"/>
      <c r="EH11" s="19"/>
      <c r="EI11" s="19"/>
      <c r="EJ11" s="19"/>
      <c r="EK11" s="19"/>
      <c r="EL11" s="19"/>
      <c r="EM11" s="19"/>
      <c r="EN11" s="19"/>
      <c r="EO11" s="19"/>
      <c r="EP11" s="19"/>
      <c r="EQ11" s="19"/>
      <c r="ER11" s="19"/>
      <c r="ES11" s="19"/>
      <c r="ET11" s="19"/>
      <c r="EU11" s="19"/>
      <c r="EV11" s="19"/>
      <c r="EW11" s="19"/>
      <c r="EX11" s="19"/>
      <c r="EY11" s="19"/>
      <c r="EZ11" s="19"/>
      <c r="FA11" s="19"/>
      <c r="FB11" s="19"/>
      <c r="FC11" s="19"/>
      <c r="FD11" s="19"/>
      <c r="FE11" s="19"/>
      <c r="FF11" s="19"/>
      <c r="FG11" s="19"/>
      <c r="FH11" s="19"/>
      <c r="FI11" s="19"/>
      <c r="FJ11" s="19"/>
      <c r="FK11" s="19"/>
      <c r="FL11" s="20" t="s">
        <v>173</v>
      </c>
      <c r="FM11" s="23"/>
      <c r="FN11" s="23"/>
      <c r="FO11" s="23"/>
      <c r="FP11" s="23"/>
      <c r="FQ11" s="23"/>
      <c r="FR11" s="23"/>
      <c r="FS11" s="23"/>
      <c r="FT11" s="23"/>
      <c r="FU11" s="23"/>
      <c r="FV11" s="23"/>
      <c r="FW11" s="23"/>
      <c r="FX11" s="23"/>
      <c r="FY11" s="23"/>
      <c r="FZ11" s="23"/>
      <c r="GA11" s="23"/>
      <c r="GB11" s="23"/>
      <c r="GC11" s="23"/>
      <c r="GD11" s="23"/>
      <c r="GE11" s="23"/>
      <c r="GF11" s="23"/>
      <c r="GG11" s="23"/>
      <c r="GH11" s="23"/>
      <c r="GI11" s="23"/>
      <c r="GJ11" s="23"/>
      <c r="GK11" s="23"/>
      <c r="GL11" s="23"/>
      <c r="GM11" s="23"/>
      <c r="GN11" s="23"/>
      <c r="GO11" s="23"/>
      <c r="GP11" s="23"/>
      <c r="GQ11" s="23"/>
      <c r="GR11" s="23"/>
      <c r="GS11" s="23"/>
      <c r="GT11" s="23"/>
      <c r="GU11" s="19"/>
      <c r="GV11" s="19"/>
      <c r="GW11" s="19"/>
      <c r="GX11" s="19"/>
      <c r="GY11" s="19"/>
      <c r="GZ11" s="19"/>
      <c r="HA11" s="19"/>
    </row>
    <row r="12" spans="1:209" ht="23.25" customHeight="1" x14ac:dyDescent="0.15">
      <c r="A12" s="16">
        <v>44266.771021851848</v>
      </c>
      <c r="B12" s="17">
        <v>1</v>
      </c>
      <c r="C12" s="17" t="s">
        <v>14</v>
      </c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9"/>
      <c r="BZ12" s="19"/>
      <c r="CA12" s="19"/>
      <c r="CB12" s="19"/>
      <c r="CC12" s="19"/>
      <c r="CD12" s="19"/>
      <c r="CE12" s="19"/>
      <c r="CF12" s="19"/>
      <c r="CG12" s="19"/>
      <c r="CH12" s="19"/>
      <c r="CI12" s="19"/>
      <c r="CJ12" s="19"/>
      <c r="CK12" s="19"/>
      <c r="CL12" s="19"/>
      <c r="CM12" s="19"/>
      <c r="CN12" s="19"/>
      <c r="CO12" s="19"/>
      <c r="CP12" s="19"/>
      <c r="CQ12" s="19"/>
      <c r="CR12" s="19"/>
      <c r="CS12" s="20" t="s">
        <v>190</v>
      </c>
      <c r="CT12" s="20" t="s">
        <v>191</v>
      </c>
      <c r="CU12" s="21">
        <v>44263</v>
      </c>
      <c r="CV12" s="21">
        <v>44263</v>
      </c>
      <c r="CW12" s="20">
        <v>30</v>
      </c>
      <c r="CX12" s="20" t="s">
        <v>192</v>
      </c>
      <c r="CY12" s="20" t="s">
        <v>193</v>
      </c>
      <c r="CZ12" s="20">
        <v>0</v>
      </c>
      <c r="DA12" s="19"/>
      <c r="DB12" s="19"/>
      <c r="DC12" s="22" t="s">
        <v>194</v>
      </c>
      <c r="DD12" s="19"/>
      <c r="DE12" s="19"/>
      <c r="DF12" s="19"/>
      <c r="DG12" s="19"/>
      <c r="DH12" s="19"/>
      <c r="DI12" s="19"/>
      <c r="DJ12" s="19"/>
      <c r="DK12" s="19"/>
      <c r="DL12" s="19"/>
      <c r="DM12" s="19"/>
      <c r="DN12" s="19"/>
      <c r="DO12" s="19"/>
      <c r="DP12" s="19"/>
      <c r="DQ12" s="19"/>
      <c r="DR12" s="19"/>
      <c r="DS12" s="19"/>
      <c r="DT12" s="19"/>
      <c r="DU12" s="19"/>
      <c r="DV12" s="19"/>
      <c r="DW12" s="19"/>
      <c r="DX12" s="19"/>
      <c r="DY12" s="19"/>
      <c r="DZ12" s="19"/>
      <c r="EA12" s="19"/>
      <c r="EB12" s="19"/>
      <c r="EC12" s="19"/>
      <c r="ED12" s="19"/>
      <c r="EE12" s="19"/>
      <c r="EF12" s="19"/>
      <c r="EG12" s="19"/>
      <c r="EH12" s="19"/>
      <c r="EI12" s="19"/>
      <c r="EJ12" s="19"/>
      <c r="EK12" s="19"/>
      <c r="EL12" s="19"/>
      <c r="EM12" s="19"/>
      <c r="EN12" s="19"/>
      <c r="EO12" s="19"/>
      <c r="EP12" s="19"/>
      <c r="EQ12" s="19"/>
      <c r="ER12" s="19"/>
      <c r="ES12" s="19"/>
      <c r="ET12" s="19"/>
      <c r="EU12" s="19"/>
      <c r="EV12" s="19"/>
      <c r="EW12" s="19"/>
      <c r="EX12" s="19"/>
      <c r="EY12" s="19"/>
      <c r="EZ12" s="19"/>
      <c r="FA12" s="19"/>
      <c r="FB12" s="19"/>
      <c r="FC12" s="19"/>
      <c r="FD12" s="19"/>
      <c r="FE12" s="19"/>
      <c r="FF12" s="19"/>
      <c r="FG12" s="19"/>
      <c r="FH12" s="19"/>
      <c r="FI12" s="19"/>
      <c r="FJ12" s="19"/>
      <c r="FK12" s="19"/>
      <c r="FL12" s="20" t="s">
        <v>195</v>
      </c>
      <c r="FM12" s="23"/>
      <c r="FN12" s="23"/>
      <c r="FO12" s="23"/>
      <c r="FP12" s="23"/>
      <c r="FQ12" s="23"/>
      <c r="FR12" s="23"/>
      <c r="FS12" s="23"/>
      <c r="FT12" s="23"/>
      <c r="FU12" s="23"/>
      <c r="FV12" s="23"/>
      <c r="FW12" s="23"/>
      <c r="FX12" s="23"/>
      <c r="FY12" s="23"/>
      <c r="FZ12" s="23"/>
      <c r="GA12" s="23"/>
      <c r="GB12" s="23"/>
      <c r="GC12" s="23"/>
      <c r="GD12" s="23"/>
      <c r="GE12" s="23"/>
      <c r="GF12" s="23"/>
      <c r="GG12" s="23"/>
      <c r="GH12" s="23"/>
      <c r="GI12" s="23"/>
      <c r="GJ12" s="23"/>
      <c r="GK12" s="23"/>
      <c r="GL12" s="23"/>
      <c r="GM12" s="23"/>
      <c r="GN12" s="23"/>
      <c r="GO12" s="23"/>
      <c r="GP12" s="23"/>
      <c r="GQ12" s="23"/>
      <c r="GR12" s="23"/>
      <c r="GS12" s="23"/>
      <c r="GT12" s="23"/>
      <c r="GU12" s="19"/>
      <c r="GV12" s="19"/>
      <c r="GW12" s="19"/>
      <c r="GX12" s="19"/>
      <c r="GY12" s="19"/>
      <c r="GZ12" s="19"/>
      <c r="HA12" s="19"/>
    </row>
    <row r="13" spans="1:209" ht="23.25" customHeight="1" x14ac:dyDescent="0.15">
      <c r="A13" s="16">
        <v>44269.465862835648</v>
      </c>
      <c r="B13" s="17">
        <v>3</v>
      </c>
      <c r="C13" s="17" t="s">
        <v>12</v>
      </c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7" t="s">
        <v>164</v>
      </c>
      <c r="BJ13" s="17" t="s">
        <v>165</v>
      </c>
      <c r="BK13" s="17" t="s">
        <v>166</v>
      </c>
      <c r="BL13" s="17" t="s">
        <v>146</v>
      </c>
      <c r="BM13" s="17" t="s">
        <v>196</v>
      </c>
      <c r="BN13" s="17">
        <v>1</v>
      </c>
      <c r="BO13" s="24">
        <v>44267</v>
      </c>
      <c r="BP13" s="24">
        <v>44267</v>
      </c>
      <c r="BQ13" s="17" t="s">
        <v>169</v>
      </c>
      <c r="BR13" s="17" t="s">
        <v>197</v>
      </c>
      <c r="BS13" s="17" t="s">
        <v>171</v>
      </c>
      <c r="BT13" s="17" t="s">
        <v>151</v>
      </c>
      <c r="BU13" s="17">
        <v>0</v>
      </c>
      <c r="BV13" s="25" t="s">
        <v>198</v>
      </c>
      <c r="BW13" s="18"/>
      <c r="BX13" s="18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C13" s="19"/>
      <c r="DD13" s="19"/>
      <c r="DE13" s="19"/>
      <c r="DF13" s="19"/>
      <c r="DG13" s="19"/>
      <c r="DH13" s="19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  <c r="FC13" s="19"/>
      <c r="FD13" s="19"/>
      <c r="FE13" s="19"/>
      <c r="FF13" s="19"/>
      <c r="FG13" s="19"/>
      <c r="FH13" s="19"/>
      <c r="FI13" s="19"/>
      <c r="FJ13" s="19"/>
      <c r="FK13" s="19"/>
      <c r="FL13" s="20" t="s">
        <v>199</v>
      </c>
      <c r="FM13" s="23"/>
      <c r="FN13" s="23"/>
      <c r="FO13" s="23"/>
      <c r="FP13" s="23"/>
      <c r="FQ13" s="23"/>
      <c r="FR13" s="23"/>
      <c r="FS13" s="23"/>
      <c r="FT13" s="23"/>
      <c r="FU13" s="23"/>
      <c r="FV13" s="23"/>
      <c r="FW13" s="23"/>
      <c r="FX13" s="23"/>
      <c r="FY13" s="23"/>
      <c r="FZ13" s="23"/>
      <c r="GA13" s="23"/>
      <c r="GB13" s="23"/>
      <c r="GC13" s="23"/>
      <c r="GD13" s="23"/>
      <c r="GE13" s="23"/>
      <c r="GF13" s="23"/>
      <c r="GG13" s="23"/>
      <c r="GH13" s="23"/>
      <c r="GI13" s="23"/>
      <c r="GJ13" s="23"/>
      <c r="GK13" s="23"/>
      <c r="GL13" s="23"/>
      <c r="GM13" s="23"/>
      <c r="GN13" s="23"/>
      <c r="GO13" s="23"/>
      <c r="GP13" s="23"/>
      <c r="GQ13" s="23"/>
      <c r="GR13" s="23"/>
      <c r="GS13" s="23"/>
      <c r="GT13" s="23"/>
      <c r="GU13" s="19"/>
      <c r="GV13" s="19"/>
      <c r="GW13" s="19"/>
      <c r="GX13" s="19"/>
      <c r="GY13" s="19"/>
      <c r="GZ13" s="19"/>
      <c r="HA13" s="19"/>
    </row>
    <row r="14" spans="1:209" ht="23.25" customHeight="1" x14ac:dyDescent="0.15">
      <c r="A14" s="16">
        <v>44269.467565520834</v>
      </c>
      <c r="B14" s="17">
        <v>3</v>
      </c>
      <c r="C14" s="17" t="s">
        <v>12</v>
      </c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7" t="s">
        <v>174</v>
      </c>
      <c r="BJ14" s="17" t="s">
        <v>175</v>
      </c>
      <c r="BK14" s="17" t="s">
        <v>166</v>
      </c>
      <c r="BL14" s="17" t="s">
        <v>167</v>
      </c>
      <c r="BM14" s="17" t="s">
        <v>196</v>
      </c>
      <c r="BN14" s="17">
        <v>1</v>
      </c>
      <c r="BO14" s="24">
        <v>44267</v>
      </c>
      <c r="BP14" s="24">
        <v>44267</v>
      </c>
      <c r="BQ14" s="17" t="s">
        <v>169</v>
      </c>
      <c r="BR14" s="17" t="s">
        <v>197</v>
      </c>
      <c r="BS14" s="17" t="s">
        <v>171</v>
      </c>
      <c r="BT14" s="17" t="s">
        <v>151</v>
      </c>
      <c r="BU14" s="17">
        <v>0</v>
      </c>
      <c r="BV14" s="25" t="s">
        <v>200</v>
      </c>
      <c r="BW14" s="18"/>
      <c r="BX14" s="18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  <c r="DC14" s="19"/>
      <c r="DD14" s="19"/>
      <c r="DE14" s="19"/>
      <c r="DF14" s="19"/>
      <c r="DG14" s="19"/>
      <c r="DH14" s="19"/>
      <c r="DI14" s="19"/>
      <c r="DJ14" s="19"/>
      <c r="DK14" s="19"/>
      <c r="DL14" s="19"/>
      <c r="DM14" s="19"/>
      <c r="DN14" s="19"/>
      <c r="DO14" s="19"/>
      <c r="DP14" s="19"/>
      <c r="DQ14" s="19"/>
      <c r="DR14" s="19"/>
      <c r="DS14" s="19"/>
      <c r="DT14" s="19"/>
      <c r="DU14" s="19"/>
      <c r="DV14" s="19"/>
      <c r="DW14" s="19"/>
      <c r="DX14" s="19"/>
      <c r="DY14" s="19"/>
      <c r="DZ14" s="19"/>
      <c r="EA14" s="19"/>
      <c r="EB14" s="19"/>
      <c r="EC14" s="19"/>
      <c r="ED14" s="19"/>
      <c r="EE14" s="19"/>
      <c r="EF14" s="19"/>
      <c r="EG14" s="19"/>
      <c r="EH14" s="19"/>
      <c r="EI14" s="19"/>
      <c r="EJ14" s="19"/>
      <c r="EK14" s="19"/>
      <c r="EL14" s="19"/>
      <c r="EM14" s="19"/>
      <c r="EN14" s="19"/>
      <c r="EO14" s="19"/>
      <c r="EP14" s="19"/>
      <c r="EQ14" s="19"/>
      <c r="ER14" s="19"/>
      <c r="ES14" s="19"/>
      <c r="ET14" s="19"/>
      <c r="EU14" s="19"/>
      <c r="EV14" s="19"/>
      <c r="EW14" s="19"/>
      <c r="EX14" s="19"/>
      <c r="EY14" s="19"/>
      <c r="EZ14" s="19"/>
      <c r="FA14" s="19"/>
      <c r="FB14" s="19"/>
      <c r="FC14" s="19"/>
      <c r="FD14" s="19"/>
      <c r="FE14" s="19"/>
      <c r="FF14" s="19"/>
      <c r="FG14" s="19"/>
      <c r="FH14" s="19"/>
      <c r="FI14" s="19"/>
      <c r="FJ14" s="19"/>
      <c r="FK14" s="19"/>
      <c r="FL14" s="20" t="s">
        <v>199</v>
      </c>
      <c r="FM14" s="23"/>
      <c r="FN14" s="23"/>
      <c r="FO14" s="23"/>
      <c r="FP14" s="23"/>
      <c r="FQ14" s="23"/>
      <c r="FR14" s="23"/>
      <c r="FS14" s="23"/>
      <c r="FT14" s="23"/>
      <c r="FU14" s="23"/>
      <c r="FV14" s="23"/>
      <c r="FW14" s="23"/>
      <c r="FX14" s="23"/>
      <c r="FY14" s="23"/>
      <c r="FZ14" s="23"/>
      <c r="GA14" s="23"/>
      <c r="GB14" s="23"/>
      <c r="GC14" s="23"/>
      <c r="GD14" s="23"/>
      <c r="GE14" s="23"/>
      <c r="GF14" s="23"/>
      <c r="GG14" s="23"/>
      <c r="GH14" s="23"/>
      <c r="GI14" s="23"/>
      <c r="GJ14" s="23"/>
      <c r="GK14" s="23"/>
      <c r="GL14" s="23"/>
      <c r="GM14" s="23"/>
      <c r="GN14" s="23"/>
      <c r="GO14" s="23"/>
      <c r="GP14" s="23"/>
      <c r="GQ14" s="23"/>
      <c r="GR14" s="23"/>
      <c r="GS14" s="23"/>
      <c r="GT14" s="23"/>
      <c r="GU14" s="19"/>
      <c r="GV14" s="19"/>
      <c r="GW14" s="19"/>
      <c r="GX14" s="19"/>
      <c r="GY14" s="19"/>
      <c r="GZ14" s="19"/>
      <c r="HA14" s="19"/>
    </row>
    <row r="15" spans="1:209" ht="23.25" customHeight="1" x14ac:dyDescent="0.15">
      <c r="A15" s="16">
        <v>44269.470605104165</v>
      </c>
      <c r="B15" s="17">
        <v>3</v>
      </c>
      <c r="C15" s="17" t="s">
        <v>12</v>
      </c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7" t="s">
        <v>178</v>
      </c>
      <c r="BJ15" s="17" t="s">
        <v>201</v>
      </c>
      <c r="BK15" s="17" t="s">
        <v>166</v>
      </c>
      <c r="BL15" s="17" t="s">
        <v>167</v>
      </c>
      <c r="BM15" s="17" t="s">
        <v>196</v>
      </c>
      <c r="BN15" s="17">
        <v>1</v>
      </c>
      <c r="BO15" s="24">
        <v>44267</v>
      </c>
      <c r="BP15" s="24">
        <v>44267</v>
      </c>
      <c r="BQ15" s="17" t="s">
        <v>169</v>
      </c>
      <c r="BR15" s="17" t="s">
        <v>197</v>
      </c>
      <c r="BS15" s="17" t="s">
        <v>171</v>
      </c>
      <c r="BT15" s="17" t="s">
        <v>151</v>
      </c>
      <c r="BU15" s="18"/>
      <c r="BV15" s="25" t="s">
        <v>202</v>
      </c>
      <c r="BW15" s="18"/>
      <c r="BX15" s="18"/>
      <c r="BY15" s="19"/>
      <c r="BZ15" s="19"/>
      <c r="CA15" s="19"/>
      <c r="CB15" s="19"/>
      <c r="CC15" s="19"/>
      <c r="CD15" s="19"/>
      <c r="CE15" s="19"/>
      <c r="CF15" s="19"/>
      <c r="CG15" s="19"/>
      <c r="CH15" s="19"/>
      <c r="CI15" s="19"/>
      <c r="CJ15" s="19"/>
      <c r="CK15" s="19"/>
      <c r="CL15" s="19"/>
      <c r="CM15" s="19"/>
      <c r="CN15" s="19"/>
      <c r="CO15" s="19"/>
      <c r="CP15" s="19"/>
      <c r="CQ15" s="19"/>
      <c r="CR15" s="19"/>
      <c r="CS15" s="19"/>
      <c r="CT15" s="19"/>
      <c r="CU15" s="19"/>
      <c r="CV15" s="19"/>
      <c r="CW15" s="19"/>
      <c r="CX15" s="19"/>
      <c r="CY15" s="19"/>
      <c r="CZ15" s="19"/>
      <c r="DA15" s="19"/>
      <c r="DB15" s="19"/>
      <c r="DC15" s="19"/>
      <c r="DD15" s="19"/>
      <c r="DE15" s="19"/>
      <c r="DF15" s="19"/>
      <c r="DG15" s="19"/>
      <c r="DH15" s="19"/>
      <c r="DI15" s="19"/>
      <c r="DJ15" s="19"/>
      <c r="DK15" s="19"/>
      <c r="DL15" s="19"/>
      <c r="DM15" s="19"/>
      <c r="DN15" s="19"/>
      <c r="DO15" s="19"/>
      <c r="DP15" s="19"/>
      <c r="DQ15" s="19"/>
      <c r="DR15" s="19"/>
      <c r="DS15" s="19"/>
      <c r="DT15" s="19"/>
      <c r="DU15" s="19"/>
      <c r="DV15" s="19"/>
      <c r="DW15" s="19"/>
      <c r="DX15" s="19"/>
      <c r="DY15" s="19"/>
      <c r="DZ15" s="19"/>
      <c r="EA15" s="19"/>
      <c r="EB15" s="19"/>
      <c r="EC15" s="19"/>
      <c r="ED15" s="19"/>
      <c r="EE15" s="19"/>
      <c r="EF15" s="19"/>
      <c r="EG15" s="19"/>
      <c r="EH15" s="19"/>
      <c r="EI15" s="19"/>
      <c r="EJ15" s="19"/>
      <c r="EK15" s="19"/>
      <c r="EL15" s="19"/>
      <c r="EM15" s="19"/>
      <c r="EN15" s="19"/>
      <c r="EO15" s="19"/>
      <c r="EP15" s="19"/>
      <c r="EQ15" s="19"/>
      <c r="ER15" s="19"/>
      <c r="ES15" s="19"/>
      <c r="ET15" s="19"/>
      <c r="EU15" s="19"/>
      <c r="EV15" s="19"/>
      <c r="EW15" s="19"/>
      <c r="EX15" s="19"/>
      <c r="EY15" s="19"/>
      <c r="EZ15" s="19"/>
      <c r="FA15" s="19"/>
      <c r="FB15" s="19"/>
      <c r="FC15" s="19"/>
      <c r="FD15" s="19"/>
      <c r="FE15" s="19"/>
      <c r="FF15" s="19"/>
      <c r="FG15" s="19"/>
      <c r="FH15" s="19"/>
      <c r="FI15" s="19"/>
      <c r="FJ15" s="19"/>
      <c r="FK15" s="19"/>
      <c r="FL15" s="20" t="s">
        <v>199</v>
      </c>
      <c r="FM15" s="23"/>
      <c r="FN15" s="23"/>
      <c r="FO15" s="23"/>
      <c r="FP15" s="23"/>
      <c r="FQ15" s="23"/>
      <c r="FR15" s="23"/>
      <c r="FS15" s="23"/>
      <c r="FT15" s="23"/>
      <c r="FU15" s="23"/>
      <c r="FV15" s="23"/>
      <c r="FW15" s="23"/>
      <c r="FX15" s="23"/>
      <c r="FY15" s="23"/>
      <c r="FZ15" s="23"/>
      <c r="GA15" s="23"/>
      <c r="GB15" s="23"/>
      <c r="GC15" s="23"/>
      <c r="GD15" s="23"/>
      <c r="GE15" s="23"/>
      <c r="GF15" s="23"/>
      <c r="GG15" s="23"/>
      <c r="GH15" s="23"/>
      <c r="GI15" s="23"/>
      <c r="GJ15" s="23"/>
      <c r="GK15" s="23"/>
      <c r="GL15" s="23"/>
      <c r="GM15" s="23"/>
      <c r="GN15" s="23"/>
      <c r="GO15" s="23"/>
      <c r="GP15" s="23"/>
      <c r="GQ15" s="23"/>
      <c r="GR15" s="23"/>
      <c r="GS15" s="23"/>
      <c r="GT15" s="23"/>
      <c r="GU15" s="19"/>
      <c r="GV15" s="19"/>
      <c r="GW15" s="19"/>
      <c r="GX15" s="19"/>
      <c r="GY15" s="19"/>
      <c r="GZ15" s="19"/>
      <c r="HA15" s="19"/>
    </row>
    <row r="16" spans="1:209" ht="23.25" customHeight="1" x14ac:dyDescent="0.15">
      <c r="A16" s="16">
        <v>44269.473343865742</v>
      </c>
      <c r="B16" s="17">
        <v>3</v>
      </c>
      <c r="C16" s="17" t="s">
        <v>12</v>
      </c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7" t="s">
        <v>183</v>
      </c>
      <c r="BJ16" s="17" t="s">
        <v>203</v>
      </c>
      <c r="BK16" s="17" t="s">
        <v>166</v>
      </c>
      <c r="BL16" s="17" t="s">
        <v>167</v>
      </c>
      <c r="BM16" s="17" t="s">
        <v>204</v>
      </c>
      <c r="BN16" s="17">
        <v>1</v>
      </c>
      <c r="BO16" s="24">
        <v>44267</v>
      </c>
      <c r="BP16" s="24">
        <v>44267</v>
      </c>
      <c r="BQ16" s="17" t="s">
        <v>169</v>
      </c>
      <c r="BR16" s="17" t="s">
        <v>205</v>
      </c>
      <c r="BS16" s="17" t="s">
        <v>171</v>
      </c>
      <c r="BT16" s="17" t="s">
        <v>151</v>
      </c>
      <c r="BU16" s="17">
        <v>0</v>
      </c>
      <c r="BV16" s="25" t="s">
        <v>206</v>
      </c>
      <c r="BW16" s="18"/>
      <c r="BX16" s="18"/>
      <c r="BY16" s="19"/>
      <c r="BZ16" s="19"/>
      <c r="CA16" s="19"/>
      <c r="CB16" s="19"/>
      <c r="CC16" s="19"/>
      <c r="CD16" s="19"/>
      <c r="CE16" s="19"/>
      <c r="CF16" s="19"/>
      <c r="CG16" s="19"/>
      <c r="CH16" s="19"/>
      <c r="CI16" s="19"/>
      <c r="CJ16" s="19"/>
      <c r="CK16" s="19"/>
      <c r="CL16" s="19"/>
      <c r="CM16" s="19"/>
      <c r="CN16" s="19"/>
      <c r="CO16" s="19"/>
      <c r="CP16" s="19"/>
      <c r="CQ16" s="19"/>
      <c r="CR16" s="19"/>
      <c r="CS16" s="19"/>
      <c r="CT16" s="19"/>
      <c r="CU16" s="19"/>
      <c r="CV16" s="19"/>
      <c r="CW16" s="19"/>
      <c r="CX16" s="19"/>
      <c r="CY16" s="19"/>
      <c r="CZ16" s="19"/>
      <c r="DA16" s="19"/>
      <c r="DB16" s="19"/>
      <c r="DC16" s="19"/>
      <c r="DD16" s="19"/>
      <c r="DE16" s="19"/>
      <c r="DF16" s="19"/>
      <c r="DG16" s="19"/>
      <c r="DH16" s="19"/>
      <c r="DI16" s="19"/>
      <c r="DJ16" s="19"/>
      <c r="DK16" s="19"/>
      <c r="DL16" s="19"/>
      <c r="DM16" s="19"/>
      <c r="DN16" s="19"/>
      <c r="DO16" s="19"/>
      <c r="DP16" s="19"/>
      <c r="DQ16" s="19"/>
      <c r="DR16" s="19"/>
      <c r="DS16" s="19"/>
      <c r="DT16" s="19"/>
      <c r="DU16" s="19"/>
      <c r="DV16" s="19"/>
      <c r="DW16" s="19"/>
      <c r="DX16" s="19"/>
      <c r="DY16" s="19"/>
      <c r="DZ16" s="19"/>
      <c r="EA16" s="19"/>
      <c r="EB16" s="19"/>
      <c r="EC16" s="19"/>
      <c r="ED16" s="19"/>
      <c r="EE16" s="19"/>
      <c r="EF16" s="19"/>
      <c r="EG16" s="19"/>
      <c r="EH16" s="19"/>
      <c r="EI16" s="19"/>
      <c r="EJ16" s="19"/>
      <c r="EK16" s="19"/>
      <c r="EL16" s="19"/>
      <c r="EM16" s="19"/>
      <c r="EN16" s="19"/>
      <c r="EO16" s="19"/>
      <c r="EP16" s="19"/>
      <c r="EQ16" s="19"/>
      <c r="ER16" s="19"/>
      <c r="ES16" s="19"/>
      <c r="ET16" s="19"/>
      <c r="EU16" s="19"/>
      <c r="EV16" s="19"/>
      <c r="EW16" s="19"/>
      <c r="EX16" s="19"/>
      <c r="EY16" s="19"/>
      <c r="EZ16" s="19"/>
      <c r="FA16" s="19"/>
      <c r="FB16" s="19"/>
      <c r="FC16" s="19"/>
      <c r="FD16" s="19"/>
      <c r="FE16" s="19"/>
      <c r="FF16" s="19"/>
      <c r="FG16" s="19"/>
      <c r="FH16" s="19"/>
      <c r="FI16" s="19"/>
      <c r="FJ16" s="19"/>
      <c r="FK16" s="19"/>
      <c r="FL16" s="20" t="s">
        <v>199</v>
      </c>
      <c r="FM16" s="23"/>
      <c r="FN16" s="23"/>
      <c r="FO16" s="23"/>
      <c r="FP16" s="23"/>
      <c r="FQ16" s="23"/>
      <c r="FR16" s="23"/>
      <c r="FS16" s="23"/>
      <c r="FT16" s="23"/>
      <c r="FU16" s="23"/>
      <c r="FV16" s="23"/>
      <c r="FW16" s="23"/>
      <c r="FX16" s="23"/>
      <c r="FY16" s="23"/>
      <c r="FZ16" s="23"/>
      <c r="GA16" s="23"/>
      <c r="GB16" s="23"/>
      <c r="GC16" s="23"/>
      <c r="GD16" s="23"/>
      <c r="GE16" s="23"/>
      <c r="GF16" s="23"/>
      <c r="GG16" s="23"/>
      <c r="GH16" s="23"/>
      <c r="GI16" s="23"/>
      <c r="GJ16" s="23"/>
      <c r="GK16" s="23"/>
      <c r="GL16" s="23"/>
      <c r="GM16" s="23"/>
      <c r="GN16" s="23"/>
      <c r="GO16" s="23"/>
      <c r="GP16" s="23"/>
      <c r="GQ16" s="23"/>
      <c r="GR16" s="23"/>
      <c r="GS16" s="23"/>
      <c r="GT16" s="23"/>
      <c r="GU16" s="19"/>
      <c r="GV16" s="19"/>
      <c r="GW16" s="19"/>
      <c r="GX16" s="19"/>
      <c r="GY16" s="19"/>
      <c r="GZ16" s="19"/>
      <c r="HA16" s="19"/>
    </row>
    <row r="17" spans="1:209" ht="23.25" customHeight="1" x14ac:dyDescent="0.15">
      <c r="A17" s="16">
        <v>44269.475052997688</v>
      </c>
      <c r="B17" s="17">
        <v>3</v>
      </c>
      <c r="C17" s="17" t="s">
        <v>12</v>
      </c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7" t="s">
        <v>187</v>
      </c>
      <c r="BJ17" s="17" t="s">
        <v>207</v>
      </c>
      <c r="BK17" s="17" t="s">
        <v>166</v>
      </c>
      <c r="BL17" s="17" t="s">
        <v>167</v>
      </c>
      <c r="BM17" s="17" t="s">
        <v>196</v>
      </c>
      <c r="BN17" s="17">
        <v>1</v>
      </c>
      <c r="BO17" s="24">
        <v>44267</v>
      </c>
      <c r="BP17" s="24">
        <v>44267</v>
      </c>
      <c r="BQ17" s="17" t="s">
        <v>169</v>
      </c>
      <c r="BR17" s="17" t="s">
        <v>205</v>
      </c>
      <c r="BS17" s="17" t="s">
        <v>171</v>
      </c>
      <c r="BT17" s="17" t="s">
        <v>151</v>
      </c>
      <c r="BU17" s="17">
        <v>0</v>
      </c>
      <c r="BV17" s="25" t="s">
        <v>208</v>
      </c>
      <c r="BW17" s="18"/>
      <c r="BX17" s="18"/>
      <c r="BY17" s="19"/>
      <c r="BZ17" s="19"/>
      <c r="CA17" s="19"/>
      <c r="CB17" s="19"/>
      <c r="CC17" s="19"/>
      <c r="CD17" s="19"/>
      <c r="CE17" s="19"/>
      <c r="CF17" s="19"/>
      <c r="CG17" s="19"/>
      <c r="CH17" s="19"/>
      <c r="CI17" s="19"/>
      <c r="CJ17" s="19"/>
      <c r="CK17" s="19"/>
      <c r="CL17" s="19"/>
      <c r="CM17" s="19"/>
      <c r="CN17" s="19"/>
      <c r="CO17" s="19"/>
      <c r="CP17" s="19"/>
      <c r="CQ17" s="19"/>
      <c r="CR17" s="19"/>
      <c r="CS17" s="19"/>
      <c r="CT17" s="19"/>
      <c r="CU17" s="19"/>
      <c r="CV17" s="19"/>
      <c r="CW17" s="19"/>
      <c r="CX17" s="19"/>
      <c r="CY17" s="19"/>
      <c r="CZ17" s="19"/>
      <c r="DA17" s="19"/>
      <c r="DB17" s="19"/>
      <c r="DC17" s="19"/>
      <c r="DD17" s="19"/>
      <c r="DE17" s="19"/>
      <c r="DF17" s="19"/>
      <c r="DG17" s="19"/>
      <c r="DH17" s="19"/>
      <c r="DI17" s="19"/>
      <c r="DJ17" s="19"/>
      <c r="DK17" s="19"/>
      <c r="DL17" s="19"/>
      <c r="DM17" s="19"/>
      <c r="DN17" s="19"/>
      <c r="DO17" s="19"/>
      <c r="DP17" s="19"/>
      <c r="DQ17" s="19"/>
      <c r="DR17" s="19"/>
      <c r="DS17" s="19"/>
      <c r="DT17" s="19"/>
      <c r="DU17" s="19"/>
      <c r="DV17" s="19"/>
      <c r="DW17" s="19"/>
      <c r="DX17" s="19"/>
      <c r="DY17" s="19"/>
      <c r="DZ17" s="19"/>
      <c r="EA17" s="19"/>
      <c r="EB17" s="19"/>
      <c r="EC17" s="19"/>
      <c r="ED17" s="19"/>
      <c r="EE17" s="19"/>
      <c r="EF17" s="19"/>
      <c r="EG17" s="19"/>
      <c r="EH17" s="19"/>
      <c r="EI17" s="19"/>
      <c r="EJ17" s="19"/>
      <c r="EK17" s="19"/>
      <c r="EL17" s="19"/>
      <c r="EM17" s="19"/>
      <c r="EN17" s="19"/>
      <c r="EO17" s="19"/>
      <c r="EP17" s="19"/>
      <c r="EQ17" s="19"/>
      <c r="ER17" s="19"/>
      <c r="ES17" s="19"/>
      <c r="ET17" s="19"/>
      <c r="EU17" s="19"/>
      <c r="EV17" s="19"/>
      <c r="EW17" s="19"/>
      <c r="EX17" s="19"/>
      <c r="EY17" s="19"/>
      <c r="EZ17" s="19"/>
      <c r="FA17" s="19"/>
      <c r="FB17" s="19"/>
      <c r="FC17" s="19"/>
      <c r="FD17" s="19"/>
      <c r="FE17" s="19"/>
      <c r="FF17" s="19"/>
      <c r="FG17" s="19"/>
      <c r="FH17" s="19"/>
      <c r="FI17" s="19"/>
      <c r="FJ17" s="19"/>
      <c r="FK17" s="19"/>
      <c r="FL17" s="20" t="s">
        <v>199</v>
      </c>
      <c r="FM17" s="23"/>
      <c r="FN17" s="23"/>
      <c r="FO17" s="23"/>
      <c r="FP17" s="23"/>
      <c r="FQ17" s="23"/>
      <c r="FR17" s="23"/>
      <c r="FS17" s="23"/>
      <c r="FT17" s="23"/>
      <c r="FU17" s="23"/>
      <c r="FV17" s="23"/>
      <c r="FW17" s="23"/>
      <c r="FX17" s="23"/>
      <c r="FY17" s="23"/>
      <c r="FZ17" s="23"/>
      <c r="GA17" s="23"/>
      <c r="GB17" s="23"/>
      <c r="GC17" s="23"/>
      <c r="GD17" s="23"/>
      <c r="GE17" s="23"/>
      <c r="GF17" s="23"/>
      <c r="GG17" s="23"/>
      <c r="GH17" s="23"/>
      <c r="GI17" s="23"/>
      <c r="GJ17" s="23"/>
      <c r="GK17" s="23"/>
      <c r="GL17" s="23"/>
      <c r="GM17" s="23"/>
      <c r="GN17" s="23"/>
      <c r="GO17" s="23"/>
      <c r="GP17" s="23"/>
      <c r="GQ17" s="23"/>
      <c r="GR17" s="23"/>
      <c r="GS17" s="23"/>
      <c r="GT17" s="23"/>
      <c r="GU17" s="19"/>
      <c r="GV17" s="19"/>
      <c r="GW17" s="19"/>
      <c r="GX17" s="19"/>
      <c r="GY17" s="19"/>
      <c r="GZ17" s="19"/>
      <c r="HA17" s="19"/>
    </row>
    <row r="18" spans="1:209" ht="23.25" customHeight="1" x14ac:dyDescent="0.15">
      <c r="A18" s="16">
        <v>44273.668255046301</v>
      </c>
      <c r="B18" s="17">
        <v>3</v>
      </c>
      <c r="C18" s="17" t="s">
        <v>14</v>
      </c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9"/>
      <c r="BZ18" s="19"/>
      <c r="CA18" s="19"/>
      <c r="CB18" s="19"/>
      <c r="CC18" s="19"/>
      <c r="CD18" s="19"/>
      <c r="CE18" s="19"/>
      <c r="CF18" s="19"/>
      <c r="CG18" s="19"/>
      <c r="CH18" s="19"/>
      <c r="CI18" s="19"/>
      <c r="CJ18" s="19"/>
      <c r="CK18" s="19"/>
      <c r="CL18" s="19"/>
      <c r="CM18" s="19"/>
      <c r="CN18" s="19"/>
      <c r="CO18" s="19"/>
      <c r="CP18" s="19"/>
      <c r="CQ18" s="19"/>
      <c r="CR18" s="19"/>
      <c r="CS18" s="20" t="s">
        <v>209</v>
      </c>
      <c r="CT18" s="20" t="s">
        <v>210</v>
      </c>
      <c r="CU18" s="21">
        <v>44240</v>
      </c>
      <c r="CV18" s="21">
        <v>44241</v>
      </c>
      <c r="CW18" s="20">
        <v>58</v>
      </c>
      <c r="CX18" s="20" t="s">
        <v>211</v>
      </c>
      <c r="CY18" s="20" t="s">
        <v>212</v>
      </c>
      <c r="CZ18" s="20">
        <v>0</v>
      </c>
      <c r="DA18" s="20">
        <v>0</v>
      </c>
      <c r="DB18" s="20">
        <v>0</v>
      </c>
      <c r="DC18" s="22" t="s">
        <v>213</v>
      </c>
      <c r="DD18" s="19"/>
      <c r="DE18" s="19"/>
      <c r="DF18" s="19"/>
      <c r="DG18" s="19"/>
      <c r="DH18" s="19"/>
      <c r="DI18" s="19"/>
      <c r="DJ18" s="19"/>
      <c r="DK18" s="19"/>
      <c r="DL18" s="19"/>
      <c r="DM18" s="19"/>
      <c r="DN18" s="19"/>
      <c r="DO18" s="19"/>
      <c r="DP18" s="19"/>
      <c r="DQ18" s="19"/>
      <c r="DR18" s="19"/>
      <c r="DS18" s="19"/>
      <c r="DT18" s="19"/>
      <c r="DU18" s="19"/>
      <c r="DV18" s="19"/>
      <c r="DW18" s="19"/>
      <c r="DX18" s="19"/>
      <c r="DY18" s="19"/>
      <c r="DZ18" s="19"/>
      <c r="EA18" s="19"/>
      <c r="EB18" s="19"/>
      <c r="EC18" s="19"/>
      <c r="ED18" s="19"/>
      <c r="EE18" s="19"/>
      <c r="EF18" s="19"/>
      <c r="EG18" s="19"/>
      <c r="EH18" s="19"/>
      <c r="EI18" s="19"/>
      <c r="EJ18" s="19"/>
      <c r="EK18" s="19"/>
      <c r="EL18" s="19"/>
      <c r="EM18" s="19"/>
      <c r="EN18" s="19"/>
      <c r="EO18" s="19"/>
      <c r="EP18" s="19"/>
      <c r="EQ18" s="19"/>
      <c r="ER18" s="19"/>
      <c r="ES18" s="19"/>
      <c r="ET18" s="19"/>
      <c r="EU18" s="19"/>
      <c r="EV18" s="19"/>
      <c r="EW18" s="19"/>
      <c r="EX18" s="19"/>
      <c r="EY18" s="19"/>
      <c r="EZ18" s="19"/>
      <c r="FA18" s="19"/>
      <c r="FB18" s="19"/>
      <c r="FC18" s="19"/>
      <c r="FD18" s="19"/>
      <c r="FE18" s="19"/>
      <c r="FF18" s="19"/>
      <c r="FG18" s="19"/>
      <c r="FH18" s="19"/>
      <c r="FI18" s="19"/>
      <c r="FJ18" s="19"/>
      <c r="FK18" s="19"/>
      <c r="FL18" s="20" t="s">
        <v>214</v>
      </c>
      <c r="FM18" s="23"/>
      <c r="FN18" s="23"/>
      <c r="FO18" s="23"/>
      <c r="FP18" s="23"/>
      <c r="FQ18" s="23"/>
      <c r="FR18" s="23"/>
      <c r="FS18" s="23"/>
      <c r="FT18" s="23"/>
      <c r="FU18" s="23"/>
      <c r="FV18" s="23"/>
      <c r="FW18" s="23"/>
      <c r="FX18" s="23"/>
      <c r="FY18" s="23"/>
      <c r="FZ18" s="23"/>
      <c r="GA18" s="23"/>
      <c r="GB18" s="23"/>
      <c r="GC18" s="23"/>
      <c r="GD18" s="23"/>
      <c r="GE18" s="23"/>
      <c r="GF18" s="23"/>
      <c r="GG18" s="23"/>
      <c r="GH18" s="23"/>
      <c r="GI18" s="23"/>
      <c r="GJ18" s="23"/>
      <c r="GK18" s="23"/>
      <c r="GL18" s="23"/>
      <c r="GM18" s="23"/>
      <c r="GN18" s="23"/>
      <c r="GO18" s="23"/>
      <c r="GP18" s="23"/>
      <c r="GQ18" s="23"/>
      <c r="GR18" s="23"/>
      <c r="GS18" s="23"/>
      <c r="GT18" s="23"/>
      <c r="GU18" s="19"/>
      <c r="GV18" s="19"/>
      <c r="GW18" s="19"/>
      <c r="GX18" s="19"/>
      <c r="GY18" s="19"/>
      <c r="GZ18" s="19"/>
      <c r="HA18" s="19"/>
    </row>
    <row r="19" spans="1:209" ht="23.25" customHeight="1" x14ac:dyDescent="0.15">
      <c r="A19" s="16">
        <v>44489.660749155097</v>
      </c>
      <c r="B19" s="17">
        <v>5</v>
      </c>
      <c r="C19" s="17" t="s">
        <v>14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9"/>
      <c r="BZ19" s="19"/>
      <c r="CA19" s="19"/>
      <c r="CB19" s="19"/>
      <c r="CC19" s="19"/>
      <c r="CD19" s="19"/>
      <c r="CE19" s="19"/>
      <c r="CF19" s="19"/>
      <c r="CG19" s="19"/>
      <c r="CH19" s="19"/>
      <c r="CI19" s="19"/>
      <c r="CJ19" s="19"/>
      <c r="CK19" s="19"/>
      <c r="CL19" s="19"/>
      <c r="CM19" s="19"/>
      <c r="CN19" s="19"/>
      <c r="CO19" s="19"/>
      <c r="CP19" s="19"/>
      <c r="CQ19" s="19"/>
      <c r="CR19" s="19"/>
      <c r="CS19" s="20" t="s">
        <v>215</v>
      </c>
      <c r="CT19" s="20" t="s">
        <v>191</v>
      </c>
      <c r="CU19" s="21">
        <v>44469</v>
      </c>
      <c r="CV19" s="21">
        <v>44469</v>
      </c>
      <c r="CW19" s="20">
        <v>60</v>
      </c>
      <c r="CX19" s="20" t="s">
        <v>216</v>
      </c>
      <c r="CY19" s="20" t="s">
        <v>217</v>
      </c>
      <c r="CZ19" s="20">
        <v>1400</v>
      </c>
      <c r="DA19" s="20">
        <v>1400</v>
      </c>
      <c r="DB19" s="20">
        <v>1400</v>
      </c>
      <c r="DC19" s="22" t="s">
        <v>218</v>
      </c>
      <c r="DD19" s="19"/>
      <c r="DE19" s="19"/>
      <c r="DF19" s="19"/>
      <c r="DG19" s="19"/>
      <c r="DH19" s="19"/>
      <c r="DI19" s="19"/>
      <c r="DJ19" s="19"/>
      <c r="DK19" s="19"/>
      <c r="DL19" s="19"/>
      <c r="DM19" s="19"/>
      <c r="DN19" s="19"/>
      <c r="DO19" s="19"/>
      <c r="DP19" s="19"/>
      <c r="DQ19" s="19"/>
      <c r="DR19" s="19"/>
      <c r="DS19" s="19"/>
      <c r="DT19" s="19"/>
      <c r="DU19" s="19"/>
      <c r="DV19" s="19"/>
      <c r="DW19" s="19"/>
      <c r="DX19" s="19"/>
      <c r="DY19" s="19"/>
      <c r="DZ19" s="19"/>
      <c r="EA19" s="19"/>
      <c r="EB19" s="19"/>
      <c r="EC19" s="19"/>
      <c r="ED19" s="19"/>
      <c r="EE19" s="19"/>
      <c r="EF19" s="19"/>
      <c r="EG19" s="19"/>
      <c r="EH19" s="19"/>
      <c r="EI19" s="19"/>
      <c r="EJ19" s="19"/>
      <c r="EK19" s="19"/>
      <c r="EL19" s="19"/>
      <c r="EM19" s="19"/>
      <c r="EN19" s="19"/>
      <c r="EO19" s="19"/>
      <c r="EP19" s="19"/>
      <c r="EQ19" s="19"/>
      <c r="ER19" s="19"/>
      <c r="ES19" s="19"/>
      <c r="ET19" s="19"/>
      <c r="EU19" s="19"/>
      <c r="EV19" s="19"/>
      <c r="EW19" s="19"/>
      <c r="EX19" s="19"/>
      <c r="EY19" s="19"/>
      <c r="EZ19" s="19"/>
      <c r="FA19" s="19"/>
      <c r="FB19" s="19"/>
      <c r="FC19" s="19"/>
      <c r="FD19" s="19"/>
      <c r="FE19" s="19"/>
      <c r="FF19" s="19"/>
      <c r="FG19" s="19"/>
      <c r="FH19" s="19"/>
      <c r="FI19" s="19"/>
      <c r="FJ19" s="19"/>
      <c r="FK19" s="19"/>
      <c r="FL19" s="20" t="s">
        <v>219</v>
      </c>
      <c r="FM19" s="23"/>
      <c r="FN19" s="23"/>
      <c r="FO19" s="23"/>
      <c r="FP19" s="23"/>
      <c r="FQ19" s="23"/>
      <c r="FR19" s="23"/>
      <c r="FS19" s="23"/>
      <c r="FT19" s="23"/>
      <c r="FU19" s="23"/>
      <c r="FV19" s="23"/>
      <c r="FW19" s="23"/>
      <c r="FX19" s="23"/>
      <c r="FY19" s="23"/>
      <c r="FZ19" s="23"/>
      <c r="GA19" s="23"/>
      <c r="GB19" s="23"/>
      <c r="GC19" s="23"/>
      <c r="GD19" s="23"/>
      <c r="GE19" s="23"/>
      <c r="GF19" s="23"/>
      <c r="GG19" s="23"/>
      <c r="GH19" s="23"/>
      <c r="GI19" s="23"/>
      <c r="GJ19" s="23"/>
      <c r="GK19" s="23"/>
      <c r="GL19" s="23"/>
      <c r="GM19" s="23"/>
      <c r="GN19" s="23"/>
      <c r="GO19" s="23"/>
      <c r="GP19" s="23"/>
      <c r="GQ19" s="23"/>
      <c r="GR19" s="23"/>
      <c r="GS19" s="23"/>
      <c r="GT19" s="23"/>
      <c r="GU19" s="19"/>
      <c r="GV19" s="19"/>
      <c r="GW19" s="19"/>
      <c r="GX19" s="19"/>
      <c r="GY19" s="19"/>
      <c r="GZ19" s="19"/>
      <c r="HA19" s="19"/>
    </row>
    <row r="20" spans="1:209" ht="23.25" customHeight="1" x14ac:dyDescent="0.15">
      <c r="A20" s="16">
        <v>44501.428823020833</v>
      </c>
      <c r="B20" s="17">
        <v>3</v>
      </c>
      <c r="C20" s="17" t="s">
        <v>14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20" t="s">
        <v>220</v>
      </c>
      <c r="CT20" s="20" t="s">
        <v>134</v>
      </c>
      <c r="CU20" s="21">
        <v>44492</v>
      </c>
      <c r="CV20" s="21">
        <v>44492</v>
      </c>
      <c r="CW20" s="20">
        <v>114</v>
      </c>
      <c r="CX20" s="20" t="s">
        <v>221</v>
      </c>
      <c r="CY20" s="20" t="s">
        <v>222</v>
      </c>
      <c r="CZ20" s="20">
        <v>0</v>
      </c>
      <c r="DA20" s="19"/>
      <c r="DB20" s="19"/>
      <c r="DC20" s="22" t="s">
        <v>223</v>
      </c>
      <c r="DD20" s="19"/>
      <c r="DE20" s="19"/>
      <c r="DF20" s="19"/>
      <c r="DG20" s="19"/>
      <c r="DH20" s="19"/>
      <c r="DI20" s="19"/>
      <c r="DJ20" s="19"/>
      <c r="DK20" s="19"/>
      <c r="DL20" s="19"/>
      <c r="DM20" s="19"/>
      <c r="DN20" s="19"/>
      <c r="DO20" s="19"/>
      <c r="DP20" s="19"/>
      <c r="DQ20" s="19"/>
      <c r="DR20" s="19"/>
      <c r="DS20" s="19"/>
      <c r="DT20" s="19"/>
      <c r="DU20" s="19"/>
      <c r="DV20" s="19"/>
      <c r="DW20" s="19"/>
      <c r="DX20" s="19"/>
      <c r="DY20" s="19"/>
      <c r="DZ20" s="19"/>
      <c r="EA20" s="19"/>
      <c r="EB20" s="19"/>
      <c r="EC20" s="19"/>
      <c r="ED20" s="19"/>
      <c r="EE20" s="19"/>
      <c r="EF20" s="19"/>
      <c r="EG20" s="19"/>
      <c r="EH20" s="19"/>
      <c r="EI20" s="19"/>
      <c r="EJ20" s="19"/>
      <c r="EK20" s="19"/>
      <c r="EL20" s="19"/>
      <c r="EM20" s="19"/>
      <c r="EN20" s="19"/>
      <c r="EO20" s="19"/>
      <c r="EP20" s="19"/>
      <c r="EQ20" s="19"/>
      <c r="ER20" s="19"/>
      <c r="ES20" s="19"/>
      <c r="ET20" s="19"/>
      <c r="EU20" s="19"/>
      <c r="EV20" s="19"/>
      <c r="EW20" s="19"/>
      <c r="EX20" s="19"/>
      <c r="EY20" s="19"/>
      <c r="EZ20" s="19"/>
      <c r="FA20" s="19"/>
      <c r="FB20" s="19"/>
      <c r="FC20" s="19"/>
      <c r="FD20" s="19"/>
      <c r="FE20" s="19"/>
      <c r="FF20" s="19"/>
      <c r="FG20" s="19"/>
      <c r="FH20" s="19"/>
      <c r="FI20" s="19"/>
      <c r="FJ20" s="19"/>
      <c r="FK20" s="19"/>
      <c r="FL20" s="20" t="s">
        <v>173</v>
      </c>
      <c r="FM20" s="23"/>
      <c r="FN20" s="23"/>
      <c r="FO20" s="23"/>
      <c r="FP20" s="23"/>
      <c r="FQ20" s="23"/>
      <c r="FR20" s="23"/>
      <c r="FS20" s="23"/>
      <c r="FT20" s="23"/>
      <c r="FU20" s="23"/>
      <c r="FV20" s="23"/>
      <c r="FW20" s="23"/>
      <c r="FX20" s="23"/>
      <c r="FY20" s="23"/>
      <c r="FZ20" s="23"/>
      <c r="GA20" s="23"/>
      <c r="GB20" s="23"/>
      <c r="GC20" s="23"/>
      <c r="GD20" s="23"/>
      <c r="GE20" s="23"/>
      <c r="GF20" s="23"/>
      <c r="GG20" s="23"/>
      <c r="GH20" s="23"/>
      <c r="GI20" s="23"/>
      <c r="GJ20" s="23"/>
      <c r="GK20" s="23"/>
      <c r="GL20" s="23"/>
      <c r="GM20" s="23"/>
      <c r="GN20" s="23"/>
      <c r="GO20" s="23"/>
      <c r="GP20" s="23"/>
      <c r="GQ20" s="23"/>
      <c r="GR20" s="23"/>
      <c r="GS20" s="23"/>
      <c r="GT20" s="23"/>
      <c r="GU20" s="19"/>
      <c r="GV20" s="19"/>
      <c r="GW20" s="19"/>
      <c r="GX20" s="19"/>
      <c r="GY20" s="19"/>
      <c r="GZ20" s="19"/>
      <c r="HA20" s="19"/>
    </row>
    <row r="21" spans="1:209" ht="23.25" customHeight="1" x14ac:dyDescent="0.15">
      <c r="A21" s="16">
        <v>44533.616709467591</v>
      </c>
      <c r="B21" s="17" t="s">
        <v>4</v>
      </c>
      <c r="C21" s="17" t="s">
        <v>18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9"/>
      <c r="BZ21" s="19"/>
      <c r="CA21" s="19"/>
      <c r="CB21" s="19"/>
      <c r="CC21" s="19"/>
      <c r="CD21" s="19"/>
      <c r="CE21" s="19"/>
      <c r="CF21" s="19"/>
      <c r="CG21" s="19"/>
      <c r="CH21" s="19"/>
      <c r="CI21" s="19"/>
      <c r="CJ21" s="19"/>
      <c r="CK21" s="19"/>
      <c r="CL21" s="19"/>
      <c r="CM21" s="19"/>
      <c r="CN21" s="19"/>
      <c r="CO21" s="19"/>
      <c r="CP21" s="19"/>
      <c r="CQ21" s="19"/>
      <c r="CR21" s="19"/>
      <c r="CS21" s="19"/>
      <c r="CT21" s="19"/>
      <c r="CU21" s="19"/>
      <c r="CV21" s="19"/>
      <c r="CW21" s="19"/>
      <c r="CX21" s="19"/>
      <c r="CY21" s="19"/>
      <c r="CZ21" s="19"/>
      <c r="DA21" s="19"/>
      <c r="DB21" s="19"/>
      <c r="DC21" s="19"/>
      <c r="DD21" s="19"/>
      <c r="DE21" s="19"/>
      <c r="DF21" s="19"/>
      <c r="DG21" s="19"/>
      <c r="DH21" s="19"/>
      <c r="DI21" s="19"/>
      <c r="DJ21" s="19"/>
      <c r="DK21" s="19"/>
      <c r="DL21" s="19"/>
      <c r="DM21" s="19"/>
      <c r="DN21" s="19"/>
      <c r="DO21" s="19"/>
      <c r="DP21" s="19"/>
      <c r="DQ21" s="19"/>
      <c r="DR21" s="19"/>
      <c r="DS21" s="19"/>
      <c r="DT21" s="19"/>
      <c r="DU21" s="19"/>
      <c r="DV21" s="19"/>
      <c r="DW21" s="19"/>
      <c r="DX21" s="19"/>
      <c r="DY21" s="19"/>
      <c r="DZ21" s="19"/>
      <c r="EA21" s="19"/>
      <c r="EB21" s="19"/>
      <c r="EC21" s="19"/>
      <c r="ED21" s="19"/>
      <c r="EE21" s="19"/>
      <c r="EF21" s="19"/>
      <c r="EG21" s="19"/>
      <c r="EH21" s="19"/>
      <c r="EI21" s="19"/>
      <c r="EJ21" s="19"/>
      <c r="EK21" s="19"/>
      <c r="EL21" s="19"/>
      <c r="EM21" s="19"/>
      <c r="EN21" s="19"/>
      <c r="EO21" s="19"/>
      <c r="EP21" s="19"/>
      <c r="EQ21" s="19"/>
      <c r="ER21" s="19"/>
      <c r="ES21" s="19"/>
      <c r="ET21" s="19"/>
      <c r="EU21" s="20" t="s">
        <v>224</v>
      </c>
      <c r="EV21" s="19"/>
      <c r="EW21" s="20" t="s">
        <v>225</v>
      </c>
      <c r="EX21" s="20" t="s">
        <v>226</v>
      </c>
      <c r="EY21" s="20" t="s">
        <v>227</v>
      </c>
      <c r="EZ21" s="19"/>
      <c r="FA21" s="21">
        <v>44579</v>
      </c>
      <c r="FB21" s="19"/>
      <c r="FC21" s="19"/>
      <c r="FD21" s="19"/>
      <c r="FE21" s="19"/>
      <c r="FF21" s="22" t="s">
        <v>228</v>
      </c>
      <c r="FG21" s="19"/>
      <c r="FH21" s="19"/>
      <c r="FI21" s="19"/>
      <c r="FJ21" s="19"/>
      <c r="FK21" s="19"/>
      <c r="FL21" s="20" t="s">
        <v>229</v>
      </c>
      <c r="FM21" s="23"/>
      <c r="FN21" s="23"/>
      <c r="FO21" s="23"/>
      <c r="FP21" s="23"/>
      <c r="FQ21" s="23"/>
      <c r="FR21" s="23"/>
      <c r="FS21" s="23"/>
      <c r="FT21" s="23"/>
      <c r="FU21" s="23"/>
      <c r="FV21" s="23"/>
      <c r="FW21" s="23"/>
      <c r="FX21" s="23"/>
      <c r="FY21" s="23"/>
      <c r="FZ21" s="23"/>
      <c r="GA21" s="23"/>
      <c r="GB21" s="23"/>
      <c r="GC21" s="23"/>
      <c r="GD21" s="23"/>
      <c r="GE21" s="23"/>
      <c r="GF21" s="23"/>
      <c r="GG21" s="23"/>
      <c r="GH21" s="23"/>
      <c r="GI21" s="23"/>
      <c r="GJ21" s="23"/>
      <c r="GK21" s="23"/>
      <c r="GL21" s="23"/>
      <c r="GM21" s="23"/>
      <c r="GN21" s="23"/>
      <c r="GO21" s="23"/>
      <c r="GP21" s="23"/>
      <c r="GQ21" s="23"/>
      <c r="GR21" s="23"/>
      <c r="GS21" s="23"/>
      <c r="GT21" s="23"/>
      <c r="GU21" s="19"/>
      <c r="GV21" s="19"/>
      <c r="GW21" s="19"/>
      <c r="GX21" s="19"/>
      <c r="GY21" s="19"/>
      <c r="GZ21" s="19"/>
      <c r="HA21" s="19"/>
    </row>
    <row r="22" spans="1:209" ht="23.25" customHeight="1" x14ac:dyDescent="0.15">
      <c r="A22" s="16">
        <v>44533.750061886574</v>
      </c>
      <c r="B22" s="17" t="s">
        <v>5</v>
      </c>
      <c r="C22" s="17" t="s">
        <v>18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9"/>
      <c r="BZ22" s="19"/>
      <c r="CA22" s="19"/>
      <c r="CB22" s="19"/>
      <c r="CC22" s="19"/>
      <c r="CD22" s="19"/>
      <c r="CE22" s="19"/>
      <c r="CF22" s="19"/>
      <c r="CG22" s="19"/>
      <c r="CH22" s="19"/>
      <c r="CI22" s="19"/>
      <c r="CJ22" s="19"/>
      <c r="CK22" s="19"/>
      <c r="CL22" s="19"/>
      <c r="CM22" s="19"/>
      <c r="CN22" s="19"/>
      <c r="CO22" s="19"/>
      <c r="CP22" s="19"/>
      <c r="CQ22" s="19"/>
      <c r="CR22" s="19"/>
      <c r="CS22" s="19"/>
      <c r="CT22" s="19"/>
      <c r="CU22" s="19"/>
      <c r="CV22" s="19"/>
      <c r="CW22" s="19"/>
      <c r="CX22" s="19"/>
      <c r="CY22" s="19"/>
      <c r="CZ22" s="19"/>
      <c r="DA22" s="19"/>
      <c r="DB22" s="19"/>
      <c r="DC22" s="19"/>
      <c r="DD22" s="19"/>
      <c r="DE22" s="19"/>
      <c r="DF22" s="19"/>
      <c r="DG22" s="19"/>
      <c r="DH22" s="19"/>
      <c r="DI22" s="19"/>
      <c r="DJ22" s="19"/>
      <c r="DK22" s="19"/>
      <c r="DL22" s="19"/>
      <c r="DM22" s="19"/>
      <c r="DN22" s="19"/>
      <c r="DO22" s="19"/>
      <c r="DP22" s="19"/>
      <c r="DQ22" s="19"/>
      <c r="DR22" s="19"/>
      <c r="DS22" s="19"/>
      <c r="DT22" s="19"/>
      <c r="DU22" s="19"/>
      <c r="DV22" s="19"/>
      <c r="DW22" s="19"/>
      <c r="DX22" s="19"/>
      <c r="DY22" s="19"/>
      <c r="DZ22" s="19"/>
      <c r="EA22" s="19"/>
      <c r="EB22" s="19"/>
      <c r="EC22" s="19"/>
      <c r="ED22" s="19"/>
      <c r="EE22" s="19"/>
      <c r="EF22" s="19"/>
      <c r="EG22" s="19"/>
      <c r="EH22" s="19"/>
      <c r="EI22" s="19"/>
      <c r="EJ22" s="19"/>
      <c r="EK22" s="19"/>
      <c r="EL22" s="19"/>
      <c r="EM22" s="19"/>
      <c r="EN22" s="19"/>
      <c r="EO22" s="19"/>
      <c r="EP22" s="19"/>
      <c r="EQ22" s="19"/>
      <c r="ER22" s="19"/>
      <c r="ES22" s="19"/>
      <c r="ET22" s="19"/>
      <c r="EU22" s="20" t="s">
        <v>230</v>
      </c>
      <c r="EV22" s="19"/>
      <c r="EW22" s="20" t="s">
        <v>231</v>
      </c>
      <c r="EX22" s="20" t="s">
        <v>232</v>
      </c>
      <c r="EY22" s="20" t="s">
        <v>233</v>
      </c>
      <c r="EZ22" s="19"/>
      <c r="FA22" s="21">
        <v>44445</v>
      </c>
      <c r="FB22" s="19"/>
      <c r="FC22" s="19"/>
      <c r="FD22" s="19"/>
      <c r="FE22" s="19"/>
      <c r="FF22" s="22" t="s">
        <v>234</v>
      </c>
      <c r="FG22" s="19"/>
      <c r="FH22" s="19"/>
      <c r="FI22" s="19"/>
      <c r="FJ22" s="19"/>
      <c r="FK22" s="19"/>
      <c r="FL22" s="20" t="s">
        <v>235</v>
      </c>
      <c r="FM22" s="23"/>
      <c r="FN22" s="23"/>
      <c r="FO22" s="23"/>
      <c r="FP22" s="23"/>
      <c r="FQ22" s="23"/>
      <c r="FR22" s="23"/>
      <c r="FS22" s="23"/>
      <c r="FT22" s="23"/>
      <c r="FU22" s="23"/>
      <c r="FV22" s="23"/>
      <c r="FW22" s="23"/>
      <c r="FX22" s="23"/>
      <c r="FY22" s="23"/>
      <c r="FZ22" s="23"/>
      <c r="GA22" s="23"/>
      <c r="GB22" s="23"/>
      <c r="GC22" s="23"/>
      <c r="GD22" s="23"/>
      <c r="GE22" s="23"/>
      <c r="GF22" s="23"/>
      <c r="GG22" s="23"/>
      <c r="GH22" s="23"/>
      <c r="GI22" s="23"/>
      <c r="GJ22" s="23"/>
      <c r="GK22" s="23"/>
      <c r="GL22" s="23"/>
      <c r="GM22" s="23"/>
      <c r="GN22" s="23"/>
      <c r="GO22" s="23"/>
      <c r="GP22" s="23"/>
      <c r="GQ22" s="23"/>
      <c r="GR22" s="23"/>
      <c r="GS22" s="23"/>
      <c r="GT22" s="23"/>
      <c r="GU22" s="19"/>
      <c r="GV22" s="19"/>
      <c r="GW22" s="19"/>
      <c r="GX22" s="19"/>
      <c r="GY22" s="19"/>
      <c r="GZ22" s="19"/>
      <c r="HA22" s="19"/>
    </row>
    <row r="23" spans="1:209" ht="23.25" customHeight="1" x14ac:dyDescent="0.15">
      <c r="A23" s="16">
        <v>44533.914586863422</v>
      </c>
      <c r="B23" s="17" t="s">
        <v>5</v>
      </c>
      <c r="C23" s="17" t="s">
        <v>18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9"/>
      <c r="BZ23" s="19"/>
      <c r="CA23" s="19"/>
      <c r="CB23" s="19"/>
      <c r="CC23" s="19"/>
      <c r="CD23" s="19"/>
      <c r="CE23" s="19"/>
      <c r="CF23" s="19"/>
      <c r="CG23" s="19"/>
      <c r="CH23" s="19"/>
      <c r="CI23" s="19"/>
      <c r="CJ23" s="19"/>
      <c r="CK23" s="19"/>
      <c r="CL23" s="19"/>
      <c r="CM23" s="19"/>
      <c r="CN23" s="19"/>
      <c r="CO23" s="19"/>
      <c r="CP23" s="19"/>
      <c r="CQ23" s="19"/>
      <c r="CR23" s="19"/>
      <c r="CS23" s="19"/>
      <c r="CT23" s="19"/>
      <c r="CU23" s="19"/>
      <c r="CV23" s="19"/>
      <c r="CW23" s="19"/>
      <c r="CX23" s="19"/>
      <c r="CY23" s="19"/>
      <c r="CZ23" s="19"/>
      <c r="DA23" s="19"/>
      <c r="DB23" s="19"/>
      <c r="DC23" s="19"/>
      <c r="DD23" s="19"/>
      <c r="DE23" s="19"/>
      <c r="DF23" s="19"/>
      <c r="DG23" s="19"/>
      <c r="DH23" s="19"/>
      <c r="DI23" s="19"/>
      <c r="DJ23" s="19"/>
      <c r="DK23" s="19"/>
      <c r="DL23" s="19"/>
      <c r="DM23" s="19"/>
      <c r="DN23" s="19"/>
      <c r="DO23" s="19"/>
      <c r="DP23" s="19"/>
      <c r="DQ23" s="19"/>
      <c r="DR23" s="19"/>
      <c r="DS23" s="19"/>
      <c r="DT23" s="19"/>
      <c r="DU23" s="19"/>
      <c r="DV23" s="19"/>
      <c r="DW23" s="19"/>
      <c r="DX23" s="19"/>
      <c r="DY23" s="19"/>
      <c r="DZ23" s="19"/>
      <c r="EA23" s="19"/>
      <c r="EB23" s="19"/>
      <c r="EC23" s="19"/>
      <c r="ED23" s="19"/>
      <c r="EE23" s="19"/>
      <c r="EF23" s="19"/>
      <c r="EG23" s="19"/>
      <c r="EH23" s="19"/>
      <c r="EI23" s="19"/>
      <c r="EJ23" s="19"/>
      <c r="EK23" s="19"/>
      <c r="EL23" s="19"/>
      <c r="EM23" s="19"/>
      <c r="EN23" s="19"/>
      <c r="EO23" s="19"/>
      <c r="EP23" s="19"/>
      <c r="EQ23" s="19"/>
      <c r="ER23" s="19"/>
      <c r="ES23" s="19"/>
      <c r="ET23" s="19"/>
      <c r="EU23" s="20" t="s">
        <v>236</v>
      </c>
      <c r="EV23" s="19"/>
      <c r="EW23" s="20" t="s">
        <v>237</v>
      </c>
      <c r="EX23" s="20" t="s">
        <v>238</v>
      </c>
      <c r="EY23" s="20" t="s">
        <v>239</v>
      </c>
      <c r="EZ23" s="19"/>
      <c r="FA23" s="21">
        <v>44434</v>
      </c>
      <c r="FB23" s="19"/>
      <c r="FC23" s="19"/>
      <c r="FD23" s="19"/>
      <c r="FE23" s="19"/>
      <c r="FF23" s="22" t="s">
        <v>240</v>
      </c>
      <c r="FG23" s="19"/>
      <c r="FH23" s="19"/>
      <c r="FI23" s="19"/>
      <c r="FJ23" s="19"/>
      <c r="FK23" s="19"/>
      <c r="FL23" s="20" t="s">
        <v>241</v>
      </c>
      <c r="FM23" s="23"/>
      <c r="FN23" s="23"/>
      <c r="FO23" s="23"/>
      <c r="FP23" s="23"/>
      <c r="FQ23" s="23"/>
      <c r="FR23" s="23"/>
      <c r="FS23" s="23"/>
      <c r="FT23" s="23"/>
      <c r="FU23" s="23"/>
      <c r="FV23" s="23"/>
      <c r="FW23" s="23"/>
      <c r="FX23" s="23"/>
      <c r="FY23" s="23"/>
      <c r="FZ23" s="23"/>
      <c r="GA23" s="23"/>
      <c r="GB23" s="23"/>
      <c r="GC23" s="23"/>
      <c r="GD23" s="23"/>
      <c r="GE23" s="23"/>
      <c r="GF23" s="23"/>
      <c r="GG23" s="23"/>
      <c r="GH23" s="23"/>
      <c r="GI23" s="23"/>
      <c r="GJ23" s="23"/>
      <c r="GK23" s="23"/>
      <c r="GL23" s="23"/>
      <c r="GM23" s="23"/>
      <c r="GN23" s="23"/>
      <c r="GO23" s="23"/>
      <c r="GP23" s="23"/>
      <c r="GQ23" s="23"/>
      <c r="GR23" s="23"/>
      <c r="GS23" s="23"/>
      <c r="GT23" s="23"/>
      <c r="GU23" s="19"/>
      <c r="GV23" s="19"/>
      <c r="GW23" s="19"/>
      <c r="GX23" s="19"/>
      <c r="GY23" s="19"/>
      <c r="GZ23" s="19"/>
      <c r="HA23" s="19"/>
    </row>
    <row r="24" spans="1:209" ht="23.25" customHeight="1" x14ac:dyDescent="0.15">
      <c r="A24" s="16">
        <v>44558.461540983801</v>
      </c>
      <c r="B24" s="17" t="s">
        <v>2</v>
      </c>
      <c r="C24" s="17" t="s">
        <v>18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C24" s="19"/>
      <c r="DD24" s="19"/>
      <c r="DE24" s="19"/>
      <c r="DF24" s="19"/>
      <c r="DG24" s="19"/>
      <c r="DH24" s="19"/>
      <c r="DI24" s="19"/>
      <c r="DJ24" s="19"/>
      <c r="DK24" s="19"/>
      <c r="DL24" s="19"/>
      <c r="DM24" s="19"/>
      <c r="DN24" s="19"/>
      <c r="DO24" s="19"/>
      <c r="DP24" s="19"/>
      <c r="DQ24" s="19"/>
      <c r="DR24" s="19"/>
      <c r="DS24" s="19"/>
      <c r="DT24" s="19"/>
      <c r="DU24" s="19"/>
      <c r="DV24" s="19"/>
      <c r="DW24" s="19"/>
      <c r="DX24" s="19"/>
      <c r="DY24" s="19"/>
      <c r="DZ24" s="19"/>
      <c r="EA24" s="19"/>
      <c r="EB24" s="19"/>
      <c r="EC24" s="19"/>
      <c r="ED24" s="19"/>
      <c r="EE24" s="19"/>
      <c r="EF24" s="19"/>
      <c r="EG24" s="19"/>
      <c r="EH24" s="19"/>
      <c r="EI24" s="19"/>
      <c r="EJ24" s="19"/>
      <c r="EK24" s="19"/>
      <c r="EL24" s="19"/>
      <c r="EM24" s="19"/>
      <c r="EN24" s="19"/>
      <c r="EO24" s="19"/>
      <c r="EP24" s="19"/>
      <c r="EQ24" s="19"/>
      <c r="ER24" s="19"/>
      <c r="ES24" s="19"/>
      <c r="ET24" s="19"/>
      <c r="EU24" s="20" t="s">
        <v>242</v>
      </c>
      <c r="EV24" s="19"/>
      <c r="EW24" s="20" t="s">
        <v>243</v>
      </c>
      <c r="EX24" s="20" t="s">
        <v>238</v>
      </c>
      <c r="EY24" s="20" t="s">
        <v>244</v>
      </c>
      <c r="EZ24" s="19"/>
      <c r="FA24" s="21">
        <v>44567</v>
      </c>
      <c r="FB24" s="19"/>
      <c r="FC24" s="19"/>
      <c r="FD24" s="19"/>
      <c r="FE24" s="19"/>
      <c r="FF24" s="22" t="s">
        <v>245</v>
      </c>
      <c r="FG24" s="19"/>
      <c r="FH24" s="19"/>
      <c r="FI24" s="19"/>
      <c r="FJ24" s="19"/>
      <c r="FK24" s="19"/>
      <c r="FL24" s="20" t="s">
        <v>246</v>
      </c>
      <c r="FM24" s="23"/>
      <c r="FN24" s="23"/>
      <c r="FO24" s="23"/>
      <c r="FP24" s="23"/>
      <c r="FQ24" s="23"/>
      <c r="FR24" s="23"/>
      <c r="FS24" s="23"/>
      <c r="FT24" s="23"/>
      <c r="FU24" s="23"/>
      <c r="FV24" s="23"/>
      <c r="FW24" s="23"/>
      <c r="FX24" s="23"/>
      <c r="FY24" s="23"/>
      <c r="FZ24" s="23"/>
      <c r="GA24" s="23"/>
      <c r="GB24" s="23"/>
      <c r="GC24" s="23"/>
      <c r="GD24" s="23"/>
      <c r="GE24" s="23"/>
      <c r="GF24" s="23"/>
      <c r="GG24" s="23"/>
      <c r="GH24" s="23"/>
      <c r="GI24" s="23"/>
      <c r="GJ24" s="23"/>
      <c r="GK24" s="23"/>
      <c r="GL24" s="23"/>
      <c r="GM24" s="23"/>
      <c r="GN24" s="23"/>
      <c r="GO24" s="23"/>
      <c r="GP24" s="23"/>
      <c r="GQ24" s="23"/>
      <c r="GR24" s="23"/>
      <c r="GS24" s="23"/>
      <c r="GT24" s="23"/>
      <c r="GU24" s="19"/>
      <c r="GV24" s="19"/>
      <c r="GW24" s="19"/>
      <c r="GX24" s="19"/>
      <c r="GY24" s="19"/>
      <c r="GZ24" s="19"/>
      <c r="HA24" s="19"/>
    </row>
    <row r="25" spans="1:209" ht="23.25" customHeight="1" x14ac:dyDescent="0.15">
      <c r="A25" s="16">
        <v>44645.386614386574</v>
      </c>
      <c r="B25" s="17" t="s">
        <v>6</v>
      </c>
      <c r="C25" s="17" t="s">
        <v>10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7" t="s">
        <v>247</v>
      </c>
      <c r="AO25" s="17" t="s">
        <v>248</v>
      </c>
      <c r="AP25" s="17" t="s">
        <v>249</v>
      </c>
      <c r="AQ25" s="17" t="s">
        <v>250</v>
      </c>
      <c r="AR25" s="24">
        <v>44621</v>
      </c>
      <c r="AS25" s="24">
        <v>44701</v>
      </c>
      <c r="AT25" s="17" t="s">
        <v>251</v>
      </c>
      <c r="AU25" s="17" t="s">
        <v>252</v>
      </c>
      <c r="AV25" s="17">
        <v>0</v>
      </c>
      <c r="AW25" s="25" t="s">
        <v>253</v>
      </c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C25" s="19"/>
      <c r="DD25" s="19"/>
      <c r="DE25" s="19"/>
      <c r="DF25" s="19"/>
      <c r="DG25" s="19"/>
      <c r="DH25" s="19"/>
      <c r="DI25" s="19"/>
      <c r="DJ25" s="19"/>
      <c r="DK25" s="19"/>
      <c r="DL25" s="19"/>
      <c r="DM25" s="19"/>
      <c r="DN25" s="19"/>
      <c r="DO25" s="19"/>
      <c r="DP25" s="19"/>
      <c r="DQ25" s="19"/>
      <c r="DR25" s="19"/>
      <c r="DS25" s="19"/>
      <c r="DT25" s="19"/>
      <c r="DU25" s="19"/>
      <c r="DV25" s="19"/>
      <c r="DW25" s="19"/>
      <c r="DX25" s="19"/>
      <c r="DY25" s="19"/>
      <c r="DZ25" s="19"/>
      <c r="EA25" s="19"/>
      <c r="EB25" s="19"/>
      <c r="EC25" s="19"/>
      <c r="ED25" s="19"/>
      <c r="EE25" s="19"/>
      <c r="EF25" s="19"/>
      <c r="EG25" s="19"/>
      <c r="EH25" s="19"/>
      <c r="EI25" s="19"/>
      <c r="EJ25" s="19"/>
      <c r="EK25" s="19"/>
      <c r="EL25" s="19"/>
      <c r="EM25" s="19"/>
      <c r="EN25" s="19"/>
      <c r="EO25" s="19"/>
      <c r="EP25" s="19"/>
      <c r="EQ25" s="19"/>
      <c r="ER25" s="19"/>
      <c r="ES25" s="19"/>
      <c r="ET25" s="19"/>
      <c r="EU25" s="19"/>
      <c r="EV25" s="19"/>
      <c r="EW25" s="19"/>
      <c r="EX25" s="19"/>
      <c r="EY25" s="19"/>
      <c r="EZ25" s="19"/>
      <c r="FA25" s="19"/>
      <c r="FB25" s="19"/>
      <c r="FC25" s="19"/>
      <c r="FD25" s="19"/>
      <c r="FE25" s="19"/>
      <c r="FF25" s="19"/>
      <c r="FG25" s="19"/>
      <c r="FH25" s="19"/>
      <c r="FI25" s="19"/>
      <c r="FJ25" s="19"/>
      <c r="FK25" s="19"/>
      <c r="FL25" s="20" t="s">
        <v>254</v>
      </c>
      <c r="FM25" s="20" t="s">
        <v>255</v>
      </c>
      <c r="FN25" s="23"/>
      <c r="FO25" s="23"/>
      <c r="FP25" s="23"/>
      <c r="FQ25" s="23"/>
      <c r="FR25" s="23"/>
      <c r="FS25" s="23"/>
      <c r="FT25" s="23"/>
      <c r="FU25" s="23"/>
      <c r="FV25" s="23"/>
      <c r="FW25" s="23"/>
      <c r="FX25" s="23"/>
      <c r="FY25" s="23"/>
      <c r="FZ25" s="23"/>
      <c r="GA25" s="23"/>
      <c r="GB25" s="23"/>
      <c r="GC25" s="23"/>
      <c r="GD25" s="23"/>
      <c r="GE25" s="23"/>
      <c r="GF25" s="23"/>
      <c r="GG25" s="23"/>
      <c r="GH25" s="23"/>
      <c r="GI25" s="23"/>
      <c r="GJ25" s="23"/>
      <c r="GK25" s="23"/>
      <c r="GL25" s="23"/>
      <c r="GM25" s="23"/>
      <c r="GN25" s="23"/>
      <c r="GO25" s="23"/>
      <c r="GP25" s="23"/>
      <c r="GQ25" s="23"/>
      <c r="GR25" s="23"/>
      <c r="GS25" s="19"/>
      <c r="GT25" s="19"/>
      <c r="GU25" s="19"/>
      <c r="GV25" s="19"/>
      <c r="GW25" s="19"/>
      <c r="GX25" s="19"/>
      <c r="GY25" s="19"/>
      <c r="GZ25" s="19"/>
      <c r="HA25" s="19"/>
    </row>
    <row r="26" spans="1:209" ht="23.25" customHeight="1" x14ac:dyDescent="0.15">
      <c r="A26" s="16">
        <v>44646.559246342593</v>
      </c>
      <c r="B26" s="17" t="s">
        <v>6</v>
      </c>
      <c r="C26" s="17" t="s">
        <v>10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7" t="s">
        <v>256</v>
      </c>
      <c r="AO26" s="17" t="s">
        <v>257</v>
      </c>
      <c r="AP26" s="17" t="s">
        <v>258</v>
      </c>
      <c r="AQ26" s="17" t="s">
        <v>259</v>
      </c>
      <c r="AR26" s="24">
        <v>44578</v>
      </c>
      <c r="AS26" s="24">
        <v>44759</v>
      </c>
      <c r="AT26" s="17" t="s">
        <v>251</v>
      </c>
      <c r="AU26" s="17" t="s">
        <v>252</v>
      </c>
      <c r="AV26" s="17">
        <v>0</v>
      </c>
      <c r="AW26" s="25" t="s">
        <v>260</v>
      </c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9"/>
      <c r="BZ26" s="19"/>
      <c r="CA26" s="19"/>
      <c r="CB26" s="19"/>
      <c r="CC26" s="19"/>
      <c r="CD26" s="19"/>
      <c r="CE26" s="19"/>
      <c r="CF26" s="19"/>
      <c r="CG26" s="19"/>
      <c r="CH26" s="19"/>
      <c r="CI26" s="19"/>
      <c r="CJ26" s="19"/>
      <c r="CK26" s="19"/>
      <c r="CL26" s="19"/>
      <c r="CM26" s="19"/>
      <c r="CN26" s="19"/>
      <c r="CO26" s="19"/>
      <c r="CP26" s="19"/>
      <c r="CQ26" s="19"/>
      <c r="CR26" s="19"/>
      <c r="CS26" s="19"/>
      <c r="CT26" s="19"/>
      <c r="CU26" s="19"/>
      <c r="CV26" s="19"/>
      <c r="CW26" s="19"/>
      <c r="CX26" s="19"/>
      <c r="CY26" s="19"/>
      <c r="CZ26" s="19"/>
      <c r="DA26" s="19"/>
      <c r="DB26" s="19"/>
      <c r="DC26" s="19"/>
      <c r="DD26" s="19"/>
      <c r="DE26" s="19"/>
      <c r="DF26" s="19"/>
      <c r="DG26" s="19"/>
      <c r="DH26" s="19"/>
      <c r="DI26" s="19"/>
      <c r="DJ26" s="19"/>
      <c r="DK26" s="19"/>
      <c r="DL26" s="19"/>
      <c r="DM26" s="19"/>
      <c r="DN26" s="19"/>
      <c r="DO26" s="19"/>
      <c r="DP26" s="19"/>
      <c r="DQ26" s="19"/>
      <c r="DR26" s="19"/>
      <c r="DS26" s="19"/>
      <c r="DT26" s="19"/>
      <c r="DU26" s="19"/>
      <c r="DV26" s="19"/>
      <c r="DW26" s="19"/>
      <c r="DX26" s="19"/>
      <c r="DY26" s="19"/>
      <c r="DZ26" s="19"/>
      <c r="EA26" s="19"/>
      <c r="EB26" s="19"/>
      <c r="EC26" s="19"/>
      <c r="ED26" s="19"/>
      <c r="EE26" s="19"/>
      <c r="EF26" s="19"/>
      <c r="EG26" s="19"/>
      <c r="EH26" s="19"/>
      <c r="EI26" s="19"/>
      <c r="EJ26" s="19"/>
      <c r="EK26" s="19"/>
      <c r="EL26" s="19"/>
      <c r="EM26" s="19"/>
      <c r="EN26" s="19"/>
      <c r="EO26" s="19"/>
      <c r="EP26" s="19"/>
      <c r="EQ26" s="19"/>
      <c r="ER26" s="19"/>
      <c r="ES26" s="19"/>
      <c r="ET26" s="19"/>
      <c r="EU26" s="19"/>
      <c r="EV26" s="19"/>
      <c r="EW26" s="19"/>
      <c r="EX26" s="19"/>
      <c r="EY26" s="19"/>
      <c r="EZ26" s="19"/>
      <c r="FA26" s="19"/>
      <c r="FB26" s="19"/>
      <c r="FC26" s="19"/>
      <c r="FD26" s="19"/>
      <c r="FE26" s="19"/>
      <c r="FF26" s="19"/>
      <c r="FG26" s="19"/>
      <c r="FH26" s="19"/>
      <c r="FI26" s="19"/>
      <c r="FJ26" s="19"/>
      <c r="FK26" s="19"/>
      <c r="FL26" s="20" t="s">
        <v>261</v>
      </c>
      <c r="FM26" s="20" t="s">
        <v>255</v>
      </c>
      <c r="FN26" s="23"/>
      <c r="FO26" s="23"/>
      <c r="FP26" s="23"/>
      <c r="FQ26" s="23"/>
      <c r="FR26" s="23"/>
      <c r="FS26" s="23"/>
      <c r="FT26" s="23"/>
      <c r="FU26" s="23"/>
      <c r="FV26" s="23"/>
      <c r="FW26" s="23"/>
      <c r="FX26" s="23"/>
      <c r="FY26" s="23"/>
      <c r="FZ26" s="23"/>
      <c r="GA26" s="23"/>
      <c r="GB26" s="23"/>
      <c r="GC26" s="23"/>
      <c r="GD26" s="23"/>
      <c r="GE26" s="23"/>
      <c r="GF26" s="23"/>
      <c r="GG26" s="23"/>
      <c r="GH26" s="23"/>
      <c r="GI26" s="23"/>
      <c r="GJ26" s="23"/>
      <c r="GK26" s="23"/>
      <c r="GL26" s="23"/>
      <c r="GM26" s="23"/>
      <c r="GN26" s="23"/>
      <c r="GO26" s="23"/>
      <c r="GP26" s="23"/>
      <c r="GQ26" s="23"/>
      <c r="GR26" s="23"/>
      <c r="GS26" s="19"/>
      <c r="GT26" s="19"/>
      <c r="GU26" s="19"/>
      <c r="GV26" s="19"/>
      <c r="GW26" s="19"/>
      <c r="GX26" s="19"/>
      <c r="GY26" s="19"/>
      <c r="GZ26" s="19"/>
      <c r="HA26" s="19"/>
    </row>
    <row r="27" spans="1:209" ht="23.25" customHeight="1" x14ac:dyDescent="0.15">
      <c r="A27" s="16">
        <v>44649.695781909722</v>
      </c>
      <c r="B27" s="17" t="s">
        <v>6</v>
      </c>
      <c r="C27" s="17" t="s">
        <v>10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7" t="s">
        <v>262</v>
      </c>
      <c r="AO27" s="17" t="s">
        <v>263</v>
      </c>
      <c r="AP27" s="17" t="s">
        <v>264</v>
      </c>
      <c r="AQ27" s="17">
        <v>4</v>
      </c>
      <c r="AR27" s="24">
        <v>44628</v>
      </c>
      <c r="AS27" s="24">
        <v>44740</v>
      </c>
      <c r="AT27" s="17" t="s">
        <v>252</v>
      </c>
      <c r="AU27" s="17" t="s">
        <v>252</v>
      </c>
      <c r="AV27" s="17">
        <v>0</v>
      </c>
      <c r="AW27" s="25" t="s">
        <v>265</v>
      </c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C27" s="19"/>
      <c r="DD27" s="19"/>
      <c r="DE27" s="19"/>
      <c r="DF27" s="19"/>
      <c r="DG27" s="19"/>
      <c r="DH27" s="19"/>
      <c r="DI27" s="19"/>
      <c r="DJ27" s="19"/>
      <c r="DK27" s="19"/>
      <c r="DL27" s="19"/>
      <c r="DM27" s="19"/>
      <c r="DN27" s="19"/>
      <c r="DO27" s="19"/>
      <c r="DP27" s="19"/>
      <c r="DQ27" s="19"/>
      <c r="DR27" s="19"/>
      <c r="DS27" s="19"/>
      <c r="DT27" s="19"/>
      <c r="DU27" s="19"/>
      <c r="DV27" s="19"/>
      <c r="DW27" s="19"/>
      <c r="DX27" s="19"/>
      <c r="DY27" s="19"/>
      <c r="DZ27" s="19"/>
      <c r="EA27" s="19"/>
      <c r="EB27" s="19"/>
      <c r="EC27" s="19"/>
      <c r="ED27" s="19"/>
      <c r="EE27" s="19"/>
      <c r="EF27" s="19"/>
      <c r="EG27" s="19"/>
      <c r="EH27" s="19"/>
      <c r="EI27" s="19"/>
      <c r="EJ27" s="19"/>
      <c r="EK27" s="19"/>
      <c r="EL27" s="19"/>
      <c r="EM27" s="19"/>
      <c r="EN27" s="19"/>
      <c r="EO27" s="19"/>
      <c r="EP27" s="19"/>
      <c r="EQ27" s="19"/>
      <c r="ER27" s="19"/>
      <c r="ES27" s="19"/>
      <c r="ET27" s="19"/>
      <c r="EU27" s="19"/>
      <c r="EV27" s="19"/>
      <c r="EW27" s="19"/>
      <c r="EX27" s="19"/>
      <c r="EY27" s="19"/>
      <c r="EZ27" s="19"/>
      <c r="FA27" s="19"/>
      <c r="FB27" s="19"/>
      <c r="FC27" s="19"/>
      <c r="FD27" s="19"/>
      <c r="FE27" s="19"/>
      <c r="FF27" s="19"/>
      <c r="FG27" s="19"/>
      <c r="FH27" s="19"/>
      <c r="FI27" s="19"/>
      <c r="FJ27" s="19"/>
      <c r="FK27" s="19"/>
      <c r="FL27" s="20" t="s">
        <v>266</v>
      </c>
      <c r="FM27" s="20" t="s">
        <v>255</v>
      </c>
      <c r="FN27" s="23"/>
      <c r="FO27" s="23"/>
      <c r="FP27" s="23"/>
      <c r="FQ27" s="23"/>
      <c r="FR27" s="23"/>
      <c r="FS27" s="23"/>
      <c r="FT27" s="23"/>
      <c r="FU27" s="23"/>
      <c r="FV27" s="23"/>
      <c r="FW27" s="23"/>
      <c r="FX27" s="23"/>
      <c r="FY27" s="23"/>
      <c r="FZ27" s="23"/>
      <c r="GA27" s="23"/>
      <c r="GB27" s="23"/>
      <c r="GC27" s="23"/>
      <c r="GD27" s="23"/>
      <c r="GE27" s="23"/>
      <c r="GF27" s="23"/>
      <c r="GG27" s="23"/>
      <c r="GH27" s="23"/>
      <c r="GI27" s="23"/>
      <c r="GJ27" s="23"/>
      <c r="GK27" s="23"/>
      <c r="GL27" s="23"/>
      <c r="GM27" s="23"/>
      <c r="GN27" s="23"/>
      <c r="GO27" s="23"/>
      <c r="GP27" s="23"/>
      <c r="GQ27" s="23"/>
      <c r="GR27" s="23"/>
      <c r="GS27" s="19"/>
      <c r="GT27" s="19"/>
      <c r="GU27" s="19"/>
      <c r="GV27" s="19"/>
      <c r="GW27" s="19"/>
      <c r="GX27" s="19"/>
      <c r="GY27" s="19"/>
      <c r="GZ27" s="19"/>
      <c r="HA27" s="19"/>
    </row>
    <row r="28" spans="1:209" ht="23.25" customHeight="1" x14ac:dyDescent="0.15">
      <c r="A28" s="16">
        <v>44657.450856608797</v>
      </c>
      <c r="B28" s="17" t="s">
        <v>6</v>
      </c>
      <c r="C28" s="17" t="s">
        <v>12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7" t="s">
        <v>267</v>
      </c>
      <c r="BJ28" s="17" t="s">
        <v>267</v>
      </c>
      <c r="BK28" s="17" t="s">
        <v>145</v>
      </c>
      <c r="BL28" s="17" t="s">
        <v>146</v>
      </c>
      <c r="BM28" s="17" t="s">
        <v>268</v>
      </c>
      <c r="BN28" s="17">
        <v>3</v>
      </c>
      <c r="BO28" s="24">
        <v>44540</v>
      </c>
      <c r="BP28" s="24">
        <v>44542</v>
      </c>
      <c r="BQ28" s="17" t="s">
        <v>269</v>
      </c>
      <c r="BR28" s="17" t="s">
        <v>270</v>
      </c>
      <c r="BS28" s="17" t="s">
        <v>271</v>
      </c>
      <c r="BT28" s="17" t="s">
        <v>151</v>
      </c>
      <c r="BU28" s="18"/>
      <c r="BV28" s="25" t="s">
        <v>272</v>
      </c>
      <c r="BW28" s="18"/>
      <c r="BX28" s="18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C28" s="19"/>
      <c r="DD28" s="19"/>
      <c r="DE28" s="19"/>
      <c r="DF28" s="19"/>
      <c r="DG28" s="19"/>
      <c r="DH28" s="19"/>
      <c r="DI28" s="19"/>
      <c r="DJ28" s="19"/>
      <c r="DK28" s="19"/>
      <c r="DL28" s="19"/>
      <c r="DM28" s="19"/>
      <c r="DN28" s="19"/>
      <c r="DO28" s="19"/>
      <c r="DP28" s="19"/>
      <c r="DQ28" s="19"/>
      <c r="DR28" s="19"/>
      <c r="DS28" s="19"/>
      <c r="DT28" s="19"/>
      <c r="DU28" s="19"/>
      <c r="DV28" s="19"/>
      <c r="DW28" s="19"/>
      <c r="DX28" s="19"/>
      <c r="DY28" s="19"/>
      <c r="DZ28" s="19"/>
      <c r="EA28" s="19"/>
      <c r="EB28" s="19"/>
      <c r="EC28" s="19"/>
      <c r="ED28" s="19"/>
      <c r="EE28" s="19"/>
      <c r="EF28" s="19"/>
      <c r="EG28" s="19"/>
      <c r="EH28" s="19"/>
      <c r="EI28" s="19"/>
      <c r="EJ28" s="19"/>
      <c r="EK28" s="19"/>
      <c r="EL28" s="19"/>
      <c r="EM28" s="19"/>
      <c r="EN28" s="19"/>
      <c r="EO28" s="19"/>
      <c r="EP28" s="19"/>
      <c r="EQ28" s="19"/>
      <c r="ER28" s="19"/>
      <c r="ES28" s="19"/>
      <c r="ET28" s="19"/>
      <c r="EU28" s="19"/>
      <c r="EV28" s="19"/>
      <c r="EW28" s="19"/>
      <c r="EX28" s="19"/>
      <c r="EY28" s="19"/>
      <c r="EZ28" s="19"/>
      <c r="FA28" s="19"/>
      <c r="FB28" s="19"/>
      <c r="FC28" s="19"/>
      <c r="FD28" s="19"/>
      <c r="FE28" s="19"/>
      <c r="FF28" s="19"/>
      <c r="FG28" s="19"/>
      <c r="FH28" s="19"/>
      <c r="FI28" s="19"/>
      <c r="FJ28" s="19"/>
      <c r="FK28" s="19"/>
      <c r="FL28" s="20" t="s">
        <v>214</v>
      </c>
      <c r="FM28" s="20" t="s">
        <v>273</v>
      </c>
      <c r="FN28" s="23"/>
      <c r="FO28" s="23"/>
      <c r="FP28" s="23"/>
      <c r="FQ28" s="23"/>
      <c r="FR28" s="23"/>
      <c r="FS28" s="23"/>
      <c r="FT28" s="23"/>
      <c r="FU28" s="23"/>
      <c r="FV28" s="23"/>
      <c r="FW28" s="23"/>
      <c r="FX28" s="23"/>
      <c r="FY28" s="23"/>
      <c r="FZ28" s="23"/>
      <c r="GA28" s="23"/>
      <c r="GB28" s="23"/>
      <c r="GC28" s="23"/>
      <c r="GD28" s="23"/>
      <c r="GE28" s="23"/>
      <c r="GF28" s="23"/>
      <c r="GG28" s="23"/>
      <c r="GH28" s="23"/>
      <c r="GI28" s="23"/>
      <c r="GJ28" s="23"/>
      <c r="GK28" s="23"/>
      <c r="GL28" s="23"/>
      <c r="GM28" s="23"/>
      <c r="GN28" s="23"/>
      <c r="GO28" s="23"/>
      <c r="GP28" s="23"/>
      <c r="GQ28" s="19"/>
      <c r="GR28" s="19"/>
      <c r="GS28" s="19"/>
      <c r="GT28" s="19"/>
      <c r="GU28" s="19"/>
      <c r="GV28" s="19"/>
      <c r="GW28" s="19"/>
      <c r="GX28" s="19"/>
      <c r="GY28" s="19"/>
      <c r="GZ28" s="19"/>
      <c r="HA28" s="19"/>
    </row>
    <row r="29" spans="1:209" ht="23.25" customHeight="1" x14ac:dyDescent="0.15">
      <c r="A29" s="16">
        <v>44657.464938958336</v>
      </c>
      <c r="B29" s="17" t="s">
        <v>7</v>
      </c>
      <c r="C29" s="17" t="s">
        <v>16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C29" s="19"/>
      <c r="DD29" s="19"/>
      <c r="DE29" s="19"/>
      <c r="DF29" s="19"/>
      <c r="DG29" s="19"/>
      <c r="DH29" s="19"/>
      <c r="DI29" s="19"/>
      <c r="DJ29" s="19"/>
      <c r="DK29" s="19"/>
      <c r="DL29" s="19"/>
      <c r="DM29" s="19"/>
      <c r="DN29" s="20" t="s">
        <v>274</v>
      </c>
      <c r="DO29" s="20" t="s">
        <v>191</v>
      </c>
      <c r="DP29" s="21">
        <v>44564</v>
      </c>
      <c r="DQ29" s="21">
        <v>44564</v>
      </c>
      <c r="DR29" s="20">
        <v>13</v>
      </c>
      <c r="DS29" s="20" t="s">
        <v>275</v>
      </c>
      <c r="DT29" s="20" t="s">
        <v>276</v>
      </c>
      <c r="DU29" s="20">
        <v>0</v>
      </c>
      <c r="DV29" s="20">
        <v>0</v>
      </c>
      <c r="DW29" s="22" t="s">
        <v>277</v>
      </c>
      <c r="DX29" s="19"/>
      <c r="DY29" s="19"/>
      <c r="DZ29" s="19"/>
      <c r="EA29" s="19"/>
      <c r="EB29" s="19"/>
      <c r="EC29" s="19"/>
      <c r="ED29" s="19"/>
      <c r="EE29" s="19"/>
      <c r="EF29" s="19"/>
      <c r="EG29" s="20">
        <v>0</v>
      </c>
      <c r="EH29" s="19"/>
      <c r="EI29" s="19"/>
      <c r="EJ29" s="19"/>
      <c r="EK29" s="19"/>
      <c r="EL29" s="19"/>
      <c r="EM29" s="19"/>
      <c r="EN29" s="19"/>
      <c r="EO29" s="19"/>
      <c r="EP29" s="19"/>
      <c r="EQ29" s="19"/>
      <c r="ER29" s="19"/>
      <c r="ES29" s="19"/>
      <c r="ET29" s="19"/>
      <c r="EU29" s="19"/>
      <c r="EV29" s="19"/>
      <c r="EW29" s="19"/>
      <c r="EX29" s="19"/>
      <c r="EY29" s="19"/>
      <c r="EZ29" s="19"/>
      <c r="FA29" s="19"/>
      <c r="FB29" s="19"/>
      <c r="FC29" s="19"/>
      <c r="FD29" s="19"/>
      <c r="FE29" s="19"/>
      <c r="FF29" s="19"/>
      <c r="FG29" s="19"/>
      <c r="FH29" s="19"/>
      <c r="FI29" s="19"/>
      <c r="FJ29" s="19"/>
      <c r="FK29" s="19"/>
      <c r="FL29" s="20" t="s">
        <v>214</v>
      </c>
      <c r="FM29" s="20" t="s">
        <v>278</v>
      </c>
      <c r="FN29" s="23"/>
      <c r="FO29" s="23"/>
      <c r="FP29" s="23"/>
      <c r="FQ29" s="23"/>
      <c r="FR29" s="23"/>
      <c r="FS29" s="23"/>
      <c r="FT29" s="23"/>
      <c r="FU29" s="23"/>
      <c r="FV29" s="23"/>
      <c r="FW29" s="23"/>
      <c r="FX29" s="23"/>
      <c r="FY29" s="23"/>
      <c r="FZ29" s="23"/>
      <c r="GA29" s="23"/>
      <c r="GB29" s="23"/>
      <c r="GC29" s="23"/>
      <c r="GD29" s="23"/>
      <c r="GE29" s="23"/>
      <c r="GF29" s="23"/>
      <c r="GG29" s="23"/>
      <c r="GH29" s="23"/>
      <c r="GI29" s="23"/>
      <c r="GJ29" s="23"/>
      <c r="GK29" s="23"/>
      <c r="GL29" s="23"/>
      <c r="GM29" s="23"/>
      <c r="GN29" s="23"/>
      <c r="GO29" s="23"/>
      <c r="GP29" s="23"/>
      <c r="GQ29" s="19"/>
      <c r="GR29" s="19"/>
      <c r="GS29" s="19"/>
      <c r="GT29" s="19"/>
      <c r="GU29" s="19"/>
      <c r="GV29" s="19"/>
      <c r="GW29" s="19"/>
      <c r="GX29" s="19"/>
      <c r="GY29" s="19"/>
      <c r="GZ29" s="19"/>
      <c r="HA29" s="19"/>
    </row>
    <row r="30" spans="1:209" ht="23.25" customHeight="1" x14ac:dyDescent="0.15">
      <c r="A30" s="16">
        <v>44657.466620289357</v>
      </c>
      <c r="B30" s="17" t="s">
        <v>7</v>
      </c>
      <c r="C30" s="17" t="s">
        <v>16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9"/>
      <c r="BZ30" s="19"/>
      <c r="CA30" s="19"/>
      <c r="CB30" s="19"/>
      <c r="CC30" s="19"/>
      <c r="CD30" s="19"/>
      <c r="CE30" s="19"/>
      <c r="CF30" s="19"/>
      <c r="CG30" s="19"/>
      <c r="CH30" s="19"/>
      <c r="CI30" s="19"/>
      <c r="CJ30" s="19"/>
      <c r="CK30" s="19"/>
      <c r="CL30" s="19"/>
      <c r="CM30" s="19"/>
      <c r="CN30" s="19"/>
      <c r="CO30" s="19"/>
      <c r="CP30" s="19"/>
      <c r="CQ30" s="19"/>
      <c r="CR30" s="19"/>
      <c r="CS30" s="19"/>
      <c r="CT30" s="19"/>
      <c r="CU30" s="19"/>
      <c r="CV30" s="19"/>
      <c r="CW30" s="19"/>
      <c r="CX30" s="19"/>
      <c r="CY30" s="19"/>
      <c r="CZ30" s="19"/>
      <c r="DA30" s="19"/>
      <c r="DB30" s="19"/>
      <c r="DC30" s="19"/>
      <c r="DD30" s="19"/>
      <c r="DE30" s="19"/>
      <c r="DF30" s="19"/>
      <c r="DG30" s="19"/>
      <c r="DH30" s="19"/>
      <c r="DI30" s="19"/>
      <c r="DJ30" s="19"/>
      <c r="DK30" s="19"/>
      <c r="DL30" s="19"/>
      <c r="DM30" s="19"/>
      <c r="DN30" s="20" t="s">
        <v>279</v>
      </c>
      <c r="DO30" s="20" t="s">
        <v>191</v>
      </c>
      <c r="DP30" s="21">
        <v>44587</v>
      </c>
      <c r="DQ30" s="21">
        <v>44587</v>
      </c>
      <c r="DR30" s="20">
        <v>9</v>
      </c>
      <c r="DS30" s="20" t="s">
        <v>280</v>
      </c>
      <c r="DT30" s="20" t="s">
        <v>276</v>
      </c>
      <c r="DU30" s="20">
        <v>0</v>
      </c>
      <c r="DV30" s="20">
        <v>0</v>
      </c>
      <c r="DW30" s="22" t="s">
        <v>281</v>
      </c>
      <c r="DX30" s="19"/>
      <c r="DY30" s="19"/>
      <c r="DZ30" s="19"/>
      <c r="EA30" s="19"/>
      <c r="EB30" s="19"/>
      <c r="EC30" s="19"/>
      <c r="ED30" s="19"/>
      <c r="EE30" s="19"/>
      <c r="EF30" s="19"/>
      <c r="EG30" s="20">
        <v>0</v>
      </c>
      <c r="EH30" s="19"/>
      <c r="EI30" s="19"/>
      <c r="EJ30" s="19"/>
      <c r="EK30" s="19"/>
      <c r="EL30" s="19"/>
      <c r="EM30" s="19"/>
      <c r="EN30" s="19"/>
      <c r="EO30" s="19"/>
      <c r="EP30" s="19"/>
      <c r="EQ30" s="19"/>
      <c r="ER30" s="19"/>
      <c r="ES30" s="19"/>
      <c r="ET30" s="19"/>
      <c r="EU30" s="19"/>
      <c r="EV30" s="19"/>
      <c r="EW30" s="19"/>
      <c r="EX30" s="19"/>
      <c r="EY30" s="19"/>
      <c r="EZ30" s="19"/>
      <c r="FA30" s="19"/>
      <c r="FB30" s="19"/>
      <c r="FC30" s="19"/>
      <c r="FD30" s="19"/>
      <c r="FE30" s="19"/>
      <c r="FF30" s="19"/>
      <c r="FG30" s="19"/>
      <c r="FH30" s="19"/>
      <c r="FI30" s="19"/>
      <c r="FJ30" s="19"/>
      <c r="FK30" s="19"/>
      <c r="FL30" s="20" t="s">
        <v>214</v>
      </c>
      <c r="FM30" s="20" t="s">
        <v>278</v>
      </c>
      <c r="FN30" s="23"/>
      <c r="FO30" s="23"/>
      <c r="FP30" s="23"/>
      <c r="FQ30" s="23"/>
      <c r="FR30" s="23"/>
      <c r="FS30" s="23"/>
      <c r="FT30" s="23"/>
      <c r="FU30" s="23"/>
      <c r="FV30" s="23"/>
      <c r="FW30" s="23"/>
      <c r="FX30" s="23"/>
      <c r="FY30" s="23"/>
      <c r="FZ30" s="23"/>
      <c r="GA30" s="23"/>
      <c r="GB30" s="23"/>
      <c r="GC30" s="23"/>
      <c r="GD30" s="23"/>
      <c r="GE30" s="23"/>
      <c r="GF30" s="23"/>
      <c r="GG30" s="23"/>
      <c r="GH30" s="23"/>
      <c r="GI30" s="23"/>
      <c r="GJ30" s="23"/>
      <c r="GK30" s="23"/>
      <c r="GL30" s="23"/>
      <c r="GM30" s="23"/>
      <c r="GN30" s="23"/>
      <c r="GO30" s="23"/>
      <c r="GP30" s="23"/>
      <c r="GQ30" s="19"/>
      <c r="GR30" s="19"/>
      <c r="GS30" s="19"/>
      <c r="GT30" s="19"/>
      <c r="GU30" s="19"/>
      <c r="GV30" s="19"/>
      <c r="GW30" s="19"/>
      <c r="GX30" s="19"/>
      <c r="GY30" s="19"/>
      <c r="GZ30" s="19"/>
      <c r="HA30" s="19"/>
    </row>
    <row r="31" spans="1:209" ht="23.25" customHeight="1" x14ac:dyDescent="0.15">
      <c r="A31" s="16">
        <v>44657.474515682872</v>
      </c>
      <c r="B31" s="17" t="s">
        <v>7</v>
      </c>
      <c r="C31" s="17" t="s">
        <v>14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20" t="s">
        <v>282</v>
      </c>
      <c r="CT31" s="20">
        <v>1</v>
      </c>
      <c r="CU31" s="21">
        <v>44628</v>
      </c>
      <c r="CV31" s="21">
        <v>44628</v>
      </c>
      <c r="CW31" s="20">
        <v>14</v>
      </c>
      <c r="CX31" s="20" t="s">
        <v>283</v>
      </c>
      <c r="CY31" s="20" t="s">
        <v>284</v>
      </c>
      <c r="CZ31" s="20">
        <v>0</v>
      </c>
      <c r="DA31" s="20">
        <v>0</v>
      </c>
      <c r="DB31" s="20">
        <v>0</v>
      </c>
      <c r="DC31" s="22" t="s">
        <v>285</v>
      </c>
      <c r="DD31" s="19"/>
      <c r="DE31" s="19"/>
      <c r="DF31" s="19"/>
      <c r="DG31" s="19"/>
      <c r="DH31" s="19"/>
      <c r="DI31" s="19"/>
      <c r="DJ31" s="19"/>
      <c r="DK31" s="19"/>
      <c r="DL31" s="19"/>
      <c r="DM31" s="19"/>
      <c r="DN31" s="19"/>
      <c r="DO31" s="19"/>
      <c r="DP31" s="19"/>
      <c r="DQ31" s="19"/>
      <c r="DR31" s="19"/>
      <c r="DS31" s="19"/>
      <c r="DT31" s="19"/>
      <c r="DU31" s="19"/>
      <c r="DV31" s="19"/>
      <c r="DW31" s="19"/>
      <c r="DX31" s="19"/>
      <c r="DY31" s="19"/>
      <c r="DZ31" s="19"/>
      <c r="EA31" s="19"/>
      <c r="EB31" s="19"/>
      <c r="EC31" s="19"/>
      <c r="ED31" s="19"/>
      <c r="EE31" s="19"/>
      <c r="EF31" s="19"/>
      <c r="EG31" s="19"/>
      <c r="EH31" s="19"/>
      <c r="EI31" s="19"/>
      <c r="EJ31" s="19"/>
      <c r="EK31" s="19"/>
      <c r="EL31" s="19"/>
      <c r="EM31" s="19"/>
      <c r="EN31" s="19"/>
      <c r="EO31" s="19"/>
      <c r="EP31" s="19"/>
      <c r="EQ31" s="19"/>
      <c r="ER31" s="19"/>
      <c r="ES31" s="19"/>
      <c r="ET31" s="19"/>
      <c r="EU31" s="19"/>
      <c r="EV31" s="19"/>
      <c r="EW31" s="19"/>
      <c r="EX31" s="19"/>
      <c r="EY31" s="19"/>
      <c r="EZ31" s="19"/>
      <c r="FA31" s="19"/>
      <c r="FB31" s="19"/>
      <c r="FC31" s="19"/>
      <c r="FD31" s="19"/>
      <c r="FE31" s="19"/>
      <c r="FF31" s="19"/>
      <c r="FG31" s="19"/>
      <c r="FH31" s="19"/>
      <c r="FI31" s="19"/>
      <c r="FJ31" s="19"/>
      <c r="FK31" s="19"/>
      <c r="FL31" s="20" t="s">
        <v>286</v>
      </c>
      <c r="FM31" s="20" t="s">
        <v>278</v>
      </c>
      <c r="FN31" s="23"/>
      <c r="FO31" s="23"/>
      <c r="FP31" s="23"/>
      <c r="FQ31" s="23"/>
      <c r="FR31" s="23"/>
      <c r="FS31" s="23"/>
      <c r="FT31" s="23"/>
      <c r="FU31" s="23"/>
      <c r="FV31" s="23"/>
      <c r="FW31" s="23"/>
      <c r="FX31" s="23"/>
      <c r="FY31" s="23"/>
      <c r="FZ31" s="23"/>
      <c r="GA31" s="23"/>
      <c r="GB31" s="23"/>
      <c r="GC31" s="23"/>
      <c r="GD31" s="23"/>
      <c r="GE31" s="23"/>
      <c r="GF31" s="23"/>
      <c r="GG31" s="23"/>
      <c r="GH31" s="23"/>
      <c r="GI31" s="23"/>
      <c r="GJ31" s="23"/>
      <c r="GK31" s="23"/>
      <c r="GL31" s="23"/>
      <c r="GM31" s="23"/>
      <c r="GN31" s="23"/>
      <c r="GO31" s="23"/>
      <c r="GP31" s="23"/>
      <c r="GQ31" s="19"/>
      <c r="GR31" s="19"/>
      <c r="GS31" s="19"/>
      <c r="GT31" s="19"/>
      <c r="GU31" s="19"/>
      <c r="GV31" s="19"/>
      <c r="GW31" s="19"/>
      <c r="GX31" s="19"/>
      <c r="GY31" s="19"/>
      <c r="GZ31" s="19"/>
      <c r="HA31" s="19"/>
    </row>
    <row r="32" spans="1:209" ht="23.25" customHeight="1" x14ac:dyDescent="0.15">
      <c r="A32" s="16">
        <v>44657.476435636578</v>
      </c>
      <c r="B32" s="17" t="s">
        <v>7</v>
      </c>
      <c r="C32" s="17" t="s">
        <v>16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C32" s="19"/>
      <c r="DD32" s="19"/>
      <c r="DE32" s="19"/>
      <c r="DF32" s="19"/>
      <c r="DG32" s="19"/>
      <c r="DH32" s="19"/>
      <c r="DI32" s="19"/>
      <c r="DJ32" s="19"/>
      <c r="DK32" s="19"/>
      <c r="DL32" s="19"/>
      <c r="DM32" s="19"/>
      <c r="DN32" s="20" t="s">
        <v>287</v>
      </c>
      <c r="DO32" s="20" t="s">
        <v>191</v>
      </c>
      <c r="DP32" s="21">
        <v>44508</v>
      </c>
      <c r="DQ32" s="21">
        <v>44508</v>
      </c>
      <c r="DR32" s="20">
        <v>6</v>
      </c>
      <c r="DS32" s="20" t="s">
        <v>288</v>
      </c>
      <c r="DT32" s="20" t="s">
        <v>288</v>
      </c>
      <c r="DU32" s="20">
        <v>0</v>
      </c>
      <c r="DV32" s="20">
        <v>0</v>
      </c>
      <c r="DW32" s="22" t="s">
        <v>289</v>
      </c>
      <c r="DX32" s="19"/>
      <c r="DY32" s="19"/>
      <c r="DZ32" s="19"/>
      <c r="EA32" s="19"/>
      <c r="EB32" s="19"/>
      <c r="EC32" s="19"/>
      <c r="ED32" s="19"/>
      <c r="EE32" s="19"/>
      <c r="EF32" s="19"/>
      <c r="EG32" s="20">
        <v>0</v>
      </c>
      <c r="EH32" s="19"/>
      <c r="EI32" s="19"/>
      <c r="EJ32" s="19"/>
      <c r="EK32" s="19"/>
      <c r="EL32" s="19"/>
      <c r="EM32" s="19"/>
      <c r="EN32" s="19"/>
      <c r="EO32" s="19"/>
      <c r="EP32" s="19"/>
      <c r="EQ32" s="19"/>
      <c r="ER32" s="19"/>
      <c r="ES32" s="19"/>
      <c r="ET32" s="19"/>
      <c r="EU32" s="19"/>
      <c r="EV32" s="19"/>
      <c r="EW32" s="19"/>
      <c r="EX32" s="19"/>
      <c r="EY32" s="19"/>
      <c r="EZ32" s="19"/>
      <c r="FA32" s="19"/>
      <c r="FB32" s="19"/>
      <c r="FC32" s="19"/>
      <c r="FD32" s="19"/>
      <c r="FE32" s="19"/>
      <c r="FF32" s="19"/>
      <c r="FG32" s="19"/>
      <c r="FH32" s="19"/>
      <c r="FI32" s="19"/>
      <c r="FJ32" s="19"/>
      <c r="FK32" s="19"/>
      <c r="FL32" s="20" t="s">
        <v>214</v>
      </c>
      <c r="FM32" s="20" t="s">
        <v>278</v>
      </c>
      <c r="FN32" s="23"/>
      <c r="FO32" s="23"/>
      <c r="FP32" s="23"/>
      <c r="FQ32" s="23"/>
      <c r="FR32" s="23"/>
      <c r="FS32" s="23"/>
      <c r="FT32" s="23"/>
      <c r="FU32" s="23"/>
      <c r="FV32" s="23"/>
      <c r="FW32" s="23"/>
      <c r="FX32" s="23"/>
      <c r="FY32" s="23"/>
      <c r="FZ32" s="23"/>
      <c r="GA32" s="23"/>
      <c r="GB32" s="23"/>
      <c r="GC32" s="23"/>
      <c r="GD32" s="23"/>
      <c r="GE32" s="23"/>
      <c r="GF32" s="23"/>
      <c r="GG32" s="23"/>
      <c r="GH32" s="23"/>
      <c r="GI32" s="23"/>
      <c r="GJ32" s="23"/>
      <c r="GK32" s="23"/>
      <c r="GL32" s="23"/>
      <c r="GM32" s="23"/>
      <c r="GN32" s="23"/>
      <c r="GO32" s="23"/>
      <c r="GP32" s="23"/>
      <c r="GQ32" s="19"/>
      <c r="GR32" s="19"/>
      <c r="GS32" s="19"/>
      <c r="GT32" s="19"/>
      <c r="GU32" s="19"/>
      <c r="GV32" s="19"/>
      <c r="GW32" s="19"/>
      <c r="GX32" s="19"/>
      <c r="GY32" s="19"/>
      <c r="GZ32" s="19"/>
      <c r="HA32" s="19"/>
    </row>
    <row r="33" spans="1:209" ht="23.25" customHeight="1" x14ac:dyDescent="0.15">
      <c r="A33" s="16">
        <v>44657.486617592593</v>
      </c>
      <c r="B33" s="17" t="s">
        <v>7</v>
      </c>
      <c r="C33" s="17" t="s">
        <v>14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9"/>
      <c r="BZ33" s="19"/>
      <c r="CA33" s="19"/>
      <c r="CB33" s="19"/>
      <c r="CC33" s="19"/>
      <c r="CD33" s="19"/>
      <c r="CE33" s="19"/>
      <c r="CF33" s="19"/>
      <c r="CG33" s="19"/>
      <c r="CH33" s="19"/>
      <c r="CI33" s="19"/>
      <c r="CJ33" s="19"/>
      <c r="CK33" s="19"/>
      <c r="CL33" s="19"/>
      <c r="CM33" s="19"/>
      <c r="CN33" s="19"/>
      <c r="CO33" s="19"/>
      <c r="CP33" s="19"/>
      <c r="CQ33" s="19"/>
      <c r="CR33" s="19"/>
      <c r="CS33" s="20" t="s">
        <v>290</v>
      </c>
      <c r="CT33" s="20" t="s">
        <v>291</v>
      </c>
      <c r="CU33" s="21">
        <v>44513</v>
      </c>
      <c r="CV33" s="21">
        <v>44514</v>
      </c>
      <c r="CW33" s="20">
        <v>27</v>
      </c>
      <c r="CX33" s="20" t="s">
        <v>292</v>
      </c>
      <c r="CY33" s="20" t="s">
        <v>276</v>
      </c>
      <c r="CZ33" s="19"/>
      <c r="DA33" s="19"/>
      <c r="DB33" s="19"/>
      <c r="DC33" s="22" t="s">
        <v>293</v>
      </c>
      <c r="DD33" s="19"/>
      <c r="DE33" s="19"/>
      <c r="DF33" s="19"/>
      <c r="DG33" s="19"/>
      <c r="DH33" s="19"/>
      <c r="DI33" s="19"/>
      <c r="DJ33" s="19"/>
      <c r="DK33" s="19"/>
      <c r="DL33" s="19"/>
      <c r="DM33" s="19"/>
      <c r="DN33" s="19"/>
      <c r="DO33" s="19"/>
      <c r="DP33" s="19"/>
      <c r="DQ33" s="19"/>
      <c r="DR33" s="19"/>
      <c r="DS33" s="19"/>
      <c r="DT33" s="19"/>
      <c r="DU33" s="19"/>
      <c r="DV33" s="19"/>
      <c r="DW33" s="19"/>
      <c r="DX33" s="19"/>
      <c r="DY33" s="19"/>
      <c r="DZ33" s="19"/>
      <c r="EA33" s="19"/>
      <c r="EB33" s="19"/>
      <c r="EC33" s="19"/>
      <c r="ED33" s="19"/>
      <c r="EE33" s="19"/>
      <c r="EF33" s="19"/>
      <c r="EG33" s="19"/>
      <c r="EH33" s="19"/>
      <c r="EI33" s="19"/>
      <c r="EJ33" s="19"/>
      <c r="EK33" s="19"/>
      <c r="EL33" s="19"/>
      <c r="EM33" s="19"/>
      <c r="EN33" s="19"/>
      <c r="EO33" s="19"/>
      <c r="EP33" s="19"/>
      <c r="EQ33" s="19"/>
      <c r="ER33" s="19"/>
      <c r="ES33" s="19"/>
      <c r="ET33" s="19"/>
      <c r="EU33" s="19"/>
      <c r="EV33" s="19"/>
      <c r="EW33" s="19"/>
      <c r="EX33" s="19"/>
      <c r="EY33" s="19"/>
      <c r="EZ33" s="19"/>
      <c r="FA33" s="19"/>
      <c r="FB33" s="19"/>
      <c r="FC33" s="19"/>
      <c r="FD33" s="19"/>
      <c r="FE33" s="19"/>
      <c r="FF33" s="19"/>
      <c r="FG33" s="19"/>
      <c r="FH33" s="19"/>
      <c r="FI33" s="19"/>
      <c r="FJ33" s="19"/>
      <c r="FK33" s="19"/>
      <c r="FL33" s="20" t="s">
        <v>214</v>
      </c>
      <c r="FM33" s="20" t="s">
        <v>278</v>
      </c>
      <c r="FN33" s="23"/>
      <c r="FO33" s="23"/>
      <c r="FP33" s="23"/>
      <c r="FQ33" s="23"/>
      <c r="FR33" s="23"/>
      <c r="FS33" s="23"/>
      <c r="FT33" s="23"/>
      <c r="FU33" s="23"/>
      <c r="FV33" s="23"/>
      <c r="FW33" s="23"/>
      <c r="FX33" s="23"/>
      <c r="FY33" s="23"/>
      <c r="FZ33" s="23"/>
      <c r="GA33" s="23"/>
      <c r="GB33" s="23"/>
      <c r="GC33" s="23"/>
      <c r="GD33" s="23"/>
      <c r="GE33" s="23"/>
      <c r="GF33" s="23"/>
      <c r="GG33" s="23"/>
      <c r="GH33" s="23"/>
      <c r="GI33" s="23"/>
      <c r="GJ33" s="23"/>
      <c r="GK33" s="23"/>
      <c r="GL33" s="23"/>
      <c r="GM33" s="23"/>
      <c r="GN33" s="23"/>
      <c r="GO33" s="23"/>
      <c r="GP33" s="23"/>
      <c r="GQ33" s="19"/>
      <c r="GR33" s="19"/>
      <c r="GS33" s="19"/>
      <c r="GT33" s="19"/>
      <c r="GU33" s="19"/>
      <c r="GV33" s="19"/>
      <c r="GW33" s="19"/>
      <c r="GX33" s="19"/>
      <c r="GY33" s="19"/>
      <c r="GZ33" s="19"/>
      <c r="HA33" s="19"/>
    </row>
    <row r="34" spans="1:209" ht="23.25" customHeight="1" x14ac:dyDescent="0.15">
      <c r="A34" s="16">
        <v>44658.424592395837</v>
      </c>
      <c r="B34" s="17" t="s">
        <v>6</v>
      </c>
      <c r="C34" s="17" t="s">
        <v>19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9"/>
      <c r="BZ34" s="19"/>
      <c r="CA34" s="19"/>
      <c r="CB34" s="19"/>
      <c r="CC34" s="19"/>
      <c r="CD34" s="19"/>
      <c r="CE34" s="19"/>
      <c r="CF34" s="19"/>
      <c r="CG34" s="19"/>
      <c r="CH34" s="19"/>
      <c r="CI34" s="19"/>
      <c r="CJ34" s="19"/>
      <c r="CK34" s="19"/>
      <c r="CL34" s="19"/>
      <c r="CM34" s="19"/>
      <c r="CN34" s="19"/>
      <c r="CO34" s="19"/>
      <c r="CP34" s="19"/>
      <c r="CQ34" s="19"/>
      <c r="CR34" s="19"/>
      <c r="CS34" s="19"/>
      <c r="CT34" s="19"/>
      <c r="CU34" s="19"/>
      <c r="CV34" s="19"/>
      <c r="CW34" s="19"/>
      <c r="CX34" s="19"/>
      <c r="CY34" s="19"/>
      <c r="CZ34" s="19"/>
      <c r="DA34" s="19"/>
      <c r="DB34" s="19"/>
      <c r="DC34" s="19"/>
      <c r="DD34" s="19"/>
      <c r="DE34" s="19"/>
      <c r="DF34" s="19"/>
      <c r="DG34" s="19"/>
      <c r="DH34" s="19"/>
      <c r="DI34" s="19"/>
      <c r="DJ34" s="19"/>
      <c r="DK34" s="19"/>
      <c r="DL34" s="19"/>
      <c r="DM34" s="19"/>
      <c r="DN34" s="19"/>
      <c r="DO34" s="19"/>
      <c r="DP34" s="19"/>
      <c r="DQ34" s="19"/>
      <c r="DR34" s="19"/>
      <c r="DS34" s="19"/>
      <c r="DT34" s="19"/>
      <c r="DU34" s="19"/>
      <c r="DV34" s="19"/>
      <c r="DW34" s="19"/>
      <c r="DX34" s="19"/>
      <c r="DY34" s="19"/>
      <c r="DZ34" s="19"/>
      <c r="EA34" s="19"/>
      <c r="EB34" s="19"/>
      <c r="EC34" s="19"/>
      <c r="ED34" s="19"/>
      <c r="EE34" s="19"/>
      <c r="EF34" s="19"/>
      <c r="EG34" s="19"/>
      <c r="EH34" s="19"/>
      <c r="EI34" s="19"/>
      <c r="EJ34" s="19"/>
      <c r="EK34" s="19"/>
      <c r="EL34" s="19"/>
      <c r="EM34" s="19"/>
      <c r="EN34" s="19"/>
      <c r="EO34" s="19"/>
      <c r="EP34" s="19"/>
      <c r="EQ34" s="19"/>
      <c r="ER34" s="19"/>
      <c r="ES34" s="19"/>
      <c r="ET34" s="19"/>
      <c r="EU34" s="19"/>
      <c r="EV34" s="19"/>
      <c r="EW34" s="19"/>
      <c r="EX34" s="19"/>
      <c r="EY34" s="19"/>
      <c r="EZ34" s="19"/>
      <c r="FA34" s="19"/>
      <c r="FB34" s="19"/>
      <c r="FC34" s="19"/>
      <c r="FD34" s="19"/>
      <c r="FE34" s="19"/>
      <c r="FF34" s="19"/>
      <c r="FG34" s="20" t="s">
        <v>294</v>
      </c>
      <c r="FH34" s="20" t="s">
        <v>295</v>
      </c>
      <c r="FI34" s="20" t="s">
        <v>296</v>
      </c>
      <c r="FJ34" s="21">
        <v>44637</v>
      </c>
      <c r="FK34" s="22" t="s">
        <v>297</v>
      </c>
      <c r="FL34" s="20" t="s">
        <v>298</v>
      </c>
      <c r="FM34" s="20" t="s">
        <v>255</v>
      </c>
      <c r="FN34" s="23"/>
      <c r="FO34" s="23"/>
      <c r="FP34" s="23"/>
      <c r="FQ34" s="23"/>
      <c r="FR34" s="23"/>
      <c r="FS34" s="23"/>
      <c r="FT34" s="23"/>
      <c r="FU34" s="23"/>
      <c r="FV34" s="23"/>
      <c r="FW34" s="23"/>
      <c r="FX34" s="23"/>
      <c r="FY34" s="23"/>
      <c r="FZ34" s="23"/>
      <c r="GA34" s="23"/>
      <c r="GB34" s="23"/>
      <c r="GC34" s="23"/>
      <c r="GD34" s="23"/>
      <c r="GE34" s="23"/>
      <c r="GF34" s="23"/>
      <c r="GG34" s="23"/>
      <c r="GH34" s="23"/>
      <c r="GI34" s="23"/>
      <c r="GJ34" s="23"/>
      <c r="GK34" s="23"/>
      <c r="GL34" s="23"/>
      <c r="GM34" s="23"/>
      <c r="GN34" s="23"/>
      <c r="GO34" s="23"/>
      <c r="GP34" s="23"/>
      <c r="GQ34" s="19"/>
      <c r="GR34" s="19"/>
      <c r="GS34" s="19"/>
      <c r="GT34" s="19"/>
      <c r="GU34" s="19"/>
      <c r="GV34" s="19"/>
      <c r="GW34" s="19"/>
      <c r="GX34" s="19"/>
      <c r="GY34" s="19"/>
      <c r="GZ34" s="19"/>
      <c r="HA34" s="19"/>
    </row>
    <row r="35" spans="1:209" ht="23.25" customHeight="1" x14ac:dyDescent="0.15">
      <c r="A35" s="16">
        <v>44658.429504490741</v>
      </c>
      <c r="B35" s="17" t="s">
        <v>6</v>
      </c>
      <c r="C35" s="17" t="s">
        <v>10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7" t="s">
        <v>294</v>
      </c>
      <c r="AO35" s="17" t="s">
        <v>295</v>
      </c>
      <c r="AP35" s="17" t="s">
        <v>299</v>
      </c>
      <c r="AQ35" s="17" t="s">
        <v>300</v>
      </c>
      <c r="AR35" s="24">
        <v>44489</v>
      </c>
      <c r="AS35" s="24">
        <v>44561</v>
      </c>
      <c r="AT35" s="17" t="s">
        <v>252</v>
      </c>
      <c r="AU35" s="17" t="s">
        <v>252</v>
      </c>
      <c r="AV35" s="17">
        <v>0</v>
      </c>
      <c r="AW35" s="25" t="s">
        <v>301</v>
      </c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C35" s="19"/>
      <c r="DD35" s="19"/>
      <c r="DE35" s="19"/>
      <c r="DF35" s="19"/>
      <c r="DG35" s="19"/>
      <c r="DH35" s="19"/>
      <c r="DI35" s="19"/>
      <c r="DJ35" s="19"/>
      <c r="DK35" s="19"/>
      <c r="DL35" s="19"/>
      <c r="DM35" s="19"/>
      <c r="DN35" s="19"/>
      <c r="DO35" s="19"/>
      <c r="DP35" s="19"/>
      <c r="DQ35" s="19"/>
      <c r="DR35" s="19"/>
      <c r="DS35" s="19"/>
      <c r="DT35" s="19"/>
      <c r="DU35" s="19"/>
      <c r="DV35" s="19"/>
      <c r="DW35" s="19"/>
      <c r="DX35" s="19"/>
      <c r="DY35" s="19"/>
      <c r="DZ35" s="19"/>
      <c r="EA35" s="19"/>
      <c r="EB35" s="19"/>
      <c r="EC35" s="19"/>
      <c r="ED35" s="19"/>
      <c r="EE35" s="19"/>
      <c r="EF35" s="19"/>
      <c r="EG35" s="19"/>
      <c r="EH35" s="19"/>
      <c r="EI35" s="19"/>
      <c r="EJ35" s="19"/>
      <c r="EK35" s="19"/>
      <c r="EL35" s="19"/>
      <c r="EM35" s="19"/>
      <c r="EN35" s="19"/>
      <c r="EO35" s="19"/>
      <c r="EP35" s="19"/>
      <c r="EQ35" s="19"/>
      <c r="ER35" s="19"/>
      <c r="ES35" s="19"/>
      <c r="ET35" s="19"/>
      <c r="EU35" s="19"/>
      <c r="EV35" s="19"/>
      <c r="EW35" s="19"/>
      <c r="EX35" s="19"/>
      <c r="EY35" s="19"/>
      <c r="EZ35" s="19"/>
      <c r="FA35" s="19"/>
      <c r="FB35" s="19"/>
      <c r="FC35" s="19"/>
      <c r="FD35" s="19"/>
      <c r="FE35" s="19"/>
      <c r="FF35" s="19"/>
      <c r="FG35" s="19"/>
      <c r="FH35" s="19"/>
      <c r="FI35" s="19"/>
      <c r="FJ35" s="19"/>
      <c r="FK35" s="19"/>
      <c r="FL35" s="20" t="s">
        <v>298</v>
      </c>
      <c r="FM35" s="20" t="s">
        <v>273</v>
      </c>
      <c r="FN35" s="23"/>
      <c r="FO35" s="23"/>
      <c r="FP35" s="23"/>
      <c r="FQ35" s="23"/>
      <c r="FR35" s="23"/>
      <c r="FS35" s="23"/>
      <c r="FT35" s="23"/>
      <c r="FU35" s="23"/>
      <c r="FV35" s="23"/>
      <c r="FW35" s="23"/>
      <c r="FX35" s="23"/>
      <c r="FY35" s="23"/>
      <c r="FZ35" s="23"/>
      <c r="GA35" s="23"/>
      <c r="GB35" s="23"/>
      <c r="GC35" s="23"/>
      <c r="GD35" s="23"/>
      <c r="GE35" s="23"/>
      <c r="GF35" s="23"/>
      <c r="GG35" s="23"/>
      <c r="GH35" s="23"/>
      <c r="GI35" s="23"/>
      <c r="GJ35" s="23"/>
      <c r="GK35" s="23"/>
      <c r="GL35" s="23"/>
      <c r="GM35" s="23"/>
      <c r="GN35" s="23"/>
      <c r="GO35" s="23"/>
      <c r="GP35" s="23"/>
      <c r="GQ35" s="19"/>
      <c r="GR35" s="19"/>
      <c r="GS35" s="19"/>
      <c r="GT35" s="19"/>
      <c r="GU35" s="19"/>
      <c r="GV35" s="19"/>
      <c r="GW35" s="19"/>
      <c r="GX35" s="19"/>
      <c r="GY35" s="19"/>
      <c r="GZ35" s="19"/>
      <c r="HA35" s="19"/>
    </row>
    <row r="36" spans="1:209" ht="23.25" customHeight="1" x14ac:dyDescent="0.15">
      <c r="A36" s="16">
        <v>44658.432450555556</v>
      </c>
      <c r="B36" s="17" t="s">
        <v>6</v>
      </c>
      <c r="C36" s="17" t="s">
        <v>10</v>
      </c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7" t="s">
        <v>294</v>
      </c>
      <c r="AO36" s="17" t="s">
        <v>295</v>
      </c>
      <c r="AP36" s="17" t="s">
        <v>302</v>
      </c>
      <c r="AQ36" s="17" t="s">
        <v>303</v>
      </c>
      <c r="AR36" s="24">
        <v>44677</v>
      </c>
      <c r="AS36" s="24">
        <v>44681</v>
      </c>
      <c r="AT36" s="17" t="s">
        <v>252</v>
      </c>
      <c r="AU36" s="17" t="s">
        <v>252</v>
      </c>
      <c r="AV36" s="17">
        <v>0</v>
      </c>
      <c r="AW36" s="25" t="s">
        <v>304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C36" s="19"/>
      <c r="DD36" s="19"/>
      <c r="DE36" s="19"/>
      <c r="DF36" s="19"/>
      <c r="DG36" s="19"/>
      <c r="DH36" s="19"/>
      <c r="DI36" s="19"/>
      <c r="DJ36" s="19"/>
      <c r="DK36" s="19"/>
      <c r="DL36" s="19"/>
      <c r="DM36" s="19"/>
      <c r="DN36" s="19"/>
      <c r="DO36" s="19"/>
      <c r="DP36" s="19"/>
      <c r="DQ36" s="19"/>
      <c r="DR36" s="19"/>
      <c r="DS36" s="19"/>
      <c r="DT36" s="19"/>
      <c r="DU36" s="19"/>
      <c r="DV36" s="19"/>
      <c r="DW36" s="19"/>
      <c r="DX36" s="19"/>
      <c r="DY36" s="19"/>
      <c r="DZ36" s="19"/>
      <c r="EA36" s="19"/>
      <c r="EB36" s="19"/>
      <c r="EC36" s="19"/>
      <c r="ED36" s="19"/>
      <c r="EE36" s="19"/>
      <c r="EF36" s="19"/>
      <c r="EG36" s="19"/>
      <c r="EH36" s="19"/>
      <c r="EI36" s="19"/>
      <c r="EJ36" s="19"/>
      <c r="EK36" s="19"/>
      <c r="EL36" s="19"/>
      <c r="EM36" s="19"/>
      <c r="EN36" s="19"/>
      <c r="EO36" s="19"/>
      <c r="EP36" s="19"/>
      <c r="EQ36" s="19"/>
      <c r="ER36" s="19"/>
      <c r="ES36" s="19"/>
      <c r="ET36" s="19"/>
      <c r="EU36" s="19"/>
      <c r="EV36" s="19"/>
      <c r="EW36" s="19"/>
      <c r="EX36" s="19"/>
      <c r="EY36" s="19"/>
      <c r="EZ36" s="19"/>
      <c r="FA36" s="19"/>
      <c r="FB36" s="19"/>
      <c r="FC36" s="19"/>
      <c r="FD36" s="19"/>
      <c r="FE36" s="19"/>
      <c r="FF36" s="19"/>
      <c r="FG36" s="19"/>
      <c r="FH36" s="19"/>
      <c r="FI36" s="19"/>
      <c r="FJ36" s="19"/>
      <c r="FK36" s="19"/>
      <c r="FL36" s="20" t="s">
        <v>298</v>
      </c>
      <c r="FM36" s="20" t="s">
        <v>255</v>
      </c>
      <c r="FN36" s="23"/>
      <c r="FO36" s="23"/>
      <c r="FP36" s="23"/>
      <c r="FQ36" s="23"/>
      <c r="FR36" s="23"/>
      <c r="FS36" s="23"/>
      <c r="FT36" s="23"/>
      <c r="FU36" s="23"/>
      <c r="FV36" s="23"/>
      <c r="FW36" s="23"/>
      <c r="FX36" s="23"/>
      <c r="FY36" s="23"/>
      <c r="FZ36" s="23"/>
      <c r="GA36" s="23"/>
      <c r="GB36" s="23"/>
      <c r="GC36" s="23"/>
      <c r="GD36" s="23"/>
      <c r="GE36" s="23"/>
      <c r="GF36" s="23"/>
      <c r="GG36" s="23"/>
      <c r="GH36" s="23"/>
      <c r="GI36" s="23"/>
      <c r="GJ36" s="23"/>
      <c r="GK36" s="23"/>
      <c r="GL36" s="23"/>
      <c r="GM36" s="23"/>
      <c r="GN36" s="23"/>
      <c r="GO36" s="23"/>
      <c r="GP36" s="23"/>
      <c r="GQ36" s="19"/>
      <c r="GR36" s="19"/>
      <c r="GS36" s="19"/>
      <c r="GT36" s="19"/>
      <c r="GU36" s="19"/>
      <c r="GV36" s="19"/>
      <c r="GW36" s="19"/>
      <c r="GX36" s="19"/>
      <c r="GY36" s="19"/>
      <c r="GZ36" s="19"/>
      <c r="HA36" s="19"/>
    </row>
    <row r="37" spans="1:209" ht="23.25" customHeight="1" x14ac:dyDescent="0.15">
      <c r="A37" s="16">
        <v>44658.446893043976</v>
      </c>
      <c r="B37" s="17" t="s">
        <v>6</v>
      </c>
      <c r="C37" s="17" t="s">
        <v>10</v>
      </c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7" t="s">
        <v>305</v>
      </c>
      <c r="AO37" s="17" t="s">
        <v>306</v>
      </c>
      <c r="AP37" s="17" t="s">
        <v>307</v>
      </c>
      <c r="AQ37" s="17" t="s">
        <v>308</v>
      </c>
      <c r="AR37" s="24">
        <v>44480</v>
      </c>
      <c r="AS37" s="24">
        <v>44544</v>
      </c>
      <c r="AT37" s="17" t="s">
        <v>252</v>
      </c>
      <c r="AU37" s="17" t="s">
        <v>252</v>
      </c>
      <c r="AV37" s="17">
        <v>0</v>
      </c>
      <c r="AW37" s="25" t="s">
        <v>309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C37" s="19"/>
      <c r="DD37" s="19"/>
      <c r="DE37" s="19"/>
      <c r="DF37" s="19"/>
      <c r="DG37" s="19"/>
      <c r="DH37" s="19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  <c r="FC37" s="19"/>
      <c r="FD37" s="19"/>
      <c r="FE37" s="19"/>
      <c r="FF37" s="19"/>
      <c r="FG37" s="19"/>
      <c r="FH37" s="19"/>
      <c r="FI37" s="19"/>
      <c r="FJ37" s="19"/>
      <c r="FK37" s="19"/>
      <c r="FL37" s="20" t="s">
        <v>310</v>
      </c>
      <c r="FM37" s="20" t="s">
        <v>273</v>
      </c>
      <c r="FN37" s="23"/>
      <c r="FO37" s="23"/>
      <c r="FP37" s="23"/>
      <c r="FQ37" s="23"/>
      <c r="FR37" s="23"/>
      <c r="FS37" s="23"/>
      <c r="FT37" s="23"/>
      <c r="FU37" s="23"/>
      <c r="FV37" s="23"/>
      <c r="FW37" s="23"/>
      <c r="FX37" s="23"/>
      <c r="FY37" s="23"/>
      <c r="FZ37" s="23"/>
      <c r="GA37" s="23"/>
      <c r="GB37" s="23"/>
      <c r="GC37" s="23"/>
      <c r="GD37" s="23"/>
      <c r="GE37" s="23"/>
      <c r="GF37" s="23"/>
      <c r="GG37" s="23"/>
      <c r="GH37" s="23"/>
      <c r="GI37" s="23"/>
      <c r="GJ37" s="23"/>
      <c r="GK37" s="23"/>
      <c r="GL37" s="23"/>
      <c r="GM37" s="23"/>
      <c r="GN37" s="23"/>
      <c r="GO37" s="23"/>
      <c r="GP37" s="23"/>
      <c r="GQ37" s="19"/>
      <c r="GR37" s="19"/>
      <c r="GS37" s="19"/>
      <c r="GT37" s="19"/>
      <c r="GU37" s="19"/>
      <c r="GV37" s="19"/>
      <c r="GW37" s="19"/>
      <c r="GX37" s="19"/>
      <c r="GY37" s="19"/>
      <c r="GZ37" s="19"/>
      <c r="HA37" s="19"/>
    </row>
    <row r="38" spans="1:209" ht="23.25" customHeight="1" x14ac:dyDescent="0.15">
      <c r="A38" s="16">
        <v>44658.448335567125</v>
      </c>
      <c r="B38" s="17" t="s">
        <v>6</v>
      </c>
      <c r="C38" s="17" t="s">
        <v>12</v>
      </c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7" t="s">
        <v>294</v>
      </c>
      <c r="BJ38" s="17" t="s">
        <v>295</v>
      </c>
      <c r="BK38" s="17" t="s">
        <v>311</v>
      </c>
      <c r="BL38" s="17" t="s">
        <v>167</v>
      </c>
      <c r="BM38" s="17" t="s">
        <v>312</v>
      </c>
      <c r="BN38" s="17">
        <v>1</v>
      </c>
      <c r="BO38" s="24">
        <v>44516</v>
      </c>
      <c r="BP38" s="24">
        <v>44516</v>
      </c>
      <c r="BQ38" s="17" t="s">
        <v>313</v>
      </c>
      <c r="BR38" s="17" t="s">
        <v>314</v>
      </c>
      <c r="BS38" s="17" t="s">
        <v>150</v>
      </c>
      <c r="BT38" s="17" t="s">
        <v>151</v>
      </c>
      <c r="BU38" s="18"/>
      <c r="BV38" s="25" t="s">
        <v>315</v>
      </c>
      <c r="BW38" s="18"/>
      <c r="BX38" s="18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9"/>
      <c r="CO38" s="19"/>
      <c r="CP38" s="19"/>
      <c r="CQ38" s="19"/>
      <c r="CR38" s="19"/>
      <c r="CS38" s="19"/>
      <c r="CT38" s="19"/>
      <c r="CU38" s="19"/>
      <c r="CV38" s="19"/>
      <c r="CW38" s="19"/>
      <c r="CX38" s="19"/>
      <c r="CY38" s="19"/>
      <c r="CZ38" s="19"/>
      <c r="DA38" s="19"/>
      <c r="DB38" s="19"/>
      <c r="DC38" s="19"/>
      <c r="DD38" s="19"/>
      <c r="DE38" s="19"/>
      <c r="DF38" s="19"/>
      <c r="DG38" s="19"/>
      <c r="DH38" s="19"/>
      <c r="DI38" s="19"/>
      <c r="DJ38" s="19"/>
      <c r="DK38" s="19"/>
      <c r="DL38" s="19"/>
      <c r="DM38" s="19"/>
      <c r="DN38" s="19"/>
      <c r="DO38" s="19"/>
      <c r="DP38" s="19"/>
      <c r="DQ38" s="19"/>
      <c r="DR38" s="19"/>
      <c r="DS38" s="19"/>
      <c r="DT38" s="19"/>
      <c r="DU38" s="19"/>
      <c r="DV38" s="19"/>
      <c r="DW38" s="19"/>
      <c r="DX38" s="19"/>
      <c r="DY38" s="19"/>
      <c r="DZ38" s="19"/>
      <c r="EA38" s="19"/>
      <c r="EB38" s="19"/>
      <c r="EC38" s="19"/>
      <c r="ED38" s="19"/>
      <c r="EE38" s="19"/>
      <c r="EF38" s="19"/>
      <c r="EG38" s="19"/>
      <c r="EH38" s="19"/>
      <c r="EI38" s="19"/>
      <c r="EJ38" s="19"/>
      <c r="EK38" s="19"/>
      <c r="EL38" s="19"/>
      <c r="EM38" s="19"/>
      <c r="EN38" s="19"/>
      <c r="EO38" s="19"/>
      <c r="EP38" s="19"/>
      <c r="EQ38" s="19"/>
      <c r="ER38" s="19"/>
      <c r="ES38" s="19"/>
      <c r="ET38" s="19"/>
      <c r="EU38" s="19"/>
      <c r="EV38" s="19"/>
      <c r="EW38" s="19"/>
      <c r="EX38" s="19"/>
      <c r="EY38" s="19"/>
      <c r="EZ38" s="19"/>
      <c r="FA38" s="19"/>
      <c r="FB38" s="19"/>
      <c r="FC38" s="19"/>
      <c r="FD38" s="19"/>
      <c r="FE38" s="19"/>
      <c r="FF38" s="19"/>
      <c r="FG38" s="19"/>
      <c r="FH38" s="19"/>
      <c r="FI38" s="19"/>
      <c r="FJ38" s="19"/>
      <c r="FK38" s="19"/>
      <c r="FL38" s="20" t="s">
        <v>298</v>
      </c>
      <c r="FM38" s="20" t="s">
        <v>273</v>
      </c>
      <c r="FN38" s="23"/>
      <c r="FO38" s="23"/>
      <c r="FP38" s="23"/>
      <c r="FQ38" s="23"/>
      <c r="FR38" s="23"/>
      <c r="FS38" s="23"/>
      <c r="FT38" s="23"/>
      <c r="FU38" s="23"/>
      <c r="FV38" s="23"/>
      <c r="FW38" s="23"/>
      <c r="FX38" s="23"/>
      <c r="FY38" s="23"/>
      <c r="FZ38" s="23"/>
      <c r="GA38" s="23"/>
      <c r="GB38" s="23"/>
      <c r="GC38" s="23"/>
      <c r="GD38" s="23"/>
      <c r="GE38" s="23"/>
      <c r="GF38" s="23"/>
      <c r="GG38" s="23"/>
      <c r="GH38" s="23"/>
      <c r="GI38" s="23"/>
      <c r="GJ38" s="23"/>
      <c r="GK38" s="23"/>
      <c r="GL38" s="23"/>
      <c r="GM38" s="23"/>
      <c r="GN38" s="23"/>
      <c r="GO38" s="23"/>
      <c r="GP38" s="23"/>
      <c r="GQ38" s="19"/>
      <c r="GR38" s="19"/>
      <c r="GS38" s="19"/>
      <c r="GT38" s="19"/>
      <c r="GU38" s="19"/>
      <c r="GV38" s="19"/>
      <c r="GW38" s="19"/>
      <c r="GX38" s="19"/>
      <c r="GY38" s="19"/>
      <c r="GZ38" s="19"/>
      <c r="HA38" s="19"/>
    </row>
    <row r="39" spans="1:209" ht="23.25" customHeight="1" x14ac:dyDescent="0.15">
      <c r="A39" s="16">
        <v>44658.451649618059</v>
      </c>
      <c r="B39" s="17" t="s">
        <v>6</v>
      </c>
      <c r="C39" s="17" t="s">
        <v>10</v>
      </c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7" t="s">
        <v>316</v>
      </c>
      <c r="AO39" s="17" t="s">
        <v>317</v>
      </c>
      <c r="AP39" s="17" t="s">
        <v>307</v>
      </c>
      <c r="AQ39" s="17" t="s">
        <v>318</v>
      </c>
      <c r="AR39" s="24">
        <v>44480</v>
      </c>
      <c r="AS39" s="24">
        <v>44544</v>
      </c>
      <c r="AT39" s="17" t="s">
        <v>252</v>
      </c>
      <c r="AU39" s="17" t="s">
        <v>252</v>
      </c>
      <c r="AV39" s="17">
        <v>0</v>
      </c>
      <c r="AW39" s="25" t="s">
        <v>319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/>
      <c r="DA39" s="19"/>
      <c r="DB39" s="19"/>
      <c r="DC39" s="19"/>
      <c r="DD39" s="19"/>
      <c r="DE39" s="19"/>
      <c r="DF39" s="19"/>
      <c r="DG39" s="19"/>
      <c r="DH39" s="19"/>
      <c r="DI39" s="19"/>
      <c r="DJ39" s="19"/>
      <c r="DK39" s="19"/>
      <c r="DL39" s="19"/>
      <c r="DM39" s="19"/>
      <c r="DN39" s="19"/>
      <c r="DO39" s="19"/>
      <c r="DP39" s="19"/>
      <c r="DQ39" s="19"/>
      <c r="DR39" s="19"/>
      <c r="DS39" s="19"/>
      <c r="DT39" s="19"/>
      <c r="DU39" s="19"/>
      <c r="DV39" s="19"/>
      <c r="DW39" s="19"/>
      <c r="DX39" s="19"/>
      <c r="DY39" s="19"/>
      <c r="DZ39" s="19"/>
      <c r="EA39" s="19"/>
      <c r="EB39" s="19"/>
      <c r="EC39" s="19"/>
      <c r="ED39" s="19"/>
      <c r="EE39" s="19"/>
      <c r="EF39" s="19"/>
      <c r="EG39" s="19"/>
      <c r="EH39" s="19"/>
      <c r="EI39" s="19"/>
      <c r="EJ39" s="19"/>
      <c r="EK39" s="19"/>
      <c r="EL39" s="19"/>
      <c r="EM39" s="19"/>
      <c r="EN39" s="19"/>
      <c r="EO39" s="19"/>
      <c r="EP39" s="19"/>
      <c r="EQ39" s="19"/>
      <c r="ER39" s="19"/>
      <c r="ES39" s="19"/>
      <c r="ET39" s="19"/>
      <c r="EU39" s="19"/>
      <c r="EV39" s="19"/>
      <c r="EW39" s="19"/>
      <c r="EX39" s="19"/>
      <c r="EY39" s="19"/>
      <c r="EZ39" s="19"/>
      <c r="FA39" s="19"/>
      <c r="FB39" s="19"/>
      <c r="FC39" s="19"/>
      <c r="FD39" s="19"/>
      <c r="FE39" s="19"/>
      <c r="FF39" s="19"/>
      <c r="FG39" s="19"/>
      <c r="FH39" s="19"/>
      <c r="FI39" s="19"/>
      <c r="FJ39" s="19"/>
      <c r="FK39" s="19"/>
      <c r="FL39" s="20" t="s">
        <v>320</v>
      </c>
      <c r="FM39" s="20" t="s">
        <v>321</v>
      </c>
      <c r="FN39" s="23"/>
      <c r="FO39" s="23"/>
      <c r="FP39" s="23"/>
      <c r="FQ39" s="23"/>
      <c r="FR39" s="23"/>
      <c r="FS39" s="23"/>
      <c r="FT39" s="23"/>
      <c r="FU39" s="23"/>
      <c r="FV39" s="23"/>
      <c r="FW39" s="23"/>
      <c r="FX39" s="23"/>
      <c r="FY39" s="23"/>
      <c r="FZ39" s="23"/>
      <c r="GA39" s="23"/>
      <c r="GB39" s="23"/>
      <c r="GC39" s="23"/>
      <c r="GD39" s="23"/>
      <c r="GE39" s="23"/>
      <c r="GF39" s="23"/>
      <c r="GG39" s="23"/>
      <c r="GH39" s="23"/>
      <c r="GI39" s="23"/>
      <c r="GJ39" s="23"/>
      <c r="GK39" s="23"/>
      <c r="GL39" s="23"/>
      <c r="GM39" s="23"/>
      <c r="GN39" s="23"/>
      <c r="GO39" s="23"/>
      <c r="GP39" s="23"/>
      <c r="GQ39" s="19"/>
      <c r="GR39" s="19"/>
      <c r="GS39" s="19"/>
      <c r="GT39" s="19"/>
      <c r="GU39" s="19"/>
      <c r="GV39" s="19"/>
      <c r="GW39" s="19"/>
      <c r="GX39" s="19"/>
      <c r="GY39" s="19"/>
      <c r="GZ39" s="19"/>
      <c r="HA39" s="19"/>
    </row>
    <row r="40" spans="1:209" ht="23.25" customHeight="1" x14ac:dyDescent="0.15">
      <c r="A40" s="16">
        <v>44658.451878287036</v>
      </c>
      <c r="B40" s="17" t="s">
        <v>6</v>
      </c>
      <c r="C40" s="17" t="s">
        <v>12</v>
      </c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7" t="s">
        <v>294</v>
      </c>
      <c r="BJ40" s="17" t="s">
        <v>295</v>
      </c>
      <c r="BK40" s="17" t="s">
        <v>311</v>
      </c>
      <c r="BL40" s="17" t="s">
        <v>167</v>
      </c>
      <c r="BM40" s="17" t="s">
        <v>322</v>
      </c>
      <c r="BN40" s="17">
        <v>1</v>
      </c>
      <c r="BO40" s="24">
        <v>44637</v>
      </c>
      <c r="BP40" s="24">
        <v>44637</v>
      </c>
      <c r="BQ40" s="17" t="s">
        <v>323</v>
      </c>
      <c r="BR40" s="17" t="s">
        <v>324</v>
      </c>
      <c r="BS40" s="17" t="s">
        <v>171</v>
      </c>
      <c r="BT40" s="17" t="s">
        <v>151</v>
      </c>
      <c r="BU40" s="18"/>
      <c r="BV40" s="25" t="s">
        <v>325</v>
      </c>
      <c r="BW40" s="18"/>
      <c r="BX40" s="18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C40" s="19"/>
      <c r="DD40" s="19"/>
      <c r="DE40" s="19"/>
      <c r="DF40" s="19"/>
      <c r="DG40" s="19"/>
      <c r="DH40" s="19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19"/>
      <c r="EL40" s="19"/>
      <c r="EM40" s="19"/>
      <c r="EN40" s="19"/>
      <c r="EO40" s="19"/>
      <c r="EP40" s="19"/>
      <c r="EQ40" s="19"/>
      <c r="ER40" s="19"/>
      <c r="ES40" s="19"/>
      <c r="ET40" s="19"/>
      <c r="EU40" s="19"/>
      <c r="EV40" s="19"/>
      <c r="EW40" s="19"/>
      <c r="EX40" s="19"/>
      <c r="EY40" s="19"/>
      <c r="EZ40" s="19"/>
      <c r="FA40" s="19"/>
      <c r="FB40" s="19"/>
      <c r="FC40" s="19"/>
      <c r="FD40" s="19"/>
      <c r="FE40" s="19"/>
      <c r="FF40" s="19"/>
      <c r="FG40" s="19"/>
      <c r="FH40" s="19"/>
      <c r="FI40" s="19"/>
      <c r="FJ40" s="19"/>
      <c r="FK40" s="19"/>
      <c r="FL40" s="20" t="s">
        <v>298</v>
      </c>
      <c r="FM40" s="20" t="s">
        <v>255</v>
      </c>
      <c r="FN40" s="23"/>
      <c r="FO40" s="23"/>
      <c r="FP40" s="23"/>
      <c r="FQ40" s="23"/>
      <c r="FR40" s="23"/>
      <c r="FS40" s="23"/>
      <c r="FT40" s="23"/>
      <c r="FU40" s="23"/>
      <c r="FV40" s="23"/>
      <c r="FW40" s="23"/>
      <c r="FX40" s="23"/>
      <c r="FY40" s="23"/>
      <c r="FZ40" s="23"/>
      <c r="GA40" s="23"/>
      <c r="GB40" s="23"/>
      <c r="GC40" s="23"/>
      <c r="GD40" s="23"/>
      <c r="GE40" s="23"/>
      <c r="GF40" s="23"/>
      <c r="GG40" s="23"/>
      <c r="GH40" s="23"/>
      <c r="GI40" s="23"/>
      <c r="GJ40" s="23"/>
      <c r="GK40" s="23"/>
      <c r="GL40" s="23"/>
      <c r="GM40" s="23"/>
      <c r="GN40" s="23"/>
      <c r="GO40" s="23"/>
      <c r="GP40" s="23"/>
      <c r="GQ40" s="19"/>
      <c r="GR40" s="19"/>
      <c r="GS40" s="19"/>
      <c r="GT40" s="19"/>
      <c r="GU40" s="19"/>
      <c r="GV40" s="19"/>
      <c r="GW40" s="19"/>
      <c r="GX40" s="19"/>
      <c r="GY40" s="19"/>
      <c r="GZ40" s="19"/>
      <c r="HA40" s="19"/>
    </row>
    <row r="41" spans="1:209" ht="23.25" customHeight="1" x14ac:dyDescent="0.15">
      <c r="A41" s="16">
        <v>44658.477801469911</v>
      </c>
      <c r="B41" s="17" t="s">
        <v>6</v>
      </c>
      <c r="C41" s="17" t="s">
        <v>11</v>
      </c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7" t="s">
        <v>294</v>
      </c>
      <c r="AY41" s="17" t="s">
        <v>295</v>
      </c>
      <c r="AZ41" s="17" t="s">
        <v>326</v>
      </c>
      <c r="BA41" s="17" t="s">
        <v>327</v>
      </c>
      <c r="BB41" s="17" t="s">
        <v>303</v>
      </c>
      <c r="BC41" s="24">
        <v>43573</v>
      </c>
      <c r="BD41" s="24">
        <v>43573</v>
      </c>
      <c r="BE41" s="24">
        <v>43573</v>
      </c>
      <c r="BF41" s="17">
        <v>100</v>
      </c>
      <c r="BG41" s="17" t="s">
        <v>328</v>
      </c>
      <c r="BH41" s="25" t="s">
        <v>329</v>
      </c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19"/>
      <c r="DA41" s="19"/>
      <c r="DB41" s="19"/>
      <c r="DC41" s="19"/>
      <c r="DD41" s="19"/>
      <c r="DE41" s="19"/>
      <c r="DF41" s="19"/>
      <c r="DG41" s="19"/>
      <c r="DH41" s="19"/>
      <c r="DI41" s="19"/>
      <c r="DJ41" s="19"/>
      <c r="DK41" s="19"/>
      <c r="DL41" s="19"/>
      <c r="DM41" s="19"/>
      <c r="DN41" s="19"/>
      <c r="DO41" s="19"/>
      <c r="DP41" s="19"/>
      <c r="DQ41" s="19"/>
      <c r="DR41" s="19"/>
      <c r="DS41" s="19"/>
      <c r="DT41" s="19"/>
      <c r="DU41" s="19"/>
      <c r="DV41" s="19"/>
      <c r="DW41" s="19"/>
      <c r="DX41" s="19"/>
      <c r="DY41" s="19"/>
      <c r="DZ41" s="19"/>
      <c r="EA41" s="19"/>
      <c r="EB41" s="19"/>
      <c r="EC41" s="19"/>
      <c r="ED41" s="19"/>
      <c r="EE41" s="19"/>
      <c r="EF41" s="19"/>
      <c r="EG41" s="19"/>
      <c r="EH41" s="19"/>
      <c r="EI41" s="19"/>
      <c r="EJ41" s="19"/>
      <c r="EK41" s="19"/>
      <c r="EL41" s="19"/>
      <c r="EM41" s="19"/>
      <c r="EN41" s="19"/>
      <c r="EO41" s="19"/>
      <c r="EP41" s="19"/>
      <c r="EQ41" s="19"/>
      <c r="ER41" s="19"/>
      <c r="ES41" s="19"/>
      <c r="ET41" s="19"/>
      <c r="EU41" s="19"/>
      <c r="EV41" s="19"/>
      <c r="EW41" s="19"/>
      <c r="EX41" s="19"/>
      <c r="EY41" s="19"/>
      <c r="EZ41" s="19"/>
      <c r="FA41" s="19"/>
      <c r="FB41" s="19"/>
      <c r="FC41" s="19"/>
      <c r="FD41" s="19"/>
      <c r="FE41" s="19"/>
      <c r="FF41" s="19"/>
      <c r="FG41" s="19"/>
      <c r="FH41" s="19"/>
      <c r="FI41" s="19"/>
      <c r="FJ41" s="19"/>
      <c r="FK41" s="19"/>
      <c r="FL41" s="20" t="s">
        <v>298</v>
      </c>
      <c r="FM41" s="20" t="s">
        <v>273</v>
      </c>
      <c r="FN41" s="23"/>
      <c r="FO41" s="23"/>
      <c r="FP41" s="23"/>
      <c r="FQ41" s="23"/>
      <c r="FR41" s="23"/>
      <c r="FS41" s="23"/>
      <c r="FT41" s="23"/>
      <c r="FU41" s="23"/>
      <c r="FV41" s="23"/>
      <c r="FW41" s="23"/>
      <c r="FX41" s="23"/>
      <c r="FY41" s="23"/>
      <c r="FZ41" s="23"/>
      <c r="GA41" s="23"/>
      <c r="GB41" s="23"/>
      <c r="GC41" s="23"/>
      <c r="GD41" s="23"/>
      <c r="GE41" s="23"/>
      <c r="GF41" s="23"/>
      <c r="GG41" s="23"/>
      <c r="GH41" s="23"/>
      <c r="GI41" s="23"/>
      <c r="GJ41" s="23"/>
      <c r="GK41" s="23"/>
      <c r="GL41" s="23"/>
      <c r="GM41" s="23"/>
      <c r="GN41" s="23"/>
      <c r="GO41" s="23"/>
      <c r="GP41" s="23"/>
      <c r="GQ41" s="19"/>
      <c r="GR41" s="19"/>
      <c r="GS41" s="19"/>
      <c r="GT41" s="19"/>
      <c r="GU41" s="19"/>
      <c r="GV41" s="19"/>
      <c r="GW41" s="19"/>
      <c r="GX41" s="19"/>
      <c r="GY41" s="19"/>
      <c r="GZ41" s="19"/>
      <c r="HA41" s="19"/>
    </row>
    <row r="42" spans="1:209" ht="23.25" customHeight="1" x14ac:dyDescent="0.15">
      <c r="A42" s="16">
        <v>44658.484794780088</v>
      </c>
      <c r="B42" s="17" t="s">
        <v>6</v>
      </c>
      <c r="C42" s="17" t="s">
        <v>11</v>
      </c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7" t="s">
        <v>294</v>
      </c>
      <c r="AY42" s="17" t="s">
        <v>295</v>
      </c>
      <c r="AZ42" s="17" t="s">
        <v>330</v>
      </c>
      <c r="BA42" s="17" t="s">
        <v>331</v>
      </c>
      <c r="BB42" s="17">
        <v>30</v>
      </c>
      <c r="BC42" s="24">
        <v>44489</v>
      </c>
      <c r="BD42" s="24">
        <v>44542</v>
      </c>
      <c r="BE42" s="24">
        <v>44663</v>
      </c>
      <c r="BF42" s="17">
        <v>100</v>
      </c>
      <c r="BG42" s="17" t="s">
        <v>332</v>
      </c>
      <c r="BH42" s="25" t="s">
        <v>333</v>
      </c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C42" s="19"/>
      <c r="DD42" s="19"/>
      <c r="DE42" s="19"/>
      <c r="DF42" s="19"/>
      <c r="DG42" s="19"/>
      <c r="DH42" s="19"/>
      <c r="DI42" s="19"/>
      <c r="DJ42" s="19"/>
      <c r="DK42" s="19"/>
      <c r="DL42" s="19"/>
      <c r="DM42" s="19"/>
      <c r="DN42" s="19"/>
      <c r="DO42" s="19"/>
      <c r="DP42" s="19"/>
      <c r="DQ42" s="19"/>
      <c r="DR42" s="19"/>
      <c r="DS42" s="19"/>
      <c r="DT42" s="19"/>
      <c r="DU42" s="19"/>
      <c r="DV42" s="19"/>
      <c r="DW42" s="19"/>
      <c r="DX42" s="19"/>
      <c r="DY42" s="19"/>
      <c r="DZ42" s="19"/>
      <c r="EA42" s="19"/>
      <c r="EB42" s="19"/>
      <c r="EC42" s="19"/>
      <c r="ED42" s="19"/>
      <c r="EE42" s="19"/>
      <c r="EF42" s="19"/>
      <c r="EG42" s="19"/>
      <c r="EH42" s="19"/>
      <c r="EI42" s="19"/>
      <c r="EJ42" s="19"/>
      <c r="EK42" s="19"/>
      <c r="EL42" s="19"/>
      <c r="EM42" s="19"/>
      <c r="EN42" s="19"/>
      <c r="EO42" s="19"/>
      <c r="EP42" s="19"/>
      <c r="EQ42" s="19"/>
      <c r="ER42" s="19"/>
      <c r="ES42" s="19"/>
      <c r="ET42" s="19"/>
      <c r="EU42" s="19"/>
      <c r="EV42" s="19"/>
      <c r="EW42" s="19"/>
      <c r="EX42" s="19"/>
      <c r="EY42" s="19"/>
      <c r="EZ42" s="19"/>
      <c r="FA42" s="19"/>
      <c r="FB42" s="19"/>
      <c r="FC42" s="19"/>
      <c r="FD42" s="19"/>
      <c r="FE42" s="19"/>
      <c r="FF42" s="19"/>
      <c r="FG42" s="19"/>
      <c r="FH42" s="19"/>
      <c r="FI42" s="19"/>
      <c r="FJ42" s="19"/>
      <c r="FK42" s="19"/>
      <c r="FL42" s="20" t="s">
        <v>298</v>
      </c>
      <c r="FM42" s="20" t="s">
        <v>255</v>
      </c>
      <c r="FN42" s="23"/>
      <c r="FO42" s="23"/>
      <c r="FP42" s="23"/>
      <c r="FQ42" s="23"/>
      <c r="FR42" s="23"/>
      <c r="FS42" s="23"/>
      <c r="FT42" s="23"/>
      <c r="FU42" s="23"/>
      <c r="FV42" s="23"/>
      <c r="FW42" s="23"/>
      <c r="FX42" s="23"/>
      <c r="FY42" s="23"/>
      <c r="FZ42" s="23"/>
      <c r="GA42" s="23"/>
      <c r="GB42" s="23"/>
      <c r="GC42" s="23"/>
      <c r="GD42" s="23"/>
      <c r="GE42" s="23"/>
      <c r="GF42" s="23"/>
      <c r="GG42" s="23"/>
      <c r="GH42" s="23"/>
      <c r="GI42" s="23"/>
      <c r="GJ42" s="23"/>
      <c r="GK42" s="23"/>
      <c r="GL42" s="23"/>
      <c r="GM42" s="23"/>
      <c r="GN42" s="23"/>
      <c r="GO42" s="23"/>
      <c r="GP42" s="23"/>
      <c r="GQ42" s="19"/>
      <c r="GR42" s="19"/>
      <c r="GS42" s="19"/>
      <c r="GT42" s="19"/>
      <c r="GU42" s="19"/>
      <c r="GV42" s="19"/>
      <c r="GW42" s="19"/>
      <c r="GX42" s="19"/>
      <c r="GY42" s="19"/>
      <c r="GZ42" s="19"/>
      <c r="HA42" s="19"/>
    </row>
    <row r="43" spans="1:209" ht="23.25" customHeight="1" x14ac:dyDescent="0.15">
      <c r="A43" s="16">
        <v>44658.485490960651</v>
      </c>
      <c r="B43" s="17" t="s">
        <v>6</v>
      </c>
      <c r="C43" s="17" t="s">
        <v>11</v>
      </c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7" t="s">
        <v>316</v>
      </c>
      <c r="AY43" s="17" t="s">
        <v>317</v>
      </c>
      <c r="AZ43" s="17" t="s">
        <v>334</v>
      </c>
      <c r="BA43" s="17" t="s">
        <v>335</v>
      </c>
      <c r="BB43" s="17" t="s">
        <v>336</v>
      </c>
      <c r="BC43" s="24">
        <v>44317</v>
      </c>
      <c r="BD43" s="24">
        <v>44373</v>
      </c>
      <c r="BE43" s="24">
        <v>44375</v>
      </c>
      <c r="BF43" s="17">
        <v>86</v>
      </c>
      <c r="BG43" s="17" t="s">
        <v>337</v>
      </c>
      <c r="BH43" s="25" t="s">
        <v>338</v>
      </c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C43" s="19"/>
      <c r="DD43" s="19"/>
      <c r="DE43" s="19"/>
      <c r="DF43" s="19"/>
      <c r="DG43" s="19"/>
      <c r="DH43" s="19"/>
      <c r="DI43" s="19"/>
      <c r="DJ43" s="19"/>
      <c r="DK43" s="19"/>
      <c r="DL43" s="19"/>
      <c r="DM43" s="19"/>
      <c r="DN43" s="19"/>
      <c r="DO43" s="19"/>
      <c r="DP43" s="19"/>
      <c r="DQ43" s="19"/>
      <c r="DR43" s="19"/>
      <c r="DS43" s="19"/>
      <c r="DT43" s="19"/>
      <c r="DU43" s="19"/>
      <c r="DV43" s="19"/>
      <c r="DW43" s="19"/>
      <c r="DX43" s="19"/>
      <c r="DY43" s="19"/>
      <c r="DZ43" s="19"/>
      <c r="EA43" s="19"/>
      <c r="EB43" s="19"/>
      <c r="EC43" s="19"/>
      <c r="ED43" s="19"/>
      <c r="EE43" s="19"/>
      <c r="EF43" s="19"/>
      <c r="EG43" s="19"/>
      <c r="EH43" s="19"/>
      <c r="EI43" s="19"/>
      <c r="EJ43" s="19"/>
      <c r="EK43" s="19"/>
      <c r="EL43" s="19"/>
      <c r="EM43" s="19"/>
      <c r="EN43" s="19"/>
      <c r="EO43" s="19"/>
      <c r="EP43" s="19"/>
      <c r="EQ43" s="19"/>
      <c r="ER43" s="19"/>
      <c r="ES43" s="19"/>
      <c r="ET43" s="19"/>
      <c r="EU43" s="19"/>
      <c r="EV43" s="19"/>
      <c r="EW43" s="19"/>
      <c r="EX43" s="19"/>
      <c r="EY43" s="19"/>
      <c r="EZ43" s="19"/>
      <c r="FA43" s="19"/>
      <c r="FB43" s="19"/>
      <c r="FC43" s="19"/>
      <c r="FD43" s="19"/>
      <c r="FE43" s="19"/>
      <c r="FF43" s="19"/>
      <c r="FG43" s="19"/>
      <c r="FH43" s="19"/>
      <c r="FI43" s="19"/>
      <c r="FJ43" s="19"/>
      <c r="FK43" s="19"/>
      <c r="FL43" s="20" t="s">
        <v>320</v>
      </c>
      <c r="FM43" s="20" t="s">
        <v>339</v>
      </c>
      <c r="FN43" s="23"/>
      <c r="FO43" s="23"/>
      <c r="FP43" s="23"/>
      <c r="FQ43" s="23"/>
      <c r="FR43" s="23"/>
      <c r="FS43" s="23"/>
      <c r="FT43" s="23"/>
      <c r="FU43" s="23"/>
      <c r="FV43" s="23"/>
      <c r="FW43" s="23"/>
      <c r="FX43" s="23"/>
      <c r="FY43" s="23"/>
      <c r="FZ43" s="23"/>
      <c r="GA43" s="23"/>
      <c r="GB43" s="23"/>
      <c r="GC43" s="23"/>
      <c r="GD43" s="23"/>
      <c r="GE43" s="23"/>
      <c r="GF43" s="23"/>
      <c r="GG43" s="23"/>
      <c r="GH43" s="23"/>
      <c r="GI43" s="23"/>
      <c r="GJ43" s="23"/>
      <c r="GK43" s="23"/>
      <c r="GL43" s="23"/>
      <c r="GM43" s="23"/>
      <c r="GN43" s="23"/>
      <c r="GO43" s="23"/>
      <c r="GP43" s="23"/>
      <c r="GQ43" s="19"/>
      <c r="GR43" s="19"/>
      <c r="GS43" s="19"/>
      <c r="GT43" s="19"/>
      <c r="GU43" s="19"/>
      <c r="GV43" s="19"/>
      <c r="GW43" s="19"/>
      <c r="GX43" s="19"/>
      <c r="GY43" s="19"/>
      <c r="GZ43" s="19"/>
      <c r="HA43" s="19"/>
    </row>
    <row r="44" spans="1:209" ht="23.25" customHeight="1" x14ac:dyDescent="0.15">
      <c r="A44" s="16">
        <v>44658.48567440972</v>
      </c>
      <c r="B44" s="17" t="s">
        <v>6</v>
      </c>
      <c r="C44" s="17" t="s">
        <v>11</v>
      </c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7" t="s">
        <v>340</v>
      </c>
      <c r="AY44" s="17" t="s">
        <v>306</v>
      </c>
      <c r="AZ44" s="17" t="s">
        <v>334</v>
      </c>
      <c r="BA44" s="17" t="s">
        <v>335</v>
      </c>
      <c r="BB44" s="17" t="s">
        <v>308</v>
      </c>
      <c r="BC44" s="24">
        <v>44317</v>
      </c>
      <c r="BD44" s="24">
        <v>44373</v>
      </c>
      <c r="BE44" s="24">
        <v>44375</v>
      </c>
      <c r="BF44" s="17">
        <v>86</v>
      </c>
      <c r="BG44" s="17" t="s">
        <v>337</v>
      </c>
      <c r="BH44" s="25" t="s">
        <v>341</v>
      </c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C44" s="19"/>
      <c r="DD44" s="19"/>
      <c r="DE44" s="19"/>
      <c r="DF44" s="19"/>
      <c r="DG44" s="19"/>
      <c r="DH44" s="19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  <c r="FC44" s="19"/>
      <c r="FD44" s="19"/>
      <c r="FE44" s="19"/>
      <c r="FF44" s="19"/>
      <c r="FG44" s="19"/>
      <c r="FH44" s="19"/>
      <c r="FI44" s="19"/>
      <c r="FJ44" s="19"/>
      <c r="FK44" s="19"/>
      <c r="FL44" s="20" t="s">
        <v>310</v>
      </c>
      <c r="FM44" s="20" t="s">
        <v>339</v>
      </c>
      <c r="FN44" s="23"/>
      <c r="FO44" s="23"/>
      <c r="FP44" s="23"/>
      <c r="FQ44" s="23"/>
      <c r="FR44" s="23"/>
      <c r="FS44" s="23"/>
      <c r="FT44" s="23"/>
      <c r="FU44" s="23"/>
      <c r="FV44" s="23"/>
      <c r="FW44" s="23"/>
      <c r="FX44" s="23"/>
      <c r="FY44" s="23"/>
      <c r="FZ44" s="23"/>
      <c r="GA44" s="23"/>
      <c r="GB44" s="23"/>
      <c r="GC44" s="23"/>
      <c r="GD44" s="23"/>
      <c r="GE44" s="23"/>
      <c r="GF44" s="23"/>
      <c r="GG44" s="23"/>
      <c r="GH44" s="23"/>
      <c r="GI44" s="23"/>
      <c r="GJ44" s="23"/>
      <c r="GK44" s="23"/>
      <c r="GL44" s="23"/>
      <c r="GM44" s="23"/>
      <c r="GN44" s="23"/>
      <c r="GO44" s="23"/>
      <c r="GP44" s="23"/>
      <c r="GQ44" s="19"/>
      <c r="GR44" s="19"/>
      <c r="GS44" s="19"/>
      <c r="GT44" s="19"/>
      <c r="GU44" s="19"/>
      <c r="GV44" s="19"/>
      <c r="GW44" s="19"/>
      <c r="GX44" s="19"/>
      <c r="GY44" s="19"/>
      <c r="GZ44" s="19"/>
      <c r="HA44" s="19"/>
    </row>
    <row r="45" spans="1:209" ht="23.25" customHeight="1" x14ac:dyDescent="0.15">
      <c r="A45" s="16">
        <v>44658.487330833334</v>
      </c>
      <c r="B45" s="17" t="s">
        <v>6</v>
      </c>
      <c r="C45" s="17" t="s">
        <v>11</v>
      </c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7" t="s">
        <v>294</v>
      </c>
      <c r="AY45" s="17" t="s">
        <v>295</v>
      </c>
      <c r="AZ45" s="17" t="s">
        <v>342</v>
      </c>
      <c r="BA45" s="17" t="s">
        <v>343</v>
      </c>
      <c r="BB45" s="17" t="s">
        <v>303</v>
      </c>
      <c r="BC45" s="24">
        <v>43945</v>
      </c>
      <c r="BD45" s="24">
        <v>43945</v>
      </c>
      <c r="BE45" s="24">
        <v>43945</v>
      </c>
      <c r="BF45" s="17">
        <v>100</v>
      </c>
      <c r="BG45" s="17" t="s">
        <v>328</v>
      </c>
      <c r="BH45" s="25" t="s">
        <v>344</v>
      </c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  <c r="DB45" s="19"/>
      <c r="DC45" s="19"/>
      <c r="DD45" s="19"/>
      <c r="DE45" s="19"/>
      <c r="DF45" s="19"/>
      <c r="DG45" s="19"/>
      <c r="DH45" s="19"/>
      <c r="DI45" s="19"/>
      <c r="DJ45" s="19"/>
      <c r="DK45" s="19"/>
      <c r="DL45" s="19"/>
      <c r="DM45" s="19"/>
      <c r="DN45" s="19"/>
      <c r="DO45" s="19"/>
      <c r="DP45" s="19"/>
      <c r="DQ45" s="19"/>
      <c r="DR45" s="19"/>
      <c r="DS45" s="19"/>
      <c r="DT45" s="19"/>
      <c r="DU45" s="19"/>
      <c r="DV45" s="19"/>
      <c r="DW45" s="19"/>
      <c r="DX45" s="19"/>
      <c r="DY45" s="19"/>
      <c r="DZ45" s="19"/>
      <c r="EA45" s="19"/>
      <c r="EB45" s="19"/>
      <c r="EC45" s="19"/>
      <c r="ED45" s="19"/>
      <c r="EE45" s="19"/>
      <c r="EF45" s="19"/>
      <c r="EG45" s="19"/>
      <c r="EH45" s="19"/>
      <c r="EI45" s="19"/>
      <c r="EJ45" s="19"/>
      <c r="EK45" s="19"/>
      <c r="EL45" s="19"/>
      <c r="EM45" s="19"/>
      <c r="EN45" s="19"/>
      <c r="EO45" s="19"/>
      <c r="EP45" s="19"/>
      <c r="EQ45" s="19"/>
      <c r="ER45" s="19"/>
      <c r="ES45" s="19"/>
      <c r="ET45" s="19"/>
      <c r="EU45" s="19"/>
      <c r="EV45" s="19"/>
      <c r="EW45" s="19"/>
      <c r="EX45" s="19"/>
      <c r="EY45" s="19"/>
      <c r="EZ45" s="19"/>
      <c r="FA45" s="19"/>
      <c r="FB45" s="19"/>
      <c r="FC45" s="19"/>
      <c r="FD45" s="19"/>
      <c r="FE45" s="19"/>
      <c r="FF45" s="19"/>
      <c r="FG45" s="19"/>
      <c r="FH45" s="19"/>
      <c r="FI45" s="19"/>
      <c r="FJ45" s="19"/>
      <c r="FK45" s="19"/>
      <c r="FL45" s="20" t="s">
        <v>298</v>
      </c>
      <c r="FM45" s="20" t="s">
        <v>255</v>
      </c>
      <c r="FN45" s="23"/>
      <c r="FO45" s="23"/>
      <c r="FP45" s="23"/>
      <c r="FQ45" s="23"/>
      <c r="FR45" s="23"/>
      <c r="FS45" s="23"/>
      <c r="FT45" s="23"/>
      <c r="FU45" s="23"/>
      <c r="FV45" s="23"/>
      <c r="FW45" s="23"/>
      <c r="FX45" s="23"/>
      <c r="FY45" s="23"/>
      <c r="FZ45" s="23"/>
      <c r="GA45" s="23"/>
      <c r="GB45" s="23"/>
      <c r="GC45" s="23"/>
      <c r="GD45" s="23"/>
      <c r="GE45" s="23"/>
      <c r="GF45" s="23"/>
      <c r="GG45" s="23"/>
      <c r="GH45" s="23"/>
      <c r="GI45" s="23"/>
      <c r="GJ45" s="23"/>
      <c r="GK45" s="23"/>
      <c r="GL45" s="23"/>
      <c r="GM45" s="23"/>
      <c r="GN45" s="23"/>
      <c r="GO45" s="23"/>
      <c r="GP45" s="23"/>
      <c r="GQ45" s="19"/>
      <c r="GR45" s="19"/>
      <c r="GS45" s="19"/>
      <c r="GT45" s="19"/>
      <c r="GU45" s="19"/>
      <c r="GV45" s="19"/>
      <c r="GW45" s="19"/>
      <c r="GX45" s="19"/>
      <c r="GY45" s="19"/>
      <c r="GZ45" s="19"/>
      <c r="HA45" s="19"/>
    </row>
    <row r="46" spans="1:209" ht="23.25" customHeight="1" x14ac:dyDescent="0.15">
      <c r="A46" s="16">
        <v>44658.488570046291</v>
      </c>
      <c r="B46" s="17" t="s">
        <v>6</v>
      </c>
      <c r="C46" s="17" t="s">
        <v>11</v>
      </c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7" t="s">
        <v>316</v>
      </c>
      <c r="AY46" s="17" t="s">
        <v>317</v>
      </c>
      <c r="AZ46" s="17" t="s">
        <v>345</v>
      </c>
      <c r="BA46" s="17" t="s">
        <v>335</v>
      </c>
      <c r="BB46" s="17" t="s">
        <v>346</v>
      </c>
      <c r="BC46" s="24">
        <v>44320</v>
      </c>
      <c r="BD46" s="24">
        <v>44377</v>
      </c>
      <c r="BE46" s="24">
        <v>44379</v>
      </c>
      <c r="BF46" s="17">
        <v>89</v>
      </c>
      <c r="BG46" s="17" t="s">
        <v>347</v>
      </c>
      <c r="BH46" s="25" t="s">
        <v>348</v>
      </c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9"/>
      <c r="CO46" s="19"/>
      <c r="CP46" s="19"/>
      <c r="CQ46" s="19"/>
      <c r="CR46" s="19"/>
      <c r="CS46" s="19"/>
      <c r="CT46" s="19"/>
      <c r="CU46" s="19"/>
      <c r="CV46" s="19"/>
      <c r="CW46" s="19"/>
      <c r="CX46" s="19"/>
      <c r="CY46" s="19"/>
      <c r="CZ46" s="19"/>
      <c r="DA46" s="19"/>
      <c r="DB46" s="19"/>
      <c r="DC46" s="19"/>
      <c r="DD46" s="19"/>
      <c r="DE46" s="19"/>
      <c r="DF46" s="19"/>
      <c r="DG46" s="19"/>
      <c r="DH46" s="19"/>
      <c r="DI46" s="19"/>
      <c r="DJ46" s="19"/>
      <c r="DK46" s="19"/>
      <c r="DL46" s="19"/>
      <c r="DM46" s="19"/>
      <c r="DN46" s="19"/>
      <c r="DO46" s="19"/>
      <c r="DP46" s="19"/>
      <c r="DQ46" s="19"/>
      <c r="DR46" s="19"/>
      <c r="DS46" s="19"/>
      <c r="DT46" s="19"/>
      <c r="DU46" s="19"/>
      <c r="DV46" s="19"/>
      <c r="DW46" s="19"/>
      <c r="DX46" s="19"/>
      <c r="DY46" s="19"/>
      <c r="DZ46" s="19"/>
      <c r="EA46" s="19"/>
      <c r="EB46" s="19"/>
      <c r="EC46" s="19"/>
      <c r="ED46" s="19"/>
      <c r="EE46" s="19"/>
      <c r="EF46" s="19"/>
      <c r="EG46" s="19"/>
      <c r="EH46" s="19"/>
      <c r="EI46" s="19"/>
      <c r="EJ46" s="19"/>
      <c r="EK46" s="19"/>
      <c r="EL46" s="19"/>
      <c r="EM46" s="19"/>
      <c r="EN46" s="19"/>
      <c r="EO46" s="19"/>
      <c r="EP46" s="19"/>
      <c r="EQ46" s="19"/>
      <c r="ER46" s="19"/>
      <c r="ES46" s="19"/>
      <c r="ET46" s="19"/>
      <c r="EU46" s="19"/>
      <c r="EV46" s="19"/>
      <c r="EW46" s="19"/>
      <c r="EX46" s="19"/>
      <c r="EY46" s="19"/>
      <c r="EZ46" s="19"/>
      <c r="FA46" s="19"/>
      <c r="FB46" s="19"/>
      <c r="FC46" s="19"/>
      <c r="FD46" s="19"/>
      <c r="FE46" s="19"/>
      <c r="FF46" s="19"/>
      <c r="FG46" s="19"/>
      <c r="FH46" s="19"/>
      <c r="FI46" s="19"/>
      <c r="FJ46" s="19"/>
      <c r="FK46" s="19"/>
      <c r="FL46" s="20" t="s">
        <v>320</v>
      </c>
      <c r="FM46" s="20" t="s">
        <v>339</v>
      </c>
      <c r="FN46" s="23"/>
      <c r="FO46" s="23"/>
      <c r="FP46" s="23"/>
      <c r="FQ46" s="23"/>
      <c r="FR46" s="23"/>
      <c r="FS46" s="23"/>
      <c r="FT46" s="23"/>
      <c r="FU46" s="23"/>
      <c r="FV46" s="23"/>
      <c r="FW46" s="23"/>
      <c r="FX46" s="23"/>
      <c r="FY46" s="23"/>
      <c r="FZ46" s="23"/>
      <c r="GA46" s="23"/>
      <c r="GB46" s="23"/>
      <c r="GC46" s="23"/>
      <c r="GD46" s="23"/>
      <c r="GE46" s="23"/>
      <c r="GF46" s="23"/>
      <c r="GG46" s="23"/>
      <c r="GH46" s="23"/>
      <c r="GI46" s="23"/>
      <c r="GJ46" s="23"/>
      <c r="GK46" s="23"/>
      <c r="GL46" s="23"/>
      <c r="GM46" s="23"/>
      <c r="GN46" s="23"/>
      <c r="GO46" s="23"/>
      <c r="GP46" s="23"/>
      <c r="GQ46" s="19"/>
      <c r="GR46" s="19"/>
      <c r="GS46" s="19"/>
      <c r="GT46" s="19"/>
      <c r="GU46" s="19"/>
      <c r="GV46" s="19"/>
      <c r="GW46" s="19"/>
      <c r="GX46" s="19"/>
      <c r="GY46" s="19"/>
      <c r="GZ46" s="19"/>
      <c r="HA46" s="19"/>
    </row>
    <row r="47" spans="1:209" ht="23.25" customHeight="1" x14ac:dyDescent="0.15">
      <c r="A47" s="16">
        <v>44658.491513923611</v>
      </c>
      <c r="B47" s="17" t="s">
        <v>6</v>
      </c>
      <c r="C47" s="17" t="s">
        <v>11</v>
      </c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7" t="s">
        <v>316</v>
      </c>
      <c r="AY47" s="17" t="s">
        <v>317</v>
      </c>
      <c r="AZ47" s="17" t="s">
        <v>349</v>
      </c>
      <c r="BA47" s="17" t="s">
        <v>335</v>
      </c>
      <c r="BB47" s="17" t="s">
        <v>308</v>
      </c>
      <c r="BC47" s="24">
        <v>44321</v>
      </c>
      <c r="BD47" s="24">
        <v>44376</v>
      </c>
      <c r="BE47" s="24">
        <v>44381</v>
      </c>
      <c r="BF47" s="17">
        <v>88</v>
      </c>
      <c r="BG47" s="17" t="s">
        <v>337</v>
      </c>
      <c r="BH47" s="25" t="s">
        <v>350</v>
      </c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9"/>
      <c r="CO47" s="19"/>
      <c r="CP47" s="19"/>
      <c r="CQ47" s="19"/>
      <c r="CR47" s="19"/>
      <c r="CS47" s="19"/>
      <c r="CT47" s="19"/>
      <c r="CU47" s="19"/>
      <c r="CV47" s="19"/>
      <c r="CW47" s="19"/>
      <c r="CX47" s="19"/>
      <c r="CY47" s="19"/>
      <c r="CZ47" s="19"/>
      <c r="DA47" s="19"/>
      <c r="DB47" s="19"/>
      <c r="DC47" s="19"/>
      <c r="DD47" s="19"/>
      <c r="DE47" s="19"/>
      <c r="DF47" s="19"/>
      <c r="DG47" s="19"/>
      <c r="DH47" s="19"/>
      <c r="DI47" s="19"/>
      <c r="DJ47" s="19"/>
      <c r="DK47" s="19"/>
      <c r="DL47" s="19"/>
      <c r="DM47" s="19"/>
      <c r="DN47" s="19"/>
      <c r="DO47" s="19"/>
      <c r="DP47" s="19"/>
      <c r="DQ47" s="19"/>
      <c r="DR47" s="19"/>
      <c r="DS47" s="19"/>
      <c r="DT47" s="19"/>
      <c r="DU47" s="19"/>
      <c r="DV47" s="19"/>
      <c r="DW47" s="19"/>
      <c r="DX47" s="19"/>
      <c r="DY47" s="19"/>
      <c r="DZ47" s="19"/>
      <c r="EA47" s="19"/>
      <c r="EB47" s="19"/>
      <c r="EC47" s="19"/>
      <c r="ED47" s="19"/>
      <c r="EE47" s="19"/>
      <c r="EF47" s="19"/>
      <c r="EG47" s="19"/>
      <c r="EH47" s="19"/>
      <c r="EI47" s="19"/>
      <c r="EJ47" s="19"/>
      <c r="EK47" s="19"/>
      <c r="EL47" s="19"/>
      <c r="EM47" s="19"/>
      <c r="EN47" s="19"/>
      <c r="EO47" s="19"/>
      <c r="EP47" s="19"/>
      <c r="EQ47" s="19"/>
      <c r="ER47" s="19"/>
      <c r="ES47" s="19"/>
      <c r="ET47" s="19"/>
      <c r="EU47" s="19"/>
      <c r="EV47" s="19"/>
      <c r="EW47" s="19"/>
      <c r="EX47" s="19"/>
      <c r="EY47" s="19"/>
      <c r="EZ47" s="19"/>
      <c r="FA47" s="19"/>
      <c r="FB47" s="19"/>
      <c r="FC47" s="19"/>
      <c r="FD47" s="19"/>
      <c r="FE47" s="19"/>
      <c r="FF47" s="19"/>
      <c r="FG47" s="19"/>
      <c r="FH47" s="19"/>
      <c r="FI47" s="19"/>
      <c r="FJ47" s="19"/>
      <c r="FK47" s="19"/>
      <c r="FL47" s="20" t="s">
        <v>320</v>
      </c>
      <c r="FM47" s="20" t="s">
        <v>339</v>
      </c>
      <c r="FN47" s="23"/>
      <c r="FO47" s="23"/>
      <c r="FP47" s="23"/>
      <c r="FQ47" s="23"/>
      <c r="FR47" s="23"/>
      <c r="FS47" s="23"/>
      <c r="FT47" s="23"/>
      <c r="FU47" s="23"/>
      <c r="FV47" s="23"/>
      <c r="FW47" s="23"/>
      <c r="FX47" s="23"/>
      <c r="FY47" s="23"/>
      <c r="FZ47" s="23"/>
      <c r="GA47" s="23"/>
      <c r="GB47" s="23"/>
      <c r="GC47" s="23"/>
      <c r="GD47" s="23"/>
      <c r="GE47" s="23"/>
      <c r="GF47" s="23"/>
      <c r="GG47" s="23"/>
      <c r="GH47" s="23"/>
      <c r="GI47" s="23"/>
      <c r="GJ47" s="23"/>
      <c r="GK47" s="23"/>
      <c r="GL47" s="23"/>
      <c r="GM47" s="23"/>
      <c r="GN47" s="23"/>
      <c r="GO47" s="23"/>
      <c r="GP47" s="23"/>
      <c r="GQ47" s="19"/>
      <c r="GR47" s="19"/>
      <c r="GS47" s="19"/>
      <c r="GT47" s="19"/>
      <c r="GU47" s="19"/>
      <c r="GV47" s="19"/>
      <c r="GW47" s="19"/>
      <c r="GX47" s="19"/>
      <c r="GY47" s="19"/>
      <c r="GZ47" s="19"/>
      <c r="HA47" s="19"/>
    </row>
    <row r="48" spans="1:209" ht="23.25" customHeight="1" x14ac:dyDescent="0.15">
      <c r="A48" s="16">
        <v>44658.492849282411</v>
      </c>
      <c r="B48" s="17" t="s">
        <v>6</v>
      </c>
      <c r="C48" s="17" t="s">
        <v>11</v>
      </c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7" t="s">
        <v>340</v>
      </c>
      <c r="AY48" s="17" t="s">
        <v>306</v>
      </c>
      <c r="AZ48" s="17" t="s">
        <v>345</v>
      </c>
      <c r="BA48" s="17" t="s">
        <v>335</v>
      </c>
      <c r="BB48" s="17" t="s">
        <v>308</v>
      </c>
      <c r="BC48" s="24">
        <v>44323</v>
      </c>
      <c r="BD48" s="24">
        <v>44376</v>
      </c>
      <c r="BE48" s="24">
        <v>44379</v>
      </c>
      <c r="BF48" s="17">
        <v>84</v>
      </c>
      <c r="BG48" s="17" t="s">
        <v>337</v>
      </c>
      <c r="BH48" s="25" t="s">
        <v>351</v>
      </c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C48" s="19"/>
      <c r="DD48" s="19"/>
      <c r="DE48" s="19"/>
      <c r="DF48" s="19"/>
      <c r="DG48" s="19"/>
      <c r="DH48" s="19"/>
      <c r="DI48" s="19"/>
      <c r="DJ48" s="19"/>
      <c r="DK48" s="19"/>
      <c r="DL48" s="19"/>
      <c r="DM48" s="19"/>
      <c r="DN48" s="19"/>
      <c r="DO48" s="19"/>
      <c r="DP48" s="19"/>
      <c r="DQ48" s="19"/>
      <c r="DR48" s="19"/>
      <c r="DS48" s="19"/>
      <c r="DT48" s="19"/>
      <c r="DU48" s="19"/>
      <c r="DV48" s="19"/>
      <c r="DW48" s="19"/>
      <c r="DX48" s="19"/>
      <c r="DY48" s="19"/>
      <c r="DZ48" s="19"/>
      <c r="EA48" s="19"/>
      <c r="EB48" s="19"/>
      <c r="EC48" s="19"/>
      <c r="ED48" s="19"/>
      <c r="EE48" s="19"/>
      <c r="EF48" s="19"/>
      <c r="EG48" s="19"/>
      <c r="EH48" s="19"/>
      <c r="EI48" s="19"/>
      <c r="EJ48" s="19"/>
      <c r="EK48" s="19"/>
      <c r="EL48" s="19"/>
      <c r="EM48" s="19"/>
      <c r="EN48" s="19"/>
      <c r="EO48" s="19"/>
      <c r="EP48" s="19"/>
      <c r="EQ48" s="19"/>
      <c r="ER48" s="19"/>
      <c r="ES48" s="19"/>
      <c r="ET48" s="19"/>
      <c r="EU48" s="19"/>
      <c r="EV48" s="19"/>
      <c r="EW48" s="19"/>
      <c r="EX48" s="19"/>
      <c r="EY48" s="19"/>
      <c r="EZ48" s="19"/>
      <c r="FA48" s="19"/>
      <c r="FB48" s="19"/>
      <c r="FC48" s="19"/>
      <c r="FD48" s="19"/>
      <c r="FE48" s="19"/>
      <c r="FF48" s="19"/>
      <c r="FG48" s="19"/>
      <c r="FH48" s="19"/>
      <c r="FI48" s="19"/>
      <c r="FJ48" s="19"/>
      <c r="FK48" s="19"/>
      <c r="FL48" s="20" t="s">
        <v>310</v>
      </c>
      <c r="FM48" s="20" t="s">
        <v>339</v>
      </c>
      <c r="FN48" s="23"/>
      <c r="FO48" s="23"/>
      <c r="FP48" s="23"/>
      <c r="FQ48" s="23"/>
      <c r="FR48" s="23"/>
      <c r="FS48" s="23"/>
      <c r="FT48" s="23"/>
      <c r="FU48" s="23"/>
      <c r="FV48" s="23"/>
      <c r="FW48" s="23"/>
      <c r="FX48" s="23"/>
      <c r="FY48" s="23"/>
      <c r="FZ48" s="23"/>
      <c r="GA48" s="23"/>
      <c r="GB48" s="23"/>
      <c r="GC48" s="23"/>
      <c r="GD48" s="23"/>
      <c r="GE48" s="23"/>
      <c r="GF48" s="23"/>
      <c r="GG48" s="23"/>
      <c r="GH48" s="23"/>
      <c r="GI48" s="23"/>
      <c r="GJ48" s="23"/>
      <c r="GK48" s="23"/>
      <c r="GL48" s="23"/>
      <c r="GM48" s="23"/>
      <c r="GN48" s="23"/>
      <c r="GO48" s="23"/>
      <c r="GP48" s="23"/>
      <c r="GQ48" s="19"/>
      <c r="GR48" s="19"/>
      <c r="GS48" s="19"/>
      <c r="GT48" s="19"/>
      <c r="GU48" s="19"/>
      <c r="GV48" s="19"/>
      <c r="GW48" s="19"/>
      <c r="GX48" s="19"/>
      <c r="GY48" s="19"/>
      <c r="GZ48" s="19"/>
      <c r="HA48" s="19"/>
    </row>
    <row r="49" spans="1:209" ht="23.25" customHeight="1" x14ac:dyDescent="0.15">
      <c r="A49" s="16">
        <v>44658.494390150459</v>
      </c>
      <c r="B49" s="17" t="s">
        <v>6</v>
      </c>
      <c r="C49" s="17" t="s">
        <v>11</v>
      </c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7" t="s">
        <v>316</v>
      </c>
      <c r="AY49" s="17" t="s">
        <v>317</v>
      </c>
      <c r="AZ49" s="17" t="s">
        <v>352</v>
      </c>
      <c r="BA49" s="17" t="s">
        <v>335</v>
      </c>
      <c r="BB49" s="17" t="s">
        <v>308</v>
      </c>
      <c r="BC49" s="24">
        <v>44323</v>
      </c>
      <c r="BD49" s="24">
        <v>44376</v>
      </c>
      <c r="BE49" s="24">
        <v>44379</v>
      </c>
      <c r="BF49" s="17">
        <v>88</v>
      </c>
      <c r="BG49" s="17" t="s">
        <v>337</v>
      </c>
      <c r="BH49" s="25" t="s">
        <v>353</v>
      </c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9"/>
      <c r="CO49" s="19"/>
      <c r="CP49" s="19"/>
      <c r="CQ49" s="19"/>
      <c r="CR49" s="19"/>
      <c r="CS49" s="19"/>
      <c r="CT49" s="19"/>
      <c r="CU49" s="19"/>
      <c r="CV49" s="19"/>
      <c r="CW49" s="19"/>
      <c r="CX49" s="19"/>
      <c r="CY49" s="19"/>
      <c r="CZ49" s="19"/>
      <c r="DA49" s="19"/>
      <c r="DB49" s="19"/>
      <c r="DC49" s="19"/>
      <c r="DD49" s="19"/>
      <c r="DE49" s="19"/>
      <c r="DF49" s="19"/>
      <c r="DG49" s="19"/>
      <c r="DH49" s="19"/>
      <c r="DI49" s="19"/>
      <c r="DJ49" s="19"/>
      <c r="DK49" s="19"/>
      <c r="DL49" s="19"/>
      <c r="DM49" s="19"/>
      <c r="DN49" s="19"/>
      <c r="DO49" s="19"/>
      <c r="DP49" s="19"/>
      <c r="DQ49" s="19"/>
      <c r="DR49" s="19"/>
      <c r="DS49" s="19"/>
      <c r="DT49" s="19"/>
      <c r="DU49" s="19"/>
      <c r="DV49" s="19"/>
      <c r="DW49" s="19"/>
      <c r="DX49" s="19"/>
      <c r="DY49" s="19"/>
      <c r="DZ49" s="19"/>
      <c r="EA49" s="19"/>
      <c r="EB49" s="19"/>
      <c r="EC49" s="19"/>
      <c r="ED49" s="19"/>
      <c r="EE49" s="19"/>
      <c r="EF49" s="19"/>
      <c r="EG49" s="19"/>
      <c r="EH49" s="19"/>
      <c r="EI49" s="19"/>
      <c r="EJ49" s="19"/>
      <c r="EK49" s="19"/>
      <c r="EL49" s="19"/>
      <c r="EM49" s="19"/>
      <c r="EN49" s="19"/>
      <c r="EO49" s="19"/>
      <c r="EP49" s="19"/>
      <c r="EQ49" s="19"/>
      <c r="ER49" s="19"/>
      <c r="ES49" s="19"/>
      <c r="ET49" s="19"/>
      <c r="EU49" s="19"/>
      <c r="EV49" s="19"/>
      <c r="EW49" s="19"/>
      <c r="EX49" s="19"/>
      <c r="EY49" s="19"/>
      <c r="EZ49" s="19"/>
      <c r="FA49" s="19"/>
      <c r="FB49" s="19"/>
      <c r="FC49" s="19"/>
      <c r="FD49" s="19"/>
      <c r="FE49" s="19"/>
      <c r="FF49" s="19"/>
      <c r="FG49" s="19"/>
      <c r="FH49" s="19"/>
      <c r="FI49" s="19"/>
      <c r="FJ49" s="19"/>
      <c r="FK49" s="19"/>
      <c r="FL49" s="20" t="s">
        <v>320</v>
      </c>
      <c r="FM49" s="20" t="s">
        <v>339</v>
      </c>
      <c r="FN49" s="19"/>
      <c r="FO49" s="19"/>
      <c r="FP49" s="19"/>
      <c r="FQ49" s="19"/>
      <c r="FR49" s="19"/>
      <c r="FS49" s="19"/>
      <c r="FT49" s="19"/>
      <c r="FU49" s="19"/>
      <c r="FV49" s="19"/>
      <c r="FW49" s="19"/>
      <c r="FX49" s="19"/>
      <c r="FY49" s="19"/>
      <c r="FZ49" s="19"/>
      <c r="GA49" s="19"/>
      <c r="GB49" s="19"/>
      <c r="GC49" s="19"/>
      <c r="GD49" s="19"/>
      <c r="GE49" s="19"/>
      <c r="GF49" s="19"/>
      <c r="GG49" s="19"/>
      <c r="GH49" s="19"/>
      <c r="GI49" s="19"/>
      <c r="GJ49" s="19"/>
      <c r="GK49" s="19"/>
      <c r="GL49" s="19"/>
      <c r="GM49" s="19"/>
      <c r="GN49" s="19"/>
      <c r="GO49" s="19"/>
      <c r="GP49" s="19"/>
      <c r="GQ49" s="19"/>
      <c r="GR49" s="19"/>
      <c r="GS49" s="19"/>
      <c r="GT49" s="19"/>
      <c r="GU49" s="19"/>
      <c r="GV49" s="19"/>
      <c r="GW49" s="19"/>
      <c r="GX49" s="19"/>
      <c r="GY49" s="19"/>
      <c r="GZ49" s="19"/>
      <c r="HA49" s="19"/>
    </row>
    <row r="50" spans="1:209" ht="23.25" customHeight="1" x14ac:dyDescent="0.15">
      <c r="A50" s="16">
        <v>44658.49750153935</v>
      </c>
      <c r="B50" s="17" t="s">
        <v>6</v>
      </c>
      <c r="C50" s="17" t="s">
        <v>11</v>
      </c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7" t="s">
        <v>316</v>
      </c>
      <c r="AY50" s="17" t="s">
        <v>317</v>
      </c>
      <c r="AZ50" s="17" t="s">
        <v>354</v>
      </c>
      <c r="BA50" s="17" t="s">
        <v>335</v>
      </c>
      <c r="BB50" s="17" t="s">
        <v>308</v>
      </c>
      <c r="BC50" s="24">
        <v>44319</v>
      </c>
      <c r="BD50" s="24">
        <v>44376</v>
      </c>
      <c r="BE50" s="24">
        <v>44382</v>
      </c>
      <c r="BF50" s="17">
        <v>87</v>
      </c>
      <c r="BG50" s="17" t="s">
        <v>337</v>
      </c>
      <c r="BH50" s="25" t="s">
        <v>355</v>
      </c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C50" s="19"/>
      <c r="DD50" s="19"/>
      <c r="DE50" s="19"/>
      <c r="DF50" s="19"/>
      <c r="DG50" s="19"/>
      <c r="DH50" s="19"/>
      <c r="DI50" s="19"/>
      <c r="DJ50" s="19"/>
      <c r="DK50" s="19"/>
      <c r="DL50" s="19"/>
      <c r="DM50" s="19"/>
      <c r="DN50" s="19"/>
      <c r="DO50" s="19"/>
      <c r="DP50" s="19"/>
      <c r="DQ50" s="19"/>
      <c r="DR50" s="19"/>
      <c r="DS50" s="19"/>
      <c r="DT50" s="19"/>
      <c r="DU50" s="19"/>
      <c r="DV50" s="19"/>
      <c r="DW50" s="19"/>
      <c r="DX50" s="19"/>
      <c r="DY50" s="19"/>
      <c r="DZ50" s="19"/>
      <c r="EA50" s="19"/>
      <c r="EB50" s="19"/>
      <c r="EC50" s="19"/>
      <c r="ED50" s="19"/>
      <c r="EE50" s="19"/>
      <c r="EF50" s="19"/>
      <c r="EG50" s="19"/>
      <c r="EH50" s="19"/>
      <c r="EI50" s="19"/>
      <c r="EJ50" s="19"/>
      <c r="EK50" s="19"/>
      <c r="EL50" s="19"/>
      <c r="EM50" s="19"/>
      <c r="EN50" s="19"/>
      <c r="EO50" s="19"/>
      <c r="EP50" s="19"/>
      <c r="EQ50" s="19"/>
      <c r="ER50" s="19"/>
      <c r="ES50" s="19"/>
      <c r="ET50" s="19"/>
      <c r="EU50" s="19"/>
      <c r="EV50" s="19"/>
      <c r="EW50" s="19"/>
      <c r="EX50" s="19"/>
      <c r="EY50" s="19"/>
      <c r="EZ50" s="19"/>
      <c r="FA50" s="19"/>
      <c r="FB50" s="19"/>
      <c r="FC50" s="19"/>
      <c r="FD50" s="19"/>
      <c r="FE50" s="19"/>
      <c r="FF50" s="19"/>
      <c r="FG50" s="19"/>
      <c r="FH50" s="19"/>
      <c r="FI50" s="19"/>
      <c r="FJ50" s="19"/>
      <c r="FK50" s="19"/>
      <c r="FL50" s="20" t="s">
        <v>320</v>
      </c>
      <c r="FM50" s="20" t="s">
        <v>339</v>
      </c>
      <c r="FN50" s="19"/>
      <c r="FO50" s="19"/>
      <c r="FP50" s="19"/>
      <c r="FQ50" s="19"/>
      <c r="FR50" s="19"/>
      <c r="FS50" s="19"/>
      <c r="FT50" s="19"/>
      <c r="FU50" s="19"/>
      <c r="FV50" s="19"/>
      <c r="FW50" s="19"/>
      <c r="FX50" s="19"/>
      <c r="FY50" s="19"/>
      <c r="FZ50" s="19"/>
      <c r="GA50" s="19"/>
      <c r="GB50" s="19"/>
      <c r="GC50" s="19"/>
      <c r="GD50" s="19"/>
      <c r="GE50" s="19"/>
      <c r="GF50" s="19"/>
      <c r="GG50" s="19"/>
      <c r="GH50" s="19"/>
      <c r="GI50" s="19"/>
      <c r="GJ50" s="19"/>
      <c r="GK50" s="19"/>
      <c r="GL50" s="19"/>
      <c r="GM50" s="19"/>
      <c r="GN50" s="19"/>
      <c r="GO50" s="19"/>
      <c r="GP50" s="19"/>
      <c r="GQ50" s="19"/>
      <c r="GR50" s="19"/>
      <c r="GS50" s="19"/>
      <c r="GT50" s="19"/>
      <c r="GU50" s="19"/>
      <c r="GV50" s="19"/>
      <c r="GW50" s="19"/>
      <c r="GX50" s="19"/>
      <c r="GY50" s="19"/>
      <c r="GZ50" s="19"/>
      <c r="HA50" s="19"/>
    </row>
    <row r="51" spans="1:209" ht="23.25" customHeight="1" x14ac:dyDescent="0.15">
      <c r="A51" s="16">
        <v>44658.500300810185</v>
      </c>
      <c r="B51" s="17" t="s">
        <v>6</v>
      </c>
      <c r="C51" s="17" t="s">
        <v>11</v>
      </c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7" t="s">
        <v>340</v>
      </c>
      <c r="AY51" s="17" t="s">
        <v>306</v>
      </c>
      <c r="AZ51" s="17" t="s">
        <v>349</v>
      </c>
      <c r="BA51" s="17" t="s">
        <v>335</v>
      </c>
      <c r="BB51" s="17" t="s">
        <v>308</v>
      </c>
      <c r="BC51" s="24">
        <v>44348</v>
      </c>
      <c r="BD51" s="24">
        <v>44403</v>
      </c>
      <c r="BE51" s="24">
        <v>44404</v>
      </c>
      <c r="BF51" s="17">
        <v>86</v>
      </c>
      <c r="BG51" s="17" t="s">
        <v>337</v>
      </c>
      <c r="BH51" s="25" t="s">
        <v>356</v>
      </c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C51" s="19"/>
      <c r="DD51" s="19"/>
      <c r="DE51" s="19"/>
      <c r="DF51" s="19"/>
      <c r="DG51" s="19"/>
      <c r="DH51" s="19"/>
      <c r="DI51" s="19"/>
      <c r="DJ51" s="19"/>
      <c r="DK51" s="19"/>
      <c r="DL51" s="19"/>
      <c r="DM51" s="19"/>
      <c r="DN51" s="19"/>
      <c r="DO51" s="19"/>
      <c r="DP51" s="19"/>
      <c r="DQ51" s="19"/>
      <c r="DR51" s="19"/>
      <c r="DS51" s="19"/>
      <c r="DT51" s="19"/>
      <c r="DU51" s="19"/>
      <c r="DV51" s="19"/>
      <c r="DW51" s="19"/>
      <c r="DX51" s="19"/>
      <c r="DY51" s="19"/>
      <c r="DZ51" s="19"/>
      <c r="EA51" s="19"/>
      <c r="EB51" s="19"/>
      <c r="EC51" s="19"/>
      <c r="ED51" s="19"/>
      <c r="EE51" s="19"/>
      <c r="EF51" s="19"/>
      <c r="EG51" s="19"/>
      <c r="EH51" s="19"/>
      <c r="EI51" s="19"/>
      <c r="EJ51" s="19"/>
      <c r="EK51" s="19"/>
      <c r="EL51" s="19"/>
      <c r="EM51" s="19"/>
      <c r="EN51" s="19"/>
      <c r="EO51" s="19"/>
      <c r="EP51" s="19"/>
      <c r="EQ51" s="19"/>
      <c r="ER51" s="19"/>
      <c r="ES51" s="19"/>
      <c r="ET51" s="19"/>
      <c r="EU51" s="19"/>
      <c r="EV51" s="19"/>
      <c r="EW51" s="19"/>
      <c r="EX51" s="19"/>
      <c r="EY51" s="19"/>
      <c r="EZ51" s="19"/>
      <c r="FA51" s="19"/>
      <c r="FB51" s="19"/>
      <c r="FC51" s="19"/>
      <c r="FD51" s="19"/>
      <c r="FE51" s="19"/>
      <c r="FF51" s="19"/>
      <c r="FG51" s="19"/>
      <c r="FH51" s="19"/>
      <c r="FI51" s="19"/>
      <c r="FJ51" s="19"/>
      <c r="FK51" s="19"/>
      <c r="FL51" s="20" t="s">
        <v>310</v>
      </c>
      <c r="FM51" s="20" t="s">
        <v>339</v>
      </c>
      <c r="FN51" s="19"/>
      <c r="FO51" s="19"/>
      <c r="FP51" s="19"/>
      <c r="FQ51" s="19"/>
      <c r="FR51" s="19"/>
      <c r="FS51" s="19"/>
      <c r="FT51" s="19"/>
      <c r="FU51" s="19"/>
      <c r="FV51" s="19"/>
      <c r="FW51" s="19"/>
      <c r="FX51" s="19"/>
      <c r="FY51" s="19"/>
      <c r="FZ51" s="19"/>
      <c r="GA51" s="19"/>
      <c r="GB51" s="19"/>
      <c r="GC51" s="19"/>
      <c r="GD51" s="19"/>
      <c r="GE51" s="19"/>
      <c r="GF51" s="19"/>
      <c r="GG51" s="19"/>
      <c r="GH51" s="19"/>
      <c r="GI51" s="19"/>
      <c r="GJ51" s="19"/>
      <c r="GK51" s="19"/>
      <c r="GL51" s="19"/>
      <c r="GM51" s="19"/>
      <c r="GN51" s="19"/>
      <c r="GO51" s="19"/>
      <c r="GP51" s="19"/>
      <c r="GQ51" s="19"/>
      <c r="GR51" s="19"/>
      <c r="GS51" s="19"/>
      <c r="GT51" s="19"/>
      <c r="GU51" s="19"/>
      <c r="GV51" s="19"/>
      <c r="GW51" s="19"/>
      <c r="GX51" s="19"/>
      <c r="GY51" s="19"/>
      <c r="GZ51" s="19"/>
      <c r="HA51" s="19"/>
    </row>
    <row r="52" spans="1:209" ht="23.25" customHeight="1" x14ac:dyDescent="0.15">
      <c r="A52" s="16">
        <v>44658.502734074078</v>
      </c>
      <c r="B52" s="17" t="s">
        <v>6</v>
      </c>
      <c r="C52" s="17" t="s">
        <v>11</v>
      </c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7" t="s">
        <v>340</v>
      </c>
      <c r="AY52" s="17" t="s">
        <v>306</v>
      </c>
      <c r="AZ52" s="17" t="s">
        <v>352</v>
      </c>
      <c r="BA52" s="17" t="s">
        <v>335</v>
      </c>
      <c r="BB52" s="17" t="s">
        <v>308</v>
      </c>
      <c r="BC52" s="24">
        <v>44320</v>
      </c>
      <c r="BD52" s="24">
        <v>44376</v>
      </c>
      <c r="BE52" s="24">
        <v>44383</v>
      </c>
      <c r="BF52" s="17">
        <v>86</v>
      </c>
      <c r="BG52" s="17" t="s">
        <v>337</v>
      </c>
      <c r="BH52" s="25" t="s">
        <v>357</v>
      </c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C52" s="19"/>
      <c r="DD52" s="19"/>
      <c r="DE52" s="19"/>
      <c r="DF52" s="19"/>
      <c r="DG52" s="19"/>
      <c r="DH52" s="19"/>
      <c r="DI52" s="19"/>
      <c r="DJ52" s="19"/>
      <c r="DK52" s="19"/>
      <c r="DL52" s="19"/>
      <c r="DM52" s="19"/>
      <c r="DN52" s="19"/>
      <c r="DO52" s="19"/>
      <c r="DP52" s="19"/>
      <c r="DQ52" s="19"/>
      <c r="DR52" s="19"/>
      <c r="DS52" s="19"/>
      <c r="DT52" s="19"/>
      <c r="DU52" s="19"/>
      <c r="DV52" s="19"/>
      <c r="DW52" s="19"/>
      <c r="DX52" s="19"/>
      <c r="DY52" s="19"/>
      <c r="DZ52" s="19"/>
      <c r="EA52" s="19"/>
      <c r="EB52" s="19"/>
      <c r="EC52" s="19"/>
      <c r="ED52" s="19"/>
      <c r="EE52" s="19"/>
      <c r="EF52" s="19"/>
      <c r="EG52" s="19"/>
      <c r="EH52" s="19"/>
      <c r="EI52" s="19"/>
      <c r="EJ52" s="19"/>
      <c r="EK52" s="19"/>
      <c r="EL52" s="19"/>
      <c r="EM52" s="19"/>
      <c r="EN52" s="19"/>
      <c r="EO52" s="19"/>
      <c r="EP52" s="19"/>
      <c r="EQ52" s="19"/>
      <c r="ER52" s="19"/>
      <c r="ES52" s="19"/>
      <c r="ET52" s="19"/>
      <c r="EU52" s="19"/>
      <c r="EV52" s="19"/>
      <c r="EW52" s="19"/>
      <c r="EX52" s="19"/>
      <c r="EY52" s="19"/>
      <c r="EZ52" s="19"/>
      <c r="FA52" s="19"/>
      <c r="FB52" s="19"/>
      <c r="FC52" s="19"/>
      <c r="FD52" s="19"/>
      <c r="FE52" s="19"/>
      <c r="FF52" s="19"/>
      <c r="FG52" s="19"/>
      <c r="FH52" s="19"/>
      <c r="FI52" s="19"/>
      <c r="FJ52" s="19"/>
      <c r="FK52" s="19"/>
      <c r="FL52" s="20" t="s">
        <v>310</v>
      </c>
      <c r="FM52" s="20" t="s">
        <v>339</v>
      </c>
      <c r="FN52" s="19"/>
      <c r="FO52" s="19"/>
      <c r="FP52" s="19"/>
      <c r="FQ52" s="19"/>
      <c r="FR52" s="19"/>
      <c r="FS52" s="19"/>
      <c r="FT52" s="19"/>
      <c r="FU52" s="19"/>
      <c r="FV52" s="19"/>
      <c r="FW52" s="19"/>
      <c r="FX52" s="19"/>
      <c r="FY52" s="19"/>
      <c r="FZ52" s="19"/>
      <c r="GA52" s="19"/>
      <c r="GB52" s="19"/>
      <c r="GC52" s="19"/>
      <c r="GD52" s="19"/>
      <c r="GE52" s="19"/>
      <c r="GF52" s="19"/>
      <c r="GG52" s="19"/>
      <c r="GH52" s="19"/>
      <c r="GI52" s="19"/>
      <c r="GJ52" s="19"/>
      <c r="GK52" s="19"/>
      <c r="GL52" s="19"/>
      <c r="GM52" s="19"/>
      <c r="GN52" s="19"/>
      <c r="GO52" s="19"/>
      <c r="GP52" s="19"/>
      <c r="GQ52" s="19"/>
      <c r="GR52" s="19"/>
      <c r="GS52" s="19"/>
      <c r="GT52" s="19"/>
      <c r="GU52" s="19"/>
      <c r="GV52" s="19"/>
      <c r="GW52" s="19"/>
      <c r="GX52" s="19"/>
      <c r="GY52" s="19"/>
      <c r="GZ52" s="19"/>
      <c r="HA52" s="19"/>
    </row>
    <row r="53" spans="1:209" ht="23.25" customHeight="1" x14ac:dyDescent="0.15">
      <c r="A53" s="16">
        <v>44658.504157592593</v>
      </c>
      <c r="B53" s="17" t="s">
        <v>6</v>
      </c>
      <c r="C53" s="17" t="s">
        <v>11</v>
      </c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7" t="s">
        <v>340</v>
      </c>
      <c r="AY53" s="17" t="s">
        <v>306</v>
      </c>
      <c r="AZ53" s="17" t="s">
        <v>354</v>
      </c>
      <c r="BA53" s="17" t="s">
        <v>335</v>
      </c>
      <c r="BB53" s="17" t="s">
        <v>346</v>
      </c>
      <c r="BC53" s="24">
        <v>44328</v>
      </c>
      <c r="BD53" s="24">
        <v>44376</v>
      </c>
      <c r="BE53" s="24">
        <v>44383</v>
      </c>
      <c r="BF53" s="17">
        <v>86</v>
      </c>
      <c r="BG53" s="17" t="s">
        <v>337</v>
      </c>
      <c r="BH53" s="25" t="s">
        <v>358</v>
      </c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9"/>
      <c r="CO53" s="19"/>
      <c r="CP53" s="19"/>
      <c r="CQ53" s="19"/>
      <c r="CR53" s="19"/>
      <c r="CS53" s="19"/>
      <c r="CT53" s="19"/>
      <c r="CU53" s="19"/>
      <c r="CV53" s="19"/>
      <c r="CW53" s="19"/>
      <c r="CX53" s="19"/>
      <c r="CY53" s="19"/>
      <c r="CZ53" s="19"/>
      <c r="DA53" s="19"/>
      <c r="DB53" s="19"/>
      <c r="DC53" s="19"/>
      <c r="DD53" s="19"/>
      <c r="DE53" s="19"/>
      <c r="DF53" s="19"/>
      <c r="DG53" s="19"/>
      <c r="DH53" s="19"/>
      <c r="DI53" s="19"/>
      <c r="DJ53" s="19"/>
      <c r="DK53" s="19"/>
      <c r="DL53" s="19"/>
      <c r="DM53" s="19"/>
      <c r="DN53" s="19"/>
      <c r="DO53" s="19"/>
      <c r="DP53" s="19"/>
      <c r="DQ53" s="19"/>
      <c r="DR53" s="19"/>
      <c r="DS53" s="19"/>
      <c r="DT53" s="19"/>
      <c r="DU53" s="19"/>
      <c r="DV53" s="19"/>
      <c r="DW53" s="19"/>
      <c r="DX53" s="19"/>
      <c r="DY53" s="19"/>
      <c r="DZ53" s="19"/>
      <c r="EA53" s="19"/>
      <c r="EB53" s="19"/>
      <c r="EC53" s="19"/>
      <c r="ED53" s="19"/>
      <c r="EE53" s="19"/>
      <c r="EF53" s="19"/>
      <c r="EG53" s="19"/>
      <c r="EH53" s="19"/>
      <c r="EI53" s="19"/>
      <c r="EJ53" s="19"/>
      <c r="EK53" s="19"/>
      <c r="EL53" s="19"/>
      <c r="EM53" s="19"/>
      <c r="EN53" s="19"/>
      <c r="EO53" s="19"/>
      <c r="EP53" s="19"/>
      <c r="EQ53" s="19"/>
      <c r="ER53" s="19"/>
      <c r="ES53" s="19"/>
      <c r="ET53" s="19"/>
      <c r="EU53" s="19"/>
      <c r="EV53" s="19"/>
      <c r="EW53" s="19"/>
      <c r="EX53" s="19"/>
      <c r="EY53" s="19"/>
      <c r="EZ53" s="19"/>
      <c r="FA53" s="19"/>
      <c r="FB53" s="19"/>
      <c r="FC53" s="19"/>
      <c r="FD53" s="19"/>
      <c r="FE53" s="19"/>
      <c r="FF53" s="19"/>
      <c r="FG53" s="19"/>
      <c r="FH53" s="19"/>
      <c r="FI53" s="19"/>
      <c r="FJ53" s="19"/>
      <c r="FK53" s="19"/>
      <c r="FL53" s="20" t="s">
        <v>310</v>
      </c>
      <c r="FM53" s="20" t="s">
        <v>339</v>
      </c>
      <c r="FN53" s="19"/>
      <c r="FO53" s="19"/>
      <c r="FP53" s="19"/>
      <c r="FQ53" s="19"/>
      <c r="FR53" s="19"/>
      <c r="FS53" s="19"/>
      <c r="FT53" s="19"/>
      <c r="FU53" s="19"/>
      <c r="FV53" s="19"/>
      <c r="FW53" s="19"/>
      <c r="FX53" s="19"/>
      <c r="FY53" s="19"/>
      <c r="FZ53" s="19"/>
      <c r="GA53" s="19"/>
      <c r="GB53" s="19"/>
      <c r="GC53" s="19"/>
      <c r="GD53" s="19"/>
      <c r="GE53" s="19"/>
      <c r="GF53" s="19"/>
      <c r="GG53" s="19"/>
      <c r="GH53" s="19"/>
      <c r="GI53" s="19"/>
      <c r="GJ53" s="19"/>
      <c r="GK53" s="19"/>
      <c r="GL53" s="19"/>
      <c r="GM53" s="19"/>
      <c r="GN53" s="19"/>
      <c r="GO53" s="19"/>
      <c r="GP53" s="19"/>
      <c r="GQ53" s="19"/>
      <c r="GR53" s="19"/>
      <c r="GS53" s="19"/>
      <c r="GT53" s="19"/>
      <c r="GU53" s="19"/>
      <c r="GV53" s="19"/>
      <c r="GW53" s="19"/>
      <c r="GX53" s="19"/>
      <c r="GY53" s="19"/>
      <c r="GZ53" s="19"/>
      <c r="HA53" s="19"/>
    </row>
    <row r="54" spans="1:209" ht="23.25" customHeight="1" x14ac:dyDescent="0.15">
      <c r="A54" s="16">
        <v>44658.514885462966</v>
      </c>
      <c r="B54" s="17" t="s">
        <v>6</v>
      </c>
      <c r="C54" s="17" t="s">
        <v>17</v>
      </c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C54" s="19"/>
      <c r="DD54" s="19"/>
      <c r="DE54" s="19"/>
      <c r="DF54" s="19"/>
      <c r="DG54" s="19"/>
      <c r="DH54" s="19"/>
      <c r="DI54" s="19"/>
      <c r="DJ54" s="19"/>
      <c r="DK54" s="19"/>
      <c r="DL54" s="19"/>
      <c r="DM54" s="19"/>
      <c r="DN54" s="19"/>
      <c r="DO54" s="19"/>
      <c r="DP54" s="19"/>
      <c r="DQ54" s="19"/>
      <c r="DR54" s="19"/>
      <c r="DS54" s="19"/>
      <c r="DT54" s="19"/>
      <c r="DU54" s="19"/>
      <c r="DV54" s="19"/>
      <c r="DW54" s="19"/>
      <c r="DX54" s="20" t="s">
        <v>316</v>
      </c>
      <c r="DY54" s="20" t="s">
        <v>317</v>
      </c>
      <c r="DZ54" s="20" t="s">
        <v>166</v>
      </c>
      <c r="EA54" s="20" t="s">
        <v>359</v>
      </c>
      <c r="EB54" s="21">
        <v>44339</v>
      </c>
      <c r="EC54" s="20" t="s">
        <v>360</v>
      </c>
      <c r="ED54" s="22" t="s">
        <v>361</v>
      </c>
      <c r="EE54" s="19"/>
      <c r="EF54" s="19"/>
      <c r="EG54" s="19"/>
      <c r="EH54" s="19"/>
      <c r="EI54" s="19"/>
      <c r="EJ54" s="19"/>
      <c r="EK54" s="19"/>
      <c r="EL54" s="19"/>
      <c r="EM54" s="19"/>
      <c r="EN54" s="19"/>
      <c r="EO54" s="19"/>
      <c r="EP54" s="19"/>
      <c r="EQ54" s="19"/>
      <c r="ER54" s="19"/>
      <c r="ES54" s="19"/>
      <c r="ET54" s="19"/>
      <c r="EU54" s="19"/>
      <c r="EV54" s="19"/>
      <c r="EW54" s="19"/>
      <c r="EX54" s="19"/>
      <c r="EY54" s="19"/>
      <c r="EZ54" s="19"/>
      <c r="FA54" s="19"/>
      <c r="FB54" s="19"/>
      <c r="FC54" s="19"/>
      <c r="FD54" s="19"/>
      <c r="FE54" s="19"/>
      <c r="FF54" s="19"/>
      <c r="FG54" s="19"/>
      <c r="FH54" s="19"/>
      <c r="FI54" s="19"/>
      <c r="FJ54" s="19"/>
      <c r="FK54" s="19"/>
      <c r="FL54" s="20" t="s">
        <v>320</v>
      </c>
      <c r="FM54" s="20" t="s">
        <v>278</v>
      </c>
      <c r="FN54" s="19"/>
      <c r="FO54" s="19"/>
      <c r="FP54" s="19"/>
      <c r="FQ54" s="19"/>
      <c r="FR54" s="19"/>
      <c r="FS54" s="19"/>
      <c r="FT54" s="19"/>
      <c r="FU54" s="19"/>
      <c r="FV54" s="19"/>
      <c r="FW54" s="19"/>
      <c r="FX54" s="19"/>
      <c r="FY54" s="19"/>
      <c r="FZ54" s="19"/>
      <c r="GA54" s="19"/>
      <c r="GB54" s="19"/>
      <c r="GC54" s="19"/>
      <c r="GD54" s="19"/>
      <c r="GE54" s="19"/>
      <c r="GF54" s="19"/>
      <c r="GG54" s="19"/>
      <c r="GH54" s="19"/>
      <c r="GI54" s="19"/>
      <c r="GJ54" s="19"/>
      <c r="GK54" s="19"/>
      <c r="GL54" s="19"/>
      <c r="GM54" s="19"/>
      <c r="GN54" s="19"/>
      <c r="GO54" s="19"/>
      <c r="GP54" s="19"/>
      <c r="GQ54" s="19"/>
      <c r="GR54" s="19"/>
      <c r="GS54" s="19"/>
      <c r="GT54" s="19"/>
      <c r="GU54" s="19"/>
      <c r="GV54" s="19"/>
      <c r="GW54" s="19"/>
      <c r="GX54" s="19"/>
      <c r="GY54" s="19"/>
      <c r="GZ54" s="19"/>
      <c r="HA54" s="19"/>
    </row>
    <row r="55" spans="1:209" ht="23.25" customHeight="1" x14ac:dyDescent="0.15">
      <c r="A55" s="16">
        <v>44658.518352395833</v>
      </c>
      <c r="B55" s="17" t="s">
        <v>6</v>
      </c>
      <c r="C55" s="17" t="s">
        <v>11</v>
      </c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7" t="s">
        <v>316</v>
      </c>
      <c r="AY55" s="17" t="s">
        <v>317</v>
      </c>
      <c r="AZ55" s="17" t="s">
        <v>362</v>
      </c>
      <c r="BA55" s="17" t="s">
        <v>343</v>
      </c>
      <c r="BB55" s="17" t="s">
        <v>308</v>
      </c>
      <c r="BC55" s="24">
        <v>43868</v>
      </c>
      <c r="BD55" s="24">
        <v>43937</v>
      </c>
      <c r="BE55" s="24">
        <v>43942</v>
      </c>
      <c r="BF55" s="17">
        <v>96</v>
      </c>
      <c r="BG55" s="17" t="s">
        <v>363</v>
      </c>
      <c r="BH55" s="25" t="s">
        <v>364</v>
      </c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9"/>
      <c r="BZ55" s="19"/>
      <c r="CA55" s="19"/>
      <c r="CB55" s="19"/>
      <c r="CC55" s="19"/>
      <c r="CD55" s="19"/>
      <c r="CE55" s="19"/>
      <c r="CF55" s="19"/>
      <c r="CG55" s="19"/>
      <c r="CH55" s="19"/>
      <c r="CI55" s="19"/>
      <c r="CJ55" s="19"/>
      <c r="CK55" s="19"/>
      <c r="CL55" s="19"/>
      <c r="CM55" s="19"/>
      <c r="CN55" s="19"/>
      <c r="CO55" s="19"/>
      <c r="CP55" s="19"/>
      <c r="CQ55" s="19"/>
      <c r="CR55" s="19"/>
      <c r="CS55" s="19"/>
      <c r="CT55" s="19"/>
      <c r="CU55" s="19"/>
      <c r="CV55" s="19"/>
      <c r="CW55" s="19"/>
      <c r="CX55" s="19"/>
      <c r="CY55" s="19"/>
      <c r="CZ55" s="19"/>
      <c r="DA55" s="19"/>
      <c r="DB55" s="19"/>
      <c r="DC55" s="19"/>
      <c r="DD55" s="19"/>
      <c r="DE55" s="19"/>
      <c r="DF55" s="19"/>
      <c r="DG55" s="19"/>
      <c r="DH55" s="19"/>
      <c r="DI55" s="19"/>
      <c r="DJ55" s="19"/>
      <c r="DK55" s="19"/>
      <c r="DL55" s="19"/>
      <c r="DM55" s="19"/>
      <c r="DN55" s="19"/>
      <c r="DO55" s="19"/>
      <c r="DP55" s="19"/>
      <c r="DQ55" s="19"/>
      <c r="DR55" s="19"/>
      <c r="DS55" s="19"/>
      <c r="DT55" s="19"/>
      <c r="DU55" s="19"/>
      <c r="DV55" s="19"/>
      <c r="DW55" s="19"/>
      <c r="DX55" s="19"/>
      <c r="DY55" s="19"/>
      <c r="DZ55" s="19"/>
      <c r="EA55" s="19"/>
      <c r="EB55" s="19"/>
      <c r="EC55" s="19"/>
      <c r="ED55" s="19"/>
      <c r="EE55" s="19"/>
      <c r="EF55" s="19"/>
      <c r="EG55" s="19"/>
      <c r="EH55" s="19"/>
      <c r="EI55" s="19"/>
      <c r="EJ55" s="19"/>
      <c r="EK55" s="19"/>
      <c r="EL55" s="19"/>
      <c r="EM55" s="19"/>
      <c r="EN55" s="19"/>
      <c r="EO55" s="19"/>
      <c r="EP55" s="19"/>
      <c r="EQ55" s="19"/>
      <c r="ER55" s="19"/>
      <c r="ES55" s="19"/>
      <c r="ET55" s="19"/>
      <c r="EU55" s="19"/>
      <c r="EV55" s="19"/>
      <c r="EW55" s="19"/>
      <c r="EX55" s="19"/>
      <c r="EY55" s="19"/>
      <c r="EZ55" s="19"/>
      <c r="FA55" s="19"/>
      <c r="FB55" s="19"/>
      <c r="FC55" s="19"/>
      <c r="FD55" s="19"/>
      <c r="FE55" s="19"/>
      <c r="FF55" s="19"/>
      <c r="FG55" s="19"/>
      <c r="FH55" s="19"/>
      <c r="FI55" s="19"/>
      <c r="FJ55" s="19"/>
      <c r="FK55" s="19"/>
      <c r="FL55" s="20" t="s">
        <v>320</v>
      </c>
      <c r="FM55" s="20" t="s">
        <v>321</v>
      </c>
      <c r="FN55" s="19"/>
      <c r="FO55" s="19"/>
      <c r="FP55" s="19"/>
      <c r="FQ55" s="19"/>
      <c r="FR55" s="19"/>
      <c r="FS55" s="19"/>
      <c r="FT55" s="19"/>
      <c r="FU55" s="19"/>
      <c r="FV55" s="19"/>
      <c r="FW55" s="19"/>
      <c r="FX55" s="19"/>
      <c r="FY55" s="19"/>
      <c r="FZ55" s="19"/>
      <c r="GA55" s="19"/>
      <c r="GB55" s="19"/>
      <c r="GC55" s="19"/>
      <c r="GD55" s="19"/>
      <c r="GE55" s="19"/>
      <c r="GF55" s="19"/>
      <c r="GG55" s="19"/>
      <c r="GH55" s="19"/>
      <c r="GI55" s="19"/>
      <c r="GJ55" s="19"/>
      <c r="GK55" s="19"/>
      <c r="GL55" s="19"/>
      <c r="GM55" s="19"/>
      <c r="GN55" s="19"/>
      <c r="GO55" s="19"/>
      <c r="GP55" s="19"/>
      <c r="GQ55" s="19"/>
      <c r="GR55" s="19"/>
      <c r="GS55" s="19"/>
      <c r="GT55" s="19"/>
      <c r="GU55" s="19"/>
      <c r="GV55" s="19"/>
      <c r="GW55" s="19"/>
      <c r="GX55" s="19"/>
      <c r="GY55" s="19"/>
      <c r="GZ55" s="19"/>
      <c r="HA55" s="19"/>
    </row>
    <row r="56" spans="1:209" ht="23.25" customHeight="1" x14ac:dyDescent="0.15">
      <c r="A56" s="16">
        <v>44658.520007222221</v>
      </c>
      <c r="B56" s="17" t="s">
        <v>6</v>
      </c>
      <c r="C56" s="17" t="s">
        <v>11</v>
      </c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7" t="s">
        <v>316</v>
      </c>
      <c r="AY56" s="17" t="s">
        <v>317</v>
      </c>
      <c r="AZ56" s="17" t="s">
        <v>365</v>
      </c>
      <c r="BA56" s="17" t="s">
        <v>343</v>
      </c>
      <c r="BB56" s="17" t="s">
        <v>308</v>
      </c>
      <c r="BC56" s="24">
        <v>43866</v>
      </c>
      <c r="BD56" s="24">
        <v>43922</v>
      </c>
      <c r="BE56" s="24">
        <v>43924</v>
      </c>
      <c r="BF56" s="17">
        <v>96</v>
      </c>
      <c r="BG56" s="17" t="s">
        <v>363</v>
      </c>
      <c r="BH56" s="25" t="s">
        <v>366</v>
      </c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C56" s="19"/>
      <c r="DD56" s="19"/>
      <c r="DE56" s="19"/>
      <c r="DF56" s="19"/>
      <c r="DG56" s="19"/>
      <c r="DH56" s="19"/>
      <c r="DI56" s="19"/>
      <c r="DJ56" s="19"/>
      <c r="DK56" s="19"/>
      <c r="DL56" s="19"/>
      <c r="DM56" s="19"/>
      <c r="DN56" s="19"/>
      <c r="DO56" s="19"/>
      <c r="DP56" s="19"/>
      <c r="DQ56" s="19"/>
      <c r="DR56" s="19"/>
      <c r="DS56" s="19"/>
      <c r="DT56" s="19"/>
      <c r="DU56" s="19"/>
      <c r="DV56" s="19"/>
      <c r="DW56" s="19"/>
      <c r="DX56" s="19"/>
      <c r="DY56" s="19"/>
      <c r="DZ56" s="19"/>
      <c r="EA56" s="19"/>
      <c r="EB56" s="19"/>
      <c r="EC56" s="19"/>
      <c r="ED56" s="19"/>
      <c r="EE56" s="19"/>
      <c r="EF56" s="19"/>
      <c r="EG56" s="19"/>
      <c r="EH56" s="19"/>
      <c r="EI56" s="19"/>
      <c r="EJ56" s="19"/>
      <c r="EK56" s="19"/>
      <c r="EL56" s="19"/>
      <c r="EM56" s="19"/>
      <c r="EN56" s="19"/>
      <c r="EO56" s="19"/>
      <c r="EP56" s="19"/>
      <c r="EQ56" s="19"/>
      <c r="ER56" s="19"/>
      <c r="ES56" s="19"/>
      <c r="ET56" s="19"/>
      <c r="EU56" s="19"/>
      <c r="EV56" s="19"/>
      <c r="EW56" s="19"/>
      <c r="EX56" s="19"/>
      <c r="EY56" s="19"/>
      <c r="EZ56" s="19"/>
      <c r="FA56" s="19"/>
      <c r="FB56" s="19"/>
      <c r="FC56" s="19"/>
      <c r="FD56" s="19"/>
      <c r="FE56" s="19"/>
      <c r="FF56" s="19"/>
      <c r="FG56" s="19"/>
      <c r="FH56" s="19"/>
      <c r="FI56" s="19"/>
      <c r="FJ56" s="19"/>
      <c r="FK56" s="19"/>
      <c r="FL56" s="20" t="s">
        <v>320</v>
      </c>
      <c r="FM56" s="20" t="s">
        <v>321</v>
      </c>
      <c r="FN56" s="19"/>
      <c r="FO56" s="19"/>
      <c r="FP56" s="19"/>
      <c r="FQ56" s="19"/>
      <c r="FR56" s="19"/>
      <c r="FS56" s="19"/>
      <c r="FT56" s="19"/>
      <c r="FU56" s="19"/>
      <c r="FV56" s="19"/>
      <c r="FW56" s="19"/>
      <c r="FX56" s="19"/>
      <c r="FY56" s="19"/>
      <c r="FZ56" s="19"/>
      <c r="GA56" s="19"/>
      <c r="GB56" s="19"/>
      <c r="GC56" s="19"/>
      <c r="GD56" s="19"/>
      <c r="GE56" s="19"/>
      <c r="GF56" s="19"/>
      <c r="GG56" s="19"/>
      <c r="GH56" s="19"/>
      <c r="GI56" s="19"/>
      <c r="GJ56" s="19"/>
      <c r="GK56" s="19"/>
      <c r="GL56" s="19"/>
      <c r="GM56" s="19"/>
      <c r="GN56" s="19"/>
      <c r="GO56" s="19"/>
      <c r="GP56" s="19"/>
      <c r="GQ56" s="19"/>
      <c r="GR56" s="19"/>
      <c r="GS56" s="19"/>
      <c r="GT56" s="19"/>
      <c r="GU56" s="19"/>
      <c r="GV56" s="19"/>
      <c r="GW56" s="19"/>
      <c r="GX56" s="19"/>
      <c r="GY56" s="19"/>
      <c r="GZ56" s="19"/>
      <c r="HA56" s="19"/>
    </row>
    <row r="57" spans="1:209" ht="23.25" customHeight="1" x14ac:dyDescent="0.15">
      <c r="A57" s="16">
        <v>44658.521850949073</v>
      </c>
      <c r="B57" s="17" t="s">
        <v>6</v>
      </c>
      <c r="C57" s="17" t="s">
        <v>11</v>
      </c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7" t="s">
        <v>340</v>
      </c>
      <c r="AY57" s="17" t="s">
        <v>306</v>
      </c>
      <c r="AZ57" s="17" t="s">
        <v>367</v>
      </c>
      <c r="BA57" s="17" t="s">
        <v>343</v>
      </c>
      <c r="BB57" s="17" t="s">
        <v>368</v>
      </c>
      <c r="BC57" s="24">
        <v>43864</v>
      </c>
      <c r="BD57" s="24">
        <v>43920</v>
      </c>
      <c r="BE57" s="24">
        <v>43923</v>
      </c>
      <c r="BF57" s="17">
        <v>92</v>
      </c>
      <c r="BG57" s="17" t="s">
        <v>363</v>
      </c>
      <c r="BH57" s="25" t="s">
        <v>369</v>
      </c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9"/>
      <c r="BZ57" s="19"/>
      <c r="CA57" s="19"/>
      <c r="CB57" s="19"/>
      <c r="CC57" s="19"/>
      <c r="CD57" s="19"/>
      <c r="CE57" s="19"/>
      <c r="CF57" s="19"/>
      <c r="CG57" s="19"/>
      <c r="CH57" s="19"/>
      <c r="CI57" s="19"/>
      <c r="CJ57" s="19"/>
      <c r="CK57" s="19"/>
      <c r="CL57" s="19"/>
      <c r="CM57" s="19"/>
      <c r="CN57" s="19"/>
      <c r="CO57" s="19"/>
      <c r="CP57" s="19"/>
      <c r="CQ57" s="19"/>
      <c r="CR57" s="19"/>
      <c r="CS57" s="19"/>
      <c r="CT57" s="19"/>
      <c r="CU57" s="19"/>
      <c r="CV57" s="19"/>
      <c r="CW57" s="19"/>
      <c r="CX57" s="19"/>
      <c r="CY57" s="19"/>
      <c r="CZ57" s="19"/>
      <c r="DA57" s="19"/>
      <c r="DB57" s="19"/>
      <c r="DC57" s="19"/>
      <c r="DD57" s="19"/>
      <c r="DE57" s="19"/>
      <c r="DF57" s="19"/>
      <c r="DG57" s="19"/>
      <c r="DH57" s="19"/>
      <c r="DI57" s="19"/>
      <c r="DJ57" s="19"/>
      <c r="DK57" s="19"/>
      <c r="DL57" s="19"/>
      <c r="DM57" s="19"/>
      <c r="DN57" s="19"/>
      <c r="DO57" s="19"/>
      <c r="DP57" s="19"/>
      <c r="DQ57" s="19"/>
      <c r="DR57" s="19"/>
      <c r="DS57" s="19"/>
      <c r="DT57" s="19"/>
      <c r="DU57" s="19"/>
      <c r="DV57" s="19"/>
      <c r="DW57" s="19"/>
      <c r="DX57" s="19"/>
      <c r="DY57" s="19"/>
      <c r="DZ57" s="19"/>
      <c r="EA57" s="19"/>
      <c r="EB57" s="19"/>
      <c r="EC57" s="19"/>
      <c r="ED57" s="19"/>
      <c r="EE57" s="19"/>
      <c r="EF57" s="19"/>
      <c r="EG57" s="19"/>
      <c r="EH57" s="19"/>
      <c r="EI57" s="19"/>
      <c r="EJ57" s="19"/>
      <c r="EK57" s="19"/>
      <c r="EL57" s="19"/>
      <c r="EM57" s="19"/>
      <c r="EN57" s="19"/>
      <c r="EO57" s="19"/>
      <c r="EP57" s="19"/>
      <c r="EQ57" s="19"/>
      <c r="ER57" s="19"/>
      <c r="ES57" s="19"/>
      <c r="ET57" s="19"/>
      <c r="EU57" s="19"/>
      <c r="EV57" s="19"/>
      <c r="EW57" s="19"/>
      <c r="EX57" s="19"/>
      <c r="EY57" s="19"/>
      <c r="EZ57" s="19"/>
      <c r="FA57" s="19"/>
      <c r="FB57" s="19"/>
      <c r="FC57" s="19"/>
      <c r="FD57" s="19"/>
      <c r="FE57" s="19"/>
      <c r="FF57" s="19"/>
      <c r="FG57" s="19"/>
      <c r="FH57" s="19"/>
      <c r="FI57" s="19"/>
      <c r="FJ57" s="19"/>
      <c r="FK57" s="19"/>
      <c r="FL57" s="20" t="s">
        <v>310</v>
      </c>
      <c r="FM57" s="20" t="s">
        <v>321</v>
      </c>
      <c r="FN57" s="19"/>
      <c r="FO57" s="19"/>
      <c r="FP57" s="19"/>
      <c r="FQ57" s="19"/>
      <c r="FR57" s="19"/>
      <c r="FS57" s="19"/>
      <c r="FT57" s="19"/>
      <c r="FU57" s="19"/>
      <c r="FV57" s="19"/>
      <c r="FW57" s="19"/>
      <c r="FX57" s="19"/>
      <c r="FY57" s="19"/>
      <c r="FZ57" s="19"/>
      <c r="GA57" s="19"/>
      <c r="GB57" s="19"/>
      <c r="GC57" s="19"/>
      <c r="GD57" s="19"/>
      <c r="GE57" s="19"/>
      <c r="GF57" s="19"/>
      <c r="GG57" s="19"/>
      <c r="GH57" s="19"/>
      <c r="GI57" s="19"/>
      <c r="GJ57" s="19"/>
      <c r="GK57" s="19"/>
      <c r="GL57" s="19"/>
      <c r="GM57" s="19"/>
      <c r="GN57" s="19"/>
      <c r="GO57" s="19"/>
      <c r="GP57" s="19"/>
      <c r="GQ57" s="19"/>
      <c r="GR57" s="19"/>
      <c r="GS57" s="19"/>
      <c r="GT57" s="19"/>
      <c r="GU57" s="19"/>
      <c r="GV57" s="19"/>
      <c r="GW57" s="19"/>
      <c r="GX57" s="19"/>
      <c r="GY57" s="19"/>
      <c r="GZ57" s="19"/>
      <c r="HA57" s="19"/>
    </row>
    <row r="58" spans="1:209" ht="23.25" customHeight="1" x14ac:dyDescent="0.15">
      <c r="A58" s="16">
        <v>44658.523409398149</v>
      </c>
      <c r="B58" s="17" t="s">
        <v>6</v>
      </c>
      <c r="C58" s="17" t="s">
        <v>11</v>
      </c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7" t="s">
        <v>340</v>
      </c>
      <c r="AY58" s="17" t="s">
        <v>306</v>
      </c>
      <c r="AZ58" s="17" t="s">
        <v>342</v>
      </c>
      <c r="BA58" s="17" t="s">
        <v>370</v>
      </c>
      <c r="BB58" s="17" t="s">
        <v>308</v>
      </c>
      <c r="BC58" s="24">
        <v>43865</v>
      </c>
      <c r="BD58" s="24">
        <v>43920</v>
      </c>
      <c r="BE58" s="24">
        <v>43923</v>
      </c>
      <c r="BF58" s="17">
        <v>94</v>
      </c>
      <c r="BG58" s="17" t="s">
        <v>363</v>
      </c>
      <c r="BH58" s="25" t="s">
        <v>371</v>
      </c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C58" s="19"/>
      <c r="DD58" s="19"/>
      <c r="DE58" s="19"/>
      <c r="DF58" s="19"/>
      <c r="DG58" s="19"/>
      <c r="DH58" s="19"/>
      <c r="DI58" s="19"/>
      <c r="DJ58" s="19"/>
      <c r="DK58" s="19"/>
      <c r="DL58" s="19"/>
      <c r="DM58" s="19"/>
      <c r="DN58" s="19"/>
      <c r="DO58" s="19"/>
      <c r="DP58" s="19"/>
      <c r="DQ58" s="19"/>
      <c r="DR58" s="19"/>
      <c r="DS58" s="19"/>
      <c r="DT58" s="19"/>
      <c r="DU58" s="19"/>
      <c r="DV58" s="19"/>
      <c r="DW58" s="19"/>
      <c r="DX58" s="19"/>
      <c r="DY58" s="19"/>
      <c r="DZ58" s="19"/>
      <c r="EA58" s="19"/>
      <c r="EB58" s="19"/>
      <c r="EC58" s="19"/>
      <c r="ED58" s="19"/>
      <c r="EE58" s="19"/>
      <c r="EF58" s="19"/>
      <c r="EG58" s="19"/>
      <c r="EH58" s="19"/>
      <c r="EI58" s="19"/>
      <c r="EJ58" s="19"/>
      <c r="EK58" s="19"/>
      <c r="EL58" s="19"/>
      <c r="EM58" s="19"/>
      <c r="EN58" s="19"/>
      <c r="EO58" s="19"/>
      <c r="EP58" s="19"/>
      <c r="EQ58" s="19"/>
      <c r="ER58" s="19"/>
      <c r="ES58" s="19"/>
      <c r="ET58" s="19"/>
      <c r="EU58" s="19"/>
      <c r="EV58" s="19"/>
      <c r="EW58" s="19"/>
      <c r="EX58" s="19"/>
      <c r="EY58" s="19"/>
      <c r="EZ58" s="19"/>
      <c r="FA58" s="19"/>
      <c r="FB58" s="19"/>
      <c r="FC58" s="19"/>
      <c r="FD58" s="19"/>
      <c r="FE58" s="19"/>
      <c r="FF58" s="19"/>
      <c r="FG58" s="19"/>
      <c r="FH58" s="19"/>
      <c r="FI58" s="19"/>
      <c r="FJ58" s="19"/>
      <c r="FK58" s="19"/>
      <c r="FL58" s="20" t="s">
        <v>310</v>
      </c>
      <c r="FM58" s="20" t="s">
        <v>321</v>
      </c>
      <c r="FN58" s="19"/>
      <c r="FO58" s="19"/>
      <c r="FP58" s="19"/>
      <c r="FQ58" s="19"/>
      <c r="FR58" s="19"/>
      <c r="FS58" s="19"/>
      <c r="FT58" s="19"/>
      <c r="FU58" s="19"/>
      <c r="FV58" s="19"/>
      <c r="FW58" s="19"/>
      <c r="FX58" s="19"/>
      <c r="FY58" s="19"/>
      <c r="FZ58" s="19"/>
      <c r="GA58" s="19"/>
      <c r="GB58" s="19"/>
      <c r="GC58" s="19"/>
      <c r="GD58" s="19"/>
      <c r="GE58" s="19"/>
      <c r="GF58" s="19"/>
      <c r="GG58" s="19"/>
      <c r="GH58" s="19"/>
      <c r="GI58" s="19"/>
      <c r="GJ58" s="19"/>
      <c r="GK58" s="19"/>
      <c r="GL58" s="19"/>
      <c r="GM58" s="19"/>
      <c r="GN58" s="19"/>
      <c r="GO58" s="19"/>
      <c r="GP58" s="19"/>
      <c r="GQ58" s="19"/>
      <c r="GR58" s="19"/>
      <c r="GS58" s="19"/>
      <c r="GT58" s="19"/>
      <c r="GU58" s="19"/>
      <c r="GV58" s="19"/>
      <c r="GW58" s="19"/>
      <c r="GX58" s="19"/>
      <c r="GY58" s="19"/>
      <c r="GZ58" s="19"/>
      <c r="HA58" s="19"/>
    </row>
    <row r="59" spans="1:209" ht="23.25" customHeight="1" x14ac:dyDescent="0.15">
      <c r="A59" s="16">
        <v>44658.568349351852</v>
      </c>
      <c r="B59" s="17" t="s">
        <v>6</v>
      </c>
      <c r="C59" s="17" t="s">
        <v>11</v>
      </c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7" t="s">
        <v>372</v>
      </c>
      <c r="AY59" s="17" t="s">
        <v>373</v>
      </c>
      <c r="AZ59" s="17" t="s">
        <v>374</v>
      </c>
      <c r="BA59" s="17" t="s">
        <v>375</v>
      </c>
      <c r="BB59" s="17" t="s">
        <v>376</v>
      </c>
      <c r="BC59" s="24">
        <v>43472</v>
      </c>
      <c r="BD59" s="24">
        <v>43563</v>
      </c>
      <c r="BE59" s="24">
        <v>43567</v>
      </c>
      <c r="BF59" s="17">
        <v>84</v>
      </c>
      <c r="BG59" s="17" t="s">
        <v>377</v>
      </c>
      <c r="BH59" s="25" t="s">
        <v>378</v>
      </c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9"/>
      <c r="BZ59" s="19"/>
      <c r="CA59" s="19"/>
      <c r="CB59" s="19"/>
      <c r="CC59" s="19"/>
      <c r="CD59" s="19"/>
      <c r="CE59" s="19"/>
      <c r="CF59" s="19"/>
      <c r="CG59" s="19"/>
      <c r="CH59" s="19"/>
      <c r="CI59" s="19"/>
      <c r="CJ59" s="19"/>
      <c r="CK59" s="19"/>
      <c r="CL59" s="19"/>
      <c r="CM59" s="19"/>
      <c r="CN59" s="19"/>
      <c r="CO59" s="19"/>
      <c r="CP59" s="19"/>
      <c r="CQ59" s="19"/>
      <c r="CR59" s="19"/>
      <c r="CS59" s="19"/>
      <c r="CT59" s="19"/>
      <c r="CU59" s="19"/>
      <c r="CV59" s="19"/>
      <c r="CW59" s="19"/>
      <c r="CX59" s="19"/>
      <c r="CY59" s="19"/>
      <c r="CZ59" s="19"/>
      <c r="DA59" s="19"/>
      <c r="DB59" s="19"/>
      <c r="DC59" s="19"/>
      <c r="DD59" s="19"/>
      <c r="DE59" s="19"/>
      <c r="DF59" s="19"/>
      <c r="DG59" s="19"/>
      <c r="DH59" s="19"/>
      <c r="DI59" s="19"/>
      <c r="DJ59" s="19"/>
      <c r="DK59" s="19"/>
      <c r="DL59" s="19"/>
      <c r="DM59" s="19"/>
      <c r="DN59" s="19"/>
      <c r="DO59" s="19"/>
      <c r="DP59" s="19"/>
      <c r="DQ59" s="19"/>
      <c r="DR59" s="19"/>
      <c r="DS59" s="19"/>
      <c r="DT59" s="19"/>
      <c r="DU59" s="19"/>
      <c r="DV59" s="19"/>
      <c r="DW59" s="19"/>
      <c r="DX59" s="19"/>
      <c r="DY59" s="19"/>
      <c r="DZ59" s="19"/>
      <c r="EA59" s="19"/>
      <c r="EB59" s="19"/>
      <c r="EC59" s="19"/>
      <c r="ED59" s="19"/>
      <c r="EE59" s="19"/>
      <c r="EF59" s="19"/>
      <c r="EG59" s="19"/>
      <c r="EH59" s="19"/>
      <c r="EI59" s="19"/>
      <c r="EJ59" s="19"/>
      <c r="EK59" s="19"/>
      <c r="EL59" s="19"/>
      <c r="EM59" s="19"/>
      <c r="EN59" s="19"/>
      <c r="EO59" s="19"/>
      <c r="EP59" s="19"/>
      <c r="EQ59" s="19"/>
      <c r="ER59" s="19"/>
      <c r="ES59" s="19"/>
      <c r="ET59" s="19"/>
      <c r="EU59" s="19"/>
      <c r="EV59" s="19"/>
      <c r="EW59" s="19"/>
      <c r="EX59" s="19"/>
      <c r="EY59" s="19"/>
      <c r="EZ59" s="19"/>
      <c r="FA59" s="19"/>
      <c r="FB59" s="19"/>
      <c r="FC59" s="19"/>
      <c r="FD59" s="19"/>
      <c r="FE59" s="19"/>
      <c r="FF59" s="19"/>
      <c r="FG59" s="19"/>
      <c r="FH59" s="19"/>
      <c r="FI59" s="19"/>
      <c r="FJ59" s="19"/>
      <c r="FK59" s="19"/>
      <c r="FL59" s="20" t="s">
        <v>379</v>
      </c>
      <c r="FM59" s="20" t="s">
        <v>380</v>
      </c>
      <c r="FN59" s="19"/>
      <c r="FO59" s="19"/>
      <c r="FP59" s="19"/>
      <c r="FQ59" s="19"/>
      <c r="FR59" s="19"/>
      <c r="FS59" s="19"/>
      <c r="FT59" s="19"/>
      <c r="FU59" s="19"/>
      <c r="FV59" s="19"/>
      <c r="FW59" s="19"/>
      <c r="FX59" s="19"/>
      <c r="FY59" s="19"/>
      <c r="FZ59" s="19"/>
      <c r="GA59" s="19"/>
      <c r="GB59" s="19"/>
      <c r="GC59" s="19"/>
      <c r="GD59" s="19"/>
      <c r="GE59" s="19"/>
      <c r="GF59" s="19"/>
      <c r="GG59" s="19"/>
      <c r="GH59" s="19"/>
      <c r="GI59" s="19"/>
      <c r="GJ59" s="19"/>
      <c r="GK59" s="19"/>
      <c r="GL59" s="19"/>
      <c r="GM59" s="19"/>
      <c r="GN59" s="19"/>
      <c r="GO59" s="19"/>
      <c r="GP59" s="19"/>
      <c r="GQ59" s="19"/>
      <c r="GR59" s="19"/>
      <c r="GS59" s="19"/>
      <c r="GT59" s="19"/>
      <c r="GU59" s="19"/>
      <c r="GV59" s="19"/>
      <c r="GW59" s="19"/>
      <c r="GX59" s="19"/>
      <c r="GY59" s="19"/>
      <c r="GZ59" s="19"/>
      <c r="HA59" s="19"/>
    </row>
    <row r="60" spans="1:209" ht="23.25" customHeight="1" x14ac:dyDescent="0.15">
      <c r="A60" s="26">
        <v>44658.622874884255</v>
      </c>
      <c r="B60" s="27" t="s">
        <v>6</v>
      </c>
      <c r="C60" s="27" t="s">
        <v>17</v>
      </c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  <c r="BD60" s="28"/>
      <c r="BE60" s="28"/>
      <c r="BF60" s="28"/>
      <c r="BG60" s="28"/>
      <c r="BH60" s="28"/>
      <c r="BI60" s="28"/>
      <c r="BJ60" s="28"/>
      <c r="BK60" s="28"/>
      <c r="BL60" s="28"/>
      <c r="BM60" s="28"/>
      <c r="BN60" s="28"/>
      <c r="BO60" s="28"/>
      <c r="BP60" s="28"/>
      <c r="BQ60" s="28"/>
      <c r="BR60" s="28"/>
      <c r="BS60" s="28"/>
      <c r="BT60" s="28"/>
      <c r="BU60" s="28"/>
      <c r="BV60" s="28"/>
      <c r="BW60" s="28"/>
      <c r="BX60" s="28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C60" s="19"/>
      <c r="DD60" s="19"/>
      <c r="DE60" s="19"/>
      <c r="DF60" s="19"/>
      <c r="DG60" s="19"/>
      <c r="DH60" s="19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20" t="s">
        <v>381</v>
      </c>
      <c r="DY60" s="20" t="s">
        <v>382</v>
      </c>
      <c r="DZ60" s="20" t="s">
        <v>166</v>
      </c>
      <c r="EA60" s="20" t="s">
        <v>383</v>
      </c>
      <c r="EB60" s="21">
        <v>44623</v>
      </c>
      <c r="EC60" s="20" t="s">
        <v>384</v>
      </c>
      <c r="ED60" s="22" t="s">
        <v>385</v>
      </c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  <c r="FC60" s="19"/>
      <c r="FD60" s="19"/>
      <c r="FE60" s="19"/>
      <c r="FF60" s="19"/>
      <c r="FG60" s="19"/>
      <c r="FH60" s="19"/>
      <c r="FI60" s="19"/>
      <c r="FJ60" s="19"/>
      <c r="FK60" s="19"/>
      <c r="FL60" s="20" t="s">
        <v>386</v>
      </c>
      <c r="FM60" s="20" t="s">
        <v>255</v>
      </c>
      <c r="FN60" s="19"/>
      <c r="FO60" s="19"/>
      <c r="FP60" s="19"/>
      <c r="FQ60" s="19"/>
      <c r="FR60" s="19"/>
      <c r="FS60" s="19"/>
      <c r="FT60" s="19"/>
      <c r="FU60" s="19"/>
      <c r="FV60" s="19"/>
      <c r="FW60" s="19"/>
      <c r="FX60" s="19"/>
      <c r="FY60" s="19"/>
      <c r="FZ60" s="19"/>
      <c r="GA60" s="19"/>
      <c r="GB60" s="19"/>
      <c r="GC60" s="19"/>
      <c r="GD60" s="19"/>
      <c r="GE60" s="19"/>
      <c r="GF60" s="19"/>
      <c r="GG60" s="19"/>
      <c r="GH60" s="19"/>
      <c r="GI60" s="19"/>
      <c r="GJ60" s="19"/>
      <c r="GK60" s="19"/>
      <c r="GL60" s="19"/>
      <c r="GM60" s="19"/>
      <c r="GN60" s="19"/>
      <c r="GO60" s="19"/>
      <c r="GP60" s="19"/>
      <c r="GQ60" s="19"/>
      <c r="GR60" s="19"/>
      <c r="GS60" s="19"/>
      <c r="GT60" s="19"/>
      <c r="GU60" s="19"/>
      <c r="GV60" s="19"/>
      <c r="GW60" s="19"/>
      <c r="GX60" s="19"/>
      <c r="GY60" s="19"/>
      <c r="GZ60" s="19"/>
      <c r="HA60" s="19"/>
    </row>
    <row r="61" spans="1:209" ht="23.25" customHeight="1" x14ac:dyDescent="0.15">
      <c r="A61" s="26">
        <v>44658.643745937501</v>
      </c>
      <c r="B61" s="27" t="s">
        <v>6</v>
      </c>
      <c r="C61" s="27" t="s">
        <v>10</v>
      </c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7" t="s">
        <v>387</v>
      </c>
      <c r="AO61" s="27" t="s">
        <v>388</v>
      </c>
      <c r="AP61" s="27" t="s">
        <v>307</v>
      </c>
      <c r="AQ61" s="27" t="s">
        <v>389</v>
      </c>
      <c r="AR61" s="29">
        <v>44489</v>
      </c>
      <c r="AS61" s="29">
        <v>44561</v>
      </c>
      <c r="AT61" s="27" t="s">
        <v>252</v>
      </c>
      <c r="AU61" s="27" t="s">
        <v>252</v>
      </c>
      <c r="AV61" s="27">
        <v>0</v>
      </c>
      <c r="AW61" s="30" t="s">
        <v>390</v>
      </c>
      <c r="AX61" s="28"/>
      <c r="AY61" s="28"/>
      <c r="AZ61" s="28"/>
      <c r="BA61" s="28"/>
      <c r="BB61" s="28"/>
      <c r="BC61" s="28"/>
      <c r="BD61" s="28"/>
      <c r="BE61" s="28"/>
      <c r="BF61" s="28"/>
      <c r="BG61" s="28"/>
      <c r="BH61" s="28"/>
      <c r="BI61" s="28"/>
      <c r="BJ61" s="28"/>
      <c r="BK61" s="28"/>
      <c r="BL61" s="28"/>
      <c r="BM61" s="28"/>
      <c r="BN61" s="28"/>
      <c r="BO61" s="28"/>
      <c r="BP61" s="28"/>
      <c r="BQ61" s="28"/>
      <c r="BR61" s="28"/>
      <c r="BS61" s="28"/>
      <c r="BT61" s="28"/>
      <c r="BU61" s="28"/>
      <c r="BV61" s="28"/>
      <c r="BW61" s="28"/>
      <c r="BX61" s="28"/>
      <c r="BY61" s="19"/>
      <c r="BZ61" s="19"/>
      <c r="CA61" s="19"/>
      <c r="CB61" s="19"/>
      <c r="CC61" s="19"/>
      <c r="CD61" s="19"/>
      <c r="CE61" s="19"/>
      <c r="CF61" s="19"/>
      <c r="CG61" s="19"/>
      <c r="CH61" s="19"/>
      <c r="CI61" s="19"/>
      <c r="CJ61" s="19"/>
      <c r="CK61" s="19"/>
      <c r="CL61" s="19"/>
      <c r="CM61" s="19"/>
      <c r="CN61" s="19"/>
      <c r="CO61" s="19"/>
      <c r="CP61" s="19"/>
      <c r="CQ61" s="19"/>
      <c r="CR61" s="19"/>
      <c r="CS61" s="19"/>
      <c r="CT61" s="19"/>
      <c r="CU61" s="19"/>
      <c r="CV61" s="19"/>
      <c r="CW61" s="19"/>
      <c r="CX61" s="19"/>
      <c r="CY61" s="19"/>
      <c r="CZ61" s="19"/>
      <c r="DA61" s="19"/>
      <c r="DB61" s="19"/>
      <c r="DC61" s="19"/>
      <c r="DD61" s="19"/>
      <c r="DE61" s="19"/>
      <c r="DF61" s="19"/>
      <c r="DG61" s="19"/>
      <c r="DH61" s="19"/>
      <c r="DI61" s="19"/>
      <c r="DJ61" s="19"/>
      <c r="DK61" s="19"/>
      <c r="DL61" s="19"/>
      <c r="DM61" s="19"/>
      <c r="DN61" s="19"/>
      <c r="DO61" s="19"/>
      <c r="DP61" s="19"/>
      <c r="DQ61" s="19"/>
      <c r="DR61" s="19"/>
      <c r="DS61" s="19"/>
      <c r="DT61" s="19"/>
      <c r="DU61" s="19"/>
      <c r="DV61" s="19"/>
      <c r="DW61" s="19"/>
      <c r="DX61" s="19"/>
      <c r="DY61" s="19"/>
      <c r="DZ61" s="19"/>
      <c r="EA61" s="19"/>
      <c r="EB61" s="19"/>
      <c r="EC61" s="19"/>
      <c r="ED61" s="19"/>
      <c r="EE61" s="19"/>
      <c r="EF61" s="19"/>
      <c r="EG61" s="19"/>
      <c r="EH61" s="19"/>
      <c r="EI61" s="19"/>
      <c r="EJ61" s="19"/>
      <c r="EK61" s="19"/>
      <c r="EL61" s="19"/>
      <c r="EM61" s="19"/>
      <c r="EN61" s="19"/>
      <c r="EO61" s="19"/>
      <c r="EP61" s="19"/>
      <c r="EQ61" s="19"/>
      <c r="ER61" s="19"/>
      <c r="ES61" s="19"/>
      <c r="ET61" s="19"/>
      <c r="EU61" s="19"/>
      <c r="EV61" s="19"/>
      <c r="EW61" s="19"/>
      <c r="EX61" s="19"/>
      <c r="EY61" s="19"/>
      <c r="EZ61" s="19"/>
      <c r="FA61" s="19"/>
      <c r="FB61" s="19"/>
      <c r="FC61" s="19"/>
      <c r="FD61" s="19"/>
      <c r="FE61" s="19"/>
      <c r="FF61" s="19"/>
      <c r="FG61" s="19"/>
      <c r="FH61" s="19"/>
      <c r="FI61" s="19"/>
      <c r="FJ61" s="19"/>
      <c r="FK61" s="19"/>
      <c r="FL61" s="20" t="s">
        <v>391</v>
      </c>
      <c r="FM61" s="20" t="s">
        <v>273</v>
      </c>
      <c r="FN61" s="19"/>
      <c r="FO61" s="19"/>
      <c r="FP61" s="19"/>
      <c r="FQ61" s="19"/>
      <c r="FR61" s="19"/>
      <c r="FS61" s="19"/>
      <c r="FT61" s="19"/>
      <c r="FU61" s="19"/>
      <c r="FV61" s="19"/>
      <c r="FW61" s="19"/>
      <c r="FX61" s="19"/>
      <c r="FY61" s="19"/>
      <c r="FZ61" s="19"/>
      <c r="GA61" s="19"/>
      <c r="GB61" s="19"/>
      <c r="GC61" s="19"/>
      <c r="GD61" s="19"/>
      <c r="GE61" s="19"/>
      <c r="GF61" s="19"/>
      <c r="GG61" s="19"/>
      <c r="GH61" s="19"/>
      <c r="GI61" s="19"/>
      <c r="GJ61" s="19"/>
      <c r="GK61" s="19"/>
      <c r="GL61" s="19"/>
      <c r="GM61" s="19"/>
      <c r="GN61" s="19"/>
      <c r="GO61" s="19"/>
      <c r="GP61" s="19"/>
      <c r="GQ61" s="19"/>
      <c r="GR61" s="19"/>
      <c r="GS61" s="19"/>
      <c r="GT61" s="19"/>
      <c r="GU61" s="19"/>
      <c r="GV61" s="19"/>
      <c r="GW61" s="19"/>
      <c r="GX61" s="19"/>
      <c r="GY61" s="19"/>
      <c r="GZ61" s="19"/>
      <c r="HA61" s="19"/>
    </row>
    <row r="62" spans="1:209" ht="23.25" customHeight="1" x14ac:dyDescent="0.15">
      <c r="A62" s="26">
        <v>44658.647296875002</v>
      </c>
      <c r="B62" s="27" t="s">
        <v>6</v>
      </c>
      <c r="C62" s="27" t="s">
        <v>11</v>
      </c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7" t="s">
        <v>387</v>
      </c>
      <c r="AY62" s="27" t="s">
        <v>388</v>
      </c>
      <c r="AZ62" s="27" t="s">
        <v>330</v>
      </c>
      <c r="BA62" s="27" t="s">
        <v>331</v>
      </c>
      <c r="BB62" s="27">
        <v>30</v>
      </c>
      <c r="BC62" s="29">
        <v>44489</v>
      </c>
      <c r="BD62" s="29">
        <v>44543</v>
      </c>
      <c r="BE62" s="29">
        <v>44534</v>
      </c>
      <c r="BF62" s="27">
        <v>100</v>
      </c>
      <c r="BG62" s="27" t="s">
        <v>392</v>
      </c>
      <c r="BH62" s="30" t="s">
        <v>393</v>
      </c>
      <c r="BI62" s="28"/>
      <c r="BJ62" s="28"/>
      <c r="BK62" s="28"/>
      <c r="BL62" s="28"/>
      <c r="BM62" s="28"/>
      <c r="BN62" s="28"/>
      <c r="BO62" s="28"/>
      <c r="BP62" s="28"/>
      <c r="BQ62" s="28"/>
      <c r="BR62" s="28"/>
      <c r="BS62" s="28"/>
      <c r="BT62" s="28"/>
      <c r="BU62" s="28"/>
      <c r="BV62" s="28"/>
      <c r="BW62" s="28"/>
      <c r="BX62" s="28"/>
      <c r="BY62" s="19"/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  <c r="CP62" s="19"/>
      <c r="CQ62" s="19"/>
      <c r="CR62" s="19"/>
      <c r="CS62" s="19"/>
      <c r="CT62" s="19"/>
      <c r="CU62" s="19"/>
      <c r="CV62" s="19"/>
      <c r="CW62" s="19"/>
      <c r="CX62" s="19"/>
      <c r="CY62" s="19"/>
      <c r="CZ62" s="19"/>
      <c r="DA62" s="19"/>
      <c r="DB62" s="19"/>
      <c r="DC62" s="19"/>
      <c r="DD62" s="19"/>
      <c r="DE62" s="19"/>
      <c r="DF62" s="19"/>
      <c r="DG62" s="19"/>
      <c r="DH62" s="19"/>
      <c r="DI62" s="19"/>
      <c r="DJ62" s="19"/>
      <c r="DK62" s="19"/>
      <c r="DL62" s="19"/>
      <c r="DM62" s="19"/>
      <c r="DN62" s="19"/>
      <c r="DO62" s="19"/>
      <c r="DP62" s="19"/>
      <c r="DQ62" s="19"/>
      <c r="DR62" s="19"/>
      <c r="DS62" s="19"/>
      <c r="DT62" s="19"/>
      <c r="DU62" s="19"/>
      <c r="DV62" s="19"/>
      <c r="DW62" s="19"/>
      <c r="DX62" s="19"/>
      <c r="DY62" s="19"/>
      <c r="DZ62" s="19"/>
      <c r="EA62" s="19"/>
      <c r="EB62" s="19"/>
      <c r="EC62" s="19"/>
      <c r="ED62" s="19"/>
      <c r="EE62" s="19"/>
      <c r="EF62" s="19"/>
      <c r="EG62" s="19"/>
      <c r="EH62" s="19"/>
      <c r="EI62" s="19"/>
      <c r="EJ62" s="19"/>
      <c r="EK62" s="19"/>
      <c r="EL62" s="19"/>
      <c r="EM62" s="19"/>
      <c r="EN62" s="19"/>
      <c r="EO62" s="19"/>
      <c r="EP62" s="19"/>
      <c r="EQ62" s="19"/>
      <c r="ER62" s="19"/>
      <c r="ES62" s="19"/>
      <c r="ET62" s="19"/>
      <c r="EU62" s="19"/>
      <c r="EV62" s="19"/>
      <c r="EW62" s="19"/>
      <c r="EX62" s="19"/>
      <c r="EY62" s="19"/>
      <c r="EZ62" s="19"/>
      <c r="FA62" s="19"/>
      <c r="FB62" s="19"/>
      <c r="FC62" s="19"/>
      <c r="FD62" s="19"/>
      <c r="FE62" s="19"/>
      <c r="FF62" s="19"/>
      <c r="FG62" s="19"/>
      <c r="FH62" s="19"/>
      <c r="FI62" s="19"/>
      <c r="FJ62" s="19"/>
      <c r="FK62" s="19"/>
      <c r="FL62" s="20" t="s">
        <v>391</v>
      </c>
      <c r="FM62" s="20" t="s">
        <v>255</v>
      </c>
      <c r="FN62" s="19"/>
      <c r="FO62" s="19"/>
      <c r="FP62" s="19"/>
      <c r="FQ62" s="19"/>
      <c r="FR62" s="19"/>
      <c r="FS62" s="19"/>
      <c r="FT62" s="19"/>
      <c r="FU62" s="19"/>
      <c r="FV62" s="19"/>
      <c r="FW62" s="19"/>
      <c r="FX62" s="19"/>
      <c r="FY62" s="19"/>
      <c r="FZ62" s="19"/>
      <c r="GA62" s="19"/>
      <c r="GB62" s="19"/>
      <c r="GC62" s="19"/>
      <c r="GD62" s="19"/>
      <c r="GE62" s="19"/>
      <c r="GF62" s="19"/>
      <c r="GG62" s="19"/>
      <c r="GH62" s="19"/>
      <c r="GI62" s="19"/>
      <c r="GJ62" s="19"/>
      <c r="GK62" s="19"/>
      <c r="GL62" s="19"/>
      <c r="GM62" s="19"/>
      <c r="GN62" s="19"/>
      <c r="GO62" s="19"/>
      <c r="GP62" s="19"/>
      <c r="GQ62" s="19"/>
      <c r="GR62" s="19"/>
      <c r="GS62" s="19"/>
      <c r="GT62" s="19"/>
      <c r="GU62" s="19"/>
      <c r="GV62" s="19"/>
      <c r="GW62" s="19"/>
      <c r="GX62" s="19"/>
      <c r="GY62" s="19"/>
      <c r="GZ62" s="19"/>
      <c r="HA62" s="19"/>
    </row>
    <row r="63" spans="1:209" ht="23.25" customHeight="1" x14ac:dyDescent="0.15">
      <c r="A63" s="26">
        <v>44658.649338460644</v>
      </c>
      <c r="B63" s="27" t="s">
        <v>6</v>
      </c>
      <c r="C63" s="27" t="s">
        <v>11</v>
      </c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7" t="s">
        <v>387</v>
      </c>
      <c r="AY63" s="27" t="s">
        <v>388</v>
      </c>
      <c r="AZ63" s="27" t="s">
        <v>394</v>
      </c>
      <c r="BA63" s="27" t="s">
        <v>343</v>
      </c>
      <c r="BB63" s="27" t="s">
        <v>318</v>
      </c>
      <c r="BC63" s="29">
        <v>43871</v>
      </c>
      <c r="BD63" s="29">
        <v>43931</v>
      </c>
      <c r="BE63" s="29">
        <v>43932</v>
      </c>
      <c r="BF63" s="27">
        <v>100</v>
      </c>
      <c r="BG63" s="27" t="s">
        <v>395</v>
      </c>
      <c r="BH63" s="30" t="s">
        <v>396</v>
      </c>
      <c r="BI63" s="28"/>
      <c r="BJ63" s="28"/>
      <c r="BK63" s="28"/>
      <c r="BL63" s="28"/>
      <c r="BM63" s="28"/>
      <c r="BN63" s="28"/>
      <c r="BO63" s="28"/>
      <c r="BP63" s="28"/>
      <c r="BQ63" s="28"/>
      <c r="BR63" s="28"/>
      <c r="BS63" s="28"/>
      <c r="BT63" s="28"/>
      <c r="BU63" s="28"/>
      <c r="BV63" s="28"/>
      <c r="BW63" s="28"/>
      <c r="BX63" s="28"/>
      <c r="BY63" s="19"/>
      <c r="BZ63" s="19"/>
      <c r="CA63" s="19"/>
      <c r="CB63" s="19"/>
      <c r="CC63" s="19"/>
      <c r="CD63" s="19"/>
      <c r="CE63" s="19"/>
      <c r="CF63" s="19"/>
      <c r="CG63" s="19"/>
      <c r="CH63" s="19"/>
      <c r="CI63" s="19"/>
      <c r="CJ63" s="19"/>
      <c r="CK63" s="19"/>
      <c r="CL63" s="19"/>
      <c r="CM63" s="19"/>
      <c r="CN63" s="19"/>
      <c r="CO63" s="19"/>
      <c r="CP63" s="19"/>
      <c r="CQ63" s="19"/>
      <c r="CR63" s="19"/>
      <c r="CS63" s="19"/>
      <c r="CT63" s="19"/>
      <c r="CU63" s="19"/>
      <c r="CV63" s="19"/>
      <c r="CW63" s="19"/>
      <c r="CX63" s="19"/>
      <c r="CY63" s="19"/>
      <c r="CZ63" s="19"/>
      <c r="DA63" s="19"/>
      <c r="DB63" s="19"/>
      <c r="DC63" s="19"/>
      <c r="DD63" s="19"/>
      <c r="DE63" s="19"/>
      <c r="DF63" s="19"/>
      <c r="DG63" s="19"/>
      <c r="DH63" s="19"/>
      <c r="DI63" s="19"/>
      <c r="DJ63" s="19"/>
      <c r="DK63" s="19"/>
      <c r="DL63" s="19"/>
      <c r="DM63" s="19"/>
      <c r="DN63" s="19"/>
      <c r="DO63" s="19"/>
      <c r="DP63" s="19"/>
      <c r="DQ63" s="19"/>
      <c r="DR63" s="19"/>
      <c r="DS63" s="19"/>
      <c r="DT63" s="19"/>
      <c r="DU63" s="19"/>
      <c r="DV63" s="19"/>
      <c r="DW63" s="19"/>
      <c r="DX63" s="19"/>
      <c r="DY63" s="19"/>
      <c r="DZ63" s="19"/>
      <c r="EA63" s="19"/>
      <c r="EB63" s="19"/>
      <c r="EC63" s="19"/>
      <c r="ED63" s="19"/>
      <c r="EE63" s="19"/>
      <c r="EF63" s="19"/>
      <c r="EG63" s="19"/>
      <c r="EH63" s="19"/>
      <c r="EI63" s="19"/>
      <c r="EJ63" s="19"/>
      <c r="EK63" s="19"/>
      <c r="EL63" s="19"/>
      <c r="EM63" s="19"/>
      <c r="EN63" s="19"/>
      <c r="EO63" s="19"/>
      <c r="EP63" s="19"/>
      <c r="EQ63" s="19"/>
      <c r="ER63" s="19"/>
      <c r="ES63" s="19"/>
      <c r="ET63" s="19"/>
      <c r="EU63" s="19"/>
      <c r="EV63" s="19"/>
      <c r="EW63" s="19"/>
      <c r="EX63" s="19"/>
      <c r="EY63" s="19"/>
      <c r="EZ63" s="19"/>
      <c r="FA63" s="19"/>
      <c r="FB63" s="19"/>
      <c r="FC63" s="19"/>
      <c r="FD63" s="19"/>
      <c r="FE63" s="19"/>
      <c r="FF63" s="19"/>
      <c r="FG63" s="19"/>
      <c r="FH63" s="19"/>
      <c r="FI63" s="19"/>
      <c r="FJ63" s="19"/>
      <c r="FK63" s="19"/>
      <c r="FL63" s="20" t="s">
        <v>391</v>
      </c>
      <c r="FM63" s="20" t="s">
        <v>278</v>
      </c>
      <c r="FN63" s="19"/>
      <c r="FO63" s="19"/>
      <c r="FP63" s="19"/>
      <c r="FQ63" s="19"/>
      <c r="FR63" s="19"/>
      <c r="FS63" s="19"/>
      <c r="FT63" s="19"/>
      <c r="FU63" s="19"/>
      <c r="FV63" s="19"/>
      <c r="FW63" s="19"/>
      <c r="FX63" s="19"/>
      <c r="FY63" s="19"/>
      <c r="FZ63" s="19"/>
      <c r="GA63" s="19"/>
      <c r="GB63" s="19"/>
      <c r="GC63" s="19"/>
      <c r="GD63" s="19"/>
      <c r="GE63" s="19"/>
      <c r="GF63" s="19"/>
      <c r="GG63" s="19"/>
      <c r="GH63" s="19"/>
      <c r="GI63" s="19"/>
      <c r="GJ63" s="19"/>
      <c r="GK63" s="19"/>
      <c r="GL63" s="19"/>
      <c r="GM63" s="19"/>
      <c r="GN63" s="19"/>
      <c r="GO63" s="19"/>
      <c r="GP63" s="19"/>
      <c r="GQ63" s="19"/>
      <c r="GR63" s="19"/>
      <c r="GS63" s="19"/>
      <c r="GT63" s="19"/>
      <c r="GU63" s="19"/>
      <c r="GV63" s="19"/>
      <c r="GW63" s="19"/>
      <c r="GX63" s="19"/>
      <c r="GY63" s="19"/>
      <c r="GZ63" s="19"/>
      <c r="HA63" s="19"/>
    </row>
    <row r="64" spans="1:209" ht="23.25" customHeight="1" x14ac:dyDescent="0.15">
      <c r="A64" s="26">
        <v>44658.652784849532</v>
      </c>
      <c r="B64" s="27" t="s">
        <v>6</v>
      </c>
      <c r="C64" s="27" t="s">
        <v>11</v>
      </c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28"/>
      <c r="AV64" s="28"/>
      <c r="AW64" s="28"/>
      <c r="AX64" s="27" t="s">
        <v>387</v>
      </c>
      <c r="AY64" s="27" t="s">
        <v>388</v>
      </c>
      <c r="AZ64" s="27" t="s">
        <v>397</v>
      </c>
      <c r="BA64" s="27" t="s">
        <v>335</v>
      </c>
      <c r="BB64" s="27" t="s">
        <v>318</v>
      </c>
      <c r="BC64" s="29">
        <v>44291</v>
      </c>
      <c r="BD64" s="29">
        <v>44377</v>
      </c>
      <c r="BE64" s="29">
        <v>44379</v>
      </c>
      <c r="BF64" s="27">
        <v>90</v>
      </c>
      <c r="BG64" s="27" t="s">
        <v>337</v>
      </c>
      <c r="BH64" s="30" t="s">
        <v>398</v>
      </c>
      <c r="BI64" s="28"/>
      <c r="BJ64" s="28"/>
      <c r="BK64" s="28"/>
      <c r="BL64" s="28"/>
      <c r="BM64" s="28"/>
      <c r="BN64" s="28"/>
      <c r="BO64" s="28"/>
      <c r="BP64" s="28"/>
      <c r="BQ64" s="28"/>
      <c r="BR64" s="28"/>
      <c r="BS64" s="28"/>
      <c r="BT64" s="28"/>
      <c r="BU64" s="28"/>
      <c r="BV64" s="28"/>
      <c r="BW64" s="28"/>
      <c r="BX64" s="28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C64" s="19"/>
      <c r="DD64" s="19"/>
      <c r="DE64" s="19"/>
      <c r="DF64" s="19"/>
      <c r="DG64" s="19"/>
      <c r="DH64" s="19"/>
      <c r="DI64" s="19"/>
      <c r="DJ64" s="19"/>
      <c r="DK64" s="19"/>
      <c r="DL64" s="19"/>
      <c r="DM64" s="19"/>
      <c r="DN64" s="19"/>
      <c r="DO64" s="19"/>
      <c r="DP64" s="19"/>
      <c r="DQ64" s="19"/>
      <c r="DR64" s="19"/>
      <c r="DS64" s="19"/>
      <c r="DT64" s="19"/>
      <c r="DU64" s="19"/>
      <c r="DV64" s="19"/>
      <c r="DW64" s="19"/>
      <c r="DX64" s="19"/>
      <c r="DY64" s="19"/>
      <c r="DZ64" s="19"/>
      <c r="EA64" s="19"/>
      <c r="EB64" s="19"/>
      <c r="EC64" s="19"/>
      <c r="ED64" s="19"/>
      <c r="EE64" s="19"/>
      <c r="EF64" s="19"/>
      <c r="EG64" s="19"/>
      <c r="EH64" s="19"/>
      <c r="EI64" s="19"/>
      <c r="EJ64" s="19"/>
      <c r="EK64" s="19"/>
      <c r="EL64" s="19"/>
      <c r="EM64" s="19"/>
      <c r="EN64" s="19"/>
      <c r="EO64" s="19"/>
      <c r="EP64" s="19"/>
      <c r="EQ64" s="19"/>
      <c r="ER64" s="19"/>
      <c r="ES64" s="19"/>
      <c r="ET64" s="19"/>
      <c r="EU64" s="19"/>
      <c r="EV64" s="19"/>
      <c r="EW64" s="19"/>
      <c r="EX64" s="19"/>
      <c r="EY64" s="19"/>
      <c r="EZ64" s="19"/>
      <c r="FA64" s="19"/>
      <c r="FB64" s="19"/>
      <c r="FC64" s="19"/>
      <c r="FD64" s="19"/>
      <c r="FE64" s="19"/>
      <c r="FF64" s="19"/>
      <c r="FG64" s="19"/>
      <c r="FH64" s="19"/>
      <c r="FI64" s="19"/>
      <c r="FJ64" s="19"/>
      <c r="FK64" s="19"/>
      <c r="FL64" s="20" t="s">
        <v>391</v>
      </c>
      <c r="FM64" s="20" t="s">
        <v>339</v>
      </c>
      <c r="FN64" s="19"/>
      <c r="FO64" s="19"/>
      <c r="FP64" s="19"/>
      <c r="FQ64" s="19"/>
      <c r="FR64" s="19"/>
      <c r="FS64" s="19"/>
      <c r="FT64" s="19"/>
      <c r="FU64" s="19"/>
      <c r="FV64" s="19"/>
      <c r="FW64" s="19"/>
      <c r="FX64" s="19"/>
      <c r="FY64" s="19"/>
      <c r="FZ64" s="19"/>
      <c r="GA64" s="19"/>
      <c r="GB64" s="19"/>
      <c r="GC64" s="19"/>
      <c r="GD64" s="19"/>
      <c r="GE64" s="19"/>
      <c r="GF64" s="19"/>
      <c r="GG64" s="19"/>
      <c r="GH64" s="19"/>
      <c r="GI64" s="19"/>
      <c r="GJ64" s="19"/>
      <c r="GK64" s="19"/>
      <c r="GL64" s="19"/>
      <c r="GM64" s="19"/>
      <c r="GN64" s="19"/>
      <c r="GO64" s="19"/>
      <c r="GP64" s="19"/>
      <c r="GQ64" s="19"/>
      <c r="GR64" s="19"/>
      <c r="GS64" s="19"/>
      <c r="GT64" s="19"/>
      <c r="GU64" s="19"/>
      <c r="GV64" s="19"/>
      <c r="GW64" s="19"/>
      <c r="GX64" s="19"/>
      <c r="GY64" s="19"/>
      <c r="GZ64" s="19"/>
      <c r="HA64" s="19"/>
    </row>
    <row r="65" spans="1:209" ht="23.25" customHeight="1" x14ac:dyDescent="0.15">
      <c r="A65" s="26">
        <v>44658.655300196755</v>
      </c>
      <c r="B65" s="27" t="s">
        <v>6</v>
      </c>
      <c r="C65" s="27" t="s">
        <v>12</v>
      </c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  <c r="BD65" s="28"/>
      <c r="BE65" s="28"/>
      <c r="BF65" s="28"/>
      <c r="BG65" s="28"/>
      <c r="BH65" s="28"/>
      <c r="BI65" s="27" t="s">
        <v>387</v>
      </c>
      <c r="BJ65" s="27" t="s">
        <v>388</v>
      </c>
      <c r="BK65" s="27" t="s">
        <v>166</v>
      </c>
      <c r="BL65" s="27" t="s">
        <v>167</v>
      </c>
      <c r="BM65" s="27" t="s">
        <v>196</v>
      </c>
      <c r="BN65" s="27">
        <v>1</v>
      </c>
      <c r="BO65" s="29">
        <v>44533</v>
      </c>
      <c r="BP65" s="29">
        <v>44533</v>
      </c>
      <c r="BQ65" s="27" t="s">
        <v>169</v>
      </c>
      <c r="BR65" s="27" t="s">
        <v>176</v>
      </c>
      <c r="BS65" s="27" t="s">
        <v>171</v>
      </c>
      <c r="BT65" s="27" t="s">
        <v>151</v>
      </c>
      <c r="BU65" s="28"/>
      <c r="BV65" s="30" t="s">
        <v>399</v>
      </c>
      <c r="BW65" s="28"/>
      <c r="BX65" s="28"/>
      <c r="BY65" s="19"/>
      <c r="BZ65" s="19"/>
      <c r="CA65" s="19"/>
      <c r="CB65" s="19"/>
      <c r="CC65" s="19"/>
      <c r="CD65" s="19"/>
      <c r="CE65" s="19"/>
      <c r="CF65" s="19"/>
      <c r="CG65" s="19"/>
      <c r="CH65" s="19"/>
      <c r="CI65" s="19"/>
      <c r="CJ65" s="19"/>
      <c r="CK65" s="19"/>
      <c r="CL65" s="19"/>
      <c r="CM65" s="19"/>
      <c r="CN65" s="19"/>
      <c r="CO65" s="19"/>
      <c r="CP65" s="19"/>
      <c r="CQ65" s="19"/>
      <c r="CR65" s="19"/>
      <c r="CS65" s="19"/>
      <c r="CT65" s="19"/>
      <c r="CU65" s="19"/>
      <c r="CV65" s="19"/>
      <c r="CW65" s="19"/>
      <c r="CX65" s="19"/>
      <c r="CY65" s="19"/>
      <c r="CZ65" s="19"/>
      <c r="DA65" s="19"/>
      <c r="DB65" s="19"/>
      <c r="DC65" s="19"/>
      <c r="DD65" s="19"/>
      <c r="DE65" s="19"/>
      <c r="DF65" s="19"/>
      <c r="DG65" s="19"/>
      <c r="DH65" s="19"/>
      <c r="DI65" s="19"/>
      <c r="DJ65" s="19"/>
      <c r="DK65" s="19"/>
      <c r="DL65" s="19"/>
      <c r="DM65" s="19"/>
      <c r="DN65" s="19"/>
      <c r="DO65" s="19"/>
      <c r="DP65" s="19"/>
      <c r="DQ65" s="19"/>
      <c r="DR65" s="19"/>
      <c r="DS65" s="19"/>
      <c r="DT65" s="19"/>
      <c r="DU65" s="19"/>
      <c r="DV65" s="19"/>
      <c r="DW65" s="19"/>
      <c r="DX65" s="19"/>
      <c r="DY65" s="19"/>
      <c r="DZ65" s="19"/>
      <c r="EA65" s="19"/>
      <c r="EB65" s="19"/>
      <c r="EC65" s="19"/>
      <c r="ED65" s="19"/>
      <c r="EE65" s="19"/>
      <c r="EF65" s="19"/>
      <c r="EG65" s="19"/>
      <c r="EH65" s="19"/>
      <c r="EI65" s="19"/>
      <c r="EJ65" s="19"/>
      <c r="EK65" s="19"/>
      <c r="EL65" s="19"/>
      <c r="EM65" s="19"/>
      <c r="EN65" s="19"/>
      <c r="EO65" s="19"/>
      <c r="EP65" s="19"/>
      <c r="EQ65" s="19"/>
      <c r="ER65" s="19"/>
      <c r="ES65" s="19"/>
      <c r="ET65" s="19"/>
      <c r="EU65" s="19"/>
      <c r="EV65" s="19"/>
      <c r="EW65" s="19"/>
      <c r="EX65" s="19"/>
      <c r="EY65" s="19"/>
      <c r="EZ65" s="19"/>
      <c r="FA65" s="19"/>
      <c r="FB65" s="19"/>
      <c r="FC65" s="19"/>
      <c r="FD65" s="19"/>
      <c r="FE65" s="19"/>
      <c r="FF65" s="19"/>
      <c r="FG65" s="19"/>
      <c r="FH65" s="19"/>
      <c r="FI65" s="19"/>
      <c r="FJ65" s="19"/>
      <c r="FK65" s="19"/>
      <c r="FL65" s="20" t="s">
        <v>391</v>
      </c>
      <c r="FM65" s="20" t="s">
        <v>273</v>
      </c>
      <c r="FN65" s="19"/>
      <c r="FO65" s="19"/>
      <c r="FP65" s="19"/>
      <c r="FQ65" s="19"/>
      <c r="FR65" s="19"/>
      <c r="FS65" s="19"/>
      <c r="FT65" s="19"/>
      <c r="FU65" s="19"/>
      <c r="FV65" s="19"/>
      <c r="FW65" s="19"/>
      <c r="FX65" s="19"/>
      <c r="FY65" s="19"/>
      <c r="FZ65" s="19"/>
      <c r="GA65" s="19"/>
      <c r="GB65" s="19"/>
      <c r="GC65" s="19"/>
      <c r="GD65" s="19"/>
      <c r="GE65" s="19"/>
      <c r="GF65" s="19"/>
      <c r="GG65" s="19"/>
      <c r="GH65" s="19"/>
      <c r="GI65" s="19"/>
      <c r="GJ65" s="19"/>
      <c r="GK65" s="19"/>
      <c r="GL65" s="19"/>
      <c r="GM65" s="19"/>
      <c r="GN65" s="19"/>
      <c r="GO65" s="19"/>
      <c r="GP65" s="19"/>
      <c r="GQ65" s="19"/>
      <c r="GR65" s="19"/>
      <c r="GS65" s="19"/>
      <c r="GT65" s="19"/>
      <c r="GU65" s="19"/>
      <c r="GV65" s="19"/>
      <c r="GW65" s="19"/>
      <c r="GX65" s="19"/>
      <c r="GY65" s="19"/>
      <c r="GZ65" s="19"/>
      <c r="HA65" s="19"/>
    </row>
    <row r="66" spans="1:209" ht="23.25" customHeight="1" x14ac:dyDescent="0.15">
      <c r="A66" s="26">
        <v>44658.666469618052</v>
      </c>
      <c r="B66" s="27" t="s">
        <v>6</v>
      </c>
      <c r="C66" s="27" t="s">
        <v>10</v>
      </c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7" t="s">
        <v>400</v>
      </c>
      <c r="AO66" s="27" t="s">
        <v>401</v>
      </c>
      <c r="AP66" s="27" t="s">
        <v>307</v>
      </c>
      <c r="AQ66" s="27" t="s">
        <v>308</v>
      </c>
      <c r="AR66" s="29">
        <v>44489</v>
      </c>
      <c r="AS66" s="29">
        <v>44561</v>
      </c>
      <c r="AT66" s="27" t="s">
        <v>252</v>
      </c>
      <c r="AU66" s="27" t="s">
        <v>252</v>
      </c>
      <c r="AV66" s="27">
        <v>0</v>
      </c>
      <c r="AW66" s="30" t="s">
        <v>402</v>
      </c>
      <c r="AX66" s="28"/>
      <c r="AY66" s="28"/>
      <c r="AZ66" s="28"/>
      <c r="BA66" s="28"/>
      <c r="BB66" s="28"/>
      <c r="BC66" s="28"/>
      <c r="BD66" s="28"/>
      <c r="BE66" s="28"/>
      <c r="BF66" s="28"/>
      <c r="BG66" s="28"/>
      <c r="BH66" s="28"/>
      <c r="BI66" s="28"/>
      <c r="BJ66" s="28"/>
      <c r="BK66" s="28"/>
      <c r="BL66" s="28"/>
      <c r="BM66" s="28"/>
      <c r="BN66" s="28"/>
      <c r="BO66" s="28"/>
      <c r="BP66" s="28"/>
      <c r="BQ66" s="28"/>
      <c r="BR66" s="28"/>
      <c r="BS66" s="28"/>
      <c r="BT66" s="28"/>
      <c r="BU66" s="28"/>
      <c r="BV66" s="28"/>
      <c r="BW66" s="28"/>
      <c r="BX66" s="28"/>
      <c r="BY66" s="19"/>
      <c r="BZ66" s="19"/>
      <c r="CA66" s="19"/>
      <c r="CB66" s="19"/>
      <c r="CC66" s="19"/>
      <c r="CD66" s="19"/>
      <c r="CE66" s="19"/>
      <c r="CF66" s="19"/>
      <c r="CG66" s="19"/>
      <c r="CH66" s="19"/>
      <c r="CI66" s="19"/>
      <c r="CJ66" s="19"/>
      <c r="CK66" s="19"/>
      <c r="CL66" s="19"/>
      <c r="CM66" s="19"/>
      <c r="CN66" s="19"/>
      <c r="CO66" s="19"/>
      <c r="CP66" s="19"/>
      <c r="CQ66" s="19"/>
      <c r="CR66" s="19"/>
      <c r="CS66" s="19"/>
      <c r="CT66" s="19"/>
      <c r="CU66" s="19"/>
      <c r="CV66" s="19"/>
      <c r="CW66" s="19"/>
      <c r="CX66" s="19"/>
      <c r="CY66" s="19"/>
      <c r="CZ66" s="19"/>
      <c r="DA66" s="19"/>
      <c r="DB66" s="19"/>
      <c r="DC66" s="19"/>
      <c r="DD66" s="19"/>
      <c r="DE66" s="19"/>
      <c r="DF66" s="19"/>
      <c r="DG66" s="19"/>
      <c r="DH66" s="19"/>
      <c r="DI66" s="19"/>
      <c r="DJ66" s="19"/>
      <c r="DK66" s="19"/>
      <c r="DL66" s="19"/>
      <c r="DM66" s="19"/>
      <c r="DN66" s="19"/>
      <c r="DO66" s="19"/>
      <c r="DP66" s="19"/>
      <c r="DQ66" s="19"/>
      <c r="DR66" s="19"/>
      <c r="DS66" s="19"/>
      <c r="DT66" s="19"/>
      <c r="DU66" s="19"/>
      <c r="DV66" s="19"/>
      <c r="DW66" s="19"/>
      <c r="DX66" s="19"/>
      <c r="DY66" s="19"/>
      <c r="DZ66" s="19"/>
      <c r="EA66" s="19"/>
      <c r="EB66" s="19"/>
      <c r="EC66" s="19"/>
      <c r="ED66" s="19"/>
      <c r="EE66" s="19"/>
      <c r="EF66" s="19"/>
      <c r="EG66" s="19"/>
      <c r="EH66" s="19"/>
      <c r="EI66" s="19"/>
      <c r="EJ66" s="19"/>
      <c r="EK66" s="19"/>
      <c r="EL66" s="19"/>
      <c r="EM66" s="19"/>
      <c r="EN66" s="19"/>
      <c r="EO66" s="19"/>
      <c r="EP66" s="19"/>
      <c r="EQ66" s="19"/>
      <c r="ER66" s="19"/>
      <c r="ES66" s="19"/>
      <c r="ET66" s="19"/>
      <c r="EU66" s="19"/>
      <c r="EV66" s="19"/>
      <c r="EW66" s="19"/>
      <c r="EX66" s="19"/>
      <c r="EY66" s="19"/>
      <c r="EZ66" s="19"/>
      <c r="FA66" s="19"/>
      <c r="FB66" s="19"/>
      <c r="FC66" s="19"/>
      <c r="FD66" s="19"/>
      <c r="FE66" s="19"/>
      <c r="FF66" s="19"/>
      <c r="FG66" s="19"/>
      <c r="FH66" s="19"/>
      <c r="FI66" s="19"/>
      <c r="FJ66" s="19"/>
      <c r="FK66" s="19"/>
      <c r="FL66" s="20" t="s">
        <v>403</v>
      </c>
      <c r="FM66" s="20" t="s">
        <v>255</v>
      </c>
      <c r="FN66" s="19"/>
      <c r="FO66" s="19"/>
      <c r="FP66" s="19"/>
      <c r="FQ66" s="19"/>
      <c r="FR66" s="19"/>
      <c r="FS66" s="19"/>
      <c r="FT66" s="19"/>
      <c r="FU66" s="19"/>
      <c r="FV66" s="19"/>
      <c r="FW66" s="19"/>
      <c r="FX66" s="19"/>
      <c r="FY66" s="19"/>
      <c r="FZ66" s="19"/>
      <c r="GA66" s="19"/>
      <c r="GB66" s="19"/>
      <c r="GC66" s="19"/>
      <c r="GD66" s="19"/>
      <c r="GE66" s="19"/>
      <c r="GF66" s="19"/>
      <c r="GG66" s="19"/>
      <c r="GH66" s="19"/>
      <c r="GI66" s="19"/>
      <c r="GJ66" s="19"/>
      <c r="GK66" s="19"/>
      <c r="GL66" s="19"/>
      <c r="GM66" s="19"/>
      <c r="GN66" s="19"/>
      <c r="GO66" s="19"/>
      <c r="GP66" s="19"/>
      <c r="GQ66" s="19"/>
      <c r="GR66" s="19"/>
      <c r="GS66" s="19"/>
      <c r="GT66" s="19"/>
      <c r="GU66" s="19"/>
      <c r="GV66" s="19"/>
      <c r="GW66" s="19"/>
      <c r="GX66" s="19"/>
      <c r="GY66" s="19"/>
      <c r="GZ66" s="19"/>
      <c r="HA66" s="19"/>
    </row>
    <row r="67" spans="1:209" ht="23.25" customHeight="1" x14ac:dyDescent="0.15">
      <c r="A67" s="26">
        <v>44658.682067395828</v>
      </c>
      <c r="B67" s="27" t="s">
        <v>6</v>
      </c>
      <c r="C67" s="27" t="s">
        <v>11</v>
      </c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28"/>
      <c r="AW67" s="28"/>
      <c r="AX67" s="27" t="s">
        <v>404</v>
      </c>
      <c r="AY67" s="27" t="s">
        <v>405</v>
      </c>
      <c r="AZ67" s="27" t="s">
        <v>406</v>
      </c>
      <c r="BA67" s="27" t="s">
        <v>407</v>
      </c>
      <c r="BB67" s="27" t="s">
        <v>408</v>
      </c>
      <c r="BC67" s="29">
        <v>43623</v>
      </c>
      <c r="BD67" s="29">
        <v>43672</v>
      </c>
      <c r="BE67" s="29">
        <v>44677</v>
      </c>
      <c r="BF67" s="27">
        <v>80</v>
      </c>
      <c r="BG67" s="27" t="s">
        <v>409</v>
      </c>
      <c r="BH67" s="30" t="s">
        <v>410</v>
      </c>
      <c r="BI67" s="28"/>
      <c r="BJ67" s="28"/>
      <c r="BK67" s="28"/>
      <c r="BL67" s="28"/>
      <c r="BM67" s="28"/>
      <c r="BN67" s="28"/>
      <c r="BO67" s="28"/>
      <c r="BP67" s="28"/>
      <c r="BQ67" s="28"/>
      <c r="BR67" s="28"/>
      <c r="BS67" s="28"/>
      <c r="BT67" s="28"/>
      <c r="BU67" s="28"/>
      <c r="BV67" s="28"/>
      <c r="BW67" s="28"/>
      <c r="BX67" s="28"/>
      <c r="BY67" s="19"/>
      <c r="BZ67" s="19"/>
      <c r="CA67" s="19"/>
      <c r="CB67" s="19"/>
      <c r="CC67" s="19"/>
      <c r="CD67" s="19"/>
      <c r="CE67" s="19"/>
      <c r="CF67" s="19"/>
      <c r="CG67" s="19"/>
      <c r="CH67" s="19"/>
      <c r="CI67" s="19"/>
      <c r="CJ67" s="19"/>
      <c r="CK67" s="19"/>
      <c r="CL67" s="19"/>
      <c r="CM67" s="19"/>
      <c r="CN67" s="19"/>
      <c r="CO67" s="19"/>
      <c r="CP67" s="19"/>
      <c r="CQ67" s="19"/>
      <c r="CR67" s="19"/>
      <c r="CS67" s="19"/>
      <c r="CT67" s="19"/>
      <c r="CU67" s="19"/>
      <c r="CV67" s="19"/>
      <c r="CW67" s="19"/>
      <c r="CX67" s="19"/>
      <c r="CY67" s="19"/>
      <c r="CZ67" s="19"/>
      <c r="DA67" s="19"/>
      <c r="DB67" s="19"/>
      <c r="DC67" s="19"/>
      <c r="DD67" s="19"/>
      <c r="DE67" s="19"/>
      <c r="DF67" s="19"/>
      <c r="DG67" s="19"/>
      <c r="DH67" s="19"/>
      <c r="DI67" s="19"/>
      <c r="DJ67" s="19"/>
      <c r="DK67" s="19"/>
      <c r="DL67" s="19"/>
      <c r="DM67" s="19"/>
      <c r="DN67" s="19"/>
      <c r="DO67" s="19"/>
      <c r="DP67" s="19"/>
      <c r="DQ67" s="19"/>
      <c r="DR67" s="19"/>
      <c r="DS67" s="19"/>
      <c r="DT67" s="19"/>
      <c r="DU67" s="19"/>
      <c r="DV67" s="19"/>
      <c r="DW67" s="19"/>
      <c r="DX67" s="19"/>
      <c r="DY67" s="19"/>
      <c r="DZ67" s="19"/>
      <c r="EA67" s="19"/>
      <c r="EB67" s="19"/>
      <c r="EC67" s="19"/>
      <c r="ED67" s="19"/>
      <c r="EE67" s="19"/>
      <c r="EF67" s="19"/>
      <c r="EG67" s="19"/>
      <c r="EH67" s="19"/>
      <c r="EI67" s="19"/>
      <c r="EJ67" s="19"/>
      <c r="EK67" s="19"/>
      <c r="EL67" s="19"/>
      <c r="EM67" s="19"/>
      <c r="EN67" s="19"/>
      <c r="EO67" s="19"/>
      <c r="EP67" s="19"/>
      <c r="EQ67" s="19"/>
      <c r="ER67" s="19"/>
      <c r="ES67" s="19"/>
      <c r="ET67" s="19"/>
      <c r="EU67" s="19"/>
      <c r="EV67" s="19"/>
      <c r="EW67" s="19"/>
      <c r="EX67" s="19"/>
      <c r="EY67" s="19"/>
      <c r="EZ67" s="19"/>
      <c r="FA67" s="19"/>
      <c r="FB67" s="19"/>
      <c r="FC67" s="19"/>
      <c r="FD67" s="19"/>
      <c r="FE67" s="19"/>
      <c r="FF67" s="19"/>
      <c r="FG67" s="19"/>
      <c r="FH67" s="19"/>
      <c r="FI67" s="19"/>
      <c r="FJ67" s="19"/>
      <c r="FK67" s="19"/>
      <c r="FL67" s="20" t="s">
        <v>411</v>
      </c>
      <c r="FM67" s="20" t="s">
        <v>412</v>
      </c>
      <c r="FN67" s="19"/>
      <c r="FO67" s="19"/>
      <c r="FP67" s="19"/>
      <c r="FQ67" s="19"/>
      <c r="FR67" s="19"/>
      <c r="FS67" s="19"/>
      <c r="FT67" s="19"/>
      <c r="FU67" s="19"/>
      <c r="FV67" s="19"/>
      <c r="FW67" s="19"/>
      <c r="FX67" s="19"/>
      <c r="FY67" s="19"/>
      <c r="FZ67" s="19"/>
      <c r="GA67" s="19"/>
      <c r="GB67" s="19"/>
      <c r="GC67" s="19"/>
      <c r="GD67" s="19"/>
      <c r="GE67" s="19"/>
      <c r="GF67" s="19"/>
      <c r="GG67" s="19"/>
      <c r="GH67" s="19"/>
      <c r="GI67" s="19"/>
      <c r="GJ67" s="19"/>
      <c r="GK67" s="19"/>
      <c r="GL67" s="19"/>
      <c r="GM67" s="19"/>
      <c r="GN67" s="19"/>
      <c r="GO67" s="19"/>
      <c r="GP67" s="19"/>
      <c r="GQ67" s="19"/>
      <c r="GR67" s="19"/>
      <c r="GS67" s="19"/>
      <c r="GT67" s="19"/>
      <c r="GU67" s="19"/>
      <c r="GV67" s="19"/>
      <c r="GW67" s="19"/>
      <c r="GX67" s="19"/>
      <c r="GY67" s="19"/>
      <c r="GZ67" s="19"/>
      <c r="HA67" s="19"/>
    </row>
    <row r="68" spans="1:209" ht="23.25" customHeight="1" x14ac:dyDescent="0.15">
      <c r="A68" s="26">
        <v>44658.685206087961</v>
      </c>
      <c r="B68" s="27" t="s">
        <v>6</v>
      </c>
      <c r="C68" s="27" t="s">
        <v>10</v>
      </c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7" t="s">
        <v>413</v>
      </c>
      <c r="AO68" s="27" t="s">
        <v>405</v>
      </c>
      <c r="AP68" s="27" t="s">
        <v>414</v>
      </c>
      <c r="AQ68" s="27" t="s">
        <v>415</v>
      </c>
      <c r="AR68" s="29">
        <v>44475</v>
      </c>
      <c r="AS68" s="29">
        <v>44560</v>
      </c>
      <c r="AT68" s="27" t="s">
        <v>252</v>
      </c>
      <c r="AU68" s="27" t="s">
        <v>252</v>
      </c>
      <c r="AV68" s="27">
        <v>0</v>
      </c>
      <c r="AW68" s="30" t="s">
        <v>416</v>
      </c>
      <c r="AX68" s="28"/>
      <c r="AY68" s="28"/>
      <c r="AZ68" s="28"/>
      <c r="BA68" s="28"/>
      <c r="BB68" s="28"/>
      <c r="BC68" s="28"/>
      <c r="BD68" s="28"/>
      <c r="BE68" s="28"/>
      <c r="BF68" s="28"/>
      <c r="BG68" s="28"/>
      <c r="BH68" s="28"/>
      <c r="BI68" s="28"/>
      <c r="BJ68" s="28"/>
      <c r="BK68" s="28"/>
      <c r="BL68" s="28"/>
      <c r="BM68" s="28"/>
      <c r="BN68" s="28"/>
      <c r="BO68" s="28"/>
      <c r="BP68" s="28"/>
      <c r="BQ68" s="28"/>
      <c r="BR68" s="28"/>
      <c r="BS68" s="28"/>
      <c r="BT68" s="28"/>
      <c r="BU68" s="28"/>
      <c r="BV68" s="28"/>
      <c r="BW68" s="28"/>
      <c r="BX68" s="28"/>
      <c r="BY68" s="19"/>
      <c r="BZ68" s="19"/>
      <c r="CA68" s="19"/>
      <c r="CB68" s="19"/>
      <c r="CC68" s="19"/>
      <c r="CD68" s="19"/>
      <c r="CE68" s="19"/>
      <c r="CF68" s="19"/>
      <c r="CG68" s="19"/>
      <c r="CH68" s="19"/>
      <c r="CI68" s="19"/>
      <c r="CJ68" s="19"/>
      <c r="CK68" s="19"/>
      <c r="CL68" s="19"/>
      <c r="CM68" s="19"/>
      <c r="CN68" s="19"/>
      <c r="CO68" s="19"/>
      <c r="CP68" s="19"/>
      <c r="CQ68" s="19"/>
      <c r="CR68" s="19"/>
      <c r="CS68" s="19"/>
      <c r="CT68" s="19"/>
      <c r="CU68" s="19"/>
      <c r="CV68" s="19"/>
      <c r="CW68" s="19"/>
      <c r="CX68" s="19"/>
      <c r="CY68" s="19"/>
      <c r="CZ68" s="19"/>
      <c r="DA68" s="19"/>
      <c r="DB68" s="19"/>
      <c r="DC68" s="19"/>
      <c r="DD68" s="19"/>
      <c r="DE68" s="19"/>
      <c r="DF68" s="19"/>
      <c r="DG68" s="19"/>
      <c r="DH68" s="19"/>
      <c r="DI68" s="19"/>
      <c r="DJ68" s="19"/>
      <c r="DK68" s="19"/>
      <c r="DL68" s="19"/>
      <c r="DM68" s="19"/>
      <c r="DN68" s="19"/>
      <c r="DO68" s="19"/>
      <c r="DP68" s="19"/>
      <c r="DQ68" s="19"/>
      <c r="DR68" s="19"/>
      <c r="DS68" s="19"/>
      <c r="DT68" s="19"/>
      <c r="DU68" s="19"/>
      <c r="DV68" s="19"/>
      <c r="DW68" s="19"/>
      <c r="DX68" s="19"/>
      <c r="DY68" s="19"/>
      <c r="DZ68" s="19"/>
      <c r="EA68" s="19"/>
      <c r="EB68" s="19"/>
      <c r="EC68" s="19"/>
      <c r="ED68" s="19"/>
      <c r="EE68" s="19"/>
      <c r="EF68" s="19"/>
      <c r="EG68" s="19"/>
      <c r="EH68" s="19"/>
      <c r="EI68" s="19"/>
      <c r="EJ68" s="19"/>
      <c r="EK68" s="19"/>
      <c r="EL68" s="19"/>
      <c r="EM68" s="19"/>
      <c r="EN68" s="19"/>
      <c r="EO68" s="19"/>
      <c r="EP68" s="19"/>
      <c r="EQ68" s="19"/>
      <c r="ER68" s="19"/>
      <c r="ES68" s="19"/>
      <c r="ET68" s="19"/>
      <c r="EU68" s="19"/>
      <c r="EV68" s="19"/>
      <c r="EW68" s="19"/>
      <c r="EX68" s="19"/>
      <c r="EY68" s="19"/>
      <c r="EZ68" s="19"/>
      <c r="FA68" s="19"/>
      <c r="FB68" s="19"/>
      <c r="FC68" s="19"/>
      <c r="FD68" s="19"/>
      <c r="FE68" s="19"/>
      <c r="FF68" s="19"/>
      <c r="FG68" s="19"/>
      <c r="FH68" s="19"/>
      <c r="FI68" s="19"/>
      <c r="FJ68" s="19"/>
      <c r="FK68" s="19"/>
      <c r="FL68" s="20" t="s">
        <v>411</v>
      </c>
      <c r="FM68" s="20" t="s">
        <v>273</v>
      </c>
      <c r="FN68" s="19"/>
      <c r="FO68" s="19"/>
      <c r="FP68" s="19"/>
      <c r="FQ68" s="19"/>
      <c r="FR68" s="19"/>
      <c r="FS68" s="19"/>
      <c r="FT68" s="19"/>
      <c r="FU68" s="19"/>
      <c r="FV68" s="19"/>
      <c r="FW68" s="19"/>
      <c r="FX68" s="19"/>
      <c r="FY68" s="19"/>
      <c r="FZ68" s="19"/>
      <c r="GA68" s="19"/>
      <c r="GB68" s="19"/>
      <c r="GC68" s="19"/>
      <c r="GD68" s="19"/>
      <c r="GE68" s="19"/>
      <c r="GF68" s="19"/>
      <c r="GG68" s="19"/>
      <c r="GH68" s="19"/>
      <c r="GI68" s="19"/>
      <c r="GJ68" s="19"/>
      <c r="GK68" s="19"/>
      <c r="GL68" s="19"/>
      <c r="GM68" s="19"/>
      <c r="GN68" s="19"/>
      <c r="GO68" s="19"/>
      <c r="GP68" s="19"/>
      <c r="GQ68" s="19"/>
      <c r="GR68" s="19"/>
      <c r="GS68" s="19"/>
      <c r="GT68" s="19"/>
      <c r="GU68" s="19"/>
      <c r="GV68" s="19"/>
      <c r="GW68" s="19"/>
      <c r="GX68" s="19"/>
      <c r="GY68" s="19"/>
      <c r="GZ68" s="19"/>
      <c r="HA68" s="19"/>
    </row>
    <row r="69" spans="1:209" ht="23.25" customHeight="1" x14ac:dyDescent="0.15">
      <c r="A69" s="26">
        <v>44658.689689270832</v>
      </c>
      <c r="B69" s="27" t="s">
        <v>6</v>
      </c>
      <c r="C69" s="27" t="s">
        <v>17</v>
      </c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  <c r="BD69" s="28"/>
      <c r="BE69" s="28"/>
      <c r="BF69" s="28"/>
      <c r="BG69" s="28"/>
      <c r="BH69" s="28"/>
      <c r="BI69" s="28"/>
      <c r="BJ69" s="28"/>
      <c r="BK69" s="28"/>
      <c r="BL69" s="28"/>
      <c r="BM69" s="28"/>
      <c r="BN69" s="28"/>
      <c r="BO69" s="28"/>
      <c r="BP69" s="28"/>
      <c r="BQ69" s="28"/>
      <c r="BR69" s="28"/>
      <c r="BS69" s="28"/>
      <c r="BT69" s="28"/>
      <c r="BU69" s="28"/>
      <c r="BV69" s="28"/>
      <c r="BW69" s="28"/>
      <c r="BX69" s="28"/>
      <c r="BY69" s="19"/>
      <c r="BZ69" s="19"/>
      <c r="CA69" s="19"/>
      <c r="CB69" s="19"/>
      <c r="CC69" s="19"/>
      <c r="CD69" s="19"/>
      <c r="CE69" s="19"/>
      <c r="CF69" s="19"/>
      <c r="CG69" s="19"/>
      <c r="CH69" s="19"/>
      <c r="CI69" s="19"/>
      <c r="CJ69" s="19"/>
      <c r="CK69" s="19"/>
      <c r="CL69" s="19"/>
      <c r="CM69" s="19"/>
      <c r="CN69" s="19"/>
      <c r="CO69" s="19"/>
      <c r="CP69" s="19"/>
      <c r="CQ69" s="19"/>
      <c r="CR69" s="19"/>
      <c r="CS69" s="19"/>
      <c r="CT69" s="19"/>
      <c r="CU69" s="19"/>
      <c r="CV69" s="19"/>
      <c r="CW69" s="19"/>
      <c r="CX69" s="19"/>
      <c r="CY69" s="19"/>
      <c r="CZ69" s="19"/>
      <c r="DA69" s="19"/>
      <c r="DB69" s="19"/>
      <c r="DC69" s="19"/>
      <c r="DD69" s="19"/>
      <c r="DE69" s="19"/>
      <c r="DF69" s="19"/>
      <c r="DG69" s="19"/>
      <c r="DH69" s="19"/>
      <c r="DI69" s="19"/>
      <c r="DJ69" s="19"/>
      <c r="DK69" s="19"/>
      <c r="DL69" s="19"/>
      <c r="DM69" s="19"/>
      <c r="DN69" s="19"/>
      <c r="DO69" s="19"/>
      <c r="DP69" s="19"/>
      <c r="DQ69" s="19"/>
      <c r="DR69" s="19"/>
      <c r="DS69" s="19"/>
      <c r="DT69" s="19"/>
      <c r="DU69" s="19"/>
      <c r="DV69" s="19"/>
      <c r="DW69" s="19"/>
      <c r="DX69" s="20" t="s">
        <v>413</v>
      </c>
      <c r="DY69" s="20" t="s">
        <v>405</v>
      </c>
      <c r="DZ69" s="20" t="s">
        <v>166</v>
      </c>
      <c r="EA69" s="20" t="s">
        <v>417</v>
      </c>
      <c r="EB69" s="21">
        <v>44523</v>
      </c>
      <c r="EC69" s="20" t="s">
        <v>418</v>
      </c>
      <c r="ED69" s="22" t="s">
        <v>419</v>
      </c>
      <c r="EE69" s="19"/>
      <c r="EF69" s="19"/>
      <c r="EG69" s="19"/>
      <c r="EH69" s="19"/>
      <c r="EI69" s="19"/>
      <c r="EJ69" s="19"/>
      <c r="EK69" s="19"/>
      <c r="EL69" s="19"/>
      <c r="EM69" s="19"/>
      <c r="EN69" s="19"/>
      <c r="EO69" s="19"/>
      <c r="EP69" s="19"/>
      <c r="EQ69" s="19"/>
      <c r="ER69" s="19"/>
      <c r="ES69" s="19"/>
      <c r="ET69" s="19"/>
      <c r="EU69" s="19"/>
      <c r="EV69" s="19"/>
      <c r="EW69" s="19"/>
      <c r="EX69" s="19"/>
      <c r="EY69" s="19"/>
      <c r="EZ69" s="19"/>
      <c r="FA69" s="19"/>
      <c r="FB69" s="19"/>
      <c r="FC69" s="19"/>
      <c r="FD69" s="19"/>
      <c r="FE69" s="19"/>
      <c r="FF69" s="19"/>
      <c r="FG69" s="19"/>
      <c r="FH69" s="19"/>
      <c r="FI69" s="19"/>
      <c r="FJ69" s="19"/>
      <c r="FK69" s="19"/>
      <c r="FL69" s="20" t="s">
        <v>411</v>
      </c>
      <c r="FM69" s="20" t="s">
        <v>278</v>
      </c>
      <c r="FN69" s="19"/>
      <c r="FO69" s="19"/>
      <c r="FP69" s="19"/>
      <c r="FQ69" s="19"/>
      <c r="FR69" s="19"/>
      <c r="FS69" s="19"/>
      <c r="FT69" s="19"/>
      <c r="FU69" s="19"/>
      <c r="FV69" s="19"/>
      <c r="FW69" s="19"/>
      <c r="FX69" s="19"/>
      <c r="FY69" s="19"/>
      <c r="FZ69" s="19"/>
      <c r="GA69" s="19"/>
      <c r="GB69" s="19"/>
      <c r="GC69" s="19"/>
      <c r="GD69" s="19"/>
      <c r="GE69" s="19"/>
      <c r="GF69" s="19"/>
      <c r="GG69" s="19"/>
      <c r="GH69" s="19"/>
      <c r="GI69" s="19"/>
      <c r="GJ69" s="19"/>
      <c r="GK69" s="19"/>
      <c r="GL69" s="19"/>
      <c r="GM69" s="19"/>
      <c r="GN69" s="19"/>
      <c r="GO69" s="19"/>
      <c r="GP69" s="19"/>
      <c r="GQ69" s="19"/>
      <c r="GR69" s="19"/>
      <c r="GS69" s="19"/>
      <c r="GT69" s="19"/>
      <c r="GU69" s="19"/>
      <c r="GV69" s="19"/>
      <c r="GW69" s="19"/>
      <c r="GX69" s="19"/>
      <c r="GY69" s="19"/>
      <c r="GZ69" s="19"/>
      <c r="HA69" s="19"/>
    </row>
    <row r="70" spans="1:209" ht="23.25" customHeight="1" x14ac:dyDescent="0.15">
      <c r="A70" s="26">
        <v>44658.694873784727</v>
      </c>
      <c r="B70" s="27" t="s">
        <v>6</v>
      </c>
      <c r="C70" s="27" t="s">
        <v>11</v>
      </c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7" t="s">
        <v>413</v>
      </c>
      <c r="AY70" s="27" t="s">
        <v>405</v>
      </c>
      <c r="AZ70" s="27" t="s">
        <v>420</v>
      </c>
      <c r="BA70" s="27" t="s">
        <v>421</v>
      </c>
      <c r="BB70" s="27">
        <v>1</v>
      </c>
      <c r="BC70" s="29">
        <v>44481</v>
      </c>
      <c r="BD70" s="29">
        <v>44481</v>
      </c>
      <c r="BE70" s="29">
        <v>44481</v>
      </c>
      <c r="BF70" s="27">
        <v>100</v>
      </c>
      <c r="BG70" s="27" t="s">
        <v>422</v>
      </c>
      <c r="BH70" s="30" t="s">
        <v>423</v>
      </c>
      <c r="BI70" s="28"/>
      <c r="BJ70" s="28"/>
      <c r="BK70" s="28"/>
      <c r="BL70" s="28"/>
      <c r="BM70" s="28"/>
      <c r="BN70" s="28"/>
      <c r="BO70" s="28"/>
      <c r="BP70" s="28"/>
      <c r="BQ70" s="28"/>
      <c r="BR70" s="28"/>
      <c r="BS70" s="28"/>
      <c r="BT70" s="28"/>
      <c r="BU70" s="28"/>
      <c r="BV70" s="28"/>
      <c r="BW70" s="28"/>
      <c r="BX70" s="28"/>
      <c r="BY70" s="19"/>
      <c r="BZ70" s="19"/>
      <c r="CA70" s="19"/>
      <c r="CB70" s="19"/>
      <c r="CC70" s="19"/>
      <c r="CD70" s="19"/>
      <c r="CE70" s="19"/>
      <c r="CF70" s="19"/>
      <c r="CG70" s="19"/>
      <c r="CH70" s="19"/>
      <c r="CI70" s="19"/>
      <c r="CJ70" s="19"/>
      <c r="CK70" s="19"/>
      <c r="CL70" s="19"/>
      <c r="CM70" s="19"/>
      <c r="CN70" s="19"/>
      <c r="CO70" s="19"/>
      <c r="CP70" s="19"/>
      <c r="CQ70" s="19"/>
      <c r="CR70" s="19"/>
      <c r="CS70" s="19"/>
      <c r="CT70" s="19"/>
      <c r="CU70" s="19"/>
      <c r="CV70" s="19"/>
      <c r="CW70" s="19"/>
      <c r="CX70" s="19"/>
      <c r="CY70" s="19"/>
      <c r="CZ70" s="19"/>
      <c r="DA70" s="19"/>
      <c r="DB70" s="19"/>
      <c r="DC70" s="19"/>
      <c r="DD70" s="19"/>
      <c r="DE70" s="19"/>
      <c r="DF70" s="19"/>
      <c r="DG70" s="19"/>
      <c r="DH70" s="19"/>
      <c r="DI70" s="19"/>
      <c r="DJ70" s="19"/>
      <c r="DK70" s="19"/>
      <c r="DL70" s="19"/>
      <c r="DM70" s="19"/>
      <c r="DN70" s="19"/>
      <c r="DO70" s="19"/>
      <c r="DP70" s="19"/>
      <c r="DQ70" s="19"/>
      <c r="DR70" s="19"/>
      <c r="DS70" s="19"/>
      <c r="DT70" s="19"/>
      <c r="DU70" s="19"/>
      <c r="DV70" s="19"/>
      <c r="DW70" s="19"/>
      <c r="DX70" s="19"/>
      <c r="DY70" s="19"/>
      <c r="DZ70" s="19"/>
      <c r="EA70" s="19"/>
      <c r="EB70" s="19"/>
      <c r="EC70" s="19"/>
      <c r="ED70" s="19"/>
      <c r="EE70" s="19"/>
      <c r="EF70" s="19"/>
      <c r="EG70" s="19"/>
      <c r="EH70" s="19"/>
      <c r="EI70" s="19"/>
      <c r="EJ70" s="19"/>
      <c r="EK70" s="19"/>
      <c r="EL70" s="19"/>
      <c r="EM70" s="19"/>
      <c r="EN70" s="19"/>
      <c r="EO70" s="19"/>
      <c r="EP70" s="19"/>
      <c r="EQ70" s="19"/>
      <c r="ER70" s="19"/>
      <c r="ES70" s="19"/>
      <c r="ET70" s="19"/>
      <c r="EU70" s="19"/>
      <c r="EV70" s="19"/>
      <c r="EW70" s="19"/>
      <c r="EX70" s="19"/>
      <c r="EY70" s="19"/>
      <c r="EZ70" s="19"/>
      <c r="FA70" s="19"/>
      <c r="FB70" s="19"/>
      <c r="FC70" s="19"/>
      <c r="FD70" s="19"/>
      <c r="FE70" s="19"/>
      <c r="FF70" s="19"/>
      <c r="FG70" s="19"/>
      <c r="FH70" s="19"/>
      <c r="FI70" s="19"/>
      <c r="FJ70" s="19"/>
      <c r="FK70" s="19"/>
      <c r="FL70" s="20" t="s">
        <v>411</v>
      </c>
      <c r="FM70" s="20" t="s">
        <v>273</v>
      </c>
      <c r="FN70" s="19"/>
      <c r="FO70" s="19"/>
      <c r="FP70" s="19"/>
      <c r="FQ70" s="19"/>
      <c r="FR70" s="19"/>
      <c r="FS70" s="19"/>
      <c r="FT70" s="19"/>
      <c r="FU70" s="19"/>
      <c r="FV70" s="19"/>
      <c r="FW70" s="19"/>
      <c r="FX70" s="19"/>
      <c r="FY70" s="19"/>
      <c r="FZ70" s="19"/>
      <c r="GA70" s="19"/>
      <c r="GB70" s="19"/>
      <c r="GC70" s="19"/>
      <c r="GD70" s="19"/>
      <c r="GE70" s="19"/>
      <c r="GF70" s="19"/>
      <c r="GG70" s="19"/>
      <c r="GH70" s="19"/>
      <c r="GI70" s="19"/>
      <c r="GJ70" s="19"/>
      <c r="GK70" s="19"/>
      <c r="GL70" s="19"/>
      <c r="GM70" s="19"/>
      <c r="GN70" s="19"/>
      <c r="GO70" s="19"/>
      <c r="GP70" s="19"/>
      <c r="GQ70" s="19"/>
      <c r="GR70" s="19"/>
      <c r="GS70" s="19"/>
      <c r="GT70" s="19"/>
      <c r="GU70" s="19"/>
      <c r="GV70" s="19"/>
      <c r="GW70" s="19"/>
      <c r="GX70" s="19"/>
      <c r="GY70" s="19"/>
      <c r="GZ70" s="19"/>
      <c r="HA70" s="19"/>
    </row>
    <row r="71" spans="1:209" ht="23.25" customHeight="1" x14ac:dyDescent="0.15">
      <c r="A71" s="26">
        <v>44658.699926168978</v>
      </c>
      <c r="B71" s="27" t="s">
        <v>6</v>
      </c>
      <c r="C71" s="27" t="s">
        <v>11</v>
      </c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  <c r="AX71" s="27" t="s">
        <v>413</v>
      </c>
      <c r="AY71" s="27" t="s">
        <v>405</v>
      </c>
      <c r="AZ71" s="27" t="s">
        <v>424</v>
      </c>
      <c r="BA71" s="27" t="s">
        <v>425</v>
      </c>
      <c r="BB71" s="27" t="s">
        <v>191</v>
      </c>
      <c r="BC71" s="29">
        <v>44039</v>
      </c>
      <c r="BD71" s="29">
        <v>44034</v>
      </c>
      <c r="BE71" s="29">
        <v>44039</v>
      </c>
      <c r="BF71" s="27">
        <v>100</v>
      </c>
      <c r="BG71" s="27" t="s">
        <v>426</v>
      </c>
      <c r="BH71" s="30" t="s">
        <v>427</v>
      </c>
      <c r="BI71" s="28"/>
      <c r="BJ71" s="28"/>
      <c r="BK71" s="28"/>
      <c r="BL71" s="28"/>
      <c r="BM71" s="28"/>
      <c r="BN71" s="28"/>
      <c r="BO71" s="28"/>
      <c r="BP71" s="28"/>
      <c r="BQ71" s="28"/>
      <c r="BR71" s="28"/>
      <c r="BS71" s="28"/>
      <c r="BT71" s="28"/>
      <c r="BU71" s="28"/>
      <c r="BV71" s="28"/>
      <c r="BW71" s="28"/>
      <c r="BX71" s="28"/>
      <c r="BY71" s="19"/>
      <c r="BZ71" s="19"/>
      <c r="CA71" s="19"/>
      <c r="CB71" s="19"/>
      <c r="CC71" s="19"/>
      <c r="CD71" s="19"/>
      <c r="CE71" s="19"/>
      <c r="CF71" s="19"/>
      <c r="CG71" s="19"/>
      <c r="CH71" s="19"/>
      <c r="CI71" s="19"/>
      <c r="CJ71" s="19"/>
      <c r="CK71" s="19"/>
      <c r="CL71" s="19"/>
      <c r="CM71" s="19"/>
      <c r="CN71" s="19"/>
      <c r="CO71" s="19"/>
      <c r="CP71" s="19"/>
      <c r="CQ71" s="19"/>
      <c r="CR71" s="19"/>
      <c r="CS71" s="19"/>
      <c r="CT71" s="19"/>
      <c r="CU71" s="19"/>
      <c r="CV71" s="19"/>
      <c r="CW71" s="19"/>
      <c r="CX71" s="19"/>
      <c r="CY71" s="19"/>
      <c r="CZ71" s="19"/>
      <c r="DA71" s="19"/>
      <c r="DB71" s="19"/>
      <c r="DC71" s="19"/>
      <c r="DD71" s="19"/>
      <c r="DE71" s="19"/>
      <c r="DF71" s="19"/>
      <c r="DG71" s="19"/>
      <c r="DH71" s="19"/>
      <c r="DI71" s="19"/>
      <c r="DJ71" s="19"/>
      <c r="DK71" s="19"/>
      <c r="DL71" s="19"/>
      <c r="DM71" s="19"/>
      <c r="DN71" s="19"/>
      <c r="DO71" s="19"/>
      <c r="DP71" s="19"/>
      <c r="DQ71" s="19"/>
      <c r="DR71" s="19"/>
      <c r="DS71" s="19"/>
      <c r="DT71" s="19"/>
      <c r="DU71" s="19"/>
      <c r="DV71" s="19"/>
      <c r="DW71" s="19"/>
      <c r="DX71" s="19"/>
      <c r="DY71" s="19"/>
      <c r="DZ71" s="19"/>
      <c r="EA71" s="19"/>
      <c r="EB71" s="19"/>
      <c r="EC71" s="19"/>
      <c r="ED71" s="19"/>
      <c r="EE71" s="19"/>
      <c r="EF71" s="19"/>
      <c r="EG71" s="19"/>
      <c r="EH71" s="19"/>
      <c r="EI71" s="19"/>
      <c r="EJ71" s="19"/>
      <c r="EK71" s="19"/>
      <c r="EL71" s="19"/>
      <c r="EM71" s="19"/>
      <c r="EN71" s="19"/>
      <c r="EO71" s="19"/>
      <c r="EP71" s="19"/>
      <c r="EQ71" s="19"/>
      <c r="ER71" s="19"/>
      <c r="ES71" s="19"/>
      <c r="ET71" s="19"/>
      <c r="EU71" s="19"/>
      <c r="EV71" s="19"/>
      <c r="EW71" s="19"/>
      <c r="EX71" s="19"/>
      <c r="EY71" s="19"/>
      <c r="EZ71" s="19"/>
      <c r="FA71" s="19"/>
      <c r="FB71" s="19"/>
      <c r="FC71" s="19"/>
      <c r="FD71" s="19"/>
      <c r="FE71" s="19"/>
      <c r="FF71" s="19"/>
      <c r="FG71" s="19"/>
      <c r="FH71" s="19"/>
      <c r="FI71" s="19"/>
      <c r="FJ71" s="19"/>
      <c r="FK71" s="19"/>
      <c r="FL71" s="20" t="s">
        <v>411</v>
      </c>
      <c r="FM71" s="20" t="s">
        <v>321</v>
      </c>
      <c r="FN71" s="19"/>
      <c r="FO71" s="19"/>
      <c r="FP71" s="19"/>
      <c r="FQ71" s="19"/>
      <c r="FR71" s="19"/>
      <c r="FS71" s="19"/>
      <c r="FT71" s="19"/>
      <c r="FU71" s="19"/>
      <c r="FV71" s="19"/>
      <c r="FW71" s="19"/>
      <c r="FX71" s="19"/>
      <c r="FY71" s="19"/>
      <c r="FZ71" s="19"/>
      <c r="GA71" s="19"/>
      <c r="GB71" s="19"/>
      <c r="GC71" s="19"/>
      <c r="GD71" s="19"/>
      <c r="GE71" s="19"/>
      <c r="GF71" s="19"/>
      <c r="GG71" s="19"/>
      <c r="GH71" s="19"/>
      <c r="GI71" s="19"/>
      <c r="GJ71" s="19"/>
      <c r="GK71" s="19"/>
      <c r="GL71" s="19"/>
      <c r="GM71" s="19"/>
      <c r="GN71" s="19"/>
      <c r="GO71" s="19"/>
      <c r="GP71" s="19"/>
      <c r="GQ71" s="19"/>
      <c r="GR71" s="19"/>
      <c r="GS71" s="19"/>
      <c r="GT71" s="19"/>
      <c r="GU71" s="19"/>
      <c r="GV71" s="19"/>
      <c r="GW71" s="19"/>
      <c r="GX71" s="19"/>
      <c r="GY71" s="19"/>
      <c r="GZ71" s="19"/>
      <c r="HA71" s="19"/>
    </row>
    <row r="72" spans="1:209" ht="23.25" customHeight="1" x14ac:dyDescent="0.15">
      <c r="A72" s="26">
        <v>44658.701705567131</v>
      </c>
      <c r="B72" s="27" t="s">
        <v>6</v>
      </c>
      <c r="C72" s="27" t="s">
        <v>12</v>
      </c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  <c r="BD72" s="28"/>
      <c r="BE72" s="28"/>
      <c r="BF72" s="28"/>
      <c r="BG72" s="28"/>
      <c r="BH72" s="28"/>
      <c r="BI72" s="27" t="s">
        <v>428</v>
      </c>
      <c r="BJ72" s="27" t="s">
        <v>429</v>
      </c>
      <c r="BK72" s="27" t="s">
        <v>166</v>
      </c>
      <c r="BL72" s="27" t="s">
        <v>167</v>
      </c>
      <c r="BM72" s="27" t="s">
        <v>430</v>
      </c>
      <c r="BN72" s="27">
        <v>1</v>
      </c>
      <c r="BO72" s="29">
        <v>44017</v>
      </c>
      <c r="BP72" s="29">
        <v>44017</v>
      </c>
      <c r="BQ72" s="27" t="s">
        <v>431</v>
      </c>
      <c r="BR72" s="27" t="s">
        <v>432</v>
      </c>
      <c r="BS72" s="27" t="s">
        <v>171</v>
      </c>
      <c r="BT72" s="27" t="s">
        <v>151</v>
      </c>
      <c r="BU72" s="28"/>
      <c r="BV72" s="30" t="s">
        <v>433</v>
      </c>
      <c r="BW72" s="28"/>
      <c r="BX72" s="28"/>
      <c r="BY72" s="19"/>
      <c r="BZ72" s="19"/>
      <c r="CA72" s="19"/>
      <c r="CB72" s="19"/>
      <c r="CC72" s="19"/>
      <c r="CD72" s="19"/>
      <c r="CE72" s="19"/>
      <c r="CF72" s="19"/>
      <c r="CG72" s="19"/>
      <c r="CH72" s="19"/>
      <c r="CI72" s="19"/>
      <c r="CJ72" s="19"/>
      <c r="CK72" s="19"/>
      <c r="CL72" s="19"/>
      <c r="CM72" s="19"/>
      <c r="CN72" s="19"/>
      <c r="CO72" s="19"/>
      <c r="CP72" s="19"/>
      <c r="CQ72" s="19"/>
      <c r="CR72" s="19"/>
      <c r="CS72" s="19"/>
      <c r="CT72" s="19"/>
      <c r="CU72" s="19"/>
      <c r="CV72" s="19"/>
      <c r="CW72" s="19"/>
      <c r="CX72" s="19"/>
      <c r="CY72" s="19"/>
      <c r="CZ72" s="19"/>
      <c r="DA72" s="19"/>
      <c r="DB72" s="19"/>
      <c r="DC72" s="19"/>
      <c r="DD72" s="19"/>
      <c r="DE72" s="19"/>
      <c r="DF72" s="19"/>
      <c r="DG72" s="19"/>
      <c r="DH72" s="19"/>
      <c r="DI72" s="19"/>
      <c r="DJ72" s="19"/>
      <c r="DK72" s="19"/>
      <c r="DL72" s="19"/>
      <c r="DM72" s="19"/>
      <c r="DN72" s="19"/>
      <c r="DO72" s="19"/>
      <c r="DP72" s="19"/>
      <c r="DQ72" s="19"/>
      <c r="DR72" s="19"/>
      <c r="DS72" s="19"/>
      <c r="DT72" s="19"/>
      <c r="DU72" s="19"/>
      <c r="DV72" s="19"/>
      <c r="DW72" s="19"/>
      <c r="DX72" s="19"/>
      <c r="DY72" s="19"/>
      <c r="DZ72" s="19"/>
      <c r="EA72" s="19"/>
      <c r="EB72" s="19"/>
      <c r="EC72" s="19"/>
      <c r="ED72" s="19"/>
      <c r="EE72" s="19"/>
      <c r="EF72" s="19"/>
      <c r="EG72" s="19"/>
      <c r="EH72" s="19"/>
      <c r="EI72" s="19"/>
      <c r="EJ72" s="19"/>
      <c r="EK72" s="19"/>
      <c r="EL72" s="19"/>
      <c r="EM72" s="19"/>
      <c r="EN72" s="19"/>
      <c r="EO72" s="19"/>
      <c r="EP72" s="19"/>
      <c r="EQ72" s="19"/>
      <c r="ER72" s="19"/>
      <c r="ES72" s="19"/>
      <c r="ET72" s="19"/>
      <c r="EU72" s="19"/>
      <c r="EV72" s="19"/>
      <c r="EW72" s="19"/>
      <c r="EX72" s="19"/>
      <c r="EY72" s="19"/>
      <c r="EZ72" s="19"/>
      <c r="FA72" s="19"/>
      <c r="FB72" s="19"/>
      <c r="FC72" s="19"/>
      <c r="FD72" s="19"/>
      <c r="FE72" s="19"/>
      <c r="FF72" s="19"/>
      <c r="FG72" s="19"/>
      <c r="FH72" s="19"/>
      <c r="FI72" s="19"/>
      <c r="FJ72" s="19"/>
      <c r="FK72" s="19"/>
      <c r="FL72" s="20" t="s">
        <v>434</v>
      </c>
      <c r="FM72" s="20" t="s">
        <v>321</v>
      </c>
      <c r="FN72" s="19"/>
      <c r="FO72" s="19"/>
      <c r="FP72" s="19"/>
      <c r="FQ72" s="19"/>
      <c r="FR72" s="19"/>
      <c r="FS72" s="19"/>
      <c r="FT72" s="19"/>
      <c r="FU72" s="19"/>
      <c r="FV72" s="19"/>
      <c r="FW72" s="19"/>
      <c r="FX72" s="19"/>
      <c r="FY72" s="19"/>
      <c r="FZ72" s="19"/>
      <c r="GA72" s="19"/>
      <c r="GB72" s="19"/>
      <c r="GC72" s="19"/>
      <c r="GD72" s="19"/>
      <c r="GE72" s="19"/>
      <c r="GF72" s="19"/>
      <c r="GG72" s="19"/>
      <c r="GH72" s="19"/>
      <c r="GI72" s="19"/>
      <c r="GJ72" s="19"/>
      <c r="GK72" s="19"/>
      <c r="GL72" s="19"/>
      <c r="GM72" s="19"/>
      <c r="GN72" s="19"/>
      <c r="GO72" s="19"/>
      <c r="GP72" s="19"/>
      <c r="GQ72" s="19"/>
      <c r="GR72" s="19"/>
      <c r="GS72" s="19"/>
      <c r="GT72" s="19"/>
      <c r="GU72" s="19"/>
      <c r="GV72" s="19"/>
      <c r="GW72" s="19"/>
      <c r="GX72" s="19"/>
      <c r="GY72" s="19"/>
      <c r="GZ72" s="19"/>
      <c r="HA72" s="19"/>
    </row>
    <row r="73" spans="1:209" ht="23.25" customHeight="1" x14ac:dyDescent="0.15">
      <c r="A73" s="26">
        <v>44658.704034155089</v>
      </c>
      <c r="B73" s="27" t="s">
        <v>6</v>
      </c>
      <c r="C73" s="27" t="s">
        <v>12</v>
      </c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  <c r="BD73" s="28"/>
      <c r="BE73" s="28"/>
      <c r="BF73" s="28"/>
      <c r="BG73" s="28"/>
      <c r="BH73" s="28"/>
      <c r="BI73" s="27" t="s">
        <v>413</v>
      </c>
      <c r="BJ73" s="27" t="s">
        <v>405</v>
      </c>
      <c r="BK73" s="27" t="s">
        <v>311</v>
      </c>
      <c r="BL73" s="27" t="s">
        <v>167</v>
      </c>
      <c r="BM73" s="27" t="s">
        <v>435</v>
      </c>
      <c r="BN73" s="27">
        <v>1</v>
      </c>
      <c r="BO73" s="29">
        <v>44567</v>
      </c>
      <c r="BP73" s="29">
        <v>44567</v>
      </c>
      <c r="BQ73" s="27" t="s">
        <v>436</v>
      </c>
      <c r="BR73" s="27" t="s">
        <v>437</v>
      </c>
      <c r="BS73" s="27" t="s">
        <v>171</v>
      </c>
      <c r="BT73" s="27" t="s">
        <v>151</v>
      </c>
      <c r="BU73" s="28"/>
      <c r="BV73" s="30" t="s">
        <v>438</v>
      </c>
      <c r="BW73" s="28"/>
      <c r="BX73" s="28"/>
      <c r="BY73" s="19"/>
      <c r="BZ73" s="19"/>
      <c r="CA73" s="19"/>
      <c r="CB73" s="19"/>
      <c r="CC73" s="19"/>
      <c r="CD73" s="19"/>
      <c r="CE73" s="19"/>
      <c r="CF73" s="19"/>
      <c r="CG73" s="19"/>
      <c r="CH73" s="19"/>
      <c r="CI73" s="19"/>
      <c r="CJ73" s="19"/>
      <c r="CK73" s="19"/>
      <c r="CL73" s="19"/>
      <c r="CM73" s="19"/>
      <c r="CN73" s="19"/>
      <c r="CO73" s="19"/>
      <c r="CP73" s="19"/>
      <c r="CQ73" s="19"/>
      <c r="CR73" s="19"/>
      <c r="CS73" s="19"/>
      <c r="CT73" s="19"/>
      <c r="CU73" s="19"/>
      <c r="CV73" s="19"/>
      <c r="CW73" s="19"/>
      <c r="CX73" s="19"/>
      <c r="CY73" s="19"/>
      <c r="CZ73" s="19"/>
      <c r="DA73" s="19"/>
      <c r="DB73" s="19"/>
      <c r="DC73" s="19"/>
      <c r="DD73" s="19"/>
      <c r="DE73" s="19"/>
      <c r="DF73" s="19"/>
      <c r="DG73" s="19"/>
      <c r="DH73" s="19"/>
      <c r="DI73" s="19"/>
      <c r="DJ73" s="19"/>
      <c r="DK73" s="19"/>
      <c r="DL73" s="19"/>
      <c r="DM73" s="19"/>
      <c r="DN73" s="19"/>
      <c r="DO73" s="19"/>
      <c r="DP73" s="19"/>
      <c r="DQ73" s="19"/>
      <c r="DR73" s="19"/>
      <c r="DS73" s="19"/>
      <c r="DT73" s="19"/>
      <c r="DU73" s="19"/>
      <c r="DV73" s="19"/>
      <c r="DW73" s="19"/>
      <c r="DX73" s="19"/>
      <c r="DY73" s="19"/>
      <c r="DZ73" s="19"/>
      <c r="EA73" s="19"/>
      <c r="EB73" s="19"/>
      <c r="EC73" s="19"/>
      <c r="ED73" s="19"/>
      <c r="EE73" s="19"/>
      <c r="EF73" s="19"/>
      <c r="EG73" s="19"/>
      <c r="EH73" s="19"/>
      <c r="EI73" s="19"/>
      <c r="EJ73" s="19"/>
      <c r="EK73" s="19"/>
      <c r="EL73" s="19"/>
      <c r="EM73" s="19"/>
      <c r="EN73" s="19"/>
      <c r="EO73" s="19"/>
      <c r="EP73" s="19"/>
      <c r="EQ73" s="19"/>
      <c r="ER73" s="19"/>
      <c r="ES73" s="19"/>
      <c r="ET73" s="19"/>
      <c r="EU73" s="19"/>
      <c r="EV73" s="19"/>
      <c r="EW73" s="19"/>
      <c r="EX73" s="19"/>
      <c r="EY73" s="19"/>
      <c r="EZ73" s="19"/>
      <c r="FA73" s="19"/>
      <c r="FB73" s="19"/>
      <c r="FC73" s="19"/>
      <c r="FD73" s="19"/>
      <c r="FE73" s="19"/>
      <c r="FF73" s="19"/>
      <c r="FG73" s="19"/>
      <c r="FH73" s="19"/>
      <c r="FI73" s="19"/>
      <c r="FJ73" s="19"/>
      <c r="FK73" s="19"/>
      <c r="FL73" s="20" t="s">
        <v>411</v>
      </c>
      <c r="FM73" s="20" t="s">
        <v>273</v>
      </c>
      <c r="FN73" s="19"/>
      <c r="FO73" s="19"/>
      <c r="FP73" s="19"/>
      <c r="FQ73" s="19"/>
      <c r="FR73" s="19"/>
      <c r="FS73" s="19"/>
      <c r="FT73" s="19"/>
      <c r="FU73" s="19"/>
      <c r="FV73" s="19"/>
      <c r="FW73" s="19"/>
      <c r="FX73" s="19"/>
      <c r="FY73" s="19"/>
      <c r="FZ73" s="19"/>
      <c r="GA73" s="19"/>
      <c r="GB73" s="19"/>
      <c r="GC73" s="19"/>
      <c r="GD73" s="19"/>
      <c r="GE73" s="19"/>
      <c r="GF73" s="19"/>
      <c r="GG73" s="19"/>
      <c r="GH73" s="19"/>
      <c r="GI73" s="19"/>
      <c r="GJ73" s="19"/>
      <c r="GK73" s="19"/>
      <c r="GL73" s="19"/>
      <c r="GM73" s="19"/>
      <c r="GN73" s="19"/>
      <c r="GO73" s="19"/>
      <c r="GP73" s="19"/>
      <c r="GQ73" s="19"/>
      <c r="GR73" s="19"/>
      <c r="GS73" s="19"/>
      <c r="GT73" s="19"/>
      <c r="GU73" s="19"/>
      <c r="GV73" s="19"/>
      <c r="GW73" s="19"/>
      <c r="GX73" s="19"/>
      <c r="GY73" s="19"/>
      <c r="GZ73" s="19"/>
      <c r="HA73" s="19"/>
    </row>
    <row r="74" spans="1:209" ht="23.25" customHeight="1" x14ac:dyDescent="0.15">
      <c r="A74" s="26">
        <v>44658.708903599538</v>
      </c>
      <c r="B74" s="27" t="s">
        <v>6</v>
      </c>
      <c r="C74" s="27" t="s">
        <v>11</v>
      </c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  <c r="AX74" s="27" t="s">
        <v>439</v>
      </c>
      <c r="AY74" s="27" t="s">
        <v>144</v>
      </c>
      <c r="AZ74" s="27" t="s">
        <v>440</v>
      </c>
      <c r="BA74" s="27" t="s">
        <v>441</v>
      </c>
      <c r="BB74" s="27" t="s">
        <v>442</v>
      </c>
      <c r="BC74" s="29">
        <v>44470</v>
      </c>
      <c r="BD74" s="29">
        <v>44561</v>
      </c>
      <c r="BE74" s="29">
        <v>44561</v>
      </c>
      <c r="BF74" s="27">
        <v>100</v>
      </c>
      <c r="BG74" s="27" t="s">
        <v>443</v>
      </c>
      <c r="BH74" s="30" t="s">
        <v>444</v>
      </c>
      <c r="BI74" s="28"/>
      <c r="BJ74" s="28"/>
      <c r="BK74" s="28"/>
      <c r="BL74" s="28"/>
      <c r="BM74" s="28"/>
      <c r="BN74" s="28"/>
      <c r="BO74" s="28"/>
      <c r="BP74" s="28"/>
      <c r="BQ74" s="28"/>
      <c r="BR74" s="28"/>
      <c r="BS74" s="28"/>
      <c r="BT74" s="28"/>
      <c r="BU74" s="28"/>
      <c r="BV74" s="28"/>
      <c r="BW74" s="28"/>
      <c r="BX74" s="28"/>
      <c r="BY74" s="19"/>
      <c r="BZ74" s="19"/>
      <c r="CA74" s="19"/>
      <c r="CB74" s="19"/>
      <c r="CC74" s="19"/>
      <c r="CD74" s="19"/>
      <c r="CE74" s="19"/>
      <c r="CF74" s="19"/>
      <c r="CG74" s="19"/>
      <c r="CH74" s="19"/>
      <c r="CI74" s="19"/>
      <c r="CJ74" s="19"/>
      <c r="CK74" s="19"/>
      <c r="CL74" s="19"/>
      <c r="CM74" s="19"/>
      <c r="CN74" s="19"/>
      <c r="CO74" s="19"/>
      <c r="CP74" s="19"/>
      <c r="CQ74" s="19"/>
      <c r="CR74" s="19"/>
      <c r="CS74" s="19"/>
      <c r="CT74" s="19"/>
      <c r="CU74" s="19"/>
      <c r="CV74" s="19"/>
      <c r="CW74" s="19"/>
      <c r="CX74" s="19"/>
      <c r="CY74" s="19"/>
      <c r="CZ74" s="19"/>
      <c r="DA74" s="19"/>
      <c r="DB74" s="19"/>
      <c r="DC74" s="19"/>
      <c r="DD74" s="19"/>
      <c r="DE74" s="19"/>
      <c r="DF74" s="19"/>
      <c r="DG74" s="19"/>
      <c r="DH74" s="19"/>
      <c r="DI74" s="19"/>
      <c r="DJ74" s="19"/>
      <c r="DK74" s="19"/>
      <c r="DL74" s="19"/>
      <c r="DM74" s="19"/>
      <c r="DN74" s="19"/>
      <c r="DO74" s="19"/>
      <c r="DP74" s="19"/>
      <c r="DQ74" s="19"/>
      <c r="DR74" s="19"/>
      <c r="DS74" s="19"/>
      <c r="DT74" s="19"/>
      <c r="DU74" s="19"/>
      <c r="DV74" s="19"/>
      <c r="DW74" s="19"/>
      <c r="DX74" s="19"/>
      <c r="DY74" s="19"/>
      <c r="DZ74" s="19"/>
      <c r="EA74" s="19"/>
      <c r="EB74" s="19"/>
      <c r="EC74" s="19"/>
      <c r="ED74" s="19"/>
      <c r="EE74" s="19"/>
      <c r="EF74" s="19"/>
      <c r="EG74" s="19"/>
      <c r="EH74" s="19"/>
      <c r="EI74" s="19"/>
      <c r="EJ74" s="19"/>
      <c r="EK74" s="19"/>
      <c r="EL74" s="19"/>
      <c r="EM74" s="19"/>
      <c r="EN74" s="19"/>
      <c r="EO74" s="19"/>
      <c r="EP74" s="19"/>
      <c r="EQ74" s="19"/>
      <c r="ER74" s="19"/>
      <c r="ES74" s="19"/>
      <c r="ET74" s="19"/>
      <c r="EU74" s="19"/>
      <c r="EV74" s="19"/>
      <c r="EW74" s="19"/>
      <c r="EX74" s="19"/>
      <c r="EY74" s="19"/>
      <c r="EZ74" s="19"/>
      <c r="FA74" s="19"/>
      <c r="FB74" s="19"/>
      <c r="FC74" s="19"/>
      <c r="FD74" s="19"/>
      <c r="FE74" s="19"/>
      <c r="FF74" s="19"/>
      <c r="FG74" s="19"/>
      <c r="FH74" s="19"/>
      <c r="FI74" s="19"/>
      <c r="FJ74" s="19"/>
      <c r="FK74" s="19"/>
      <c r="FL74" s="20" t="s">
        <v>445</v>
      </c>
      <c r="FM74" s="20" t="s">
        <v>255</v>
      </c>
      <c r="FN74" s="19"/>
      <c r="FO74" s="19"/>
      <c r="FP74" s="19"/>
      <c r="FQ74" s="19"/>
      <c r="FR74" s="19"/>
      <c r="FS74" s="19"/>
      <c r="FT74" s="19"/>
      <c r="FU74" s="19"/>
      <c r="FV74" s="19"/>
      <c r="FW74" s="19"/>
      <c r="FX74" s="19"/>
      <c r="FY74" s="19"/>
      <c r="FZ74" s="19"/>
      <c r="GA74" s="19"/>
      <c r="GB74" s="19"/>
      <c r="GC74" s="19"/>
      <c r="GD74" s="19"/>
      <c r="GE74" s="19"/>
      <c r="GF74" s="19"/>
      <c r="GG74" s="19"/>
      <c r="GH74" s="19"/>
      <c r="GI74" s="19"/>
      <c r="GJ74" s="19"/>
      <c r="GK74" s="19"/>
      <c r="GL74" s="19"/>
      <c r="GM74" s="19"/>
      <c r="GN74" s="19"/>
      <c r="GO74" s="19"/>
      <c r="GP74" s="19"/>
      <c r="GQ74" s="19"/>
      <c r="GR74" s="19"/>
      <c r="GS74" s="19"/>
      <c r="GT74" s="19"/>
      <c r="GU74" s="19"/>
      <c r="GV74" s="19"/>
      <c r="GW74" s="19"/>
      <c r="GX74" s="19"/>
      <c r="GY74" s="19"/>
      <c r="GZ74" s="19"/>
      <c r="HA74" s="19"/>
    </row>
    <row r="75" spans="1:209" ht="23.25" customHeight="1" x14ac:dyDescent="0.15">
      <c r="A75" s="26">
        <v>44658.709589999999</v>
      </c>
      <c r="B75" s="27" t="s">
        <v>6</v>
      </c>
      <c r="C75" s="27" t="s">
        <v>11</v>
      </c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  <c r="AX75" s="27" t="s">
        <v>446</v>
      </c>
      <c r="AY75" s="27" t="s">
        <v>447</v>
      </c>
      <c r="AZ75" s="27" t="s">
        <v>440</v>
      </c>
      <c r="BA75" s="27" t="s">
        <v>441</v>
      </c>
      <c r="BB75" s="27" t="s">
        <v>448</v>
      </c>
      <c r="BC75" s="29">
        <v>44470</v>
      </c>
      <c r="BD75" s="29">
        <v>44561</v>
      </c>
      <c r="BE75" s="29">
        <v>44561</v>
      </c>
      <c r="BF75" s="27">
        <v>100</v>
      </c>
      <c r="BG75" s="27" t="s">
        <v>443</v>
      </c>
      <c r="BH75" s="30" t="s">
        <v>449</v>
      </c>
      <c r="BI75" s="28"/>
      <c r="BJ75" s="28"/>
      <c r="BK75" s="28"/>
      <c r="BL75" s="28"/>
      <c r="BM75" s="28"/>
      <c r="BN75" s="28"/>
      <c r="BO75" s="28"/>
      <c r="BP75" s="28"/>
      <c r="BQ75" s="28"/>
      <c r="BR75" s="28"/>
      <c r="BS75" s="28"/>
      <c r="BT75" s="28"/>
      <c r="BU75" s="28"/>
      <c r="BV75" s="28"/>
      <c r="BW75" s="28"/>
      <c r="BX75" s="28"/>
      <c r="BY75" s="19"/>
      <c r="BZ75" s="19"/>
      <c r="CA75" s="19"/>
      <c r="CB75" s="19"/>
      <c r="CC75" s="19"/>
      <c r="CD75" s="19"/>
      <c r="CE75" s="19"/>
      <c r="CF75" s="19"/>
      <c r="CG75" s="19"/>
      <c r="CH75" s="19"/>
      <c r="CI75" s="19"/>
      <c r="CJ75" s="19"/>
      <c r="CK75" s="19"/>
      <c r="CL75" s="19"/>
      <c r="CM75" s="19"/>
      <c r="CN75" s="19"/>
      <c r="CO75" s="19"/>
      <c r="CP75" s="19"/>
      <c r="CQ75" s="19"/>
      <c r="CR75" s="19"/>
      <c r="CS75" s="19"/>
      <c r="CT75" s="19"/>
      <c r="CU75" s="19"/>
      <c r="CV75" s="19"/>
      <c r="CW75" s="19"/>
      <c r="CX75" s="19"/>
      <c r="CY75" s="19"/>
      <c r="CZ75" s="19"/>
      <c r="DA75" s="19"/>
      <c r="DB75" s="19"/>
      <c r="DC75" s="19"/>
      <c r="DD75" s="19"/>
      <c r="DE75" s="19"/>
      <c r="DF75" s="19"/>
      <c r="DG75" s="19"/>
      <c r="DH75" s="19"/>
      <c r="DI75" s="19"/>
      <c r="DJ75" s="19"/>
      <c r="DK75" s="19"/>
      <c r="DL75" s="19"/>
      <c r="DM75" s="19"/>
      <c r="DN75" s="19"/>
      <c r="DO75" s="19"/>
      <c r="DP75" s="19"/>
      <c r="DQ75" s="19"/>
      <c r="DR75" s="19"/>
      <c r="DS75" s="19"/>
      <c r="DT75" s="19"/>
      <c r="DU75" s="19"/>
      <c r="DV75" s="19"/>
      <c r="DW75" s="19"/>
      <c r="DX75" s="19"/>
      <c r="DY75" s="19"/>
      <c r="DZ75" s="19"/>
      <c r="EA75" s="19"/>
      <c r="EB75" s="19"/>
      <c r="EC75" s="19"/>
      <c r="ED75" s="19"/>
      <c r="EE75" s="19"/>
      <c r="EF75" s="19"/>
      <c r="EG75" s="19"/>
      <c r="EH75" s="19"/>
      <c r="EI75" s="19"/>
      <c r="EJ75" s="19"/>
      <c r="EK75" s="19"/>
      <c r="EL75" s="19"/>
      <c r="EM75" s="19"/>
      <c r="EN75" s="19"/>
      <c r="EO75" s="19"/>
      <c r="EP75" s="19"/>
      <c r="EQ75" s="19"/>
      <c r="ER75" s="19"/>
      <c r="ES75" s="19"/>
      <c r="ET75" s="19"/>
      <c r="EU75" s="19"/>
      <c r="EV75" s="19"/>
      <c r="EW75" s="19"/>
      <c r="EX75" s="19"/>
      <c r="EY75" s="19"/>
      <c r="EZ75" s="19"/>
      <c r="FA75" s="19"/>
      <c r="FB75" s="19"/>
      <c r="FC75" s="19"/>
      <c r="FD75" s="19"/>
      <c r="FE75" s="19"/>
      <c r="FF75" s="19"/>
      <c r="FG75" s="19"/>
      <c r="FH75" s="19"/>
      <c r="FI75" s="19"/>
      <c r="FJ75" s="19"/>
      <c r="FK75" s="19"/>
      <c r="FL75" s="20" t="s">
        <v>450</v>
      </c>
      <c r="FM75" s="20" t="s">
        <v>255</v>
      </c>
      <c r="FN75" s="19"/>
      <c r="FO75" s="19"/>
      <c r="FP75" s="19"/>
      <c r="FQ75" s="19"/>
      <c r="FR75" s="19"/>
      <c r="FS75" s="19"/>
      <c r="FT75" s="19"/>
      <c r="FU75" s="19"/>
      <c r="FV75" s="19"/>
      <c r="FW75" s="19"/>
      <c r="FX75" s="19"/>
      <c r="FY75" s="19"/>
      <c r="FZ75" s="19"/>
      <c r="GA75" s="19"/>
      <c r="GB75" s="19"/>
      <c r="GC75" s="19"/>
      <c r="GD75" s="19"/>
      <c r="GE75" s="19"/>
      <c r="GF75" s="19"/>
      <c r="GG75" s="19"/>
      <c r="GH75" s="19"/>
      <c r="GI75" s="19"/>
      <c r="GJ75" s="19"/>
      <c r="GK75" s="19"/>
      <c r="GL75" s="19"/>
      <c r="GM75" s="19"/>
      <c r="GN75" s="19"/>
      <c r="GO75" s="19"/>
      <c r="GP75" s="19"/>
      <c r="GQ75" s="19"/>
      <c r="GR75" s="19"/>
      <c r="GS75" s="19"/>
      <c r="GT75" s="19"/>
      <c r="GU75" s="19"/>
      <c r="GV75" s="19"/>
      <c r="GW75" s="19"/>
      <c r="GX75" s="19"/>
      <c r="GY75" s="19"/>
      <c r="GZ75" s="19"/>
      <c r="HA75" s="19"/>
    </row>
    <row r="76" spans="1:209" ht="23.25" customHeight="1" x14ac:dyDescent="0.15">
      <c r="A76" s="26">
        <v>44658.730894884255</v>
      </c>
      <c r="B76" s="27" t="s">
        <v>6</v>
      </c>
      <c r="C76" s="17" t="s">
        <v>13</v>
      </c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  <c r="BD76" s="28"/>
      <c r="BE76" s="28"/>
      <c r="BF76" s="28"/>
      <c r="BG76" s="28"/>
      <c r="BH76" s="28"/>
      <c r="BI76" s="28"/>
      <c r="BJ76" s="28"/>
      <c r="BK76" s="28"/>
      <c r="BL76" s="28"/>
      <c r="BM76" s="28"/>
      <c r="BN76" s="28"/>
      <c r="BO76" s="28"/>
      <c r="BP76" s="28"/>
      <c r="BQ76" s="28"/>
      <c r="BR76" s="28"/>
      <c r="BS76" s="28"/>
      <c r="BT76" s="28"/>
      <c r="BU76" s="28"/>
      <c r="BV76" s="28"/>
      <c r="BW76" s="27" t="s">
        <v>451</v>
      </c>
      <c r="BX76" s="27" t="s">
        <v>452</v>
      </c>
      <c r="BY76" s="19"/>
      <c r="BZ76" s="20" t="s">
        <v>311</v>
      </c>
      <c r="CA76" s="20" t="s">
        <v>453</v>
      </c>
      <c r="CB76" s="20" t="s">
        <v>454</v>
      </c>
      <c r="CC76" s="20" t="s">
        <v>455</v>
      </c>
      <c r="CD76" s="21">
        <v>44444</v>
      </c>
      <c r="CE76" s="21">
        <v>44535</v>
      </c>
      <c r="CF76" s="20">
        <v>62</v>
      </c>
      <c r="CG76" s="22" t="s">
        <v>456</v>
      </c>
      <c r="CH76" s="19"/>
      <c r="CI76" s="19"/>
      <c r="CJ76" s="19"/>
      <c r="CK76" s="19"/>
      <c r="CL76" s="19"/>
      <c r="CM76" s="19"/>
      <c r="CN76" s="19"/>
      <c r="CO76" s="19"/>
      <c r="CP76" s="19"/>
      <c r="CQ76" s="19"/>
      <c r="CR76" s="19"/>
      <c r="CS76" s="19"/>
      <c r="CT76" s="19"/>
      <c r="CU76" s="19"/>
      <c r="CV76" s="19"/>
      <c r="CW76" s="19"/>
      <c r="CX76" s="19"/>
      <c r="CY76" s="19"/>
      <c r="CZ76" s="19"/>
      <c r="DA76" s="19"/>
      <c r="DB76" s="19"/>
      <c r="DC76" s="19"/>
      <c r="DD76" s="19"/>
      <c r="DE76" s="19"/>
      <c r="DF76" s="19"/>
      <c r="DG76" s="19"/>
      <c r="DH76" s="19"/>
      <c r="DI76" s="19"/>
      <c r="DJ76" s="19"/>
      <c r="DK76" s="19"/>
      <c r="DL76" s="19"/>
      <c r="DM76" s="19"/>
      <c r="DN76" s="19"/>
      <c r="DO76" s="19"/>
      <c r="DP76" s="19"/>
      <c r="DQ76" s="19"/>
      <c r="DR76" s="19"/>
      <c r="DS76" s="19"/>
      <c r="DT76" s="19"/>
      <c r="DU76" s="19"/>
      <c r="DV76" s="19"/>
      <c r="DW76" s="19"/>
      <c r="DX76" s="19"/>
      <c r="DY76" s="19"/>
      <c r="DZ76" s="19"/>
      <c r="EA76" s="19"/>
      <c r="EB76" s="19"/>
      <c r="EC76" s="19"/>
      <c r="ED76" s="19"/>
      <c r="EE76" s="19"/>
      <c r="EF76" s="19"/>
      <c r="EG76" s="19"/>
      <c r="EH76" s="19"/>
      <c r="EI76" s="19"/>
      <c r="EJ76" s="19"/>
      <c r="EK76" s="19"/>
      <c r="EL76" s="19"/>
      <c r="EM76" s="19"/>
      <c r="EN76" s="19"/>
      <c r="EO76" s="19"/>
      <c r="EP76" s="19"/>
      <c r="EQ76" s="19"/>
      <c r="ER76" s="19"/>
      <c r="ES76" s="19"/>
      <c r="ET76" s="19"/>
      <c r="EU76" s="19"/>
      <c r="EV76" s="19"/>
      <c r="EW76" s="19"/>
      <c r="EX76" s="19"/>
      <c r="EY76" s="19"/>
      <c r="EZ76" s="19"/>
      <c r="FA76" s="19"/>
      <c r="FB76" s="19"/>
      <c r="FC76" s="19"/>
      <c r="FD76" s="19"/>
      <c r="FE76" s="19"/>
      <c r="FF76" s="19"/>
      <c r="FG76" s="19"/>
      <c r="FH76" s="19"/>
      <c r="FI76" s="19"/>
      <c r="FJ76" s="19"/>
      <c r="FK76" s="19"/>
      <c r="FL76" s="20" t="s">
        <v>457</v>
      </c>
      <c r="FM76" s="20" t="s">
        <v>255</v>
      </c>
      <c r="FN76" s="19"/>
      <c r="FO76" s="19"/>
      <c r="FP76" s="19"/>
      <c r="FQ76" s="19"/>
      <c r="FR76" s="19"/>
      <c r="FS76" s="19"/>
      <c r="FT76" s="19"/>
      <c r="FU76" s="19"/>
      <c r="FV76" s="19"/>
      <c r="FW76" s="19"/>
      <c r="FX76" s="19"/>
      <c r="FY76" s="19"/>
      <c r="FZ76" s="19"/>
      <c r="GA76" s="19"/>
      <c r="GB76" s="19"/>
      <c r="GC76" s="19"/>
      <c r="GD76" s="19"/>
      <c r="GE76" s="19"/>
      <c r="GF76" s="19"/>
      <c r="GG76" s="19"/>
      <c r="GH76" s="19"/>
      <c r="GI76" s="19"/>
      <c r="GJ76" s="19"/>
      <c r="GK76" s="19"/>
      <c r="GL76" s="19"/>
      <c r="GM76" s="19"/>
      <c r="GN76" s="19"/>
      <c r="GO76" s="19"/>
      <c r="GP76" s="19"/>
      <c r="GQ76" s="19"/>
      <c r="GR76" s="19"/>
      <c r="GS76" s="19"/>
      <c r="GT76" s="19"/>
      <c r="GU76" s="19"/>
      <c r="GV76" s="19"/>
      <c r="GW76" s="19"/>
      <c r="GX76" s="19"/>
      <c r="GY76" s="19"/>
      <c r="GZ76" s="19"/>
      <c r="HA76" s="19"/>
    </row>
    <row r="77" spans="1:209" ht="23.25" customHeight="1" x14ac:dyDescent="0.15">
      <c r="A77" s="26">
        <v>44658.73471167824</v>
      </c>
      <c r="B77" s="27" t="s">
        <v>6</v>
      </c>
      <c r="C77" s="27" t="s">
        <v>10</v>
      </c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7" t="s">
        <v>451</v>
      </c>
      <c r="AO77" s="27" t="s">
        <v>452</v>
      </c>
      <c r="AP77" s="27" t="s">
        <v>307</v>
      </c>
      <c r="AQ77" s="27" t="s">
        <v>389</v>
      </c>
      <c r="AR77" s="29">
        <v>44476</v>
      </c>
      <c r="AS77" s="29">
        <v>44537</v>
      </c>
      <c r="AT77" s="27" t="s">
        <v>252</v>
      </c>
      <c r="AU77" s="27" t="s">
        <v>252</v>
      </c>
      <c r="AV77" s="27">
        <v>0</v>
      </c>
      <c r="AW77" s="30" t="s">
        <v>458</v>
      </c>
      <c r="AX77" s="28"/>
      <c r="AY77" s="28"/>
      <c r="AZ77" s="28"/>
      <c r="BA77" s="28"/>
      <c r="BB77" s="28"/>
      <c r="BC77" s="28"/>
      <c r="BD77" s="28"/>
      <c r="BE77" s="28"/>
      <c r="BF77" s="28"/>
      <c r="BG77" s="28"/>
      <c r="BH77" s="28"/>
      <c r="BI77" s="28"/>
      <c r="BJ77" s="28"/>
      <c r="BK77" s="28"/>
      <c r="BL77" s="28"/>
      <c r="BM77" s="28"/>
      <c r="BN77" s="28"/>
      <c r="BO77" s="28"/>
      <c r="BP77" s="28"/>
      <c r="BQ77" s="28"/>
      <c r="BR77" s="28"/>
      <c r="BS77" s="28"/>
      <c r="BT77" s="28"/>
      <c r="BU77" s="28"/>
      <c r="BV77" s="28"/>
      <c r="BW77" s="28"/>
      <c r="BX77" s="28"/>
      <c r="BY77" s="19"/>
      <c r="BZ77" s="19"/>
      <c r="CA77" s="19"/>
      <c r="CB77" s="19"/>
      <c r="CC77" s="19"/>
      <c r="CD77" s="19"/>
      <c r="CE77" s="19"/>
      <c r="CF77" s="19"/>
      <c r="CG77" s="19"/>
      <c r="CH77" s="19"/>
      <c r="CI77" s="19"/>
      <c r="CJ77" s="19"/>
      <c r="CK77" s="19"/>
      <c r="CL77" s="19"/>
      <c r="CM77" s="19"/>
      <c r="CN77" s="19"/>
      <c r="CO77" s="19"/>
      <c r="CP77" s="19"/>
      <c r="CQ77" s="19"/>
      <c r="CR77" s="19"/>
      <c r="CS77" s="19"/>
      <c r="CT77" s="19"/>
      <c r="CU77" s="19"/>
      <c r="CV77" s="19"/>
      <c r="CW77" s="19"/>
      <c r="CX77" s="19"/>
      <c r="CY77" s="19"/>
      <c r="CZ77" s="19"/>
      <c r="DA77" s="19"/>
      <c r="DB77" s="19"/>
      <c r="DC77" s="19"/>
      <c r="DD77" s="19"/>
      <c r="DE77" s="19"/>
      <c r="DF77" s="19"/>
      <c r="DG77" s="19"/>
      <c r="DH77" s="19"/>
      <c r="DI77" s="19"/>
      <c r="DJ77" s="19"/>
      <c r="DK77" s="19"/>
      <c r="DL77" s="19"/>
      <c r="DM77" s="19"/>
      <c r="DN77" s="19"/>
      <c r="DO77" s="19"/>
      <c r="DP77" s="19"/>
      <c r="DQ77" s="19"/>
      <c r="DR77" s="19"/>
      <c r="DS77" s="19"/>
      <c r="DT77" s="19"/>
      <c r="DU77" s="19"/>
      <c r="DV77" s="19"/>
      <c r="DW77" s="19"/>
      <c r="DX77" s="19"/>
      <c r="DY77" s="19"/>
      <c r="DZ77" s="19"/>
      <c r="EA77" s="19"/>
      <c r="EB77" s="19"/>
      <c r="EC77" s="19"/>
      <c r="ED77" s="19"/>
      <c r="EE77" s="19"/>
      <c r="EF77" s="19"/>
      <c r="EG77" s="19"/>
      <c r="EH77" s="19"/>
      <c r="EI77" s="19"/>
      <c r="EJ77" s="19"/>
      <c r="EK77" s="19"/>
      <c r="EL77" s="19"/>
      <c r="EM77" s="19"/>
      <c r="EN77" s="19"/>
      <c r="EO77" s="19"/>
      <c r="EP77" s="19"/>
      <c r="EQ77" s="19"/>
      <c r="ER77" s="19"/>
      <c r="ES77" s="19"/>
      <c r="ET77" s="19"/>
      <c r="EU77" s="19"/>
      <c r="EV77" s="19"/>
      <c r="EW77" s="19"/>
      <c r="EX77" s="19"/>
      <c r="EY77" s="19"/>
      <c r="EZ77" s="19"/>
      <c r="FA77" s="19"/>
      <c r="FB77" s="19"/>
      <c r="FC77" s="19"/>
      <c r="FD77" s="19"/>
      <c r="FE77" s="19"/>
      <c r="FF77" s="19"/>
      <c r="FG77" s="19"/>
      <c r="FH77" s="19"/>
      <c r="FI77" s="19"/>
      <c r="FJ77" s="19"/>
      <c r="FK77" s="19"/>
      <c r="FL77" s="20" t="s">
        <v>457</v>
      </c>
      <c r="FM77" s="20" t="s">
        <v>255</v>
      </c>
      <c r="FN77" s="19"/>
      <c r="FO77" s="19"/>
      <c r="FP77" s="19"/>
      <c r="FQ77" s="19"/>
      <c r="FR77" s="19"/>
      <c r="FS77" s="19"/>
      <c r="FT77" s="19"/>
      <c r="FU77" s="19"/>
      <c r="FV77" s="19"/>
      <c r="FW77" s="19"/>
      <c r="FX77" s="19"/>
      <c r="FY77" s="19"/>
      <c r="FZ77" s="19"/>
      <c r="GA77" s="19"/>
      <c r="GB77" s="19"/>
      <c r="GC77" s="19"/>
      <c r="GD77" s="19"/>
      <c r="GE77" s="19"/>
      <c r="GF77" s="19"/>
      <c r="GG77" s="19"/>
      <c r="GH77" s="19"/>
      <c r="GI77" s="19"/>
      <c r="GJ77" s="19"/>
      <c r="GK77" s="19"/>
      <c r="GL77" s="19"/>
      <c r="GM77" s="19"/>
      <c r="GN77" s="19"/>
      <c r="GO77" s="19"/>
      <c r="GP77" s="19"/>
      <c r="GQ77" s="19"/>
      <c r="GR77" s="19"/>
      <c r="GS77" s="19"/>
      <c r="GT77" s="19"/>
      <c r="GU77" s="19"/>
      <c r="GV77" s="19"/>
      <c r="GW77" s="19"/>
      <c r="GX77" s="19"/>
      <c r="GY77" s="19"/>
      <c r="GZ77" s="19"/>
      <c r="HA77" s="19"/>
    </row>
    <row r="78" spans="1:209" ht="23.25" customHeight="1" x14ac:dyDescent="0.15">
      <c r="A78" s="26">
        <v>44658.739324224538</v>
      </c>
      <c r="B78" s="27" t="s">
        <v>6</v>
      </c>
      <c r="C78" s="27" t="s">
        <v>12</v>
      </c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  <c r="BD78" s="28"/>
      <c r="BE78" s="28"/>
      <c r="BF78" s="28"/>
      <c r="BG78" s="28"/>
      <c r="BH78" s="28"/>
      <c r="BI78" s="27" t="s">
        <v>439</v>
      </c>
      <c r="BJ78" s="27" t="s">
        <v>144</v>
      </c>
      <c r="BK78" s="27" t="s">
        <v>145</v>
      </c>
      <c r="BL78" s="27" t="s">
        <v>146</v>
      </c>
      <c r="BM78" s="27" t="s">
        <v>459</v>
      </c>
      <c r="BN78" s="27">
        <v>2</v>
      </c>
      <c r="BO78" s="29">
        <v>43462</v>
      </c>
      <c r="BP78" s="29">
        <v>43463</v>
      </c>
      <c r="BQ78" s="27" t="s">
        <v>460</v>
      </c>
      <c r="BR78" s="27" t="s">
        <v>461</v>
      </c>
      <c r="BS78" s="27" t="s">
        <v>150</v>
      </c>
      <c r="BT78" s="27" t="s">
        <v>151</v>
      </c>
      <c r="BU78" s="28"/>
      <c r="BV78" s="30" t="s">
        <v>462</v>
      </c>
      <c r="BW78" s="28"/>
      <c r="BX78" s="28"/>
      <c r="BY78" s="19"/>
      <c r="BZ78" s="19"/>
      <c r="CA78" s="19"/>
      <c r="CB78" s="19"/>
      <c r="CC78" s="19"/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/>
      <c r="CY78" s="19"/>
      <c r="CZ78" s="19"/>
      <c r="DA78" s="19"/>
      <c r="DB78" s="19"/>
      <c r="DC78" s="19"/>
      <c r="DD78" s="19"/>
      <c r="DE78" s="19"/>
      <c r="DF78" s="19"/>
      <c r="DG78" s="19"/>
      <c r="DH78" s="19"/>
      <c r="DI78" s="19"/>
      <c r="DJ78" s="19"/>
      <c r="DK78" s="19"/>
      <c r="DL78" s="19"/>
      <c r="DM78" s="19"/>
      <c r="DN78" s="19"/>
      <c r="DO78" s="19"/>
      <c r="DP78" s="19"/>
      <c r="DQ78" s="19"/>
      <c r="DR78" s="19"/>
      <c r="DS78" s="19"/>
      <c r="DT78" s="19"/>
      <c r="DU78" s="19"/>
      <c r="DV78" s="19"/>
      <c r="DW78" s="19"/>
      <c r="DX78" s="19"/>
      <c r="DY78" s="19"/>
      <c r="DZ78" s="19"/>
      <c r="EA78" s="19"/>
      <c r="EB78" s="19"/>
      <c r="EC78" s="19"/>
      <c r="ED78" s="19"/>
      <c r="EE78" s="19"/>
      <c r="EF78" s="19"/>
      <c r="EG78" s="19"/>
      <c r="EH78" s="19"/>
      <c r="EI78" s="19"/>
      <c r="EJ78" s="19"/>
      <c r="EK78" s="19"/>
      <c r="EL78" s="19"/>
      <c r="EM78" s="19"/>
      <c r="EN78" s="19"/>
      <c r="EO78" s="19"/>
      <c r="EP78" s="19"/>
      <c r="EQ78" s="19"/>
      <c r="ER78" s="19"/>
      <c r="ES78" s="19"/>
      <c r="ET78" s="19"/>
      <c r="EU78" s="19"/>
      <c r="EV78" s="19"/>
      <c r="EW78" s="19"/>
      <c r="EX78" s="19"/>
      <c r="EY78" s="19"/>
      <c r="EZ78" s="19"/>
      <c r="FA78" s="19"/>
      <c r="FB78" s="19"/>
      <c r="FC78" s="19"/>
      <c r="FD78" s="19"/>
      <c r="FE78" s="19"/>
      <c r="FF78" s="19"/>
      <c r="FG78" s="19"/>
      <c r="FH78" s="19"/>
      <c r="FI78" s="19"/>
      <c r="FJ78" s="19"/>
      <c r="FK78" s="19"/>
      <c r="FL78" s="20" t="s">
        <v>445</v>
      </c>
      <c r="FM78" s="20" t="s">
        <v>255</v>
      </c>
      <c r="FN78" s="19"/>
      <c r="FO78" s="19"/>
      <c r="FP78" s="19"/>
      <c r="FQ78" s="19"/>
      <c r="FR78" s="19"/>
      <c r="FS78" s="19"/>
      <c r="FT78" s="19"/>
      <c r="FU78" s="19"/>
      <c r="FV78" s="19"/>
      <c r="FW78" s="19"/>
      <c r="FX78" s="19"/>
      <c r="FY78" s="19"/>
      <c r="FZ78" s="19"/>
      <c r="GA78" s="19"/>
      <c r="GB78" s="19"/>
      <c r="GC78" s="19"/>
      <c r="GD78" s="19"/>
      <c r="GE78" s="19"/>
      <c r="GF78" s="19"/>
      <c r="GG78" s="19"/>
      <c r="GH78" s="19"/>
      <c r="GI78" s="19"/>
      <c r="GJ78" s="19"/>
      <c r="GK78" s="19"/>
      <c r="GL78" s="19"/>
      <c r="GM78" s="19"/>
      <c r="GN78" s="19"/>
      <c r="GO78" s="19"/>
      <c r="GP78" s="19"/>
      <c r="GQ78" s="19"/>
      <c r="GR78" s="19"/>
      <c r="GS78" s="19"/>
      <c r="GT78" s="19"/>
      <c r="GU78" s="19"/>
      <c r="GV78" s="19"/>
      <c r="GW78" s="19"/>
      <c r="GX78" s="19"/>
      <c r="GY78" s="19"/>
      <c r="GZ78" s="19"/>
      <c r="HA78" s="19"/>
    </row>
    <row r="79" spans="1:209" ht="23.25" customHeight="1" x14ac:dyDescent="0.15">
      <c r="A79" s="26">
        <v>44658.743679861116</v>
      </c>
      <c r="B79" s="27" t="s">
        <v>6</v>
      </c>
      <c r="C79" s="27" t="s">
        <v>17</v>
      </c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  <c r="BD79" s="28"/>
      <c r="BE79" s="28"/>
      <c r="BF79" s="28"/>
      <c r="BG79" s="28"/>
      <c r="BH79" s="28"/>
      <c r="BI79" s="28"/>
      <c r="BJ79" s="28"/>
      <c r="BK79" s="28"/>
      <c r="BL79" s="28"/>
      <c r="BM79" s="28"/>
      <c r="BN79" s="28"/>
      <c r="BO79" s="28"/>
      <c r="BP79" s="28"/>
      <c r="BQ79" s="28"/>
      <c r="BR79" s="28"/>
      <c r="BS79" s="28"/>
      <c r="BT79" s="28"/>
      <c r="BU79" s="28"/>
      <c r="BV79" s="28"/>
      <c r="BW79" s="28"/>
      <c r="BX79" s="28"/>
      <c r="BY79" s="19"/>
      <c r="BZ79" s="19"/>
      <c r="CA79" s="19"/>
      <c r="CB79" s="19"/>
      <c r="CC79" s="19"/>
      <c r="CD79" s="19"/>
      <c r="CE79" s="19"/>
      <c r="CF79" s="19"/>
      <c r="CG79" s="19"/>
      <c r="CH79" s="19"/>
      <c r="CI79" s="19"/>
      <c r="CJ79" s="19"/>
      <c r="CK79" s="19"/>
      <c r="CL79" s="19"/>
      <c r="CM79" s="19"/>
      <c r="CN79" s="19"/>
      <c r="CO79" s="19"/>
      <c r="CP79" s="19"/>
      <c r="CQ79" s="19"/>
      <c r="CR79" s="19"/>
      <c r="CS79" s="19"/>
      <c r="CT79" s="19"/>
      <c r="CU79" s="19"/>
      <c r="CV79" s="19"/>
      <c r="CW79" s="19"/>
      <c r="CX79" s="19"/>
      <c r="CY79" s="19"/>
      <c r="CZ79" s="19"/>
      <c r="DA79" s="19"/>
      <c r="DB79" s="19"/>
      <c r="DC79" s="19"/>
      <c r="DD79" s="19"/>
      <c r="DE79" s="19"/>
      <c r="DF79" s="19"/>
      <c r="DG79" s="19"/>
      <c r="DH79" s="19"/>
      <c r="DI79" s="19"/>
      <c r="DJ79" s="19"/>
      <c r="DK79" s="19"/>
      <c r="DL79" s="19"/>
      <c r="DM79" s="19"/>
      <c r="DN79" s="19"/>
      <c r="DO79" s="19"/>
      <c r="DP79" s="19"/>
      <c r="DQ79" s="19"/>
      <c r="DR79" s="19"/>
      <c r="DS79" s="19"/>
      <c r="DT79" s="19"/>
      <c r="DU79" s="19"/>
      <c r="DV79" s="19"/>
      <c r="DW79" s="19"/>
      <c r="DX79" s="20" t="s">
        <v>439</v>
      </c>
      <c r="DY79" s="20" t="s">
        <v>144</v>
      </c>
      <c r="DZ79" s="20" t="s">
        <v>154</v>
      </c>
      <c r="EA79" s="20" t="s">
        <v>463</v>
      </c>
      <c r="EB79" s="21">
        <v>43899</v>
      </c>
      <c r="EC79" s="20" t="s">
        <v>156</v>
      </c>
      <c r="ED79" s="22" t="s">
        <v>464</v>
      </c>
      <c r="EE79" s="19"/>
      <c r="EF79" s="19"/>
      <c r="EG79" s="19"/>
      <c r="EH79" s="19"/>
      <c r="EI79" s="19"/>
      <c r="EJ79" s="19"/>
      <c r="EK79" s="19"/>
      <c r="EL79" s="19"/>
      <c r="EM79" s="19"/>
      <c r="EN79" s="19"/>
      <c r="EO79" s="19"/>
      <c r="EP79" s="19"/>
      <c r="EQ79" s="19"/>
      <c r="ER79" s="19"/>
      <c r="ES79" s="19"/>
      <c r="ET79" s="19"/>
      <c r="EU79" s="19"/>
      <c r="EV79" s="19"/>
      <c r="EW79" s="19"/>
      <c r="EX79" s="19"/>
      <c r="EY79" s="19"/>
      <c r="EZ79" s="19"/>
      <c r="FA79" s="19"/>
      <c r="FB79" s="19"/>
      <c r="FC79" s="19"/>
      <c r="FD79" s="19"/>
      <c r="FE79" s="19"/>
      <c r="FF79" s="19"/>
      <c r="FG79" s="19"/>
      <c r="FH79" s="19"/>
      <c r="FI79" s="19"/>
      <c r="FJ79" s="19"/>
      <c r="FK79" s="19"/>
      <c r="FL79" s="20" t="s">
        <v>445</v>
      </c>
      <c r="FM79" s="20" t="s">
        <v>255</v>
      </c>
      <c r="FN79" s="19"/>
      <c r="FO79" s="19"/>
      <c r="FP79" s="19"/>
      <c r="FQ79" s="19"/>
      <c r="FR79" s="19"/>
      <c r="FS79" s="19"/>
      <c r="FT79" s="19"/>
      <c r="FU79" s="19"/>
      <c r="FV79" s="19"/>
      <c r="FW79" s="19"/>
      <c r="FX79" s="19"/>
      <c r="FY79" s="19"/>
      <c r="FZ79" s="19"/>
      <c r="GA79" s="19"/>
      <c r="GB79" s="19"/>
      <c r="GC79" s="19"/>
      <c r="GD79" s="19"/>
      <c r="GE79" s="19"/>
      <c r="GF79" s="19"/>
      <c r="GG79" s="19"/>
      <c r="GH79" s="19"/>
      <c r="GI79" s="19"/>
      <c r="GJ79" s="19"/>
      <c r="GK79" s="19"/>
      <c r="GL79" s="19"/>
      <c r="GM79" s="19"/>
      <c r="GN79" s="19"/>
      <c r="GO79" s="19"/>
      <c r="GP79" s="19"/>
      <c r="GQ79" s="19"/>
      <c r="GR79" s="19"/>
      <c r="GS79" s="19"/>
      <c r="GT79" s="19"/>
      <c r="GU79" s="19"/>
      <c r="GV79" s="19"/>
      <c r="GW79" s="19"/>
      <c r="GX79" s="19"/>
      <c r="GY79" s="19"/>
      <c r="GZ79" s="19"/>
      <c r="HA79" s="19"/>
    </row>
    <row r="80" spans="1:209" ht="23.25" customHeight="1" x14ac:dyDescent="0.15">
      <c r="A80" s="26">
        <v>44658.744341238431</v>
      </c>
      <c r="B80" s="27" t="s">
        <v>6</v>
      </c>
      <c r="C80" s="27" t="s">
        <v>11</v>
      </c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  <c r="AX80" s="27" t="s">
        <v>465</v>
      </c>
      <c r="AY80" s="27" t="s">
        <v>466</v>
      </c>
      <c r="AZ80" s="27" t="s">
        <v>467</v>
      </c>
      <c r="BA80" s="27" t="s">
        <v>468</v>
      </c>
      <c r="BB80" s="27" t="s">
        <v>469</v>
      </c>
      <c r="BC80" s="29">
        <v>43934</v>
      </c>
      <c r="BD80" s="29">
        <v>43938</v>
      </c>
      <c r="BE80" s="29">
        <v>43938</v>
      </c>
      <c r="BF80" s="27">
        <v>100</v>
      </c>
      <c r="BG80" s="27" t="s">
        <v>470</v>
      </c>
      <c r="BH80" s="30" t="s">
        <v>471</v>
      </c>
      <c r="BI80" s="28"/>
      <c r="BJ80" s="28"/>
      <c r="BK80" s="28"/>
      <c r="BL80" s="28"/>
      <c r="BM80" s="28"/>
      <c r="BN80" s="28"/>
      <c r="BO80" s="28"/>
      <c r="BP80" s="28"/>
      <c r="BQ80" s="28"/>
      <c r="BR80" s="28"/>
      <c r="BS80" s="28"/>
      <c r="BT80" s="28"/>
      <c r="BU80" s="28"/>
      <c r="BV80" s="28"/>
      <c r="BW80" s="28"/>
      <c r="BX80" s="28"/>
      <c r="BY80" s="19"/>
      <c r="BZ80" s="19"/>
      <c r="CA80" s="19"/>
      <c r="CB80" s="19"/>
      <c r="CC80" s="19"/>
      <c r="CD80" s="19"/>
      <c r="CE80" s="19"/>
      <c r="CF80" s="19"/>
      <c r="CG80" s="19"/>
      <c r="CH80" s="19"/>
      <c r="CI80" s="19"/>
      <c r="CJ80" s="19"/>
      <c r="CK80" s="19"/>
      <c r="CL80" s="19"/>
      <c r="CM80" s="19"/>
      <c r="CN80" s="19"/>
      <c r="CO80" s="19"/>
      <c r="CP80" s="19"/>
      <c r="CQ80" s="19"/>
      <c r="CR80" s="19"/>
      <c r="CS80" s="19"/>
      <c r="CT80" s="19"/>
      <c r="CU80" s="19"/>
      <c r="CV80" s="19"/>
      <c r="CW80" s="19"/>
      <c r="CX80" s="19"/>
      <c r="CY80" s="19"/>
      <c r="CZ80" s="19"/>
      <c r="DA80" s="19"/>
      <c r="DB80" s="19"/>
      <c r="DC80" s="19"/>
      <c r="DD80" s="19"/>
      <c r="DE80" s="19"/>
      <c r="DF80" s="19"/>
      <c r="DG80" s="19"/>
      <c r="DH80" s="19"/>
      <c r="DI80" s="19"/>
      <c r="DJ80" s="19"/>
      <c r="DK80" s="19"/>
      <c r="DL80" s="19"/>
      <c r="DM80" s="19"/>
      <c r="DN80" s="19"/>
      <c r="DO80" s="19"/>
      <c r="DP80" s="19"/>
      <c r="DQ80" s="19"/>
      <c r="DR80" s="19"/>
      <c r="DS80" s="19"/>
      <c r="DT80" s="19"/>
      <c r="DU80" s="19"/>
      <c r="DV80" s="19"/>
      <c r="DW80" s="19"/>
      <c r="DX80" s="19"/>
      <c r="DY80" s="19"/>
      <c r="DZ80" s="19"/>
      <c r="EA80" s="19"/>
      <c r="EB80" s="19"/>
      <c r="EC80" s="19"/>
      <c r="ED80" s="19"/>
      <c r="EE80" s="19"/>
      <c r="EF80" s="19"/>
      <c r="EG80" s="19"/>
      <c r="EH80" s="19"/>
      <c r="EI80" s="19"/>
      <c r="EJ80" s="19"/>
      <c r="EK80" s="19"/>
      <c r="EL80" s="19"/>
      <c r="EM80" s="19"/>
      <c r="EN80" s="19"/>
      <c r="EO80" s="19"/>
      <c r="EP80" s="19"/>
      <c r="EQ80" s="19"/>
      <c r="ER80" s="19"/>
      <c r="ES80" s="19"/>
      <c r="ET80" s="19"/>
      <c r="EU80" s="19"/>
      <c r="EV80" s="19"/>
      <c r="EW80" s="19"/>
      <c r="EX80" s="19"/>
      <c r="EY80" s="19"/>
      <c r="EZ80" s="19"/>
      <c r="FA80" s="19"/>
      <c r="FB80" s="19"/>
      <c r="FC80" s="19"/>
      <c r="FD80" s="19"/>
      <c r="FE80" s="19"/>
      <c r="FF80" s="19"/>
      <c r="FG80" s="19"/>
      <c r="FH80" s="19"/>
      <c r="FI80" s="19"/>
      <c r="FJ80" s="19"/>
      <c r="FK80" s="19"/>
      <c r="FL80" s="20" t="s">
        <v>472</v>
      </c>
      <c r="FM80" s="20" t="s">
        <v>255</v>
      </c>
      <c r="FN80" s="19"/>
      <c r="FO80" s="19"/>
      <c r="FP80" s="19"/>
      <c r="FQ80" s="19"/>
      <c r="FR80" s="19"/>
      <c r="FS80" s="19"/>
      <c r="FT80" s="19"/>
      <c r="FU80" s="19"/>
      <c r="FV80" s="19"/>
      <c r="FW80" s="19"/>
      <c r="FX80" s="19"/>
      <c r="FY80" s="19"/>
      <c r="FZ80" s="19"/>
      <c r="GA80" s="19"/>
      <c r="GB80" s="19"/>
      <c r="GC80" s="19"/>
      <c r="GD80" s="19"/>
      <c r="GE80" s="19"/>
      <c r="GF80" s="19"/>
      <c r="GG80" s="19"/>
      <c r="GH80" s="19"/>
      <c r="GI80" s="19"/>
      <c r="GJ80" s="19"/>
      <c r="GK80" s="19"/>
      <c r="GL80" s="19"/>
      <c r="GM80" s="19"/>
      <c r="GN80" s="19"/>
      <c r="GO80" s="19"/>
      <c r="GP80" s="19"/>
      <c r="GQ80" s="19"/>
      <c r="GR80" s="19"/>
      <c r="GS80" s="19"/>
      <c r="GT80" s="19"/>
      <c r="GU80" s="19"/>
      <c r="GV80" s="19"/>
      <c r="GW80" s="19"/>
      <c r="GX80" s="19"/>
      <c r="GY80" s="19"/>
      <c r="GZ80" s="19"/>
      <c r="HA80" s="19"/>
    </row>
    <row r="81" spans="1:209" ht="23.25" customHeight="1" x14ac:dyDescent="0.15">
      <c r="A81" s="26">
        <v>44658.748110243054</v>
      </c>
      <c r="B81" s="27" t="s">
        <v>6</v>
      </c>
      <c r="C81" s="17" t="s">
        <v>13</v>
      </c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  <c r="BD81" s="28"/>
      <c r="BE81" s="28"/>
      <c r="BF81" s="28"/>
      <c r="BG81" s="28"/>
      <c r="BH81" s="28"/>
      <c r="BI81" s="28"/>
      <c r="BJ81" s="28"/>
      <c r="BK81" s="28"/>
      <c r="BL81" s="28"/>
      <c r="BM81" s="28"/>
      <c r="BN81" s="28"/>
      <c r="BO81" s="28"/>
      <c r="BP81" s="28"/>
      <c r="BQ81" s="28"/>
      <c r="BR81" s="28"/>
      <c r="BS81" s="28"/>
      <c r="BT81" s="28"/>
      <c r="BU81" s="28"/>
      <c r="BV81" s="28"/>
      <c r="BW81" s="27" t="s">
        <v>465</v>
      </c>
      <c r="BX81" s="27" t="s">
        <v>466</v>
      </c>
      <c r="BY81" s="19"/>
      <c r="BZ81" s="20" t="s">
        <v>166</v>
      </c>
      <c r="CA81" s="20" t="s">
        <v>453</v>
      </c>
      <c r="CB81" s="20" t="s">
        <v>454</v>
      </c>
      <c r="CC81" s="20" t="s">
        <v>473</v>
      </c>
      <c r="CD81" s="21">
        <v>44089</v>
      </c>
      <c r="CE81" s="21">
        <v>44190</v>
      </c>
      <c r="CF81" s="20">
        <v>63</v>
      </c>
      <c r="CG81" s="22" t="s">
        <v>474</v>
      </c>
      <c r="CH81" s="19"/>
      <c r="CI81" s="19"/>
      <c r="CJ81" s="19"/>
      <c r="CK81" s="19"/>
      <c r="CL81" s="19"/>
      <c r="CM81" s="19"/>
      <c r="CN81" s="19"/>
      <c r="CO81" s="19"/>
      <c r="CP81" s="19"/>
      <c r="CQ81" s="19"/>
      <c r="CR81" s="19"/>
      <c r="CS81" s="19"/>
      <c r="CT81" s="19"/>
      <c r="CU81" s="19"/>
      <c r="CV81" s="19"/>
      <c r="CW81" s="19"/>
      <c r="CX81" s="19"/>
      <c r="CY81" s="19"/>
      <c r="CZ81" s="19"/>
      <c r="DA81" s="19"/>
      <c r="DB81" s="19"/>
      <c r="DC81" s="19"/>
      <c r="DD81" s="19"/>
      <c r="DE81" s="19"/>
      <c r="DF81" s="19"/>
      <c r="DG81" s="19"/>
      <c r="DH81" s="19"/>
      <c r="DI81" s="19"/>
      <c r="DJ81" s="19"/>
      <c r="DK81" s="19"/>
      <c r="DL81" s="19"/>
      <c r="DM81" s="19"/>
      <c r="DN81" s="19"/>
      <c r="DO81" s="19"/>
      <c r="DP81" s="19"/>
      <c r="DQ81" s="19"/>
      <c r="DR81" s="19"/>
      <c r="DS81" s="19"/>
      <c r="DT81" s="19"/>
      <c r="DU81" s="19"/>
      <c r="DV81" s="19"/>
      <c r="DW81" s="19"/>
      <c r="DX81" s="19"/>
      <c r="DY81" s="19"/>
      <c r="DZ81" s="19"/>
      <c r="EA81" s="19"/>
      <c r="EB81" s="19"/>
      <c r="EC81" s="19"/>
      <c r="ED81" s="19"/>
      <c r="EE81" s="19"/>
      <c r="EF81" s="19"/>
      <c r="EG81" s="19"/>
      <c r="EH81" s="19"/>
      <c r="EI81" s="19"/>
      <c r="EJ81" s="19"/>
      <c r="EK81" s="19"/>
      <c r="EL81" s="19"/>
      <c r="EM81" s="19"/>
      <c r="EN81" s="19"/>
      <c r="EO81" s="19"/>
      <c r="EP81" s="19"/>
      <c r="EQ81" s="19"/>
      <c r="ER81" s="19"/>
      <c r="ES81" s="19"/>
      <c r="ET81" s="19"/>
      <c r="EU81" s="19"/>
      <c r="EV81" s="19"/>
      <c r="EW81" s="19"/>
      <c r="EX81" s="19"/>
      <c r="EY81" s="19"/>
      <c r="EZ81" s="19"/>
      <c r="FA81" s="19"/>
      <c r="FB81" s="19"/>
      <c r="FC81" s="19"/>
      <c r="FD81" s="19"/>
      <c r="FE81" s="19"/>
      <c r="FF81" s="19"/>
      <c r="FG81" s="19"/>
      <c r="FH81" s="19"/>
      <c r="FI81" s="19"/>
      <c r="FJ81" s="19"/>
      <c r="FK81" s="19"/>
      <c r="FL81" s="20" t="s">
        <v>472</v>
      </c>
      <c r="FM81" s="20" t="s">
        <v>255</v>
      </c>
      <c r="FN81" s="19"/>
      <c r="FO81" s="19"/>
      <c r="FP81" s="19"/>
      <c r="FQ81" s="19"/>
      <c r="FR81" s="19"/>
      <c r="FS81" s="19"/>
      <c r="FT81" s="19"/>
      <c r="FU81" s="19"/>
      <c r="FV81" s="19"/>
      <c r="FW81" s="19"/>
      <c r="FX81" s="19"/>
      <c r="FY81" s="19"/>
      <c r="FZ81" s="19"/>
      <c r="GA81" s="19"/>
      <c r="GB81" s="19"/>
      <c r="GC81" s="19"/>
      <c r="GD81" s="19"/>
      <c r="GE81" s="19"/>
      <c r="GF81" s="19"/>
      <c r="GG81" s="19"/>
      <c r="GH81" s="19"/>
      <c r="GI81" s="19"/>
      <c r="GJ81" s="19"/>
      <c r="GK81" s="19"/>
      <c r="GL81" s="19"/>
      <c r="GM81" s="19"/>
      <c r="GN81" s="19"/>
      <c r="GO81" s="19"/>
      <c r="GP81" s="19"/>
      <c r="GQ81" s="19"/>
      <c r="GR81" s="19"/>
      <c r="GS81" s="19"/>
      <c r="GT81" s="19"/>
      <c r="GU81" s="19"/>
      <c r="GV81" s="19"/>
      <c r="GW81" s="19"/>
      <c r="GX81" s="19"/>
      <c r="GY81" s="19"/>
      <c r="GZ81" s="19"/>
      <c r="HA81" s="19"/>
    </row>
    <row r="82" spans="1:209" ht="23.25" customHeight="1" x14ac:dyDescent="0.15">
      <c r="A82" s="26">
        <v>44658.748316817131</v>
      </c>
      <c r="B82" s="27" t="s">
        <v>6</v>
      </c>
      <c r="C82" s="27" t="s">
        <v>19</v>
      </c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  <c r="BD82" s="28"/>
      <c r="BE82" s="28"/>
      <c r="BF82" s="28"/>
      <c r="BG82" s="28"/>
      <c r="BH82" s="28"/>
      <c r="BI82" s="28"/>
      <c r="BJ82" s="28"/>
      <c r="BK82" s="28"/>
      <c r="BL82" s="28"/>
      <c r="BM82" s="28"/>
      <c r="BN82" s="28"/>
      <c r="BO82" s="28"/>
      <c r="BP82" s="28"/>
      <c r="BQ82" s="28"/>
      <c r="BR82" s="28"/>
      <c r="BS82" s="28"/>
      <c r="BT82" s="28"/>
      <c r="BU82" s="28"/>
      <c r="BV82" s="28"/>
      <c r="BW82" s="28"/>
      <c r="BX82" s="28"/>
      <c r="BY82" s="19"/>
      <c r="BZ82" s="19"/>
      <c r="CA82" s="19"/>
      <c r="CB82" s="19"/>
      <c r="CC82" s="19"/>
      <c r="CD82" s="19"/>
      <c r="CE82" s="19"/>
      <c r="CF82" s="19"/>
      <c r="CG82" s="19"/>
      <c r="CH82" s="19"/>
      <c r="CI82" s="19"/>
      <c r="CJ82" s="19"/>
      <c r="CK82" s="19"/>
      <c r="CL82" s="19"/>
      <c r="CM82" s="19"/>
      <c r="CN82" s="19"/>
      <c r="CO82" s="19"/>
      <c r="CP82" s="19"/>
      <c r="CQ82" s="19"/>
      <c r="CR82" s="19"/>
      <c r="CS82" s="19"/>
      <c r="CT82" s="19"/>
      <c r="CU82" s="19"/>
      <c r="CV82" s="19"/>
      <c r="CW82" s="19"/>
      <c r="CX82" s="19"/>
      <c r="CY82" s="19"/>
      <c r="CZ82" s="19"/>
      <c r="DA82" s="19"/>
      <c r="DB82" s="19"/>
      <c r="DC82" s="19"/>
      <c r="DD82" s="19"/>
      <c r="DE82" s="19"/>
      <c r="DF82" s="19"/>
      <c r="DG82" s="19"/>
      <c r="DH82" s="19"/>
      <c r="DI82" s="19"/>
      <c r="DJ82" s="19"/>
      <c r="DK82" s="19"/>
      <c r="DL82" s="19"/>
      <c r="DM82" s="19"/>
      <c r="DN82" s="19"/>
      <c r="DO82" s="19"/>
      <c r="DP82" s="19"/>
      <c r="DQ82" s="19"/>
      <c r="DR82" s="19"/>
      <c r="DS82" s="19"/>
      <c r="DT82" s="19"/>
      <c r="DU82" s="19"/>
      <c r="DV82" s="19"/>
      <c r="DW82" s="19"/>
      <c r="DX82" s="19"/>
      <c r="DY82" s="19"/>
      <c r="DZ82" s="19"/>
      <c r="EA82" s="19"/>
      <c r="EB82" s="19"/>
      <c r="EC82" s="19"/>
      <c r="ED82" s="19"/>
      <c r="EE82" s="19"/>
      <c r="EF82" s="19"/>
      <c r="EG82" s="19"/>
      <c r="EH82" s="19"/>
      <c r="EI82" s="19"/>
      <c r="EJ82" s="19"/>
      <c r="EK82" s="19"/>
      <c r="EL82" s="19"/>
      <c r="EM82" s="19"/>
      <c r="EN82" s="19"/>
      <c r="EO82" s="19"/>
      <c r="EP82" s="19"/>
      <c r="EQ82" s="19"/>
      <c r="ER82" s="19"/>
      <c r="ES82" s="19"/>
      <c r="ET82" s="19"/>
      <c r="EU82" s="19"/>
      <c r="EV82" s="19"/>
      <c r="EW82" s="19"/>
      <c r="EX82" s="19"/>
      <c r="EY82" s="19"/>
      <c r="EZ82" s="19"/>
      <c r="FA82" s="19"/>
      <c r="FB82" s="19"/>
      <c r="FC82" s="19"/>
      <c r="FD82" s="19"/>
      <c r="FE82" s="19"/>
      <c r="FF82" s="19"/>
      <c r="FG82" s="20" t="s">
        <v>475</v>
      </c>
      <c r="FH82" s="20" t="s">
        <v>476</v>
      </c>
      <c r="FI82" s="20" t="s">
        <v>296</v>
      </c>
      <c r="FJ82" s="21">
        <v>44637</v>
      </c>
      <c r="FK82" s="22" t="s">
        <v>477</v>
      </c>
      <c r="FL82" s="20" t="s">
        <v>478</v>
      </c>
      <c r="FM82" s="20" t="s">
        <v>273</v>
      </c>
      <c r="FN82" s="19"/>
      <c r="FO82" s="19"/>
      <c r="FP82" s="19"/>
      <c r="FQ82" s="19"/>
      <c r="FR82" s="19"/>
      <c r="FS82" s="19"/>
      <c r="FT82" s="19"/>
      <c r="FU82" s="19"/>
      <c r="FV82" s="19"/>
      <c r="FW82" s="19"/>
      <c r="FX82" s="19"/>
      <c r="FY82" s="19"/>
      <c r="FZ82" s="19"/>
      <c r="GA82" s="19"/>
      <c r="GB82" s="19"/>
      <c r="GC82" s="19"/>
      <c r="GD82" s="19"/>
      <c r="GE82" s="19"/>
      <c r="GF82" s="19"/>
      <c r="GG82" s="19"/>
      <c r="GH82" s="19"/>
      <c r="GI82" s="19"/>
      <c r="GJ82" s="19"/>
      <c r="GK82" s="19"/>
      <c r="GL82" s="19"/>
      <c r="GM82" s="19"/>
      <c r="GN82" s="19"/>
      <c r="GO82" s="19"/>
      <c r="GP82" s="19"/>
      <c r="GQ82" s="19"/>
      <c r="GR82" s="19"/>
      <c r="GS82" s="19"/>
      <c r="GT82" s="19"/>
      <c r="GU82" s="19"/>
      <c r="GV82" s="19"/>
      <c r="GW82" s="19"/>
      <c r="GX82" s="19"/>
      <c r="GY82" s="19"/>
      <c r="GZ82" s="19"/>
      <c r="HA82" s="19"/>
    </row>
    <row r="83" spans="1:209" ht="23.25" customHeight="1" x14ac:dyDescent="0.15">
      <c r="A83" s="26">
        <v>44658.749013414352</v>
      </c>
      <c r="B83" s="27" t="s">
        <v>6</v>
      </c>
      <c r="C83" s="27" t="s">
        <v>11</v>
      </c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  <c r="AX83" s="27" t="s">
        <v>479</v>
      </c>
      <c r="AY83" s="27" t="s">
        <v>405</v>
      </c>
      <c r="AZ83" s="27" t="s">
        <v>480</v>
      </c>
      <c r="BA83" s="27" t="s">
        <v>481</v>
      </c>
      <c r="BB83" s="27" t="s">
        <v>482</v>
      </c>
      <c r="BC83" s="29">
        <v>44106</v>
      </c>
      <c r="BD83" s="29">
        <v>44229</v>
      </c>
      <c r="BE83" s="29">
        <v>44229</v>
      </c>
      <c r="BF83" s="27">
        <v>100</v>
      </c>
      <c r="BG83" s="27" t="s">
        <v>483</v>
      </c>
      <c r="BH83" s="30" t="s">
        <v>484</v>
      </c>
      <c r="BI83" s="28"/>
      <c r="BJ83" s="28"/>
      <c r="BK83" s="28"/>
      <c r="BL83" s="28"/>
      <c r="BM83" s="28"/>
      <c r="BN83" s="28"/>
      <c r="BO83" s="28"/>
      <c r="BP83" s="28"/>
      <c r="BQ83" s="28"/>
      <c r="BR83" s="28"/>
      <c r="BS83" s="28"/>
      <c r="BT83" s="28"/>
      <c r="BU83" s="28"/>
      <c r="BV83" s="28"/>
      <c r="BW83" s="28"/>
      <c r="BX83" s="28"/>
      <c r="BY83" s="19"/>
      <c r="BZ83" s="19"/>
      <c r="CA83" s="19"/>
      <c r="CB83" s="19"/>
      <c r="CC83" s="19"/>
      <c r="CD83" s="19"/>
      <c r="CE83" s="19"/>
      <c r="CF83" s="19"/>
      <c r="CG83" s="19"/>
      <c r="CH83" s="19"/>
      <c r="CI83" s="19"/>
      <c r="CJ83" s="19"/>
      <c r="CK83" s="19"/>
      <c r="CL83" s="19"/>
      <c r="CM83" s="19"/>
      <c r="CN83" s="19"/>
      <c r="CO83" s="19"/>
      <c r="CP83" s="19"/>
      <c r="CQ83" s="19"/>
      <c r="CR83" s="19"/>
      <c r="CS83" s="19"/>
      <c r="CT83" s="19"/>
      <c r="CU83" s="19"/>
      <c r="CV83" s="19"/>
      <c r="CW83" s="19"/>
      <c r="CX83" s="19"/>
      <c r="CY83" s="19"/>
      <c r="CZ83" s="19"/>
      <c r="DA83" s="19"/>
      <c r="DB83" s="19"/>
      <c r="DC83" s="19"/>
      <c r="DD83" s="19"/>
      <c r="DE83" s="19"/>
      <c r="DF83" s="19"/>
      <c r="DG83" s="19"/>
      <c r="DH83" s="19"/>
      <c r="DI83" s="19"/>
      <c r="DJ83" s="19"/>
      <c r="DK83" s="19"/>
      <c r="DL83" s="19"/>
      <c r="DM83" s="19"/>
      <c r="DN83" s="19"/>
      <c r="DO83" s="19"/>
      <c r="DP83" s="19"/>
      <c r="DQ83" s="19"/>
      <c r="DR83" s="19"/>
      <c r="DS83" s="19"/>
      <c r="DT83" s="19"/>
      <c r="DU83" s="19"/>
      <c r="DV83" s="19"/>
      <c r="DW83" s="19"/>
      <c r="DX83" s="19"/>
      <c r="DY83" s="19"/>
      <c r="DZ83" s="19"/>
      <c r="EA83" s="19"/>
      <c r="EB83" s="19"/>
      <c r="EC83" s="19"/>
      <c r="ED83" s="19"/>
      <c r="EE83" s="19"/>
      <c r="EF83" s="19"/>
      <c r="EG83" s="19"/>
      <c r="EH83" s="19"/>
      <c r="EI83" s="19"/>
      <c r="EJ83" s="19"/>
      <c r="EK83" s="19"/>
      <c r="EL83" s="19"/>
      <c r="EM83" s="19"/>
      <c r="EN83" s="19"/>
      <c r="EO83" s="19"/>
      <c r="EP83" s="19"/>
      <c r="EQ83" s="19"/>
      <c r="ER83" s="19"/>
      <c r="ES83" s="19"/>
      <c r="ET83" s="19"/>
      <c r="EU83" s="19"/>
      <c r="EV83" s="19"/>
      <c r="EW83" s="19"/>
      <c r="EX83" s="19"/>
      <c r="EY83" s="19"/>
      <c r="EZ83" s="19"/>
      <c r="FA83" s="19"/>
      <c r="FB83" s="19"/>
      <c r="FC83" s="19"/>
      <c r="FD83" s="19"/>
      <c r="FE83" s="19"/>
      <c r="FF83" s="19"/>
      <c r="FG83" s="19"/>
      <c r="FH83" s="19"/>
      <c r="FI83" s="19"/>
      <c r="FJ83" s="19"/>
      <c r="FK83" s="19"/>
      <c r="FL83" s="20" t="s">
        <v>411</v>
      </c>
      <c r="FM83" s="20" t="s">
        <v>339</v>
      </c>
      <c r="FN83" s="19"/>
      <c r="FO83" s="19"/>
      <c r="FP83" s="19"/>
      <c r="FQ83" s="19"/>
      <c r="FR83" s="19"/>
      <c r="FS83" s="19"/>
      <c r="FT83" s="19"/>
      <c r="FU83" s="19"/>
      <c r="FV83" s="19"/>
      <c r="FW83" s="19"/>
      <c r="FX83" s="19"/>
      <c r="FY83" s="19"/>
      <c r="FZ83" s="19"/>
      <c r="GA83" s="19"/>
      <c r="GB83" s="19"/>
      <c r="GC83" s="19"/>
      <c r="GD83" s="19"/>
      <c r="GE83" s="19"/>
      <c r="GF83" s="19"/>
      <c r="GG83" s="19"/>
      <c r="GH83" s="19"/>
      <c r="GI83" s="19"/>
      <c r="GJ83" s="19"/>
      <c r="GK83" s="19"/>
      <c r="GL83" s="19"/>
      <c r="GM83" s="19"/>
      <c r="GN83" s="19"/>
      <c r="GO83" s="19"/>
      <c r="GP83" s="19"/>
      <c r="GQ83" s="19"/>
      <c r="GR83" s="19"/>
      <c r="GS83" s="19"/>
      <c r="GT83" s="19"/>
      <c r="GU83" s="19"/>
      <c r="GV83" s="19"/>
      <c r="GW83" s="19"/>
      <c r="GX83" s="19"/>
      <c r="GY83" s="19"/>
      <c r="GZ83" s="19"/>
      <c r="HA83" s="19"/>
    </row>
    <row r="84" spans="1:209" ht="23.25" customHeight="1" x14ac:dyDescent="0.15">
      <c r="A84" s="26">
        <v>44658.750353553245</v>
      </c>
      <c r="B84" s="27" t="s">
        <v>6</v>
      </c>
      <c r="C84" s="27" t="s">
        <v>12</v>
      </c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  <c r="BD84" s="28"/>
      <c r="BE84" s="28"/>
      <c r="BF84" s="28"/>
      <c r="BG84" s="28"/>
      <c r="BH84" s="28"/>
      <c r="BI84" s="27" t="s">
        <v>485</v>
      </c>
      <c r="BJ84" s="27" t="s">
        <v>486</v>
      </c>
      <c r="BK84" s="27" t="s">
        <v>311</v>
      </c>
      <c r="BL84" s="27" t="s">
        <v>167</v>
      </c>
      <c r="BM84" s="27" t="s">
        <v>196</v>
      </c>
      <c r="BN84" s="27">
        <v>1</v>
      </c>
      <c r="BO84" s="29">
        <v>44619</v>
      </c>
      <c r="BP84" s="29">
        <v>44619</v>
      </c>
      <c r="BQ84" s="27" t="s">
        <v>169</v>
      </c>
      <c r="BR84" s="27" t="s">
        <v>197</v>
      </c>
      <c r="BS84" s="27" t="s">
        <v>171</v>
      </c>
      <c r="BT84" s="27" t="s">
        <v>151</v>
      </c>
      <c r="BU84" s="28"/>
      <c r="BV84" s="30" t="s">
        <v>487</v>
      </c>
      <c r="BW84" s="28"/>
      <c r="BX84" s="28"/>
      <c r="BY84" s="19"/>
      <c r="BZ84" s="19"/>
      <c r="CA84" s="19"/>
      <c r="CB84" s="19"/>
      <c r="CC84" s="19"/>
      <c r="CD84" s="19"/>
      <c r="CE84" s="19"/>
      <c r="CF84" s="19"/>
      <c r="CG84" s="19"/>
      <c r="CH84" s="19"/>
      <c r="CI84" s="19"/>
      <c r="CJ84" s="19"/>
      <c r="CK84" s="19"/>
      <c r="CL84" s="19"/>
      <c r="CM84" s="19"/>
      <c r="CN84" s="19"/>
      <c r="CO84" s="19"/>
      <c r="CP84" s="19"/>
      <c r="CQ84" s="19"/>
      <c r="CR84" s="19"/>
      <c r="CS84" s="19"/>
      <c r="CT84" s="19"/>
      <c r="CU84" s="19"/>
      <c r="CV84" s="19"/>
      <c r="CW84" s="19"/>
      <c r="CX84" s="19"/>
      <c r="CY84" s="19"/>
      <c r="CZ84" s="19"/>
      <c r="DA84" s="19"/>
      <c r="DB84" s="19"/>
      <c r="DC84" s="19"/>
      <c r="DD84" s="19"/>
      <c r="DE84" s="19"/>
      <c r="DF84" s="19"/>
      <c r="DG84" s="19"/>
      <c r="DH84" s="19"/>
      <c r="DI84" s="19"/>
      <c r="DJ84" s="19"/>
      <c r="DK84" s="19"/>
      <c r="DL84" s="19"/>
      <c r="DM84" s="19"/>
      <c r="DN84" s="19"/>
      <c r="DO84" s="19"/>
      <c r="DP84" s="19"/>
      <c r="DQ84" s="19"/>
      <c r="DR84" s="19"/>
      <c r="DS84" s="19"/>
      <c r="DT84" s="19"/>
      <c r="DU84" s="19"/>
      <c r="DV84" s="19"/>
      <c r="DW84" s="19"/>
      <c r="DX84" s="19"/>
      <c r="DY84" s="19"/>
      <c r="DZ84" s="19"/>
      <c r="EA84" s="19"/>
      <c r="EB84" s="19"/>
      <c r="EC84" s="19"/>
      <c r="ED84" s="19"/>
      <c r="EE84" s="19"/>
      <c r="EF84" s="19"/>
      <c r="EG84" s="19"/>
      <c r="EH84" s="19"/>
      <c r="EI84" s="19"/>
      <c r="EJ84" s="19"/>
      <c r="EK84" s="19"/>
      <c r="EL84" s="19"/>
      <c r="EM84" s="19"/>
      <c r="EN84" s="19"/>
      <c r="EO84" s="19"/>
      <c r="EP84" s="19"/>
      <c r="EQ84" s="19"/>
      <c r="ER84" s="19"/>
      <c r="ES84" s="19"/>
      <c r="ET84" s="19"/>
      <c r="EU84" s="19"/>
      <c r="EV84" s="19"/>
      <c r="EW84" s="19"/>
      <c r="EX84" s="19"/>
      <c r="EY84" s="19"/>
      <c r="EZ84" s="19"/>
      <c r="FA84" s="19"/>
      <c r="FB84" s="19"/>
      <c r="FC84" s="19"/>
      <c r="FD84" s="19"/>
      <c r="FE84" s="19"/>
      <c r="FF84" s="19"/>
      <c r="FG84" s="19"/>
      <c r="FH84" s="19"/>
      <c r="FI84" s="19"/>
      <c r="FJ84" s="19"/>
      <c r="FK84" s="19"/>
      <c r="FL84" s="20" t="s">
        <v>488</v>
      </c>
      <c r="FM84" s="20" t="s">
        <v>255</v>
      </c>
      <c r="FN84" s="19"/>
      <c r="FO84" s="19"/>
      <c r="FP84" s="19"/>
      <c r="FQ84" s="19"/>
      <c r="FR84" s="19"/>
      <c r="FS84" s="19"/>
      <c r="FT84" s="19"/>
      <c r="FU84" s="19"/>
      <c r="FV84" s="19"/>
      <c r="FW84" s="19"/>
      <c r="FX84" s="19"/>
      <c r="FY84" s="19"/>
      <c r="FZ84" s="19"/>
      <c r="GA84" s="19"/>
      <c r="GB84" s="19"/>
      <c r="GC84" s="19"/>
      <c r="GD84" s="19"/>
      <c r="GE84" s="19"/>
      <c r="GF84" s="19"/>
      <c r="GG84" s="19"/>
      <c r="GH84" s="19"/>
      <c r="GI84" s="19"/>
      <c r="GJ84" s="19"/>
      <c r="GK84" s="19"/>
      <c r="GL84" s="19"/>
      <c r="GM84" s="19"/>
      <c r="GN84" s="19"/>
      <c r="GO84" s="19"/>
      <c r="GP84" s="19"/>
      <c r="GQ84" s="19"/>
      <c r="GR84" s="19"/>
      <c r="GS84" s="19"/>
      <c r="GT84" s="19"/>
      <c r="GU84" s="19"/>
      <c r="GV84" s="19"/>
      <c r="GW84" s="19"/>
      <c r="GX84" s="19"/>
      <c r="GY84" s="19"/>
      <c r="GZ84" s="19"/>
      <c r="HA84" s="19"/>
    </row>
    <row r="85" spans="1:209" ht="23.25" customHeight="1" x14ac:dyDescent="0.15">
      <c r="A85" s="26">
        <v>44658.750372847222</v>
      </c>
      <c r="B85" s="27" t="s">
        <v>6</v>
      </c>
      <c r="C85" s="27" t="s">
        <v>11</v>
      </c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7" t="s">
        <v>451</v>
      </c>
      <c r="AY85" s="27" t="s">
        <v>452</v>
      </c>
      <c r="AZ85" s="27" t="s">
        <v>349</v>
      </c>
      <c r="BA85" s="27" t="s">
        <v>375</v>
      </c>
      <c r="BB85" s="27" t="s">
        <v>489</v>
      </c>
      <c r="BC85" s="29">
        <v>43611</v>
      </c>
      <c r="BD85" s="29">
        <v>43672</v>
      </c>
      <c r="BE85" s="29">
        <v>43672</v>
      </c>
      <c r="BF85" s="27">
        <v>100</v>
      </c>
      <c r="BG85" s="27" t="s">
        <v>490</v>
      </c>
      <c r="BH85" s="30" t="s">
        <v>491</v>
      </c>
      <c r="BI85" s="28"/>
      <c r="BJ85" s="28"/>
      <c r="BK85" s="28"/>
      <c r="BL85" s="28"/>
      <c r="BM85" s="28"/>
      <c r="BN85" s="28"/>
      <c r="BO85" s="28"/>
      <c r="BP85" s="28"/>
      <c r="BQ85" s="28"/>
      <c r="BR85" s="28"/>
      <c r="BS85" s="28"/>
      <c r="BT85" s="28"/>
      <c r="BU85" s="28"/>
      <c r="BV85" s="28"/>
      <c r="BW85" s="28"/>
      <c r="BX85" s="28"/>
      <c r="BY85" s="19"/>
      <c r="BZ85" s="19"/>
      <c r="CA85" s="19"/>
      <c r="CB85" s="19"/>
      <c r="CC85" s="19"/>
      <c r="CD85" s="19"/>
      <c r="CE85" s="19"/>
      <c r="CF85" s="19"/>
      <c r="CG85" s="19"/>
      <c r="CH85" s="19"/>
      <c r="CI85" s="19"/>
      <c r="CJ85" s="19"/>
      <c r="CK85" s="19"/>
      <c r="CL85" s="19"/>
      <c r="CM85" s="19"/>
      <c r="CN85" s="19"/>
      <c r="CO85" s="19"/>
      <c r="CP85" s="19"/>
      <c r="CQ85" s="19"/>
      <c r="CR85" s="19"/>
      <c r="CS85" s="19"/>
      <c r="CT85" s="19"/>
      <c r="CU85" s="19"/>
      <c r="CV85" s="19"/>
      <c r="CW85" s="19"/>
      <c r="CX85" s="19"/>
      <c r="CY85" s="19"/>
      <c r="CZ85" s="19"/>
      <c r="DA85" s="19"/>
      <c r="DB85" s="19"/>
      <c r="DC85" s="19"/>
      <c r="DD85" s="19"/>
      <c r="DE85" s="19"/>
      <c r="DF85" s="19"/>
      <c r="DG85" s="19"/>
      <c r="DH85" s="19"/>
      <c r="DI85" s="19"/>
      <c r="DJ85" s="19"/>
      <c r="DK85" s="19"/>
      <c r="DL85" s="19"/>
      <c r="DM85" s="19"/>
      <c r="DN85" s="19"/>
      <c r="DO85" s="19"/>
      <c r="DP85" s="19"/>
      <c r="DQ85" s="19"/>
      <c r="DR85" s="19"/>
      <c r="DS85" s="19"/>
      <c r="DT85" s="19"/>
      <c r="DU85" s="19"/>
      <c r="DV85" s="19"/>
      <c r="DW85" s="19"/>
      <c r="DX85" s="19"/>
      <c r="DY85" s="19"/>
      <c r="DZ85" s="19"/>
      <c r="EA85" s="19"/>
      <c r="EB85" s="19"/>
      <c r="EC85" s="19"/>
      <c r="ED85" s="19"/>
      <c r="EE85" s="19"/>
      <c r="EF85" s="19"/>
      <c r="EG85" s="19"/>
      <c r="EH85" s="19"/>
      <c r="EI85" s="19"/>
      <c r="EJ85" s="19"/>
      <c r="EK85" s="19"/>
      <c r="EL85" s="19"/>
      <c r="EM85" s="19"/>
      <c r="EN85" s="19"/>
      <c r="EO85" s="19"/>
      <c r="EP85" s="19"/>
      <c r="EQ85" s="19"/>
      <c r="ER85" s="19"/>
      <c r="ES85" s="19"/>
      <c r="ET85" s="19"/>
      <c r="EU85" s="19"/>
      <c r="EV85" s="19"/>
      <c r="EW85" s="19"/>
      <c r="EX85" s="19"/>
      <c r="EY85" s="19"/>
      <c r="EZ85" s="19"/>
      <c r="FA85" s="19"/>
      <c r="FB85" s="19"/>
      <c r="FC85" s="19"/>
      <c r="FD85" s="19"/>
      <c r="FE85" s="19"/>
      <c r="FF85" s="19"/>
      <c r="FG85" s="19"/>
      <c r="FH85" s="19"/>
      <c r="FI85" s="19"/>
      <c r="FJ85" s="19"/>
      <c r="FK85" s="19"/>
      <c r="FL85" s="20" t="s">
        <v>457</v>
      </c>
      <c r="FM85" s="20" t="s">
        <v>255</v>
      </c>
      <c r="FN85" s="19"/>
      <c r="FO85" s="19"/>
      <c r="FP85" s="19"/>
      <c r="FQ85" s="19"/>
      <c r="FR85" s="19"/>
      <c r="FS85" s="19"/>
      <c r="FT85" s="19"/>
      <c r="FU85" s="19"/>
      <c r="FV85" s="19"/>
      <c r="FW85" s="19"/>
      <c r="FX85" s="19"/>
      <c r="FY85" s="19"/>
      <c r="FZ85" s="19"/>
      <c r="GA85" s="19"/>
      <c r="GB85" s="19"/>
      <c r="GC85" s="19"/>
      <c r="GD85" s="19"/>
      <c r="GE85" s="19"/>
      <c r="GF85" s="19"/>
      <c r="GG85" s="19"/>
      <c r="GH85" s="19"/>
      <c r="GI85" s="19"/>
      <c r="GJ85" s="19"/>
      <c r="GK85" s="19"/>
      <c r="GL85" s="19"/>
      <c r="GM85" s="19"/>
      <c r="GN85" s="19"/>
      <c r="GO85" s="19"/>
      <c r="GP85" s="19"/>
      <c r="GQ85" s="19"/>
      <c r="GR85" s="19"/>
      <c r="GS85" s="19"/>
      <c r="GT85" s="19"/>
      <c r="GU85" s="19"/>
      <c r="GV85" s="19"/>
      <c r="GW85" s="19"/>
      <c r="GX85" s="19"/>
      <c r="GY85" s="19"/>
      <c r="GZ85" s="19"/>
      <c r="HA85" s="19"/>
    </row>
    <row r="86" spans="1:209" ht="23.25" customHeight="1" x14ac:dyDescent="0.15">
      <c r="A86" s="26">
        <v>44658.753594259259</v>
      </c>
      <c r="B86" s="27" t="s">
        <v>6</v>
      </c>
      <c r="C86" s="27" t="s">
        <v>10</v>
      </c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7" t="s">
        <v>465</v>
      </c>
      <c r="AO86" s="27" t="s">
        <v>466</v>
      </c>
      <c r="AP86" s="27" t="s">
        <v>492</v>
      </c>
      <c r="AQ86" s="27" t="s">
        <v>493</v>
      </c>
      <c r="AR86" s="29">
        <v>44505</v>
      </c>
      <c r="AS86" s="29">
        <v>44537</v>
      </c>
      <c r="AT86" s="27" t="s">
        <v>252</v>
      </c>
      <c r="AU86" s="27" t="s">
        <v>252</v>
      </c>
      <c r="AV86" s="27">
        <v>0</v>
      </c>
      <c r="AW86" s="30" t="s">
        <v>494</v>
      </c>
      <c r="AX86" s="28"/>
      <c r="AY86" s="28"/>
      <c r="AZ86" s="28"/>
      <c r="BA86" s="28"/>
      <c r="BB86" s="28"/>
      <c r="BC86" s="28"/>
      <c r="BD86" s="28"/>
      <c r="BE86" s="28"/>
      <c r="BF86" s="28"/>
      <c r="BG86" s="28"/>
      <c r="BH86" s="28"/>
      <c r="BI86" s="28"/>
      <c r="BJ86" s="28"/>
      <c r="BK86" s="28"/>
      <c r="BL86" s="28"/>
      <c r="BM86" s="28"/>
      <c r="BN86" s="28"/>
      <c r="BO86" s="28"/>
      <c r="BP86" s="28"/>
      <c r="BQ86" s="28"/>
      <c r="BR86" s="28"/>
      <c r="BS86" s="28"/>
      <c r="BT86" s="28"/>
      <c r="BU86" s="28"/>
      <c r="BV86" s="28"/>
      <c r="BW86" s="28"/>
      <c r="BX86" s="28"/>
      <c r="BY86" s="19"/>
      <c r="BZ86" s="19"/>
      <c r="CA86" s="19"/>
      <c r="CB86" s="19"/>
      <c r="CC86" s="19"/>
      <c r="CD86" s="19"/>
      <c r="CE86" s="19"/>
      <c r="CF86" s="19"/>
      <c r="CG86" s="19"/>
      <c r="CH86" s="19"/>
      <c r="CI86" s="19"/>
      <c r="CJ86" s="19"/>
      <c r="CK86" s="19"/>
      <c r="CL86" s="19"/>
      <c r="CM86" s="19"/>
      <c r="CN86" s="19"/>
      <c r="CO86" s="19"/>
      <c r="CP86" s="19"/>
      <c r="CQ86" s="19"/>
      <c r="CR86" s="19"/>
      <c r="CS86" s="19"/>
      <c r="CT86" s="19"/>
      <c r="CU86" s="19"/>
      <c r="CV86" s="19"/>
      <c r="CW86" s="19"/>
      <c r="CX86" s="19"/>
      <c r="CY86" s="19"/>
      <c r="CZ86" s="19"/>
      <c r="DA86" s="19"/>
      <c r="DB86" s="19"/>
      <c r="DC86" s="19"/>
      <c r="DD86" s="19"/>
      <c r="DE86" s="19"/>
      <c r="DF86" s="19"/>
      <c r="DG86" s="19"/>
      <c r="DH86" s="19"/>
      <c r="DI86" s="19"/>
      <c r="DJ86" s="19"/>
      <c r="DK86" s="19"/>
      <c r="DL86" s="19"/>
      <c r="DM86" s="19"/>
      <c r="DN86" s="19"/>
      <c r="DO86" s="19"/>
      <c r="DP86" s="19"/>
      <c r="DQ86" s="19"/>
      <c r="DR86" s="19"/>
      <c r="DS86" s="19"/>
      <c r="DT86" s="19"/>
      <c r="DU86" s="19"/>
      <c r="DV86" s="19"/>
      <c r="DW86" s="19"/>
      <c r="DX86" s="19"/>
      <c r="DY86" s="19"/>
      <c r="DZ86" s="19"/>
      <c r="EA86" s="19"/>
      <c r="EB86" s="19"/>
      <c r="EC86" s="19"/>
      <c r="ED86" s="19"/>
      <c r="EE86" s="19"/>
      <c r="EF86" s="19"/>
      <c r="EG86" s="19"/>
      <c r="EH86" s="19"/>
      <c r="EI86" s="19"/>
      <c r="EJ86" s="19"/>
      <c r="EK86" s="19"/>
      <c r="EL86" s="19"/>
      <c r="EM86" s="19"/>
      <c r="EN86" s="19"/>
      <c r="EO86" s="19"/>
      <c r="EP86" s="19"/>
      <c r="EQ86" s="19"/>
      <c r="ER86" s="19"/>
      <c r="ES86" s="19"/>
      <c r="ET86" s="19"/>
      <c r="EU86" s="19"/>
      <c r="EV86" s="19"/>
      <c r="EW86" s="19"/>
      <c r="EX86" s="19"/>
      <c r="EY86" s="19"/>
      <c r="EZ86" s="19"/>
      <c r="FA86" s="19"/>
      <c r="FB86" s="19"/>
      <c r="FC86" s="19"/>
      <c r="FD86" s="19"/>
      <c r="FE86" s="19"/>
      <c r="FF86" s="19"/>
      <c r="FG86" s="19"/>
      <c r="FH86" s="19"/>
      <c r="FI86" s="19"/>
      <c r="FJ86" s="19"/>
      <c r="FK86" s="19"/>
      <c r="FL86" s="20" t="s">
        <v>472</v>
      </c>
      <c r="FM86" s="20" t="s">
        <v>255</v>
      </c>
      <c r="FN86" s="19"/>
      <c r="FO86" s="19"/>
      <c r="FP86" s="19"/>
      <c r="FQ86" s="19"/>
      <c r="FR86" s="19"/>
      <c r="FS86" s="19"/>
      <c r="FT86" s="19"/>
      <c r="FU86" s="19"/>
      <c r="FV86" s="19"/>
      <c r="FW86" s="19"/>
      <c r="FX86" s="19"/>
      <c r="FY86" s="19"/>
      <c r="FZ86" s="19"/>
      <c r="GA86" s="19"/>
      <c r="GB86" s="19"/>
      <c r="GC86" s="19"/>
      <c r="GD86" s="19"/>
      <c r="GE86" s="19"/>
      <c r="GF86" s="19"/>
      <c r="GG86" s="19"/>
      <c r="GH86" s="19"/>
      <c r="GI86" s="19"/>
      <c r="GJ86" s="19"/>
      <c r="GK86" s="19"/>
      <c r="GL86" s="19"/>
      <c r="GM86" s="19"/>
      <c r="GN86" s="19"/>
      <c r="GO86" s="19"/>
      <c r="GP86" s="19"/>
      <c r="GQ86" s="19"/>
      <c r="GR86" s="19"/>
      <c r="GS86" s="19"/>
      <c r="GT86" s="19"/>
      <c r="GU86" s="19"/>
      <c r="GV86" s="19"/>
      <c r="GW86" s="19"/>
      <c r="GX86" s="19"/>
      <c r="GY86" s="19"/>
      <c r="GZ86" s="19"/>
      <c r="HA86" s="19"/>
    </row>
    <row r="87" spans="1:209" ht="23.25" customHeight="1" x14ac:dyDescent="0.15">
      <c r="A87" s="26">
        <v>44658.753887962965</v>
      </c>
      <c r="B87" s="27" t="s">
        <v>6</v>
      </c>
      <c r="C87" s="27" t="s">
        <v>11</v>
      </c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  <c r="AX87" s="27" t="s">
        <v>475</v>
      </c>
      <c r="AY87" s="27" t="s">
        <v>476</v>
      </c>
      <c r="AZ87" s="27" t="s">
        <v>349</v>
      </c>
      <c r="BA87" s="27" t="s">
        <v>375</v>
      </c>
      <c r="BB87" s="27" t="s">
        <v>308</v>
      </c>
      <c r="BC87" s="29">
        <v>44340</v>
      </c>
      <c r="BD87" s="29">
        <v>44401</v>
      </c>
      <c r="BE87" s="29">
        <v>44401</v>
      </c>
      <c r="BF87" s="27">
        <v>100</v>
      </c>
      <c r="BG87" s="27" t="s">
        <v>495</v>
      </c>
      <c r="BH87" s="30" t="s">
        <v>496</v>
      </c>
      <c r="BI87" s="28"/>
      <c r="BJ87" s="28"/>
      <c r="BK87" s="28"/>
      <c r="BL87" s="28"/>
      <c r="BM87" s="28"/>
      <c r="BN87" s="28"/>
      <c r="BO87" s="28"/>
      <c r="BP87" s="28"/>
      <c r="BQ87" s="28"/>
      <c r="BR87" s="28"/>
      <c r="BS87" s="28"/>
      <c r="BT87" s="28"/>
      <c r="BU87" s="28"/>
      <c r="BV87" s="28"/>
      <c r="BW87" s="28"/>
      <c r="BX87" s="28"/>
      <c r="BY87" s="19"/>
      <c r="BZ87" s="19"/>
      <c r="CA87" s="19"/>
      <c r="CB87" s="19"/>
      <c r="CC87" s="19"/>
      <c r="CD87" s="19"/>
      <c r="CE87" s="19"/>
      <c r="CF87" s="19"/>
      <c r="CG87" s="19"/>
      <c r="CH87" s="19"/>
      <c r="CI87" s="19"/>
      <c r="CJ87" s="19"/>
      <c r="CK87" s="19"/>
      <c r="CL87" s="19"/>
      <c r="CM87" s="19"/>
      <c r="CN87" s="19"/>
      <c r="CO87" s="19"/>
      <c r="CP87" s="19"/>
      <c r="CQ87" s="19"/>
      <c r="CR87" s="19"/>
      <c r="CS87" s="19"/>
      <c r="CT87" s="19"/>
      <c r="CU87" s="19"/>
      <c r="CV87" s="19"/>
      <c r="CW87" s="19"/>
      <c r="CX87" s="19"/>
      <c r="CY87" s="19"/>
      <c r="CZ87" s="19"/>
      <c r="DA87" s="19"/>
      <c r="DB87" s="19"/>
      <c r="DC87" s="19"/>
      <c r="DD87" s="19"/>
      <c r="DE87" s="19"/>
      <c r="DF87" s="19"/>
      <c r="DG87" s="19"/>
      <c r="DH87" s="19"/>
      <c r="DI87" s="19"/>
      <c r="DJ87" s="19"/>
      <c r="DK87" s="19"/>
      <c r="DL87" s="19"/>
      <c r="DM87" s="19"/>
      <c r="DN87" s="19"/>
      <c r="DO87" s="19"/>
      <c r="DP87" s="19"/>
      <c r="DQ87" s="19"/>
      <c r="DR87" s="19"/>
      <c r="DS87" s="19"/>
      <c r="DT87" s="19"/>
      <c r="DU87" s="19"/>
      <c r="DV87" s="19"/>
      <c r="DW87" s="19"/>
      <c r="DX87" s="19"/>
      <c r="DY87" s="19"/>
      <c r="DZ87" s="19"/>
      <c r="EA87" s="19"/>
      <c r="EB87" s="19"/>
      <c r="EC87" s="19"/>
      <c r="ED87" s="19"/>
      <c r="EE87" s="19"/>
      <c r="EF87" s="19"/>
      <c r="EG87" s="19"/>
      <c r="EH87" s="19"/>
      <c r="EI87" s="19"/>
      <c r="EJ87" s="19"/>
      <c r="EK87" s="19"/>
      <c r="EL87" s="19"/>
      <c r="EM87" s="19"/>
      <c r="EN87" s="19"/>
      <c r="EO87" s="19"/>
      <c r="EP87" s="19"/>
      <c r="EQ87" s="19"/>
      <c r="ER87" s="19"/>
      <c r="ES87" s="19"/>
      <c r="ET87" s="19"/>
      <c r="EU87" s="19"/>
      <c r="EV87" s="19"/>
      <c r="EW87" s="19"/>
      <c r="EX87" s="19"/>
      <c r="EY87" s="19"/>
      <c r="EZ87" s="19"/>
      <c r="FA87" s="19"/>
      <c r="FB87" s="19"/>
      <c r="FC87" s="19"/>
      <c r="FD87" s="19"/>
      <c r="FE87" s="19"/>
      <c r="FF87" s="19"/>
      <c r="FG87" s="19"/>
      <c r="FH87" s="19"/>
      <c r="FI87" s="19"/>
      <c r="FJ87" s="19"/>
      <c r="FK87" s="19"/>
      <c r="FL87" s="20" t="s">
        <v>478</v>
      </c>
      <c r="FM87" s="20" t="s">
        <v>339</v>
      </c>
      <c r="FN87" s="19"/>
      <c r="FO87" s="19"/>
      <c r="FP87" s="19"/>
      <c r="FQ87" s="19"/>
      <c r="FR87" s="19"/>
      <c r="FS87" s="19"/>
      <c r="FT87" s="19"/>
      <c r="FU87" s="19"/>
      <c r="FV87" s="19"/>
      <c r="FW87" s="19"/>
      <c r="FX87" s="19"/>
      <c r="FY87" s="19"/>
      <c r="FZ87" s="19"/>
      <c r="GA87" s="19"/>
      <c r="GB87" s="19"/>
      <c r="GC87" s="19"/>
      <c r="GD87" s="19"/>
      <c r="GE87" s="19"/>
      <c r="GF87" s="19"/>
      <c r="GG87" s="19"/>
      <c r="GH87" s="19"/>
      <c r="GI87" s="19"/>
      <c r="GJ87" s="19"/>
      <c r="GK87" s="19"/>
      <c r="GL87" s="19"/>
      <c r="GM87" s="19"/>
      <c r="GN87" s="19"/>
      <c r="GO87" s="19"/>
      <c r="GP87" s="19"/>
      <c r="GQ87" s="19"/>
      <c r="GR87" s="19"/>
      <c r="GS87" s="19"/>
      <c r="GT87" s="19"/>
      <c r="GU87" s="19"/>
      <c r="GV87" s="19"/>
      <c r="GW87" s="19"/>
      <c r="GX87" s="19"/>
      <c r="GY87" s="19"/>
      <c r="GZ87" s="19"/>
      <c r="HA87" s="19"/>
    </row>
    <row r="88" spans="1:209" ht="23.25" customHeight="1" x14ac:dyDescent="0.15">
      <c r="A88" s="26">
        <v>44658.754161122684</v>
      </c>
      <c r="B88" s="27" t="s">
        <v>6</v>
      </c>
      <c r="C88" s="27" t="s">
        <v>11</v>
      </c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  <c r="AX88" s="27" t="s">
        <v>451</v>
      </c>
      <c r="AY88" s="27" t="s">
        <v>452</v>
      </c>
      <c r="AZ88" s="27" t="s">
        <v>497</v>
      </c>
      <c r="BA88" s="27" t="s">
        <v>498</v>
      </c>
      <c r="BB88" s="27" t="s">
        <v>489</v>
      </c>
      <c r="BC88" s="29">
        <v>44481</v>
      </c>
      <c r="BD88" s="29">
        <v>44542</v>
      </c>
      <c r="BE88" s="29">
        <v>44542</v>
      </c>
      <c r="BF88" s="27">
        <v>100</v>
      </c>
      <c r="BG88" s="27" t="s">
        <v>490</v>
      </c>
      <c r="BH88" s="30" t="s">
        <v>499</v>
      </c>
      <c r="BI88" s="28"/>
      <c r="BJ88" s="28"/>
      <c r="BK88" s="28"/>
      <c r="BL88" s="28"/>
      <c r="BM88" s="28"/>
      <c r="BN88" s="28"/>
      <c r="BO88" s="28"/>
      <c r="BP88" s="28"/>
      <c r="BQ88" s="28"/>
      <c r="BR88" s="28"/>
      <c r="BS88" s="28"/>
      <c r="BT88" s="28"/>
      <c r="BU88" s="28"/>
      <c r="BV88" s="28"/>
      <c r="BW88" s="28"/>
      <c r="BX88" s="28"/>
      <c r="BY88" s="19"/>
      <c r="BZ88" s="19"/>
      <c r="CA88" s="19"/>
      <c r="CB88" s="19"/>
      <c r="CC88" s="19"/>
      <c r="CD88" s="19"/>
      <c r="CE88" s="19"/>
      <c r="CF88" s="19"/>
      <c r="CG88" s="19"/>
      <c r="CH88" s="19"/>
      <c r="CI88" s="19"/>
      <c r="CJ88" s="19"/>
      <c r="CK88" s="19"/>
      <c r="CL88" s="19"/>
      <c r="CM88" s="19"/>
      <c r="CN88" s="19"/>
      <c r="CO88" s="19"/>
      <c r="CP88" s="19"/>
      <c r="CQ88" s="19"/>
      <c r="CR88" s="19"/>
      <c r="CS88" s="19"/>
      <c r="CT88" s="19"/>
      <c r="CU88" s="19"/>
      <c r="CV88" s="19"/>
      <c r="CW88" s="19"/>
      <c r="CX88" s="19"/>
      <c r="CY88" s="19"/>
      <c r="CZ88" s="19"/>
      <c r="DA88" s="19"/>
      <c r="DB88" s="19"/>
      <c r="DC88" s="19"/>
      <c r="DD88" s="19"/>
      <c r="DE88" s="19"/>
      <c r="DF88" s="19"/>
      <c r="DG88" s="19"/>
      <c r="DH88" s="19"/>
      <c r="DI88" s="19"/>
      <c r="DJ88" s="19"/>
      <c r="DK88" s="19"/>
      <c r="DL88" s="19"/>
      <c r="DM88" s="19"/>
      <c r="DN88" s="19"/>
      <c r="DO88" s="19"/>
      <c r="DP88" s="19"/>
      <c r="DQ88" s="19"/>
      <c r="DR88" s="19"/>
      <c r="DS88" s="19"/>
      <c r="DT88" s="19"/>
      <c r="DU88" s="19"/>
      <c r="DV88" s="19"/>
      <c r="DW88" s="19"/>
      <c r="DX88" s="19"/>
      <c r="DY88" s="19"/>
      <c r="DZ88" s="19"/>
      <c r="EA88" s="19"/>
      <c r="EB88" s="19"/>
      <c r="EC88" s="19"/>
      <c r="ED88" s="19"/>
      <c r="EE88" s="19"/>
      <c r="EF88" s="19"/>
      <c r="EG88" s="19"/>
      <c r="EH88" s="19"/>
      <c r="EI88" s="19"/>
      <c r="EJ88" s="19"/>
      <c r="EK88" s="19"/>
      <c r="EL88" s="19"/>
      <c r="EM88" s="19"/>
      <c r="EN88" s="19"/>
      <c r="EO88" s="19"/>
      <c r="EP88" s="19"/>
      <c r="EQ88" s="19"/>
      <c r="ER88" s="19"/>
      <c r="ES88" s="19"/>
      <c r="ET88" s="19"/>
      <c r="EU88" s="19"/>
      <c r="EV88" s="19"/>
      <c r="EW88" s="19"/>
      <c r="EX88" s="19"/>
      <c r="EY88" s="19"/>
      <c r="EZ88" s="19"/>
      <c r="FA88" s="19"/>
      <c r="FB88" s="19"/>
      <c r="FC88" s="19"/>
      <c r="FD88" s="19"/>
      <c r="FE88" s="19"/>
      <c r="FF88" s="19"/>
      <c r="FG88" s="19"/>
      <c r="FH88" s="19"/>
      <c r="FI88" s="19"/>
      <c r="FJ88" s="19"/>
      <c r="FK88" s="19"/>
      <c r="FL88" s="20" t="s">
        <v>457</v>
      </c>
      <c r="FM88" s="20" t="s">
        <v>255</v>
      </c>
      <c r="FN88" s="19"/>
      <c r="FO88" s="19"/>
      <c r="FP88" s="19"/>
      <c r="FQ88" s="19"/>
      <c r="FR88" s="19"/>
      <c r="FS88" s="19"/>
      <c r="FT88" s="19"/>
      <c r="FU88" s="19"/>
      <c r="FV88" s="19"/>
      <c r="FW88" s="19"/>
      <c r="FX88" s="19"/>
      <c r="FY88" s="19"/>
      <c r="FZ88" s="19"/>
      <c r="GA88" s="19"/>
      <c r="GB88" s="19"/>
      <c r="GC88" s="19"/>
      <c r="GD88" s="19"/>
      <c r="GE88" s="19"/>
      <c r="GF88" s="19"/>
      <c r="GG88" s="19"/>
      <c r="GH88" s="19"/>
      <c r="GI88" s="19"/>
      <c r="GJ88" s="19"/>
      <c r="GK88" s="19"/>
      <c r="GL88" s="19"/>
      <c r="GM88" s="19"/>
      <c r="GN88" s="19"/>
      <c r="GO88" s="19"/>
      <c r="GP88" s="19"/>
      <c r="GQ88" s="19"/>
      <c r="GR88" s="19"/>
      <c r="GS88" s="19"/>
      <c r="GT88" s="19"/>
      <c r="GU88" s="19"/>
      <c r="GV88" s="19"/>
      <c r="GW88" s="19"/>
      <c r="GX88" s="19"/>
      <c r="GY88" s="19"/>
      <c r="GZ88" s="19"/>
      <c r="HA88" s="19"/>
    </row>
    <row r="89" spans="1:209" ht="23.25" customHeight="1" x14ac:dyDescent="0.15">
      <c r="A89" s="26">
        <v>44658.75584484954</v>
      </c>
      <c r="B89" s="27" t="s">
        <v>6</v>
      </c>
      <c r="C89" s="27" t="s">
        <v>11</v>
      </c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7" t="s">
        <v>475</v>
      </c>
      <c r="AY89" s="27" t="s">
        <v>476</v>
      </c>
      <c r="AZ89" s="27" t="s">
        <v>500</v>
      </c>
      <c r="BA89" s="27" t="s">
        <v>375</v>
      </c>
      <c r="BB89" s="27" t="s">
        <v>501</v>
      </c>
      <c r="BC89" s="29">
        <v>44268</v>
      </c>
      <c r="BD89" s="29">
        <v>44329</v>
      </c>
      <c r="BE89" s="29">
        <v>44329</v>
      </c>
      <c r="BF89" s="27">
        <v>100</v>
      </c>
      <c r="BG89" s="27" t="s">
        <v>495</v>
      </c>
      <c r="BH89" s="30" t="s">
        <v>502</v>
      </c>
      <c r="BI89" s="28"/>
      <c r="BJ89" s="28"/>
      <c r="BK89" s="28"/>
      <c r="BL89" s="28"/>
      <c r="BM89" s="28"/>
      <c r="BN89" s="28"/>
      <c r="BO89" s="28"/>
      <c r="BP89" s="28"/>
      <c r="BQ89" s="28"/>
      <c r="BR89" s="28"/>
      <c r="BS89" s="28"/>
      <c r="BT89" s="28"/>
      <c r="BU89" s="28"/>
      <c r="BV89" s="28"/>
      <c r="BW89" s="28"/>
      <c r="BX89" s="28"/>
      <c r="BY89" s="19"/>
      <c r="BZ89" s="19"/>
      <c r="CA89" s="19"/>
      <c r="CB89" s="19"/>
      <c r="CC89" s="19"/>
      <c r="CD89" s="19"/>
      <c r="CE89" s="19"/>
      <c r="CF89" s="19"/>
      <c r="CG89" s="19"/>
      <c r="CH89" s="19"/>
      <c r="CI89" s="19"/>
      <c r="CJ89" s="19"/>
      <c r="CK89" s="19"/>
      <c r="CL89" s="19"/>
      <c r="CM89" s="19"/>
      <c r="CN89" s="19"/>
      <c r="CO89" s="19"/>
      <c r="CP89" s="19"/>
      <c r="CQ89" s="19"/>
      <c r="CR89" s="19"/>
      <c r="CS89" s="19"/>
      <c r="CT89" s="19"/>
      <c r="CU89" s="19"/>
      <c r="CV89" s="19"/>
      <c r="CW89" s="19"/>
      <c r="CX89" s="19"/>
      <c r="CY89" s="19"/>
      <c r="CZ89" s="19"/>
      <c r="DA89" s="19"/>
      <c r="DB89" s="19"/>
      <c r="DC89" s="19"/>
      <c r="DD89" s="19"/>
      <c r="DE89" s="19"/>
      <c r="DF89" s="19"/>
      <c r="DG89" s="19"/>
      <c r="DH89" s="19"/>
      <c r="DI89" s="19"/>
      <c r="DJ89" s="19"/>
      <c r="DK89" s="19"/>
      <c r="DL89" s="19"/>
      <c r="DM89" s="19"/>
      <c r="DN89" s="19"/>
      <c r="DO89" s="19"/>
      <c r="DP89" s="19"/>
      <c r="DQ89" s="19"/>
      <c r="DR89" s="19"/>
      <c r="DS89" s="19"/>
      <c r="DT89" s="19"/>
      <c r="DU89" s="19"/>
      <c r="DV89" s="19"/>
      <c r="DW89" s="19"/>
      <c r="DX89" s="19"/>
      <c r="DY89" s="19"/>
      <c r="DZ89" s="19"/>
      <c r="EA89" s="19"/>
      <c r="EB89" s="19"/>
      <c r="EC89" s="19"/>
      <c r="ED89" s="19"/>
      <c r="EE89" s="19"/>
      <c r="EF89" s="19"/>
      <c r="EG89" s="19"/>
      <c r="EH89" s="19"/>
      <c r="EI89" s="19"/>
      <c r="EJ89" s="19"/>
      <c r="EK89" s="19"/>
      <c r="EL89" s="19"/>
      <c r="EM89" s="19"/>
      <c r="EN89" s="19"/>
      <c r="EO89" s="19"/>
      <c r="EP89" s="19"/>
      <c r="EQ89" s="19"/>
      <c r="ER89" s="19"/>
      <c r="ES89" s="19"/>
      <c r="ET89" s="19"/>
      <c r="EU89" s="19"/>
      <c r="EV89" s="19"/>
      <c r="EW89" s="19"/>
      <c r="EX89" s="19"/>
      <c r="EY89" s="19"/>
      <c r="EZ89" s="19"/>
      <c r="FA89" s="19"/>
      <c r="FB89" s="19"/>
      <c r="FC89" s="19"/>
      <c r="FD89" s="19"/>
      <c r="FE89" s="19"/>
      <c r="FF89" s="19"/>
      <c r="FG89" s="19"/>
      <c r="FH89" s="19"/>
      <c r="FI89" s="19"/>
      <c r="FJ89" s="19"/>
      <c r="FK89" s="19"/>
      <c r="FL89" s="20" t="s">
        <v>478</v>
      </c>
      <c r="FM89" s="20" t="s">
        <v>321</v>
      </c>
      <c r="FN89" s="19"/>
      <c r="FO89" s="19"/>
      <c r="FP89" s="19"/>
      <c r="FQ89" s="19"/>
      <c r="FR89" s="19"/>
      <c r="FS89" s="19"/>
      <c r="FT89" s="19"/>
      <c r="FU89" s="19"/>
      <c r="FV89" s="19"/>
      <c r="FW89" s="19"/>
      <c r="FX89" s="19"/>
      <c r="FY89" s="19"/>
      <c r="FZ89" s="19"/>
      <c r="GA89" s="19"/>
      <c r="GB89" s="19"/>
      <c r="GC89" s="19"/>
      <c r="GD89" s="19"/>
      <c r="GE89" s="19"/>
      <c r="GF89" s="19"/>
      <c r="GG89" s="19"/>
      <c r="GH89" s="19"/>
      <c r="GI89" s="19"/>
      <c r="GJ89" s="19"/>
      <c r="GK89" s="19"/>
      <c r="GL89" s="19"/>
      <c r="GM89" s="19"/>
      <c r="GN89" s="19"/>
      <c r="GO89" s="19"/>
      <c r="GP89" s="19"/>
      <c r="GQ89" s="19"/>
      <c r="GR89" s="19"/>
      <c r="GS89" s="19"/>
      <c r="GT89" s="19"/>
      <c r="GU89" s="19"/>
      <c r="GV89" s="19"/>
      <c r="GW89" s="19"/>
      <c r="GX89" s="19"/>
      <c r="GY89" s="19"/>
      <c r="GZ89" s="19"/>
      <c r="HA89" s="19"/>
    </row>
    <row r="90" spans="1:209" ht="23.25" customHeight="1" x14ac:dyDescent="0.15">
      <c r="A90" s="26">
        <v>44658.759175659725</v>
      </c>
      <c r="B90" s="27" t="s">
        <v>6</v>
      </c>
      <c r="C90" s="27" t="s">
        <v>11</v>
      </c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  <c r="AX90" s="27" t="s">
        <v>485</v>
      </c>
      <c r="AY90" s="27" t="s">
        <v>486</v>
      </c>
      <c r="AZ90" s="27" t="s">
        <v>503</v>
      </c>
      <c r="BA90" s="27" t="s">
        <v>504</v>
      </c>
      <c r="BB90" s="27" t="s">
        <v>300</v>
      </c>
      <c r="BC90" s="29">
        <v>44418</v>
      </c>
      <c r="BD90" s="29">
        <v>44560</v>
      </c>
      <c r="BE90" s="29">
        <v>44550</v>
      </c>
      <c r="BF90" s="27">
        <v>94</v>
      </c>
      <c r="BG90" s="27" t="s">
        <v>490</v>
      </c>
      <c r="BH90" s="30" t="s">
        <v>505</v>
      </c>
      <c r="BI90" s="28"/>
      <c r="BJ90" s="28"/>
      <c r="BK90" s="28"/>
      <c r="BL90" s="28"/>
      <c r="BM90" s="28"/>
      <c r="BN90" s="28"/>
      <c r="BO90" s="28"/>
      <c r="BP90" s="28"/>
      <c r="BQ90" s="28"/>
      <c r="BR90" s="28"/>
      <c r="BS90" s="28"/>
      <c r="BT90" s="28"/>
      <c r="BU90" s="28"/>
      <c r="BV90" s="28"/>
      <c r="BW90" s="28"/>
      <c r="BX90" s="28"/>
      <c r="BY90" s="19"/>
      <c r="BZ90" s="19"/>
      <c r="CA90" s="19"/>
      <c r="CB90" s="19"/>
      <c r="CC90" s="19"/>
      <c r="CD90" s="19"/>
      <c r="CE90" s="19"/>
      <c r="CF90" s="19"/>
      <c r="CG90" s="19"/>
      <c r="CH90" s="19"/>
      <c r="CI90" s="19"/>
      <c r="CJ90" s="19"/>
      <c r="CK90" s="19"/>
      <c r="CL90" s="19"/>
      <c r="CM90" s="19"/>
      <c r="CN90" s="19"/>
      <c r="CO90" s="19"/>
      <c r="CP90" s="19"/>
      <c r="CQ90" s="19"/>
      <c r="CR90" s="19"/>
      <c r="CS90" s="19"/>
      <c r="CT90" s="19"/>
      <c r="CU90" s="19"/>
      <c r="CV90" s="19"/>
      <c r="CW90" s="19"/>
      <c r="CX90" s="19"/>
      <c r="CY90" s="19"/>
      <c r="CZ90" s="19"/>
      <c r="DA90" s="19"/>
      <c r="DB90" s="19"/>
      <c r="DC90" s="19"/>
      <c r="DD90" s="19"/>
      <c r="DE90" s="19"/>
      <c r="DF90" s="19"/>
      <c r="DG90" s="19"/>
      <c r="DH90" s="19"/>
      <c r="DI90" s="19"/>
      <c r="DJ90" s="19"/>
      <c r="DK90" s="19"/>
      <c r="DL90" s="19"/>
      <c r="DM90" s="19"/>
      <c r="DN90" s="19"/>
      <c r="DO90" s="19"/>
      <c r="DP90" s="19"/>
      <c r="DQ90" s="19"/>
      <c r="DR90" s="19"/>
      <c r="DS90" s="19"/>
      <c r="DT90" s="19"/>
      <c r="DU90" s="19"/>
      <c r="DV90" s="19"/>
      <c r="DW90" s="19"/>
      <c r="DX90" s="19"/>
      <c r="DY90" s="19"/>
      <c r="DZ90" s="19"/>
      <c r="EA90" s="19"/>
      <c r="EB90" s="19"/>
      <c r="EC90" s="19"/>
      <c r="ED90" s="19"/>
      <c r="EE90" s="19"/>
      <c r="EF90" s="19"/>
      <c r="EG90" s="19"/>
      <c r="EH90" s="19"/>
      <c r="EI90" s="19"/>
      <c r="EJ90" s="19"/>
      <c r="EK90" s="19"/>
      <c r="EL90" s="19"/>
      <c r="EM90" s="19"/>
      <c r="EN90" s="19"/>
      <c r="EO90" s="19"/>
      <c r="EP90" s="19"/>
      <c r="EQ90" s="19"/>
      <c r="ER90" s="19"/>
      <c r="ES90" s="19"/>
      <c r="ET90" s="19"/>
      <c r="EU90" s="19"/>
      <c r="EV90" s="19"/>
      <c r="EW90" s="19"/>
      <c r="EX90" s="19"/>
      <c r="EY90" s="19"/>
      <c r="EZ90" s="19"/>
      <c r="FA90" s="19"/>
      <c r="FB90" s="19"/>
      <c r="FC90" s="19"/>
      <c r="FD90" s="19"/>
      <c r="FE90" s="19"/>
      <c r="FF90" s="19"/>
      <c r="FG90" s="19"/>
      <c r="FH90" s="19"/>
      <c r="FI90" s="19"/>
      <c r="FJ90" s="19"/>
      <c r="FK90" s="19"/>
      <c r="FL90" s="20" t="s">
        <v>488</v>
      </c>
      <c r="FM90" s="20" t="s">
        <v>273</v>
      </c>
      <c r="FN90" s="19"/>
      <c r="FO90" s="19"/>
      <c r="FP90" s="19"/>
      <c r="FQ90" s="19"/>
      <c r="FR90" s="19"/>
      <c r="FS90" s="19"/>
      <c r="FT90" s="19"/>
      <c r="FU90" s="19"/>
      <c r="FV90" s="19"/>
      <c r="FW90" s="19"/>
      <c r="FX90" s="19"/>
      <c r="FY90" s="19"/>
      <c r="FZ90" s="19"/>
      <c r="GA90" s="19"/>
      <c r="GB90" s="19"/>
      <c r="GC90" s="19"/>
      <c r="GD90" s="19"/>
      <c r="GE90" s="19"/>
      <c r="GF90" s="19"/>
      <c r="GG90" s="19"/>
      <c r="GH90" s="19"/>
      <c r="GI90" s="19"/>
      <c r="GJ90" s="19"/>
      <c r="GK90" s="19"/>
      <c r="GL90" s="19"/>
      <c r="GM90" s="19"/>
      <c r="GN90" s="19"/>
      <c r="GO90" s="19"/>
      <c r="GP90" s="19"/>
      <c r="GQ90" s="19"/>
      <c r="GR90" s="19"/>
      <c r="GS90" s="19"/>
      <c r="GT90" s="19"/>
      <c r="GU90" s="19"/>
      <c r="GV90" s="19"/>
      <c r="GW90" s="19"/>
      <c r="GX90" s="19"/>
      <c r="GY90" s="19"/>
      <c r="GZ90" s="19"/>
      <c r="HA90" s="19"/>
    </row>
    <row r="91" spans="1:209" ht="23.25" customHeight="1" x14ac:dyDescent="0.15">
      <c r="A91" s="26">
        <v>44658.759589282403</v>
      </c>
      <c r="B91" s="27" t="s">
        <v>6</v>
      </c>
      <c r="C91" s="27" t="s">
        <v>11</v>
      </c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  <c r="AX91" s="27" t="s">
        <v>506</v>
      </c>
      <c r="AY91" s="27" t="s">
        <v>476</v>
      </c>
      <c r="AZ91" s="27" t="s">
        <v>500</v>
      </c>
      <c r="BA91" s="27" t="s">
        <v>375</v>
      </c>
      <c r="BB91" s="27" t="s">
        <v>507</v>
      </c>
      <c r="BC91" s="29">
        <v>44299</v>
      </c>
      <c r="BD91" s="29">
        <v>44268</v>
      </c>
      <c r="BE91" s="29">
        <v>44268</v>
      </c>
      <c r="BF91" s="27">
        <v>100</v>
      </c>
      <c r="BG91" s="27" t="s">
        <v>495</v>
      </c>
      <c r="BH91" s="30" t="s">
        <v>508</v>
      </c>
      <c r="BI91" s="28"/>
      <c r="BJ91" s="28"/>
      <c r="BK91" s="28"/>
      <c r="BL91" s="28"/>
      <c r="BM91" s="28"/>
      <c r="BN91" s="28"/>
      <c r="BO91" s="28"/>
      <c r="BP91" s="28"/>
      <c r="BQ91" s="28"/>
      <c r="BR91" s="28"/>
      <c r="BS91" s="28"/>
      <c r="BT91" s="28"/>
      <c r="BU91" s="28"/>
      <c r="BV91" s="28"/>
      <c r="BW91" s="28"/>
      <c r="BX91" s="28"/>
      <c r="BY91" s="19"/>
      <c r="BZ91" s="19"/>
      <c r="CA91" s="19"/>
      <c r="CB91" s="19"/>
      <c r="CC91" s="19"/>
      <c r="CD91" s="19"/>
      <c r="CE91" s="19"/>
      <c r="CF91" s="19"/>
      <c r="CG91" s="19"/>
      <c r="CH91" s="19"/>
      <c r="CI91" s="19"/>
      <c r="CJ91" s="19"/>
      <c r="CK91" s="19"/>
      <c r="CL91" s="19"/>
      <c r="CM91" s="19"/>
      <c r="CN91" s="19"/>
      <c r="CO91" s="19"/>
      <c r="CP91" s="19"/>
      <c r="CQ91" s="19"/>
      <c r="CR91" s="19"/>
      <c r="CS91" s="19"/>
      <c r="CT91" s="19"/>
      <c r="CU91" s="19"/>
      <c r="CV91" s="19"/>
      <c r="CW91" s="19"/>
      <c r="CX91" s="19"/>
      <c r="CY91" s="19"/>
      <c r="CZ91" s="19"/>
      <c r="DA91" s="19"/>
      <c r="DB91" s="19"/>
      <c r="DC91" s="19"/>
      <c r="DD91" s="19"/>
      <c r="DE91" s="19"/>
      <c r="DF91" s="19"/>
      <c r="DG91" s="19"/>
      <c r="DH91" s="19"/>
      <c r="DI91" s="19"/>
      <c r="DJ91" s="19"/>
      <c r="DK91" s="19"/>
      <c r="DL91" s="19"/>
      <c r="DM91" s="19"/>
      <c r="DN91" s="19"/>
      <c r="DO91" s="19"/>
      <c r="DP91" s="19"/>
      <c r="DQ91" s="19"/>
      <c r="DR91" s="19"/>
      <c r="DS91" s="19"/>
      <c r="DT91" s="19"/>
      <c r="DU91" s="19"/>
      <c r="DV91" s="19"/>
      <c r="DW91" s="19"/>
      <c r="DX91" s="19"/>
      <c r="DY91" s="19"/>
      <c r="DZ91" s="19"/>
      <c r="EA91" s="19"/>
      <c r="EB91" s="19"/>
      <c r="EC91" s="19"/>
      <c r="ED91" s="19"/>
      <c r="EE91" s="19"/>
      <c r="EF91" s="19"/>
      <c r="EG91" s="19"/>
      <c r="EH91" s="19"/>
      <c r="EI91" s="19"/>
      <c r="EJ91" s="19"/>
      <c r="EK91" s="19"/>
      <c r="EL91" s="19"/>
      <c r="EM91" s="19"/>
      <c r="EN91" s="19"/>
      <c r="EO91" s="19"/>
      <c r="EP91" s="19"/>
      <c r="EQ91" s="19"/>
      <c r="ER91" s="19"/>
      <c r="ES91" s="19"/>
      <c r="ET91" s="19"/>
      <c r="EU91" s="19"/>
      <c r="EV91" s="19"/>
      <c r="EW91" s="19"/>
      <c r="EX91" s="19"/>
      <c r="EY91" s="19"/>
      <c r="EZ91" s="19"/>
      <c r="FA91" s="19"/>
      <c r="FB91" s="19"/>
      <c r="FC91" s="19"/>
      <c r="FD91" s="19"/>
      <c r="FE91" s="19"/>
      <c r="FF91" s="19"/>
      <c r="FG91" s="19"/>
      <c r="FH91" s="19"/>
      <c r="FI91" s="19"/>
      <c r="FJ91" s="19"/>
      <c r="FK91" s="19"/>
      <c r="FL91" s="20" t="s">
        <v>478</v>
      </c>
      <c r="FM91" s="20" t="s">
        <v>278</v>
      </c>
      <c r="FN91" s="19"/>
      <c r="FO91" s="19"/>
      <c r="FP91" s="19"/>
      <c r="FQ91" s="19"/>
      <c r="FR91" s="19"/>
      <c r="FS91" s="19"/>
      <c r="FT91" s="19"/>
      <c r="FU91" s="19"/>
      <c r="FV91" s="19"/>
      <c r="FW91" s="19"/>
      <c r="FX91" s="19"/>
      <c r="FY91" s="19"/>
      <c r="FZ91" s="19"/>
      <c r="GA91" s="19"/>
      <c r="GB91" s="19"/>
      <c r="GC91" s="19"/>
      <c r="GD91" s="19"/>
      <c r="GE91" s="19"/>
      <c r="GF91" s="19"/>
      <c r="GG91" s="19"/>
      <c r="GH91" s="19"/>
      <c r="GI91" s="19"/>
      <c r="GJ91" s="19"/>
      <c r="GK91" s="19"/>
      <c r="GL91" s="19"/>
      <c r="GM91" s="19"/>
      <c r="GN91" s="19"/>
      <c r="GO91" s="19"/>
      <c r="GP91" s="19"/>
      <c r="GQ91" s="19"/>
      <c r="GR91" s="19"/>
      <c r="GS91" s="19"/>
      <c r="GT91" s="19"/>
      <c r="GU91" s="19"/>
      <c r="GV91" s="19"/>
      <c r="GW91" s="19"/>
      <c r="GX91" s="19"/>
      <c r="GY91" s="19"/>
      <c r="GZ91" s="19"/>
      <c r="HA91" s="19"/>
    </row>
    <row r="92" spans="1:209" ht="23.25" customHeight="1" x14ac:dyDescent="0.15">
      <c r="A92" s="26">
        <v>44658.762952951394</v>
      </c>
      <c r="B92" s="27" t="s">
        <v>6</v>
      </c>
      <c r="C92" s="27" t="s">
        <v>11</v>
      </c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  <c r="AX92" s="27" t="s">
        <v>506</v>
      </c>
      <c r="AY92" s="27" t="s">
        <v>476</v>
      </c>
      <c r="AZ92" s="27" t="s">
        <v>349</v>
      </c>
      <c r="BA92" s="27" t="s">
        <v>375</v>
      </c>
      <c r="BB92" s="27" t="s">
        <v>442</v>
      </c>
      <c r="BC92" s="29">
        <v>44340</v>
      </c>
      <c r="BD92" s="29">
        <v>44401</v>
      </c>
      <c r="BE92" s="29">
        <v>44401</v>
      </c>
      <c r="BF92" s="27">
        <v>100</v>
      </c>
      <c r="BG92" s="27" t="s">
        <v>495</v>
      </c>
      <c r="BH92" s="30" t="s">
        <v>509</v>
      </c>
      <c r="BI92" s="28"/>
      <c r="BJ92" s="28"/>
      <c r="BK92" s="28"/>
      <c r="BL92" s="28"/>
      <c r="BM92" s="28"/>
      <c r="BN92" s="28"/>
      <c r="BO92" s="28"/>
      <c r="BP92" s="28"/>
      <c r="BQ92" s="28"/>
      <c r="BR92" s="28"/>
      <c r="BS92" s="28"/>
      <c r="BT92" s="28"/>
      <c r="BU92" s="28"/>
      <c r="BV92" s="28"/>
      <c r="BW92" s="28"/>
      <c r="BX92" s="28"/>
      <c r="BY92" s="19"/>
      <c r="BZ92" s="19"/>
      <c r="CA92" s="19"/>
      <c r="CB92" s="19"/>
      <c r="CC92" s="19"/>
      <c r="CD92" s="19"/>
      <c r="CE92" s="19"/>
      <c r="CF92" s="19"/>
      <c r="CG92" s="19"/>
      <c r="CH92" s="19"/>
      <c r="CI92" s="19"/>
      <c r="CJ92" s="19"/>
      <c r="CK92" s="19"/>
      <c r="CL92" s="19"/>
      <c r="CM92" s="19"/>
      <c r="CN92" s="19"/>
      <c r="CO92" s="19"/>
      <c r="CP92" s="19"/>
      <c r="CQ92" s="19"/>
      <c r="CR92" s="19"/>
      <c r="CS92" s="19"/>
      <c r="CT92" s="19"/>
      <c r="CU92" s="19"/>
      <c r="CV92" s="19"/>
      <c r="CW92" s="19"/>
      <c r="CX92" s="19"/>
      <c r="CY92" s="19"/>
      <c r="CZ92" s="19"/>
      <c r="DA92" s="19"/>
      <c r="DB92" s="19"/>
      <c r="DC92" s="19"/>
      <c r="DD92" s="19"/>
      <c r="DE92" s="19"/>
      <c r="DF92" s="19"/>
      <c r="DG92" s="19"/>
      <c r="DH92" s="19"/>
      <c r="DI92" s="19"/>
      <c r="DJ92" s="19"/>
      <c r="DK92" s="19"/>
      <c r="DL92" s="19"/>
      <c r="DM92" s="19"/>
      <c r="DN92" s="19"/>
      <c r="DO92" s="19"/>
      <c r="DP92" s="19"/>
      <c r="DQ92" s="19"/>
      <c r="DR92" s="19"/>
      <c r="DS92" s="19"/>
      <c r="DT92" s="19"/>
      <c r="DU92" s="19"/>
      <c r="DV92" s="19"/>
      <c r="DW92" s="19"/>
      <c r="DX92" s="19"/>
      <c r="DY92" s="19"/>
      <c r="DZ92" s="19"/>
      <c r="EA92" s="19"/>
      <c r="EB92" s="19"/>
      <c r="EC92" s="19"/>
      <c r="ED92" s="19"/>
      <c r="EE92" s="19"/>
      <c r="EF92" s="19"/>
      <c r="EG92" s="19"/>
      <c r="EH92" s="19"/>
      <c r="EI92" s="19"/>
      <c r="EJ92" s="19"/>
      <c r="EK92" s="19"/>
      <c r="EL92" s="19"/>
      <c r="EM92" s="19"/>
      <c r="EN92" s="19"/>
      <c r="EO92" s="19"/>
      <c r="EP92" s="19"/>
      <c r="EQ92" s="19"/>
      <c r="ER92" s="19"/>
      <c r="ES92" s="19"/>
      <c r="ET92" s="19"/>
      <c r="EU92" s="19"/>
      <c r="EV92" s="19"/>
      <c r="EW92" s="19"/>
      <c r="EX92" s="19"/>
      <c r="EY92" s="19"/>
      <c r="EZ92" s="19"/>
      <c r="FA92" s="19"/>
      <c r="FB92" s="19"/>
      <c r="FC92" s="19"/>
      <c r="FD92" s="19"/>
      <c r="FE92" s="19"/>
      <c r="FF92" s="19"/>
      <c r="FG92" s="19"/>
      <c r="FH92" s="19"/>
      <c r="FI92" s="19"/>
      <c r="FJ92" s="19"/>
      <c r="FK92" s="19"/>
      <c r="FL92" s="20" t="s">
        <v>478</v>
      </c>
      <c r="FM92" s="20" t="s">
        <v>273</v>
      </c>
      <c r="FN92" s="19"/>
      <c r="FO92" s="19"/>
      <c r="FP92" s="19"/>
      <c r="FQ92" s="19"/>
      <c r="FR92" s="19"/>
      <c r="FS92" s="19"/>
      <c r="FT92" s="19"/>
      <c r="FU92" s="19"/>
      <c r="FV92" s="19"/>
      <c r="FW92" s="19"/>
      <c r="FX92" s="19"/>
      <c r="FY92" s="19"/>
      <c r="FZ92" s="19"/>
      <c r="GA92" s="19"/>
      <c r="GB92" s="19"/>
      <c r="GC92" s="19"/>
      <c r="GD92" s="19"/>
      <c r="GE92" s="19"/>
      <c r="GF92" s="19"/>
      <c r="GG92" s="19"/>
      <c r="GH92" s="19"/>
      <c r="GI92" s="19"/>
      <c r="GJ92" s="19"/>
      <c r="GK92" s="19"/>
      <c r="GL92" s="19"/>
      <c r="GM92" s="19"/>
      <c r="GN92" s="19"/>
      <c r="GO92" s="19"/>
      <c r="GP92" s="19"/>
      <c r="GQ92" s="19"/>
      <c r="GR92" s="19"/>
      <c r="GS92" s="19"/>
      <c r="GT92" s="19"/>
      <c r="GU92" s="19"/>
      <c r="GV92" s="19"/>
      <c r="GW92" s="19"/>
      <c r="GX92" s="19"/>
      <c r="GY92" s="19"/>
      <c r="GZ92" s="19"/>
      <c r="HA92" s="19"/>
    </row>
    <row r="93" spans="1:209" ht="23.25" customHeight="1" x14ac:dyDescent="0.15">
      <c r="A93" s="26">
        <v>44658.765028634254</v>
      </c>
      <c r="B93" s="27" t="s">
        <v>6</v>
      </c>
      <c r="C93" s="27" t="s">
        <v>11</v>
      </c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7" t="s">
        <v>506</v>
      </c>
      <c r="AY93" s="27" t="s">
        <v>476</v>
      </c>
      <c r="AZ93" s="27" t="s">
        <v>354</v>
      </c>
      <c r="BA93" s="27" t="s">
        <v>375</v>
      </c>
      <c r="BB93" s="27" t="s">
        <v>442</v>
      </c>
      <c r="BC93" s="29">
        <v>44273</v>
      </c>
      <c r="BD93" s="29">
        <v>44334</v>
      </c>
      <c r="BE93" s="29">
        <v>44334</v>
      </c>
      <c r="BF93" s="27">
        <v>100</v>
      </c>
      <c r="BG93" s="27" t="s">
        <v>495</v>
      </c>
      <c r="BH93" s="30" t="s">
        <v>510</v>
      </c>
      <c r="BI93" s="28"/>
      <c r="BJ93" s="28"/>
      <c r="BK93" s="28"/>
      <c r="BL93" s="28"/>
      <c r="BM93" s="28"/>
      <c r="BN93" s="28"/>
      <c r="BO93" s="28"/>
      <c r="BP93" s="28"/>
      <c r="BQ93" s="28"/>
      <c r="BR93" s="28"/>
      <c r="BS93" s="28"/>
      <c r="BT93" s="28"/>
      <c r="BU93" s="28"/>
      <c r="BV93" s="28"/>
      <c r="BW93" s="28"/>
      <c r="BX93" s="28"/>
      <c r="BY93" s="19"/>
      <c r="BZ93" s="19"/>
      <c r="CA93" s="19"/>
      <c r="CB93" s="19"/>
      <c r="CC93" s="19"/>
      <c r="CD93" s="19"/>
      <c r="CE93" s="19"/>
      <c r="CF93" s="19"/>
      <c r="CG93" s="19"/>
      <c r="CH93" s="19"/>
      <c r="CI93" s="19"/>
      <c r="CJ93" s="19"/>
      <c r="CK93" s="19"/>
      <c r="CL93" s="19"/>
      <c r="CM93" s="19"/>
      <c r="CN93" s="19"/>
      <c r="CO93" s="19"/>
      <c r="CP93" s="19"/>
      <c r="CQ93" s="19"/>
      <c r="CR93" s="19"/>
      <c r="CS93" s="19"/>
      <c r="CT93" s="19"/>
      <c r="CU93" s="19"/>
      <c r="CV93" s="19"/>
      <c r="CW93" s="19"/>
      <c r="CX93" s="19"/>
      <c r="CY93" s="19"/>
      <c r="CZ93" s="19"/>
      <c r="DA93" s="19"/>
      <c r="DB93" s="19"/>
      <c r="DC93" s="19"/>
      <c r="DD93" s="19"/>
      <c r="DE93" s="19"/>
      <c r="DF93" s="19"/>
      <c r="DG93" s="19"/>
      <c r="DH93" s="19"/>
      <c r="DI93" s="19"/>
      <c r="DJ93" s="19"/>
      <c r="DK93" s="19"/>
      <c r="DL93" s="19"/>
      <c r="DM93" s="19"/>
      <c r="DN93" s="19"/>
      <c r="DO93" s="19"/>
      <c r="DP93" s="19"/>
      <c r="DQ93" s="19"/>
      <c r="DR93" s="19"/>
      <c r="DS93" s="19"/>
      <c r="DT93" s="19"/>
      <c r="DU93" s="19"/>
      <c r="DV93" s="19"/>
      <c r="DW93" s="19"/>
      <c r="DX93" s="19"/>
      <c r="DY93" s="19"/>
      <c r="DZ93" s="19"/>
      <c r="EA93" s="19"/>
      <c r="EB93" s="19"/>
      <c r="EC93" s="19"/>
      <c r="ED93" s="19"/>
      <c r="EE93" s="19"/>
      <c r="EF93" s="19"/>
      <c r="EG93" s="19"/>
      <c r="EH93" s="19"/>
      <c r="EI93" s="19"/>
      <c r="EJ93" s="19"/>
      <c r="EK93" s="19"/>
      <c r="EL93" s="19"/>
      <c r="EM93" s="19"/>
      <c r="EN93" s="19"/>
      <c r="EO93" s="19"/>
      <c r="EP93" s="19"/>
      <c r="EQ93" s="19"/>
      <c r="ER93" s="19"/>
      <c r="ES93" s="19"/>
      <c r="ET93" s="19"/>
      <c r="EU93" s="19"/>
      <c r="EV93" s="19"/>
      <c r="EW93" s="19"/>
      <c r="EX93" s="19"/>
      <c r="EY93" s="19"/>
      <c r="EZ93" s="19"/>
      <c r="FA93" s="19"/>
      <c r="FB93" s="19"/>
      <c r="FC93" s="19"/>
      <c r="FD93" s="19"/>
      <c r="FE93" s="19"/>
      <c r="FF93" s="19"/>
      <c r="FG93" s="19"/>
      <c r="FH93" s="19"/>
      <c r="FI93" s="19"/>
      <c r="FJ93" s="19"/>
      <c r="FK93" s="19"/>
      <c r="FL93" s="20" t="s">
        <v>478</v>
      </c>
      <c r="FM93" s="20" t="s">
        <v>278</v>
      </c>
      <c r="FN93" s="19"/>
      <c r="FO93" s="19"/>
      <c r="FP93" s="19"/>
      <c r="FQ93" s="19"/>
      <c r="FR93" s="19"/>
      <c r="FS93" s="19"/>
      <c r="FT93" s="19"/>
      <c r="FU93" s="19"/>
      <c r="FV93" s="19"/>
      <c r="FW93" s="19"/>
      <c r="FX93" s="19"/>
      <c r="FY93" s="19"/>
      <c r="FZ93" s="19"/>
      <c r="GA93" s="19"/>
      <c r="GB93" s="19"/>
      <c r="GC93" s="19"/>
      <c r="GD93" s="19"/>
      <c r="GE93" s="19"/>
      <c r="GF93" s="19"/>
      <c r="GG93" s="19"/>
      <c r="GH93" s="19"/>
      <c r="GI93" s="19"/>
      <c r="GJ93" s="19"/>
      <c r="GK93" s="19"/>
      <c r="GL93" s="19"/>
      <c r="GM93" s="19"/>
      <c r="GN93" s="19"/>
      <c r="GO93" s="19"/>
      <c r="GP93" s="19"/>
      <c r="GQ93" s="19"/>
      <c r="GR93" s="19"/>
      <c r="GS93" s="19"/>
      <c r="GT93" s="19"/>
      <c r="GU93" s="19"/>
      <c r="GV93" s="19"/>
      <c r="GW93" s="19"/>
      <c r="GX93" s="19"/>
      <c r="GY93" s="19"/>
      <c r="GZ93" s="19"/>
      <c r="HA93" s="19"/>
    </row>
    <row r="94" spans="1:209" ht="23.25" customHeight="1" x14ac:dyDescent="0.15">
      <c r="A94" s="26">
        <v>44658.76747590278</v>
      </c>
      <c r="B94" s="27" t="s">
        <v>6</v>
      </c>
      <c r="C94" s="27" t="s">
        <v>11</v>
      </c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7" t="s">
        <v>506</v>
      </c>
      <c r="AY94" s="27" t="s">
        <v>476</v>
      </c>
      <c r="AZ94" s="27" t="s">
        <v>511</v>
      </c>
      <c r="BA94" s="27" t="s">
        <v>375</v>
      </c>
      <c r="BB94" s="27" t="s">
        <v>493</v>
      </c>
      <c r="BC94" s="29">
        <v>44640</v>
      </c>
      <c r="BD94" s="29">
        <v>44657</v>
      </c>
      <c r="BE94" s="29">
        <v>44657</v>
      </c>
      <c r="BF94" s="27">
        <v>100</v>
      </c>
      <c r="BG94" s="27" t="s">
        <v>495</v>
      </c>
      <c r="BH94" s="30" t="s">
        <v>512</v>
      </c>
      <c r="BI94" s="28"/>
      <c r="BJ94" s="28"/>
      <c r="BK94" s="28"/>
      <c r="BL94" s="28"/>
      <c r="BM94" s="28"/>
      <c r="BN94" s="28"/>
      <c r="BO94" s="28"/>
      <c r="BP94" s="28"/>
      <c r="BQ94" s="28"/>
      <c r="BR94" s="28"/>
      <c r="BS94" s="28"/>
      <c r="BT94" s="28"/>
      <c r="BU94" s="28"/>
      <c r="BV94" s="28"/>
      <c r="BW94" s="28"/>
      <c r="BX94" s="28"/>
      <c r="BY94" s="19"/>
      <c r="BZ94" s="19"/>
      <c r="CA94" s="19"/>
      <c r="CB94" s="19"/>
      <c r="CC94" s="19"/>
      <c r="CD94" s="19"/>
      <c r="CE94" s="19"/>
      <c r="CF94" s="19"/>
      <c r="CG94" s="19"/>
      <c r="CH94" s="19"/>
      <c r="CI94" s="19"/>
      <c r="CJ94" s="19"/>
      <c r="CK94" s="19"/>
      <c r="CL94" s="19"/>
      <c r="CM94" s="19"/>
      <c r="CN94" s="19"/>
      <c r="CO94" s="19"/>
      <c r="CP94" s="19"/>
      <c r="CQ94" s="19"/>
      <c r="CR94" s="19"/>
      <c r="CS94" s="19"/>
      <c r="CT94" s="19"/>
      <c r="CU94" s="19"/>
      <c r="CV94" s="19"/>
      <c r="CW94" s="19"/>
      <c r="CX94" s="19"/>
      <c r="CY94" s="19"/>
      <c r="CZ94" s="19"/>
      <c r="DA94" s="19"/>
      <c r="DB94" s="19"/>
      <c r="DC94" s="19"/>
      <c r="DD94" s="19"/>
      <c r="DE94" s="19"/>
      <c r="DF94" s="19"/>
      <c r="DG94" s="19"/>
      <c r="DH94" s="19"/>
      <c r="DI94" s="19"/>
      <c r="DJ94" s="19"/>
      <c r="DK94" s="19"/>
      <c r="DL94" s="19"/>
      <c r="DM94" s="19"/>
      <c r="DN94" s="19"/>
      <c r="DO94" s="19"/>
      <c r="DP94" s="19"/>
      <c r="DQ94" s="19"/>
      <c r="DR94" s="19"/>
      <c r="DS94" s="19"/>
      <c r="DT94" s="19"/>
      <c r="DU94" s="19"/>
      <c r="DV94" s="19"/>
      <c r="DW94" s="19"/>
      <c r="DX94" s="19"/>
      <c r="DY94" s="19"/>
      <c r="DZ94" s="19"/>
      <c r="EA94" s="19"/>
      <c r="EB94" s="19"/>
      <c r="EC94" s="19"/>
      <c r="ED94" s="19"/>
      <c r="EE94" s="19"/>
      <c r="EF94" s="19"/>
      <c r="EG94" s="19"/>
      <c r="EH94" s="19"/>
      <c r="EI94" s="19"/>
      <c r="EJ94" s="19"/>
      <c r="EK94" s="19"/>
      <c r="EL94" s="19"/>
      <c r="EM94" s="19"/>
      <c r="EN94" s="19"/>
      <c r="EO94" s="19"/>
      <c r="EP94" s="19"/>
      <c r="EQ94" s="19"/>
      <c r="ER94" s="19"/>
      <c r="ES94" s="19"/>
      <c r="ET94" s="19"/>
      <c r="EU94" s="19"/>
      <c r="EV94" s="19"/>
      <c r="EW94" s="19"/>
      <c r="EX94" s="19"/>
      <c r="EY94" s="19"/>
      <c r="EZ94" s="19"/>
      <c r="FA94" s="19"/>
      <c r="FB94" s="19"/>
      <c r="FC94" s="19"/>
      <c r="FD94" s="19"/>
      <c r="FE94" s="19"/>
      <c r="FF94" s="19"/>
      <c r="FG94" s="19"/>
      <c r="FH94" s="19"/>
      <c r="FI94" s="19"/>
      <c r="FJ94" s="19"/>
      <c r="FK94" s="19"/>
      <c r="FL94" s="20" t="s">
        <v>478</v>
      </c>
      <c r="FM94" s="20" t="s">
        <v>255</v>
      </c>
      <c r="FN94" s="19"/>
      <c r="FO94" s="19"/>
      <c r="FP94" s="19"/>
      <c r="FQ94" s="19"/>
      <c r="FR94" s="19"/>
      <c r="FS94" s="19"/>
      <c r="FT94" s="19"/>
      <c r="FU94" s="19"/>
      <c r="FV94" s="19"/>
      <c r="FW94" s="19"/>
      <c r="FX94" s="19"/>
      <c r="FY94" s="19"/>
      <c r="FZ94" s="19"/>
      <c r="GA94" s="19"/>
      <c r="GB94" s="19"/>
      <c r="GC94" s="19"/>
      <c r="GD94" s="19"/>
      <c r="GE94" s="19"/>
      <c r="GF94" s="19"/>
      <c r="GG94" s="19"/>
      <c r="GH94" s="19"/>
      <c r="GI94" s="19"/>
      <c r="GJ94" s="19"/>
      <c r="GK94" s="19"/>
      <c r="GL94" s="19"/>
      <c r="GM94" s="19"/>
      <c r="GN94" s="19"/>
      <c r="GO94" s="19"/>
      <c r="GP94" s="19"/>
      <c r="GQ94" s="19"/>
      <c r="GR94" s="19"/>
      <c r="GS94" s="19"/>
      <c r="GT94" s="19"/>
      <c r="GU94" s="19"/>
      <c r="GV94" s="19"/>
      <c r="GW94" s="19"/>
      <c r="GX94" s="19"/>
      <c r="GY94" s="19"/>
      <c r="GZ94" s="19"/>
      <c r="HA94" s="19"/>
    </row>
    <row r="95" spans="1:209" ht="23.25" customHeight="1" x14ac:dyDescent="0.15">
      <c r="A95" s="26">
        <v>44658.785930578699</v>
      </c>
      <c r="B95" s="27" t="s">
        <v>6</v>
      </c>
      <c r="C95" s="27" t="s">
        <v>10</v>
      </c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7" t="s">
        <v>513</v>
      </c>
      <c r="AO95" s="27" t="s">
        <v>514</v>
      </c>
      <c r="AP95" s="27" t="s">
        <v>515</v>
      </c>
      <c r="AQ95" s="27" t="s">
        <v>448</v>
      </c>
      <c r="AR95" s="29">
        <v>44620</v>
      </c>
      <c r="AS95" s="29">
        <v>44701</v>
      </c>
      <c r="AT95" s="27" t="s">
        <v>251</v>
      </c>
      <c r="AU95" s="27" t="s">
        <v>252</v>
      </c>
      <c r="AV95" s="27">
        <v>220001</v>
      </c>
      <c r="AW95" s="30" t="s">
        <v>516</v>
      </c>
      <c r="AX95" s="28"/>
      <c r="AY95" s="28"/>
      <c r="AZ95" s="28"/>
      <c r="BA95" s="28"/>
      <c r="BB95" s="28"/>
      <c r="BC95" s="28"/>
      <c r="BD95" s="28"/>
      <c r="BE95" s="28"/>
      <c r="BF95" s="28"/>
      <c r="BG95" s="28"/>
      <c r="BH95" s="28"/>
      <c r="BI95" s="28"/>
      <c r="BJ95" s="28"/>
      <c r="BK95" s="28"/>
      <c r="BL95" s="28"/>
      <c r="BM95" s="28"/>
      <c r="BN95" s="28"/>
      <c r="BO95" s="28"/>
      <c r="BP95" s="28"/>
      <c r="BQ95" s="28"/>
      <c r="BR95" s="28"/>
      <c r="BS95" s="28"/>
      <c r="BT95" s="28"/>
      <c r="BU95" s="28"/>
      <c r="BV95" s="28"/>
      <c r="BW95" s="28"/>
      <c r="BX95" s="28"/>
      <c r="BY95" s="19"/>
      <c r="BZ95" s="19"/>
      <c r="CA95" s="19"/>
      <c r="CB95" s="19"/>
      <c r="CC95" s="19"/>
      <c r="CD95" s="19"/>
      <c r="CE95" s="19"/>
      <c r="CF95" s="19"/>
      <c r="CG95" s="19"/>
      <c r="CH95" s="19"/>
      <c r="CI95" s="19"/>
      <c r="CJ95" s="19"/>
      <c r="CK95" s="19"/>
      <c r="CL95" s="19"/>
      <c r="CM95" s="19"/>
      <c r="CN95" s="19"/>
      <c r="CO95" s="19"/>
      <c r="CP95" s="19"/>
      <c r="CQ95" s="19"/>
      <c r="CR95" s="19"/>
      <c r="CS95" s="19"/>
      <c r="CT95" s="19"/>
      <c r="CU95" s="19"/>
      <c r="CV95" s="19"/>
      <c r="CW95" s="19"/>
      <c r="CX95" s="19"/>
      <c r="CY95" s="19"/>
      <c r="CZ95" s="19"/>
      <c r="DA95" s="19"/>
      <c r="DB95" s="19"/>
      <c r="DC95" s="19"/>
      <c r="DD95" s="19"/>
      <c r="DE95" s="19"/>
      <c r="DF95" s="19"/>
      <c r="DG95" s="19"/>
      <c r="DH95" s="19"/>
      <c r="DI95" s="19"/>
      <c r="DJ95" s="19"/>
      <c r="DK95" s="19"/>
      <c r="DL95" s="19"/>
      <c r="DM95" s="19"/>
      <c r="DN95" s="19"/>
      <c r="DO95" s="19"/>
      <c r="DP95" s="19"/>
      <c r="DQ95" s="19"/>
      <c r="DR95" s="19"/>
      <c r="DS95" s="19"/>
      <c r="DT95" s="19"/>
      <c r="DU95" s="19"/>
      <c r="DV95" s="19"/>
      <c r="DW95" s="19"/>
      <c r="DX95" s="19"/>
      <c r="DY95" s="19"/>
      <c r="DZ95" s="19"/>
      <c r="EA95" s="19"/>
      <c r="EB95" s="19"/>
      <c r="EC95" s="19"/>
      <c r="ED95" s="19"/>
      <c r="EE95" s="19"/>
      <c r="EF95" s="19"/>
      <c r="EG95" s="19"/>
      <c r="EH95" s="19"/>
      <c r="EI95" s="19"/>
      <c r="EJ95" s="19"/>
      <c r="EK95" s="19"/>
      <c r="EL95" s="19"/>
      <c r="EM95" s="19"/>
      <c r="EN95" s="19"/>
      <c r="EO95" s="19"/>
      <c r="EP95" s="19"/>
      <c r="EQ95" s="19"/>
      <c r="ER95" s="19"/>
      <c r="ES95" s="19"/>
      <c r="ET95" s="19"/>
      <c r="EU95" s="19"/>
      <c r="EV95" s="19"/>
      <c r="EW95" s="19"/>
      <c r="EX95" s="19"/>
      <c r="EY95" s="19"/>
      <c r="EZ95" s="19"/>
      <c r="FA95" s="19"/>
      <c r="FB95" s="19"/>
      <c r="FC95" s="19"/>
      <c r="FD95" s="19"/>
      <c r="FE95" s="19"/>
      <c r="FF95" s="19"/>
      <c r="FG95" s="19"/>
      <c r="FH95" s="19"/>
      <c r="FI95" s="19"/>
      <c r="FJ95" s="19"/>
      <c r="FK95" s="19"/>
      <c r="FL95" s="20" t="s">
        <v>517</v>
      </c>
      <c r="FM95" s="20" t="s">
        <v>255</v>
      </c>
      <c r="FN95" s="19"/>
      <c r="FO95" s="19"/>
      <c r="FP95" s="19"/>
      <c r="FQ95" s="19"/>
      <c r="FR95" s="19"/>
      <c r="FS95" s="19"/>
      <c r="FT95" s="19"/>
      <c r="FU95" s="19"/>
      <c r="FV95" s="19"/>
      <c r="FW95" s="19"/>
      <c r="FX95" s="19"/>
      <c r="FY95" s="19"/>
      <c r="FZ95" s="19"/>
      <c r="GA95" s="19"/>
      <c r="GB95" s="19"/>
      <c r="GC95" s="19"/>
      <c r="GD95" s="19"/>
      <c r="GE95" s="19"/>
      <c r="GF95" s="19"/>
      <c r="GG95" s="19"/>
      <c r="GH95" s="19"/>
      <c r="GI95" s="19"/>
      <c r="GJ95" s="19"/>
      <c r="GK95" s="19"/>
      <c r="GL95" s="19"/>
      <c r="GM95" s="19"/>
      <c r="GN95" s="19"/>
      <c r="GO95" s="19"/>
      <c r="GP95" s="19"/>
      <c r="GQ95" s="19"/>
      <c r="GR95" s="19"/>
      <c r="GS95" s="19"/>
      <c r="GT95" s="19"/>
      <c r="GU95" s="19"/>
      <c r="GV95" s="19"/>
      <c r="GW95" s="19"/>
      <c r="GX95" s="19"/>
      <c r="GY95" s="19"/>
      <c r="GZ95" s="19"/>
      <c r="HA95" s="19"/>
    </row>
    <row r="96" spans="1:209" ht="23.25" customHeight="1" x14ac:dyDescent="0.15">
      <c r="A96" s="26">
        <v>44658.788155092596</v>
      </c>
      <c r="B96" s="27" t="s">
        <v>6</v>
      </c>
      <c r="C96" s="27" t="s">
        <v>11</v>
      </c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  <c r="AX96" s="27" t="s">
        <v>485</v>
      </c>
      <c r="AY96" s="27" t="s">
        <v>486</v>
      </c>
      <c r="AZ96" s="27" t="s">
        <v>518</v>
      </c>
      <c r="BA96" s="27" t="s">
        <v>343</v>
      </c>
      <c r="BB96" s="27" t="s">
        <v>519</v>
      </c>
      <c r="BC96" s="29">
        <v>43962</v>
      </c>
      <c r="BD96" s="29">
        <v>43993</v>
      </c>
      <c r="BE96" s="29">
        <v>43992</v>
      </c>
      <c r="BF96" s="27">
        <v>100</v>
      </c>
      <c r="BG96" s="27" t="s">
        <v>520</v>
      </c>
      <c r="BH96" s="30" t="s">
        <v>521</v>
      </c>
      <c r="BI96" s="28"/>
      <c r="BJ96" s="28"/>
      <c r="BK96" s="28"/>
      <c r="BL96" s="28"/>
      <c r="BM96" s="28"/>
      <c r="BN96" s="28"/>
      <c r="BO96" s="28"/>
      <c r="BP96" s="28"/>
      <c r="BQ96" s="28"/>
      <c r="BR96" s="28"/>
      <c r="BS96" s="28"/>
      <c r="BT96" s="28"/>
      <c r="BU96" s="28"/>
      <c r="BV96" s="28"/>
      <c r="BW96" s="28"/>
      <c r="BX96" s="28"/>
      <c r="BY96" s="19"/>
      <c r="BZ96" s="19"/>
      <c r="CA96" s="19"/>
      <c r="CB96" s="19"/>
      <c r="CC96" s="19"/>
      <c r="CD96" s="19"/>
      <c r="CE96" s="19"/>
      <c r="CF96" s="19"/>
      <c r="CG96" s="19"/>
      <c r="CH96" s="19"/>
      <c r="CI96" s="19"/>
      <c r="CJ96" s="19"/>
      <c r="CK96" s="19"/>
      <c r="CL96" s="19"/>
      <c r="CM96" s="19"/>
      <c r="CN96" s="19"/>
      <c r="CO96" s="19"/>
      <c r="CP96" s="19"/>
      <c r="CQ96" s="19"/>
      <c r="CR96" s="19"/>
      <c r="CS96" s="19"/>
      <c r="CT96" s="19"/>
      <c r="CU96" s="19"/>
      <c r="CV96" s="19"/>
      <c r="CW96" s="19"/>
      <c r="CX96" s="19"/>
      <c r="CY96" s="19"/>
      <c r="CZ96" s="19"/>
      <c r="DA96" s="19"/>
      <c r="DB96" s="19"/>
      <c r="DC96" s="19"/>
      <c r="DD96" s="19"/>
      <c r="DE96" s="19"/>
      <c r="DF96" s="19"/>
      <c r="DG96" s="19"/>
      <c r="DH96" s="19"/>
      <c r="DI96" s="19"/>
      <c r="DJ96" s="19"/>
      <c r="DK96" s="19"/>
      <c r="DL96" s="19"/>
      <c r="DM96" s="19"/>
      <c r="DN96" s="19"/>
      <c r="DO96" s="19"/>
      <c r="DP96" s="19"/>
      <c r="DQ96" s="19"/>
      <c r="DR96" s="19"/>
      <c r="DS96" s="19"/>
      <c r="DT96" s="19"/>
      <c r="DU96" s="19"/>
      <c r="DV96" s="19"/>
      <c r="DW96" s="19"/>
      <c r="DX96" s="19"/>
      <c r="DY96" s="19"/>
      <c r="DZ96" s="19"/>
      <c r="EA96" s="19"/>
      <c r="EB96" s="19"/>
      <c r="EC96" s="19"/>
      <c r="ED96" s="19"/>
      <c r="EE96" s="19"/>
      <c r="EF96" s="19"/>
      <c r="EG96" s="19"/>
      <c r="EH96" s="19"/>
      <c r="EI96" s="19"/>
      <c r="EJ96" s="19"/>
      <c r="EK96" s="19"/>
      <c r="EL96" s="19"/>
      <c r="EM96" s="19"/>
      <c r="EN96" s="19"/>
      <c r="EO96" s="19"/>
      <c r="EP96" s="19"/>
      <c r="EQ96" s="19"/>
      <c r="ER96" s="19"/>
      <c r="ES96" s="19"/>
      <c r="ET96" s="19"/>
      <c r="EU96" s="19"/>
      <c r="EV96" s="19"/>
      <c r="EW96" s="19"/>
      <c r="EX96" s="19"/>
      <c r="EY96" s="19"/>
      <c r="EZ96" s="19"/>
      <c r="FA96" s="19"/>
      <c r="FB96" s="19"/>
      <c r="FC96" s="19"/>
      <c r="FD96" s="19"/>
      <c r="FE96" s="19"/>
      <c r="FF96" s="19"/>
      <c r="FG96" s="19"/>
      <c r="FH96" s="19"/>
      <c r="FI96" s="19"/>
      <c r="FJ96" s="19"/>
      <c r="FK96" s="19"/>
      <c r="FL96" s="20" t="s">
        <v>488</v>
      </c>
      <c r="FM96" s="20" t="s">
        <v>321</v>
      </c>
      <c r="FN96" s="19"/>
      <c r="FO96" s="19"/>
      <c r="FP96" s="19"/>
      <c r="FQ96" s="19"/>
      <c r="FR96" s="19"/>
      <c r="FS96" s="19"/>
      <c r="FT96" s="19"/>
      <c r="FU96" s="19"/>
      <c r="FV96" s="19"/>
      <c r="FW96" s="19"/>
      <c r="FX96" s="19"/>
      <c r="FY96" s="19"/>
      <c r="FZ96" s="19"/>
      <c r="GA96" s="19"/>
      <c r="GB96" s="19"/>
      <c r="GC96" s="19"/>
      <c r="GD96" s="19"/>
      <c r="GE96" s="19"/>
      <c r="GF96" s="19"/>
      <c r="GG96" s="19"/>
      <c r="GH96" s="19"/>
      <c r="GI96" s="19"/>
      <c r="GJ96" s="19"/>
      <c r="GK96" s="19"/>
      <c r="GL96" s="19"/>
      <c r="GM96" s="19"/>
      <c r="GN96" s="19"/>
      <c r="GO96" s="19"/>
      <c r="GP96" s="19"/>
      <c r="GQ96" s="19"/>
      <c r="GR96" s="19"/>
      <c r="GS96" s="19"/>
      <c r="GT96" s="19"/>
      <c r="GU96" s="19"/>
      <c r="GV96" s="19"/>
      <c r="GW96" s="19"/>
      <c r="GX96" s="19"/>
      <c r="GY96" s="19"/>
      <c r="GZ96" s="19"/>
      <c r="HA96" s="19"/>
    </row>
    <row r="97" spans="1:209" ht="23.25" customHeight="1" x14ac:dyDescent="0.15">
      <c r="A97" s="26">
        <v>44658.789040578704</v>
      </c>
      <c r="B97" s="27" t="s">
        <v>6</v>
      </c>
      <c r="C97" s="27" t="s">
        <v>11</v>
      </c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7" t="s">
        <v>513</v>
      </c>
      <c r="AY97" s="27" t="s">
        <v>514</v>
      </c>
      <c r="AZ97" s="27" t="s">
        <v>345</v>
      </c>
      <c r="BA97" s="27" t="s">
        <v>375</v>
      </c>
      <c r="BB97" s="27" t="s">
        <v>308</v>
      </c>
      <c r="BC97" s="29">
        <v>44329</v>
      </c>
      <c r="BD97" s="29">
        <v>44386</v>
      </c>
      <c r="BE97" s="29">
        <v>44386</v>
      </c>
      <c r="BF97" s="27">
        <v>87</v>
      </c>
      <c r="BG97" s="27" t="s">
        <v>522</v>
      </c>
      <c r="BH97" s="30" t="s">
        <v>523</v>
      </c>
      <c r="BI97" s="28"/>
      <c r="BJ97" s="28"/>
      <c r="BK97" s="28"/>
      <c r="BL97" s="28"/>
      <c r="BM97" s="28"/>
      <c r="BN97" s="28"/>
      <c r="BO97" s="28"/>
      <c r="BP97" s="28"/>
      <c r="BQ97" s="28"/>
      <c r="BR97" s="28"/>
      <c r="BS97" s="28"/>
      <c r="BT97" s="28"/>
      <c r="BU97" s="28"/>
      <c r="BV97" s="28"/>
      <c r="BW97" s="28"/>
      <c r="BX97" s="28"/>
      <c r="BY97" s="19"/>
      <c r="BZ97" s="19"/>
      <c r="CA97" s="19"/>
      <c r="CB97" s="19"/>
      <c r="CC97" s="19"/>
      <c r="CD97" s="19"/>
      <c r="CE97" s="19"/>
      <c r="CF97" s="19"/>
      <c r="CG97" s="19"/>
      <c r="CH97" s="19"/>
      <c r="CI97" s="19"/>
      <c r="CJ97" s="19"/>
      <c r="CK97" s="19"/>
      <c r="CL97" s="19"/>
      <c r="CM97" s="19"/>
      <c r="CN97" s="19"/>
      <c r="CO97" s="19"/>
      <c r="CP97" s="19"/>
      <c r="CQ97" s="19"/>
      <c r="CR97" s="19"/>
      <c r="CS97" s="19"/>
      <c r="CT97" s="19"/>
      <c r="CU97" s="19"/>
      <c r="CV97" s="19"/>
      <c r="CW97" s="19"/>
      <c r="CX97" s="19"/>
      <c r="CY97" s="19"/>
      <c r="CZ97" s="19"/>
      <c r="DA97" s="19"/>
      <c r="DB97" s="19"/>
      <c r="DC97" s="19"/>
      <c r="DD97" s="19"/>
      <c r="DE97" s="19"/>
      <c r="DF97" s="19"/>
      <c r="DG97" s="19"/>
      <c r="DH97" s="19"/>
      <c r="DI97" s="19"/>
      <c r="DJ97" s="19"/>
      <c r="DK97" s="19"/>
      <c r="DL97" s="19"/>
      <c r="DM97" s="19"/>
      <c r="DN97" s="19"/>
      <c r="DO97" s="19"/>
      <c r="DP97" s="19"/>
      <c r="DQ97" s="19"/>
      <c r="DR97" s="19"/>
      <c r="DS97" s="19"/>
      <c r="DT97" s="19"/>
      <c r="DU97" s="19"/>
      <c r="DV97" s="19"/>
      <c r="DW97" s="19"/>
      <c r="DX97" s="19"/>
      <c r="DY97" s="19"/>
      <c r="DZ97" s="19"/>
      <c r="EA97" s="19"/>
      <c r="EB97" s="19"/>
      <c r="EC97" s="19"/>
      <c r="ED97" s="19"/>
      <c r="EE97" s="19"/>
      <c r="EF97" s="19"/>
      <c r="EG97" s="19"/>
      <c r="EH97" s="19"/>
      <c r="EI97" s="19"/>
      <c r="EJ97" s="19"/>
      <c r="EK97" s="19"/>
      <c r="EL97" s="19"/>
      <c r="EM97" s="19"/>
      <c r="EN97" s="19"/>
      <c r="EO97" s="19"/>
      <c r="EP97" s="19"/>
      <c r="EQ97" s="19"/>
      <c r="ER97" s="19"/>
      <c r="ES97" s="19"/>
      <c r="ET97" s="19"/>
      <c r="EU97" s="19"/>
      <c r="EV97" s="19"/>
      <c r="EW97" s="19"/>
      <c r="EX97" s="19"/>
      <c r="EY97" s="19"/>
      <c r="EZ97" s="19"/>
      <c r="FA97" s="19"/>
      <c r="FB97" s="19"/>
      <c r="FC97" s="19"/>
      <c r="FD97" s="19"/>
      <c r="FE97" s="19"/>
      <c r="FF97" s="19"/>
      <c r="FG97" s="19"/>
      <c r="FH97" s="19"/>
      <c r="FI97" s="19"/>
      <c r="FJ97" s="19"/>
      <c r="FK97" s="19"/>
      <c r="FL97" s="20" t="s">
        <v>517</v>
      </c>
      <c r="FM97" s="20" t="s">
        <v>255</v>
      </c>
      <c r="FN97" s="19"/>
      <c r="FO97" s="19"/>
      <c r="FP97" s="19"/>
      <c r="FQ97" s="19"/>
      <c r="FR97" s="19"/>
      <c r="FS97" s="19"/>
      <c r="FT97" s="19"/>
      <c r="FU97" s="19"/>
      <c r="FV97" s="19"/>
      <c r="FW97" s="19"/>
      <c r="FX97" s="19"/>
      <c r="FY97" s="19"/>
      <c r="FZ97" s="19"/>
      <c r="GA97" s="19"/>
      <c r="GB97" s="19"/>
      <c r="GC97" s="19"/>
      <c r="GD97" s="19"/>
      <c r="GE97" s="19"/>
      <c r="GF97" s="19"/>
      <c r="GG97" s="19"/>
      <c r="GH97" s="19"/>
      <c r="GI97" s="19"/>
      <c r="GJ97" s="19"/>
      <c r="GK97" s="19"/>
      <c r="GL97" s="19"/>
      <c r="GM97" s="19"/>
      <c r="GN97" s="19"/>
      <c r="GO97" s="19"/>
      <c r="GP97" s="19"/>
      <c r="GQ97" s="19"/>
      <c r="GR97" s="19"/>
      <c r="GS97" s="19"/>
      <c r="GT97" s="19"/>
      <c r="GU97" s="19"/>
      <c r="GV97" s="19"/>
      <c r="GW97" s="19"/>
      <c r="GX97" s="19"/>
      <c r="GY97" s="19"/>
      <c r="GZ97" s="19"/>
      <c r="HA97" s="19"/>
    </row>
    <row r="98" spans="1:209" ht="23.25" customHeight="1" x14ac:dyDescent="0.15">
      <c r="A98" s="26">
        <v>44658.789974710649</v>
      </c>
      <c r="B98" s="27" t="s">
        <v>6</v>
      </c>
      <c r="C98" s="27" t="s">
        <v>10</v>
      </c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7" t="s">
        <v>524</v>
      </c>
      <c r="AO98" s="27" t="s">
        <v>525</v>
      </c>
      <c r="AP98" s="27" t="s">
        <v>307</v>
      </c>
      <c r="AQ98" s="27" t="s">
        <v>308</v>
      </c>
      <c r="AR98" s="29">
        <v>44470</v>
      </c>
      <c r="AS98" s="29">
        <v>44537</v>
      </c>
      <c r="AT98" s="27" t="s">
        <v>252</v>
      </c>
      <c r="AU98" s="27" t="s">
        <v>252</v>
      </c>
      <c r="AV98" s="27">
        <v>0</v>
      </c>
      <c r="AW98" s="30" t="s">
        <v>526</v>
      </c>
      <c r="AX98" s="28"/>
      <c r="AY98" s="28"/>
      <c r="AZ98" s="28"/>
      <c r="BA98" s="28"/>
      <c r="BB98" s="28"/>
      <c r="BC98" s="28"/>
      <c r="BD98" s="28"/>
      <c r="BE98" s="28"/>
      <c r="BF98" s="28"/>
      <c r="BG98" s="28"/>
      <c r="BH98" s="28"/>
      <c r="BI98" s="28"/>
      <c r="BJ98" s="28"/>
      <c r="BK98" s="28"/>
      <c r="BL98" s="28"/>
      <c r="BM98" s="28"/>
      <c r="BN98" s="28"/>
      <c r="BO98" s="28"/>
      <c r="BP98" s="28"/>
      <c r="BQ98" s="28"/>
      <c r="BR98" s="28"/>
      <c r="BS98" s="28"/>
      <c r="BT98" s="28"/>
      <c r="BU98" s="28"/>
      <c r="BV98" s="28"/>
      <c r="BW98" s="28"/>
      <c r="BX98" s="28"/>
      <c r="BY98" s="19"/>
      <c r="BZ98" s="19"/>
      <c r="CA98" s="19"/>
      <c r="CB98" s="19"/>
      <c r="CC98" s="19"/>
      <c r="CD98" s="19"/>
      <c r="CE98" s="19"/>
      <c r="CF98" s="19"/>
      <c r="CG98" s="19"/>
      <c r="CH98" s="19"/>
      <c r="CI98" s="19"/>
      <c r="CJ98" s="19"/>
      <c r="CK98" s="19"/>
      <c r="CL98" s="19"/>
      <c r="CM98" s="19"/>
      <c r="CN98" s="19"/>
      <c r="CO98" s="19"/>
      <c r="CP98" s="19"/>
      <c r="CQ98" s="19"/>
      <c r="CR98" s="19"/>
      <c r="CS98" s="19"/>
      <c r="CT98" s="19"/>
      <c r="CU98" s="19"/>
      <c r="CV98" s="19"/>
      <c r="CW98" s="19"/>
      <c r="CX98" s="19"/>
      <c r="CY98" s="19"/>
      <c r="CZ98" s="19"/>
      <c r="DA98" s="19"/>
      <c r="DB98" s="19"/>
      <c r="DC98" s="19"/>
      <c r="DD98" s="19"/>
      <c r="DE98" s="19"/>
      <c r="DF98" s="19"/>
      <c r="DG98" s="19"/>
      <c r="DH98" s="19"/>
      <c r="DI98" s="19"/>
      <c r="DJ98" s="19"/>
      <c r="DK98" s="19"/>
      <c r="DL98" s="19"/>
      <c r="DM98" s="19"/>
      <c r="DN98" s="19"/>
      <c r="DO98" s="19"/>
      <c r="DP98" s="19"/>
      <c r="DQ98" s="19"/>
      <c r="DR98" s="19"/>
      <c r="DS98" s="19"/>
      <c r="DT98" s="19"/>
      <c r="DU98" s="19"/>
      <c r="DV98" s="19"/>
      <c r="DW98" s="19"/>
      <c r="DX98" s="19"/>
      <c r="DY98" s="19"/>
      <c r="DZ98" s="19"/>
      <c r="EA98" s="19"/>
      <c r="EB98" s="19"/>
      <c r="EC98" s="19"/>
      <c r="ED98" s="19"/>
      <c r="EE98" s="19"/>
      <c r="EF98" s="19"/>
      <c r="EG98" s="19"/>
      <c r="EH98" s="19"/>
      <c r="EI98" s="19"/>
      <c r="EJ98" s="19"/>
      <c r="EK98" s="19"/>
      <c r="EL98" s="19"/>
      <c r="EM98" s="19"/>
      <c r="EN98" s="19"/>
      <c r="EO98" s="19"/>
      <c r="EP98" s="19"/>
      <c r="EQ98" s="19"/>
      <c r="ER98" s="19"/>
      <c r="ES98" s="19"/>
      <c r="ET98" s="19"/>
      <c r="EU98" s="19"/>
      <c r="EV98" s="19"/>
      <c r="EW98" s="19"/>
      <c r="EX98" s="19"/>
      <c r="EY98" s="19"/>
      <c r="EZ98" s="19"/>
      <c r="FA98" s="19"/>
      <c r="FB98" s="19"/>
      <c r="FC98" s="19"/>
      <c r="FD98" s="19"/>
      <c r="FE98" s="19"/>
      <c r="FF98" s="19"/>
      <c r="FG98" s="19"/>
      <c r="FH98" s="19"/>
      <c r="FI98" s="19"/>
      <c r="FJ98" s="19"/>
      <c r="FK98" s="19"/>
      <c r="FL98" s="20" t="s">
        <v>527</v>
      </c>
      <c r="FM98" s="20" t="s">
        <v>273</v>
      </c>
      <c r="FN98" s="19"/>
      <c r="FO98" s="19"/>
      <c r="FP98" s="19"/>
      <c r="FQ98" s="19"/>
      <c r="FR98" s="19"/>
      <c r="FS98" s="19"/>
      <c r="FT98" s="19"/>
      <c r="FU98" s="19"/>
      <c r="FV98" s="19"/>
      <c r="FW98" s="19"/>
      <c r="FX98" s="19"/>
      <c r="FY98" s="19"/>
      <c r="FZ98" s="19"/>
      <c r="GA98" s="19"/>
      <c r="GB98" s="19"/>
      <c r="GC98" s="19"/>
      <c r="GD98" s="19"/>
      <c r="GE98" s="19"/>
      <c r="GF98" s="19"/>
      <c r="GG98" s="19"/>
      <c r="GH98" s="19"/>
      <c r="GI98" s="19"/>
      <c r="GJ98" s="19"/>
      <c r="GK98" s="19"/>
      <c r="GL98" s="19"/>
      <c r="GM98" s="19"/>
      <c r="GN98" s="19"/>
      <c r="GO98" s="19"/>
      <c r="GP98" s="19"/>
      <c r="GQ98" s="19"/>
      <c r="GR98" s="19"/>
      <c r="GS98" s="19"/>
      <c r="GT98" s="19"/>
      <c r="GU98" s="19"/>
      <c r="GV98" s="19"/>
      <c r="GW98" s="19"/>
      <c r="GX98" s="19"/>
      <c r="GY98" s="19"/>
      <c r="GZ98" s="19"/>
      <c r="HA98" s="19"/>
    </row>
    <row r="99" spans="1:209" ht="23.25" customHeight="1" x14ac:dyDescent="0.15">
      <c r="A99" s="26">
        <v>44658.790986018517</v>
      </c>
      <c r="B99" s="27" t="s">
        <v>6</v>
      </c>
      <c r="C99" s="27" t="s">
        <v>11</v>
      </c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  <c r="AX99" s="27" t="s">
        <v>485</v>
      </c>
      <c r="AY99" s="27" t="s">
        <v>486</v>
      </c>
      <c r="AZ99" s="27" t="s">
        <v>528</v>
      </c>
      <c r="BA99" s="27" t="s">
        <v>343</v>
      </c>
      <c r="BB99" s="27" t="s">
        <v>507</v>
      </c>
      <c r="BC99" s="29">
        <v>43911</v>
      </c>
      <c r="BD99" s="29">
        <v>43969</v>
      </c>
      <c r="BE99" s="29">
        <v>43966</v>
      </c>
      <c r="BF99" s="27">
        <v>100</v>
      </c>
      <c r="BG99" s="27" t="s">
        <v>520</v>
      </c>
      <c r="BH99" s="30" t="s">
        <v>529</v>
      </c>
      <c r="BI99" s="28"/>
      <c r="BJ99" s="28"/>
      <c r="BK99" s="28"/>
      <c r="BL99" s="28"/>
      <c r="BM99" s="28"/>
      <c r="BN99" s="28"/>
      <c r="BO99" s="28"/>
      <c r="BP99" s="28"/>
      <c r="BQ99" s="28"/>
      <c r="BR99" s="28"/>
      <c r="BS99" s="28"/>
      <c r="BT99" s="28"/>
      <c r="BU99" s="28"/>
      <c r="BV99" s="28"/>
      <c r="BW99" s="28"/>
      <c r="BX99" s="28"/>
      <c r="BY99" s="19"/>
      <c r="BZ99" s="19"/>
      <c r="CA99" s="19"/>
      <c r="CB99" s="19"/>
      <c r="CC99" s="19"/>
      <c r="CD99" s="19"/>
      <c r="CE99" s="19"/>
      <c r="CF99" s="19"/>
      <c r="CG99" s="19"/>
      <c r="CH99" s="19"/>
      <c r="CI99" s="19"/>
      <c r="CJ99" s="19"/>
      <c r="CK99" s="19"/>
      <c r="CL99" s="19"/>
      <c r="CM99" s="19"/>
      <c r="CN99" s="19"/>
      <c r="CO99" s="19"/>
      <c r="CP99" s="19"/>
      <c r="CQ99" s="19"/>
      <c r="CR99" s="19"/>
      <c r="CS99" s="19"/>
      <c r="CT99" s="19"/>
      <c r="CU99" s="19"/>
      <c r="CV99" s="19"/>
      <c r="CW99" s="19"/>
      <c r="CX99" s="19"/>
      <c r="CY99" s="19"/>
      <c r="CZ99" s="19"/>
      <c r="DA99" s="19"/>
      <c r="DB99" s="19"/>
      <c r="DC99" s="19"/>
      <c r="DD99" s="19"/>
      <c r="DE99" s="19"/>
      <c r="DF99" s="19"/>
      <c r="DG99" s="19"/>
      <c r="DH99" s="19"/>
      <c r="DI99" s="19"/>
      <c r="DJ99" s="19"/>
      <c r="DK99" s="19"/>
      <c r="DL99" s="19"/>
      <c r="DM99" s="19"/>
      <c r="DN99" s="19"/>
      <c r="DO99" s="19"/>
      <c r="DP99" s="19"/>
      <c r="DQ99" s="19"/>
      <c r="DR99" s="19"/>
      <c r="DS99" s="19"/>
      <c r="DT99" s="19"/>
      <c r="DU99" s="19"/>
      <c r="DV99" s="19"/>
      <c r="DW99" s="19"/>
      <c r="DX99" s="19"/>
      <c r="DY99" s="19"/>
      <c r="DZ99" s="19"/>
      <c r="EA99" s="19"/>
      <c r="EB99" s="19"/>
      <c r="EC99" s="19"/>
      <c r="ED99" s="19"/>
      <c r="EE99" s="19"/>
      <c r="EF99" s="19"/>
      <c r="EG99" s="19"/>
      <c r="EH99" s="19"/>
      <c r="EI99" s="19"/>
      <c r="EJ99" s="19"/>
      <c r="EK99" s="19"/>
      <c r="EL99" s="19"/>
      <c r="EM99" s="19"/>
      <c r="EN99" s="19"/>
      <c r="EO99" s="19"/>
      <c r="EP99" s="19"/>
      <c r="EQ99" s="19"/>
      <c r="ER99" s="19"/>
      <c r="ES99" s="19"/>
      <c r="ET99" s="19"/>
      <c r="EU99" s="19"/>
      <c r="EV99" s="19"/>
      <c r="EW99" s="19"/>
      <c r="EX99" s="19"/>
      <c r="EY99" s="19"/>
      <c r="EZ99" s="19"/>
      <c r="FA99" s="19"/>
      <c r="FB99" s="19"/>
      <c r="FC99" s="19"/>
      <c r="FD99" s="19"/>
      <c r="FE99" s="19"/>
      <c r="FF99" s="19"/>
      <c r="FG99" s="19"/>
      <c r="FH99" s="19"/>
      <c r="FI99" s="19"/>
      <c r="FJ99" s="19"/>
      <c r="FK99" s="19"/>
      <c r="FL99" s="20" t="s">
        <v>488</v>
      </c>
      <c r="FM99" s="20" t="s">
        <v>321</v>
      </c>
      <c r="FN99" s="19"/>
      <c r="FO99" s="19"/>
      <c r="FP99" s="19"/>
      <c r="FQ99" s="19"/>
      <c r="FR99" s="19"/>
      <c r="FS99" s="19"/>
      <c r="FT99" s="19"/>
      <c r="FU99" s="19"/>
      <c r="FV99" s="19"/>
      <c r="FW99" s="19"/>
      <c r="FX99" s="19"/>
      <c r="FY99" s="19"/>
      <c r="FZ99" s="19"/>
      <c r="GA99" s="19"/>
      <c r="GB99" s="19"/>
      <c r="GC99" s="19"/>
      <c r="GD99" s="19"/>
      <c r="GE99" s="19"/>
      <c r="GF99" s="19"/>
      <c r="GG99" s="19"/>
      <c r="GH99" s="19"/>
      <c r="GI99" s="19"/>
      <c r="GJ99" s="19"/>
      <c r="GK99" s="19"/>
      <c r="GL99" s="19"/>
      <c r="GM99" s="19"/>
      <c r="GN99" s="19"/>
      <c r="GO99" s="19"/>
      <c r="GP99" s="19"/>
      <c r="GQ99" s="19"/>
      <c r="GR99" s="19"/>
      <c r="GS99" s="19"/>
      <c r="GT99" s="19"/>
      <c r="GU99" s="19"/>
      <c r="GV99" s="19"/>
      <c r="GW99" s="19"/>
      <c r="GX99" s="19"/>
      <c r="GY99" s="19"/>
      <c r="GZ99" s="19"/>
      <c r="HA99" s="19"/>
    </row>
    <row r="100" spans="1:209" ht="23.25" customHeight="1" x14ac:dyDescent="0.15">
      <c r="A100" s="26">
        <v>44658.792063831017</v>
      </c>
      <c r="B100" s="27" t="s">
        <v>6</v>
      </c>
      <c r="C100" s="27" t="s">
        <v>11</v>
      </c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7" t="s">
        <v>513</v>
      </c>
      <c r="AY100" s="27" t="s">
        <v>514</v>
      </c>
      <c r="AZ100" s="27" t="s">
        <v>530</v>
      </c>
      <c r="BA100" s="27" t="s">
        <v>531</v>
      </c>
      <c r="BB100" s="27" t="s">
        <v>493</v>
      </c>
      <c r="BC100" s="29">
        <v>44208</v>
      </c>
      <c r="BD100" s="29">
        <v>44244</v>
      </c>
      <c r="BE100" s="29">
        <v>44244</v>
      </c>
      <c r="BF100" s="27">
        <v>100</v>
      </c>
      <c r="BG100" s="27" t="s">
        <v>395</v>
      </c>
      <c r="BH100" s="30" t="s">
        <v>532</v>
      </c>
      <c r="BI100" s="28"/>
      <c r="BJ100" s="28"/>
      <c r="BK100" s="28"/>
      <c r="BL100" s="28"/>
      <c r="BM100" s="28"/>
      <c r="BN100" s="28"/>
      <c r="BO100" s="28"/>
      <c r="BP100" s="28"/>
      <c r="BQ100" s="28"/>
      <c r="BR100" s="28"/>
      <c r="BS100" s="28"/>
      <c r="BT100" s="28"/>
      <c r="BU100" s="28"/>
      <c r="BV100" s="28"/>
      <c r="BW100" s="28"/>
      <c r="BX100" s="28"/>
      <c r="BY100" s="19"/>
      <c r="BZ100" s="19"/>
      <c r="CA100" s="19"/>
      <c r="CB100" s="19"/>
      <c r="CC100" s="19"/>
      <c r="CD100" s="19"/>
      <c r="CE100" s="19"/>
      <c r="CF100" s="19"/>
      <c r="CG100" s="19"/>
      <c r="CH100" s="19"/>
      <c r="CI100" s="19"/>
      <c r="CJ100" s="19"/>
      <c r="CK100" s="19"/>
      <c r="CL100" s="19"/>
      <c r="CM100" s="19"/>
      <c r="CN100" s="19"/>
      <c r="CO100" s="19"/>
      <c r="CP100" s="19"/>
      <c r="CQ100" s="19"/>
      <c r="CR100" s="19"/>
      <c r="CS100" s="19"/>
      <c r="CT100" s="19"/>
      <c r="CU100" s="19"/>
      <c r="CV100" s="19"/>
      <c r="CW100" s="19"/>
      <c r="CX100" s="19"/>
      <c r="CY100" s="19"/>
      <c r="CZ100" s="19"/>
      <c r="DA100" s="19"/>
      <c r="DB100" s="19"/>
      <c r="DC100" s="19"/>
      <c r="DD100" s="19"/>
      <c r="DE100" s="19"/>
      <c r="DF100" s="19"/>
      <c r="DG100" s="19"/>
      <c r="DH100" s="19"/>
      <c r="DI100" s="19"/>
      <c r="DJ100" s="19"/>
      <c r="DK100" s="19"/>
      <c r="DL100" s="19"/>
      <c r="DM100" s="19"/>
      <c r="DN100" s="19"/>
      <c r="DO100" s="19"/>
      <c r="DP100" s="19"/>
      <c r="DQ100" s="19"/>
      <c r="DR100" s="19"/>
      <c r="DS100" s="19"/>
      <c r="DT100" s="19"/>
      <c r="DU100" s="19"/>
      <c r="DV100" s="19"/>
      <c r="DW100" s="19"/>
      <c r="DX100" s="19"/>
      <c r="DY100" s="19"/>
      <c r="DZ100" s="19"/>
      <c r="EA100" s="19"/>
      <c r="EB100" s="19"/>
      <c r="EC100" s="19"/>
      <c r="ED100" s="19"/>
      <c r="EE100" s="19"/>
      <c r="EF100" s="19"/>
      <c r="EG100" s="19"/>
      <c r="EH100" s="19"/>
      <c r="EI100" s="19"/>
      <c r="EJ100" s="19"/>
      <c r="EK100" s="19"/>
      <c r="EL100" s="19"/>
      <c r="EM100" s="19"/>
      <c r="EN100" s="19"/>
      <c r="EO100" s="19"/>
      <c r="EP100" s="19"/>
      <c r="EQ100" s="19"/>
      <c r="ER100" s="19"/>
      <c r="ES100" s="19"/>
      <c r="ET100" s="19"/>
      <c r="EU100" s="19"/>
      <c r="EV100" s="19"/>
      <c r="EW100" s="19"/>
      <c r="EX100" s="19"/>
      <c r="EY100" s="19"/>
      <c r="EZ100" s="19"/>
      <c r="FA100" s="19"/>
      <c r="FB100" s="19"/>
      <c r="FC100" s="19"/>
      <c r="FD100" s="19"/>
      <c r="FE100" s="19"/>
      <c r="FF100" s="19"/>
      <c r="FG100" s="19"/>
      <c r="FH100" s="19"/>
      <c r="FI100" s="19"/>
      <c r="FJ100" s="19"/>
      <c r="FK100" s="19"/>
      <c r="FL100" s="20" t="s">
        <v>517</v>
      </c>
      <c r="FM100" s="20" t="s">
        <v>255</v>
      </c>
      <c r="FN100" s="19"/>
      <c r="FO100" s="19"/>
      <c r="FP100" s="19"/>
      <c r="FQ100" s="19"/>
      <c r="FR100" s="19"/>
      <c r="FS100" s="19"/>
      <c r="FT100" s="19"/>
      <c r="FU100" s="19"/>
      <c r="FV100" s="19"/>
      <c r="FW100" s="19"/>
      <c r="FX100" s="19"/>
      <c r="FY100" s="19"/>
      <c r="FZ100" s="19"/>
      <c r="GA100" s="19"/>
      <c r="GB100" s="19"/>
      <c r="GC100" s="19"/>
      <c r="GD100" s="19"/>
      <c r="GE100" s="19"/>
      <c r="GF100" s="19"/>
      <c r="GG100" s="19"/>
      <c r="GH100" s="19"/>
      <c r="GI100" s="19"/>
      <c r="GJ100" s="19"/>
      <c r="GK100" s="19"/>
      <c r="GL100" s="19"/>
      <c r="GM100" s="19"/>
      <c r="GN100" s="19"/>
      <c r="GO100" s="19"/>
      <c r="GP100" s="19"/>
      <c r="GQ100" s="19"/>
      <c r="GR100" s="19"/>
      <c r="GS100" s="19"/>
      <c r="GT100" s="19"/>
      <c r="GU100" s="19"/>
      <c r="GV100" s="19"/>
      <c r="GW100" s="19"/>
      <c r="GX100" s="19"/>
      <c r="GY100" s="19"/>
      <c r="GZ100" s="19"/>
      <c r="HA100" s="19"/>
    </row>
    <row r="101" spans="1:209" ht="23.25" customHeight="1" x14ac:dyDescent="0.15">
      <c r="A101" s="26">
        <v>44658.792461192133</v>
      </c>
      <c r="B101" s="27" t="s">
        <v>6</v>
      </c>
      <c r="C101" s="27" t="s">
        <v>11</v>
      </c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  <c r="AX101" s="27" t="s">
        <v>533</v>
      </c>
      <c r="AY101" s="27" t="s">
        <v>525</v>
      </c>
      <c r="AZ101" s="27" t="s">
        <v>528</v>
      </c>
      <c r="BA101" s="27" t="s">
        <v>343</v>
      </c>
      <c r="BB101" s="27" t="s">
        <v>308</v>
      </c>
      <c r="BC101" s="29">
        <v>43864</v>
      </c>
      <c r="BD101" s="29">
        <v>43921</v>
      </c>
      <c r="BE101" s="29">
        <v>43923</v>
      </c>
      <c r="BF101" s="27">
        <v>96</v>
      </c>
      <c r="BG101" s="27" t="s">
        <v>363</v>
      </c>
      <c r="BH101" s="30" t="s">
        <v>534</v>
      </c>
      <c r="BI101" s="28"/>
      <c r="BJ101" s="28"/>
      <c r="BK101" s="28"/>
      <c r="BL101" s="28"/>
      <c r="BM101" s="28"/>
      <c r="BN101" s="28"/>
      <c r="BO101" s="28"/>
      <c r="BP101" s="28"/>
      <c r="BQ101" s="28"/>
      <c r="BR101" s="28"/>
      <c r="BS101" s="28"/>
      <c r="BT101" s="28"/>
      <c r="BU101" s="28"/>
      <c r="BV101" s="28"/>
      <c r="BW101" s="28"/>
      <c r="BX101" s="28"/>
      <c r="BY101" s="19"/>
      <c r="BZ101" s="19"/>
      <c r="CA101" s="19"/>
      <c r="CB101" s="19"/>
      <c r="CC101" s="19"/>
      <c r="CD101" s="19"/>
      <c r="CE101" s="19"/>
      <c r="CF101" s="19"/>
      <c r="CG101" s="19"/>
      <c r="CH101" s="19"/>
      <c r="CI101" s="19"/>
      <c r="CJ101" s="19"/>
      <c r="CK101" s="19"/>
      <c r="CL101" s="19"/>
      <c r="CM101" s="19"/>
      <c r="CN101" s="19"/>
      <c r="CO101" s="19"/>
      <c r="CP101" s="19"/>
      <c r="CQ101" s="19"/>
      <c r="CR101" s="19"/>
      <c r="CS101" s="19"/>
      <c r="CT101" s="19"/>
      <c r="CU101" s="19"/>
      <c r="CV101" s="19"/>
      <c r="CW101" s="19"/>
      <c r="CX101" s="19"/>
      <c r="CY101" s="19"/>
      <c r="CZ101" s="19"/>
      <c r="DA101" s="19"/>
      <c r="DB101" s="19"/>
      <c r="DC101" s="19"/>
      <c r="DD101" s="19"/>
      <c r="DE101" s="19"/>
      <c r="DF101" s="19"/>
      <c r="DG101" s="19"/>
      <c r="DH101" s="19"/>
      <c r="DI101" s="19"/>
      <c r="DJ101" s="19"/>
      <c r="DK101" s="19"/>
      <c r="DL101" s="19"/>
      <c r="DM101" s="19"/>
      <c r="DN101" s="19"/>
      <c r="DO101" s="19"/>
      <c r="DP101" s="19"/>
      <c r="DQ101" s="19"/>
      <c r="DR101" s="19"/>
      <c r="DS101" s="19"/>
      <c r="DT101" s="19"/>
      <c r="DU101" s="19"/>
      <c r="DV101" s="19"/>
      <c r="DW101" s="19"/>
      <c r="DX101" s="19"/>
      <c r="DY101" s="19"/>
      <c r="DZ101" s="19"/>
      <c r="EA101" s="19"/>
      <c r="EB101" s="19"/>
      <c r="EC101" s="19"/>
      <c r="ED101" s="19"/>
      <c r="EE101" s="19"/>
      <c r="EF101" s="19"/>
      <c r="EG101" s="19"/>
      <c r="EH101" s="19"/>
      <c r="EI101" s="19"/>
      <c r="EJ101" s="19"/>
      <c r="EK101" s="19"/>
      <c r="EL101" s="19"/>
      <c r="EM101" s="19"/>
      <c r="EN101" s="19"/>
      <c r="EO101" s="19"/>
      <c r="EP101" s="19"/>
      <c r="EQ101" s="19"/>
      <c r="ER101" s="19"/>
      <c r="ES101" s="19"/>
      <c r="ET101" s="19"/>
      <c r="EU101" s="19"/>
      <c r="EV101" s="19"/>
      <c r="EW101" s="19"/>
      <c r="EX101" s="19"/>
      <c r="EY101" s="19"/>
      <c r="EZ101" s="19"/>
      <c r="FA101" s="19"/>
      <c r="FB101" s="19"/>
      <c r="FC101" s="19"/>
      <c r="FD101" s="19"/>
      <c r="FE101" s="19"/>
      <c r="FF101" s="19"/>
      <c r="FG101" s="19"/>
      <c r="FH101" s="19"/>
      <c r="FI101" s="19"/>
      <c r="FJ101" s="19"/>
      <c r="FK101" s="19"/>
      <c r="FL101" s="20" t="s">
        <v>527</v>
      </c>
      <c r="FM101" s="20" t="s">
        <v>321</v>
      </c>
      <c r="FN101" s="19"/>
      <c r="FO101" s="19"/>
      <c r="FP101" s="19"/>
      <c r="FQ101" s="19"/>
      <c r="FR101" s="19"/>
      <c r="FS101" s="19"/>
      <c r="FT101" s="19"/>
      <c r="FU101" s="19"/>
      <c r="FV101" s="19"/>
      <c r="FW101" s="19"/>
      <c r="FX101" s="19"/>
      <c r="FY101" s="19"/>
      <c r="FZ101" s="19"/>
      <c r="GA101" s="19"/>
      <c r="GB101" s="19"/>
      <c r="GC101" s="19"/>
      <c r="GD101" s="19"/>
      <c r="GE101" s="19"/>
      <c r="GF101" s="19"/>
      <c r="GG101" s="19"/>
      <c r="GH101" s="19"/>
      <c r="GI101" s="19"/>
      <c r="GJ101" s="19"/>
      <c r="GK101" s="19"/>
      <c r="GL101" s="19"/>
      <c r="GM101" s="19"/>
      <c r="GN101" s="19"/>
      <c r="GO101" s="19"/>
      <c r="GP101" s="19"/>
      <c r="GQ101" s="19"/>
      <c r="GR101" s="19"/>
      <c r="GS101" s="19"/>
      <c r="GT101" s="19"/>
      <c r="GU101" s="19"/>
      <c r="GV101" s="19"/>
      <c r="GW101" s="19"/>
      <c r="GX101" s="19"/>
      <c r="GY101" s="19"/>
      <c r="GZ101" s="19"/>
      <c r="HA101" s="19"/>
    </row>
    <row r="102" spans="1:209" ht="23.25" customHeight="1" x14ac:dyDescent="0.15">
      <c r="A102" s="26">
        <v>44658.793433333332</v>
      </c>
      <c r="B102" s="27" t="s">
        <v>6</v>
      </c>
      <c r="C102" s="27" t="s">
        <v>11</v>
      </c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  <c r="AX102" s="27" t="s">
        <v>485</v>
      </c>
      <c r="AY102" s="27" t="s">
        <v>486</v>
      </c>
      <c r="AZ102" s="27" t="s">
        <v>535</v>
      </c>
      <c r="BA102" s="27" t="s">
        <v>343</v>
      </c>
      <c r="BB102" s="27" t="s">
        <v>507</v>
      </c>
      <c r="BC102" s="29">
        <v>44018</v>
      </c>
      <c r="BD102" s="29">
        <v>44081</v>
      </c>
      <c r="BE102" s="29">
        <v>44080</v>
      </c>
      <c r="BF102" s="27">
        <v>100</v>
      </c>
      <c r="BG102" s="27" t="s">
        <v>520</v>
      </c>
      <c r="BH102" s="30" t="s">
        <v>536</v>
      </c>
      <c r="BI102" s="28"/>
      <c r="BJ102" s="28"/>
      <c r="BK102" s="28"/>
      <c r="BL102" s="28"/>
      <c r="BM102" s="28"/>
      <c r="BN102" s="28"/>
      <c r="BO102" s="28"/>
      <c r="BP102" s="28"/>
      <c r="BQ102" s="28"/>
      <c r="BR102" s="28"/>
      <c r="BS102" s="28"/>
      <c r="BT102" s="28"/>
      <c r="BU102" s="28"/>
      <c r="BV102" s="28"/>
      <c r="BW102" s="28"/>
      <c r="BX102" s="28"/>
      <c r="BY102" s="19"/>
      <c r="BZ102" s="19"/>
      <c r="CA102" s="19"/>
      <c r="CB102" s="19"/>
      <c r="CC102" s="19"/>
      <c r="CD102" s="19"/>
      <c r="CE102" s="19"/>
      <c r="CF102" s="19"/>
      <c r="CG102" s="19"/>
      <c r="CH102" s="19"/>
      <c r="CI102" s="19"/>
      <c r="CJ102" s="19"/>
      <c r="CK102" s="19"/>
      <c r="CL102" s="19"/>
      <c r="CM102" s="19"/>
      <c r="CN102" s="19"/>
      <c r="CO102" s="19"/>
      <c r="CP102" s="19"/>
      <c r="CQ102" s="19"/>
      <c r="CR102" s="19"/>
      <c r="CS102" s="19"/>
      <c r="CT102" s="19"/>
      <c r="CU102" s="19"/>
      <c r="CV102" s="19"/>
      <c r="CW102" s="19"/>
      <c r="CX102" s="19"/>
      <c r="CY102" s="19"/>
      <c r="CZ102" s="19"/>
      <c r="DA102" s="19"/>
      <c r="DB102" s="19"/>
      <c r="DC102" s="19"/>
      <c r="DD102" s="19"/>
      <c r="DE102" s="19"/>
      <c r="DF102" s="19"/>
      <c r="DG102" s="19"/>
      <c r="DH102" s="19"/>
      <c r="DI102" s="19"/>
      <c r="DJ102" s="19"/>
      <c r="DK102" s="19"/>
      <c r="DL102" s="19"/>
      <c r="DM102" s="19"/>
      <c r="DN102" s="19"/>
      <c r="DO102" s="19"/>
      <c r="DP102" s="19"/>
      <c r="DQ102" s="19"/>
      <c r="DR102" s="19"/>
      <c r="DS102" s="19"/>
      <c r="DT102" s="19"/>
      <c r="DU102" s="19"/>
      <c r="DV102" s="19"/>
      <c r="DW102" s="19"/>
      <c r="DX102" s="19"/>
      <c r="DY102" s="19"/>
      <c r="DZ102" s="19"/>
      <c r="EA102" s="19"/>
      <c r="EB102" s="19"/>
      <c r="EC102" s="19"/>
      <c r="ED102" s="19"/>
      <c r="EE102" s="19"/>
      <c r="EF102" s="19"/>
      <c r="EG102" s="19"/>
      <c r="EH102" s="19"/>
      <c r="EI102" s="19"/>
      <c r="EJ102" s="19"/>
      <c r="EK102" s="19"/>
      <c r="EL102" s="19"/>
      <c r="EM102" s="19"/>
      <c r="EN102" s="19"/>
      <c r="EO102" s="19"/>
      <c r="EP102" s="19"/>
      <c r="EQ102" s="19"/>
      <c r="ER102" s="19"/>
      <c r="ES102" s="19"/>
      <c r="ET102" s="19"/>
      <c r="EU102" s="19"/>
      <c r="EV102" s="19"/>
      <c r="EW102" s="19"/>
      <c r="EX102" s="19"/>
      <c r="EY102" s="19"/>
      <c r="EZ102" s="19"/>
      <c r="FA102" s="19"/>
      <c r="FB102" s="19"/>
      <c r="FC102" s="19"/>
      <c r="FD102" s="19"/>
      <c r="FE102" s="19"/>
      <c r="FF102" s="19"/>
      <c r="FG102" s="19"/>
      <c r="FH102" s="19"/>
      <c r="FI102" s="19"/>
      <c r="FJ102" s="19"/>
      <c r="FK102" s="19"/>
      <c r="FL102" s="20" t="s">
        <v>488</v>
      </c>
      <c r="FM102" s="20" t="s">
        <v>339</v>
      </c>
      <c r="FN102" s="19"/>
      <c r="FO102" s="19"/>
      <c r="FP102" s="19"/>
      <c r="FQ102" s="19"/>
      <c r="FR102" s="19"/>
      <c r="FS102" s="19"/>
      <c r="FT102" s="19"/>
      <c r="FU102" s="19"/>
      <c r="FV102" s="19"/>
      <c r="FW102" s="19"/>
      <c r="FX102" s="19"/>
      <c r="FY102" s="19"/>
      <c r="FZ102" s="19"/>
      <c r="GA102" s="19"/>
      <c r="GB102" s="19"/>
      <c r="GC102" s="19"/>
      <c r="GD102" s="19"/>
      <c r="GE102" s="19"/>
      <c r="GF102" s="19"/>
      <c r="GG102" s="19"/>
      <c r="GH102" s="19"/>
      <c r="GI102" s="19"/>
      <c r="GJ102" s="19"/>
      <c r="GK102" s="19"/>
      <c r="GL102" s="19"/>
      <c r="GM102" s="19"/>
      <c r="GN102" s="19"/>
      <c r="GO102" s="19"/>
      <c r="GP102" s="19"/>
      <c r="GQ102" s="19"/>
      <c r="GR102" s="19"/>
      <c r="GS102" s="19"/>
      <c r="GT102" s="19"/>
      <c r="GU102" s="19"/>
      <c r="GV102" s="19"/>
      <c r="GW102" s="19"/>
      <c r="GX102" s="19"/>
      <c r="GY102" s="19"/>
      <c r="GZ102" s="19"/>
      <c r="HA102" s="19"/>
    </row>
    <row r="103" spans="1:209" ht="23.25" customHeight="1" x14ac:dyDescent="0.15">
      <c r="A103" s="26">
        <v>44658.794523761579</v>
      </c>
      <c r="B103" s="27" t="s">
        <v>6</v>
      </c>
      <c r="C103" s="27" t="s">
        <v>11</v>
      </c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7" t="s">
        <v>533</v>
      </c>
      <c r="AY103" s="27" t="s">
        <v>525</v>
      </c>
      <c r="AZ103" s="27" t="s">
        <v>367</v>
      </c>
      <c r="BA103" s="27" t="s">
        <v>343</v>
      </c>
      <c r="BB103" s="27" t="s">
        <v>308</v>
      </c>
      <c r="BC103" s="29">
        <v>43891</v>
      </c>
      <c r="BD103" s="29">
        <v>43941</v>
      </c>
      <c r="BE103" s="29">
        <v>43945</v>
      </c>
      <c r="BF103" s="27">
        <v>90</v>
      </c>
      <c r="BG103" s="27" t="s">
        <v>363</v>
      </c>
      <c r="BH103" s="30" t="s">
        <v>537</v>
      </c>
      <c r="BI103" s="28"/>
      <c r="BJ103" s="28"/>
      <c r="BK103" s="28"/>
      <c r="BL103" s="28"/>
      <c r="BM103" s="28"/>
      <c r="BN103" s="28"/>
      <c r="BO103" s="28"/>
      <c r="BP103" s="28"/>
      <c r="BQ103" s="28"/>
      <c r="BR103" s="28"/>
      <c r="BS103" s="28"/>
      <c r="BT103" s="28"/>
      <c r="BU103" s="28"/>
      <c r="BV103" s="28"/>
      <c r="BW103" s="28"/>
      <c r="BX103" s="28"/>
      <c r="BY103" s="19"/>
      <c r="BZ103" s="19"/>
      <c r="CA103" s="19"/>
      <c r="CB103" s="19"/>
      <c r="CC103" s="19"/>
      <c r="CD103" s="19"/>
      <c r="CE103" s="19"/>
      <c r="CF103" s="19"/>
      <c r="CG103" s="19"/>
      <c r="CH103" s="19"/>
      <c r="CI103" s="19"/>
      <c r="CJ103" s="19"/>
      <c r="CK103" s="19"/>
      <c r="CL103" s="19"/>
      <c r="CM103" s="19"/>
      <c r="CN103" s="19"/>
      <c r="CO103" s="19"/>
      <c r="CP103" s="19"/>
      <c r="CQ103" s="19"/>
      <c r="CR103" s="19"/>
      <c r="CS103" s="19"/>
      <c r="CT103" s="19"/>
      <c r="CU103" s="19"/>
      <c r="CV103" s="19"/>
      <c r="CW103" s="19"/>
      <c r="CX103" s="19"/>
      <c r="CY103" s="19"/>
      <c r="CZ103" s="19"/>
      <c r="DA103" s="19"/>
      <c r="DB103" s="19"/>
      <c r="DC103" s="19"/>
      <c r="DD103" s="19"/>
      <c r="DE103" s="19"/>
      <c r="DF103" s="19"/>
      <c r="DG103" s="19"/>
      <c r="DH103" s="19"/>
      <c r="DI103" s="19"/>
      <c r="DJ103" s="19"/>
      <c r="DK103" s="19"/>
      <c r="DL103" s="19"/>
      <c r="DM103" s="19"/>
      <c r="DN103" s="19"/>
      <c r="DO103" s="19"/>
      <c r="DP103" s="19"/>
      <c r="DQ103" s="19"/>
      <c r="DR103" s="19"/>
      <c r="DS103" s="19"/>
      <c r="DT103" s="19"/>
      <c r="DU103" s="19"/>
      <c r="DV103" s="19"/>
      <c r="DW103" s="19"/>
      <c r="DX103" s="19"/>
      <c r="DY103" s="19"/>
      <c r="DZ103" s="19"/>
      <c r="EA103" s="19"/>
      <c r="EB103" s="19"/>
      <c r="EC103" s="19"/>
      <c r="ED103" s="19"/>
      <c r="EE103" s="19"/>
      <c r="EF103" s="19"/>
      <c r="EG103" s="19"/>
      <c r="EH103" s="19"/>
      <c r="EI103" s="19"/>
      <c r="EJ103" s="19"/>
      <c r="EK103" s="19"/>
      <c r="EL103" s="19"/>
      <c r="EM103" s="19"/>
      <c r="EN103" s="19"/>
      <c r="EO103" s="19"/>
      <c r="EP103" s="19"/>
      <c r="EQ103" s="19"/>
      <c r="ER103" s="19"/>
      <c r="ES103" s="19"/>
      <c r="ET103" s="19"/>
      <c r="EU103" s="19"/>
      <c r="EV103" s="19"/>
      <c r="EW103" s="19"/>
      <c r="EX103" s="19"/>
      <c r="EY103" s="19"/>
      <c r="EZ103" s="19"/>
      <c r="FA103" s="19"/>
      <c r="FB103" s="19"/>
      <c r="FC103" s="19"/>
      <c r="FD103" s="19"/>
      <c r="FE103" s="19"/>
      <c r="FF103" s="19"/>
      <c r="FG103" s="19"/>
      <c r="FH103" s="19"/>
      <c r="FI103" s="19"/>
      <c r="FJ103" s="19"/>
      <c r="FK103" s="19"/>
      <c r="FL103" s="20" t="s">
        <v>527</v>
      </c>
      <c r="FM103" s="20" t="s">
        <v>321</v>
      </c>
      <c r="FN103" s="19"/>
      <c r="FO103" s="19"/>
      <c r="FP103" s="19"/>
      <c r="FQ103" s="19"/>
      <c r="FR103" s="19"/>
      <c r="FS103" s="19"/>
      <c r="FT103" s="19"/>
      <c r="FU103" s="19"/>
      <c r="FV103" s="19"/>
      <c r="FW103" s="19"/>
      <c r="FX103" s="19"/>
      <c r="FY103" s="19"/>
      <c r="FZ103" s="19"/>
      <c r="GA103" s="19"/>
      <c r="GB103" s="19"/>
      <c r="GC103" s="19"/>
      <c r="GD103" s="19"/>
      <c r="GE103" s="19"/>
      <c r="GF103" s="19"/>
      <c r="GG103" s="19"/>
      <c r="GH103" s="19"/>
      <c r="GI103" s="19"/>
      <c r="GJ103" s="19"/>
      <c r="GK103" s="19"/>
      <c r="GL103" s="19"/>
      <c r="GM103" s="19"/>
      <c r="GN103" s="19"/>
      <c r="GO103" s="19"/>
      <c r="GP103" s="19"/>
      <c r="GQ103" s="19"/>
      <c r="GR103" s="19"/>
      <c r="GS103" s="19"/>
      <c r="GT103" s="19"/>
      <c r="GU103" s="19"/>
      <c r="GV103" s="19"/>
      <c r="GW103" s="19"/>
      <c r="GX103" s="19"/>
      <c r="GY103" s="19"/>
      <c r="GZ103" s="19"/>
      <c r="HA103" s="19"/>
    </row>
    <row r="104" spans="1:209" ht="23.25" customHeight="1" x14ac:dyDescent="0.15">
      <c r="A104" s="26">
        <v>44658.795490150464</v>
      </c>
      <c r="B104" s="27" t="s">
        <v>6</v>
      </c>
      <c r="C104" s="27" t="s">
        <v>11</v>
      </c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  <c r="AX104" s="27" t="s">
        <v>513</v>
      </c>
      <c r="AY104" s="27" t="s">
        <v>514</v>
      </c>
      <c r="AZ104" s="27" t="s">
        <v>538</v>
      </c>
      <c r="BA104" s="27" t="s">
        <v>343</v>
      </c>
      <c r="BB104" s="27" t="s">
        <v>493</v>
      </c>
      <c r="BC104" s="29">
        <v>43864</v>
      </c>
      <c r="BD104" s="29">
        <v>43895</v>
      </c>
      <c r="BE104" s="29">
        <v>43895</v>
      </c>
      <c r="BF104" s="27">
        <v>87</v>
      </c>
      <c r="BG104" s="27" t="s">
        <v>395</v>
      </c>
      <c r="BH104" s="30" t="s">
        <v>539</v>
      </c>
      <c r="BI104" s="28"/>
      <c r="BJ104" s="28"/>
      <c r="BK104" s="28"/>
      <c r="BL104" s="28"/>
      <c r="BM104" s="28"/>
      <c r="BN104" s="28"/>
      <c r="BO104" s="28"/>
      <c r="BP104" s="28"/>
      <c r="BQ104" s="28"/>
      <c r="BR104" s="28"/>
      <c r="BS104" s="28"/>
      <c r="BT104" s="28"/>
      <c r="BU104" s="28"/>
      <c r="BV104" s="28"/>
      <c r="BW104" s="28"/>
      <c r="BX104" s="28"/>
      <c r="BY104" s="19"/>
      <c r="BZ104" s="19"/>
      <c r="CA104" s="19"/>
      <c r="CB104" s="19"/>
      <c r="CC104" s="19"/>
      <c r="CD104" s="19"/>
      <c r="CE104" s="19"/>
      <c r="CF104" s="19"/>
      <c r="CG104" s="19"/>
      <c r="CH104" s="19"/>
      <c r="CI104" s="19"/>
      <c r="CJ104" s="19"/>
      <c r="CK104" s="19"/>
      <c r="CL104" s="19"/>
      <c r="CM104" s="19"/>
      <c r="CN104" s="19"/>
      <c r="CO104" s="19"/>
      <c r="CP104" s="19"/>
      <c r="CQ104" s="19"/>
      <c r="CR104" s="19"/>
      <c r="CS104" s="19"/>
      <c r="CT104" s="19"/>
      <c r="CU104" s="19"/>
      <c r="CV104" s="19"/>
      <c r="CW104" s="19"/>
      <c r="CX104" s="19"/>
      <c r="CY104" s="19"/>
      <c r="CZ104" s="19"/>
      <c r="DA104" s="19"/>
      <c r="DB104" s="19"/>
      <c r="DC104" s="19"/>
      <c r="DD104" s="19"/>
      <c r="DE104" s="19"/>
      <c r="DF104" s="19"/>
      <c r="DG104" s="19"/>
      <c r="DH104" s="19"/>
      <c r="DI104" s="19"/>
      <c r="DJ104" s="19"/>
      <c r="DK104" s="19"/>
      <c r="DL104" s="19"/>
      <c r="DM104" s="19"/>
      <c r="DN104" s="19"/>
      <c r="DO104" s="19"/>
      <c r="DP104" s="19"/>
      <c r="DQ104" s="19"/>
      <c r="DR104" s="19"/>
      <c r="DS104" s="19"/>
      <c r="DT104" s="19"/>
      <c r="DU104" s="19"/>
      <c r="DV104" s="19"/>
      <c r="DW104" s="19"/>
      <c r="DX104" s="19"/>
      <c r="DY104" s="19"/>
      <c r="DZ104" s="19"/>
      <c r="EA104" s="19"/>
      <c r="EB104" s="19"/>
      <c r="EC104" s="19"/>
      <c r="ED104" s="19"/>
      <c r="EE104" s="19"/>
      <c r="EF104" s="19"/>
      <c r="EG104" s="19"/>
      <c r="EH104" s="19"/>
      <c r="EI104" s="19"/>
      <c r="EJ104" s="19"/>
      <c r="EK104" s="19"/>
      <c r="EL104" s="19"/>
      <c r="EM104" s="19"/>
      <c r="EN104" s="19"/>
      <c r="EO104" s="19"/>
      <c r="EP104" s="19"/>
      <c r="EQ104" s="19"/>
      <c r="ER104" s="19"/>
      <c r="ES104" s="19"/>
      <c r="ET104" s="19"/>
      <c r="EU104" s="19"/>
      <c r="EV104" s="19"/>
      <c r="EW104" s="19"/>
      <c r="EX104" s="19"/>
      <c r="EY104" s="19"/>
      <c r="EZ104" s="19"/>
      <c r="FA104" s="19"/>
      <c r="FB104" s="19"/>
      <c r="FC104" s="19"/>
      <c r="FD104" s="19"/>
      <c r="FE104" s="19"/>
      <c r="FF104" s="19"/>
      <c r="FG104" s="19"/>
      <c r="FH104" s="19"/>
      <c r="FI104" s="19"/>
      <c r="FJ104" s="19"/>
      <c r="FK104" s="19"/>
      <c r="FL104" s="20" t="s">
        <v>517</v>
      </c>
      <c r="FM104" s="20" t="s">
        <v>255</v>
      </c>
      <c r="FN104" s="19"/>
      <c r="FO104" s="19"/>
      <c r="FP104" s="19"/>
      <c r="FQ104" s="19"/>
      <c r="FR104" s="19"/>
      <c r="FS104" s="19"/>
      <c r="FT104" s="19"/>
      <c r="FU104" s="19"/>
      <c r="FV104" s="19"/>
      <c r="FW104" s="19"/>
      <c r="FX104" s="19"/>
      <c r="FY104" s="19"/>
      <c r="FZ104" s="19"/>
      <c r="GA104" s="19"/>
      <c r="GB104" s="19"/>
      <c r="GC104" s="19"/>
      <c r="GD104" s="19"/>
      <c r="GE104" s="19"/>
      <c r="GF104" s="19"/>
      <c r="GG104" s="19"/>
      <c r="GH104" s="19"/>
      <c r="GI104" s="19"/>
      <c r="GJ104" s="19"/>
      <c r="GK104" s="19"/>
      <c r="GL104" s="19"/>
      <c r="GM104" s="19"/>
      <c r="GN104" s="19"/>
      <c r="GO104" s="19"/>
      <c r="GP104" s="19"/>
      <c r="GQ104" s="19"/>
      <c r="GR104" s="19"/>
      <c r="GS104" s="19"/>
      <c r="GT104" s="19"/>
      <c r="GU104" s="19"/>
      <c r="GV104" s="19"/>
      <c r="GW104" s="19"/>
      <c r="GX104" s="19"/>
      <c r="GY104" s="19"/>
      <c r="GZ104" s="19"/>
      <c r="HA104" s="19"/>
    </row>
    <row r="105" spans="1:209" ht="23.25" customHeight="1" x14ac:dyDescent="0.15">
      <c r="A105" s="26">
        <v>44658.797149502316</v>
      </c>
      <c r="B105" s="27" t="s">
        <v>6</v>
      </c>
      <c r="C105" s="27" t="s">
        <v>11</v>
      </c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  <c r="AX105" s="27" t="s">
        <v>513</v>
      </c>
      <c r="AY105" s="27" t="s">
        <v>514</v>
      </c>
      <c r="AZ105" s="27" t="s">
        <v>540</v>
      </c>
      <c r="BA105" s="27" t="s">
        <v>343</v>
      </c>
      <c r="BB105" s="27" t="s">
        <v>308</v>
      </c>
      <c r="BC105" s="29">
        <v>43908</v>
      </c>
      <c r="BD105" s="29">
        <v>43967</v>
      </c>
      <c r="BE105" s="29">
        <v>43967</v>
      </c>
      <c r="BF105" s="27">
        <v>82</v>
      </c>
      <c r="BG105" s="27" t="s">
        <v>541</v>
      </c>
      <c r="BH105" s="30" t="s">
        <v>542</v>
      </c>
      <c r="BI105" s="28"/>
      <c r="BJ105" s="28"/>
      <c r="BK105" s="28"/>
      <c r="BL105" s="28"/>
      <c r="BM105" s="28"/>
      <c r="BN105" s="28"/>
      <c r="BO105" s="28"/>
      <c r="BP105" s="28"/>
      <c r="BQ105" s="28"/>
      <c r="BR105" s="28"/>
      <c r="BS105" s="28"/>
      <c r="BT105" s="28"/>
      <c r="BU105" s="28"/>
      <c r="BV105" s="28"/>
      <c r="BW105" s="28"/>
      <c r="BX105" s="28"/>
      <c r="BY105" s="19"/>
      <c r="BZ105" s="19"/>
      <c r="CA105" s="19"/>
      <c r="CB105" s="19"/>
      <c r="CC105" s="19"/>
      <c r="CD105" s="19"/>
      <c r="CE105" s="19"/>
      <c r="CF105" s="19"/>
      <c r="CG105" s="19"/>
      <c r="CH105" s="19"/>
      <c r="CI105" s="19"/>
      <c r="CJ105" s="19"/>
      <c r="CK105" s="19"/>
      <c r="CL105" s="19"/>
      <c r="CM105" s="19"/>
      <c r="CN105" s="19"/>
      <c r="CO105" s="19"/>
      <c r="CP105" s="19"/>
      <c r="CQ105" s="19"/>
      <c r="CR105" s="19"/>
      <c r="CS105" s="19"/>
      <c r="CT105" s="19"/>
      <c r="CU105" s="19"/>
      <c r="CV105" s="19"/>
      <c r="CW105" s="19"/>
      <c r="CX105" s="19"/>
      <c r="CY105" s="19"/>
      <c r="CZ105" s="19"/>
      <c r="DA105" s="19"/>
      <c r="DB105" s="19"/>
      <c r="DC105" s="19"/>
      <c r="DD105" s="19"/>
      <c r="DE105" s="19"/>
      <c r="DF105" s="19"/>
      <c r="DG105" s="19"/>
      <c r="DH105" s="19"/>
      <c r="DI105" s="19"/>
      <c r="DJ105" s="19"/>
      <c r="DK105" s="19"/>
      <c r="DL105" s="19"/>
      <c r="DM105" s="19"/>
      <c r="DN105" s="19"/>
      <c r="DO105" s="19"/>
      <c r="DP105" s="19"/>
      <c r="DQ105" s="19"/>
      <c r="DR105" s="19"/>
      <c r="DS105" s="19"/>
      <c r="DT105" s="19"/>
      <c r="DU105" s="19"/>
      <c r="DV105" s="19"/>
      <c r="DW105" s="19"/>
      <c r="DX105" s="19"/>
      <c r="DY105" s="19"/>
      <c r="DZ105" s="19"/>
      <c r="EA105" s="19"/>
      <c r="EB105" s="19"/>
      <c r="EC105" s="19"/>
      <c r="ED105" s="19"/>
      <c r="EE105" s="19"/>
      <c r="EF105" s="19"/>
      <c r="EG105" s="19"/>
      <c r="EH105" s="19"/>
      <c r="EI105" s="19"/>
      <c r="EJ105" s="19"/>
      <c r="EK105" s="19"/>
      <c r="EL105" s="19"/>
      <c r="EM105" s="19"/>
      <c r="EN105" s="19"/>
      <c r="EO105" s="19"/>
      <c r="EP105" s="19"/>
      <c r="EQ105" s="19"/>
      <c r="ER105" s="19"/>
      <c r="ES105" s="19"/>
      <c r="ET105" s="19"/>
      <c r="EU105" s="19"/>
      <c r="EV105" s="19"/>
      <c r="EW105" s="19"/>
      <c r="EX105" s="19"/>
      <c r="EY105" s="19"/>
      <c r="EZ105" s="19"/>
      <c r="FA105" s="19"/>
      <c r="FB105" s="19"/>
      <c r="FC105" s="19"/>
      <c r="FD105" s="19"/>
      <c r="FE105" s="19"/>
      <c r="FF105" s="19"/>
      <c r="FG105" s="19"/>
      <c r="FH105" s="19"/>
      <c r="FI105" s="19"/>
      <c r="FJ105" s="19"/>
      <c r="FK105" s="19"/>
      <c r="FL105" s="20" t="s">
        <v>517</v>
      </c>
      <c r="FM105" s="20" t="s">
        <v>255</v>
      </c>
      <c r="FN105" s="19"/>
      <c r="FO105" s="19"/>
      <c r="FP105" s="19"/>
      <c r="FQ105" s="19"/>
      <c r="FR105" s="19"/>
      <c r="FS105" s="19"/>
      <c r="FT105" s="19"/>
      <c r="FU105" s="19"/>
      <c r="FV105" s="19"/>
      <c r="FW105" s="19"/>
      <c r="FX105" s="19"/>
      <c r="FY105" s="19"/>
      <c r="FZ105" s="19"/>
      <c r="GA105" s="19"/>
      <c r="GB105" s="19"/>
      <c r="GC105" s="19"/>
      <c r="GD105" s="19"/>
      <c r="GE105" s="19"/>
      <c r="GF105" s="19"/>
      <c r="GG105" s="19"/>
      <c r="GH105" s="19"/>
      <c r="GI105" s="19"/>
      <c r="GJ105" s="19"/>
      <c r="GK105" s="19"/>
      <c r="GL105" s="19"/>
      <c r="GM105" s="19"/>
      <c r="GN105" s="19"/>
      <c r="GO105" s="19"/>
      <c r="GP105" s="19"/>
      <c r="GQ105" s="19"/>
      <c r="GR105" s="19"/>
      <c r="GS105" s="19"/>
      <c r="GT105" s="19"/>
      <c r="GU105" s="19"/>
      <c r="GV105" s="19"/>
      <c r="GW105" s="19"/>
      <c r="GX105" s="19"/>
      <c r="GY105" s="19"/>
      <c r="GZ105" s="19"/>
      <c r="HA105" s="19"/>
    </row>
    <row r="106" spans="1:209" ht="23.25" customHeight="1" x14ac:dyDescent="0.15">
      <c r="A106" s="26">
        <v>44658.798706030095</v>
      </c>
      <c r="B106" s="27" t="s">
        <v>6</v>
      </c>
      <c r="C106" s="27" t="s">
        <v>11</v>
      </c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7" t="s">
        <v>513</v>
      </c>
      <c r="AY106" s="27" t="s">
        <v>514</v>
      </c>
      <c r="AZ106" s="27" t="s">
        <v>543</v>
      </c>
      <c r="BA106" s="27" t="s">
        <v>343</v>
      </c>
      <c r="BB106" s="27" t="s">
        <v>493</v>
      </c>
      <c r="BC106" s="29">
        <v>43903</v>
      </c>
      <c r="BD106" s="29">
        <v>43925</v>
      </c>
      <c r="BE106" s="29">
        <v>43942</v>
      </c>
      <c r="BF106" s="27">
        <v>83</v>
      </c>
      <c r="BG106" s="27" t="s">
        <v>541</v>
      </c>
      <c r="BH106" s="30" t="s">
        <v>544</v>
      </c>
      <c r="BI106" s="28"/>
      <c r="BJ106" s="28"/>
      <c r="BK106" s="28"/>
      <c r="BL106" s="28"/>
      <c r="BM106" s="28"/>
      <c r="BN106" s="28"/>
      <c r="BO106" s="28"/>
      <c r="BP106" s="28"/>
      <c r="BQ106" s="28"/>
      <c r="BR106" s="28"/>
      <c r="BS106" s="28"/>
      <c r="BT106" s="28"/>
      <c r="BU106" s="28"/>
      <c r="BV106" s="28"/>
      <c r="BW106" s="28"/>
      <c r="BX106" s="28"/>
      <c r="BY106" s="19"/>
      <c r="BZ106" s="19"/>
      <c r="CA106" s="19"/>
      <c r="CB106" s="19"/>
      <c r="CC106" s="19"/>
      <c r="CD106" s="19"/>
      <c r="CE106" s="19"/>
      <c r="CF106" s="19"/>
      <c r="CG106" s="19"/>
      <c r="CH106" s="19"/>
      <c r="CI106" s="19"/>
      <c r="CJ106" s="19"/>
      <c r="CK106" s="19"/>
      <c r="CL106" s="19"/>
      <c r="CM106" s="19"/>
      <c r="CN106" s="19"/>
      <c r="CO106" s="19"/>
      <c r="CP106" s="19"/>
      <c r="CQ106" s="19"/>
      <c r="CR106" s="19"/>
      <c r="CS106" s="19"/>
      <c r="CT106" s="19"/>
      <c r="CU106" s="19"/>
      <c r="CV106" s="19"/>
      <c r="CW106" s="19"/>
      <c r="CX106" s="19"/>
      <c r="CY106" s="19"/>
      <c r="CZ106" s="19"/>
      <c r="DA106" s="19"/>
      <c r="DB106" s="19"/>
      <c r="DC106" s="19"/>
      <c r="DD106" s="19"/>
      <c r="DE106" s="19"/>
      <c r="DF106" s="19"/>
      <c r="DG106" s="19"/>
      <c r="DH106" s="19"/>
      <c r="DI106" s="19"/>
      <c r="DJ106" s="19"/>
      <c r="DK106" s="19"/>
      <c r="DL106" s="19"/>
      <c r="DM106" s="19"/>
      <c r="DN106" s="19"/>
      <c r="DO106" s="19"/>
      <c r="DP106" s="19"/>
      <c r="DQ106" s="19"/>
      <c r="DR106" s="19"/>
      <c r="DS106" s="19"/>
      <c r="DT106" s="19"/>
      <c r="DU106" s="19"/>
      <c r="DV106" s="19"/>
      <c r="DW106" s="19"/>
      <c r="DX106" s="19"/>
      <c r="DY106" s="19"/>
      <c r="DZ106" s="19"/>
      <c r="EA106" s="19"/>
      <c r="EB106" s="19"/>
      <c r="EC106" s="19"/>
      <c r="ED106" s="19"/>
      <c r="EE106" s="19"/>
      <c r="EF106" s="19"/>
      <c r="EG106" s="19"/>
      <c r="EH106" s="19"/>
      <c r="EI106" s="19"/>
      <c r="EJ106" s="19"/>
      <c r="EK106" s="19"/>
      <c r="EL106" s="19"/>
      <c r="EM106" s="19"/>
      <c r="EN106" s="19"/>
      <c r="EO106" s="19"/>
      <c r="EP106" s="19"/>
      <c r="EQ106" s="19"/>
      <c r="ER106" s="19"/>
      <c r="ES106" s="19"/>
      <c r="ET106" s="19"/>
      <c r="EU106" s="19"/>
      <c r="EV106" s="19"/>
      <c r="EW106" s="19"/>
      <c r="EX106" s="19"/>
      <c r="EY106" s="19"/>
      <c r="EZ106" s="19"/>
      <c r="FA106" s="19"/>
      <c r="FB106" s="19"/>
      <c r="FC106" s="19"/>
      <c r="FD106" s="19"/>
      <c r="FE106" s="19"/>
      <c r="FF106" s="19"/>
      <c r="FG106" s="19"/>
      <c r="FH106" s="19"/>
      <c r="FI106" s="19"/>
      <c r="FJ106" s="19"/>
      <c r="FK106" s="19"/>
      <c r="FL106" s="20" t="s">
        <v>517</v>
      </c>
      <c r="FM106" s="20" t="s">
        <v>255</v>
      </c>
      <c r="FN106" s="19"/>
      <c r="FO106" s="19"/>
      <c r="FP106" s="19"/>
      <c r="FQ106" s="19"/>
      <c r="FR106" s="19"/>
      <c r="FS106" s="19"/>
      <c r="FT106" s="19"/>
      <c r="FU106" s="19"/>
      <c r="FV106" s="19"/>
      <c r="FW106" s="19"/>
      <c r="FX106" s="19"/>
      <c r="FY106" s="19"/>
      <c r="FZ106" s="19"/>
      <c r="GA106" s="19"/>
      <c r="GB106" s="19"/>
      <c r="GC106" s="19"/>
      <c r="GD106" s="19"/>
      <c r="GE106" s="19"/>
      <c r="GF106" s="19"/>
      <c r="GG106" s="19"/>
      <c r="GH106" s="19"/>
      <c r="GI106" s="19"/>
      <c r="GJ106" s="19"/>
      <c r="GK106" s="19"/>
      <c r="GL106" s="19"/>
      <c r="GM106" s="19"/>
      <c r="GN106" s="19"/>
      <c r="GO106" s="19"/>
      <c r="GP106" s="19"/>
      <c r="GQ106" s="19"/>
      <c r="GR106" s="19"/>
      <c r="GS106" s="19"/>
      <c r="GT106" s="19"/>
      <c r="GU106" s="19"/>
      <c r="GV106" s="19"/>
      <c r="GW106" s="19"/>
      <c r="GX106" s="19"/>
      <c r="GY106" s="19"/>
      <c r="GZ106" s="19"/>
      <c r="HA106" s="19"/>
    </row>
    <row r="107" spans="1:209" ht="23.25" customHeight="1" x14ac:dyDescent="0.15">
      <c r="A107" s="26">
        <v>44658.800319733797</v>
      </c>
      <c r="B107" s="27" t="s">
        <v>6</v>
      </c>
      <c r="C107" s="27" t="s">
        <v>11</v>
      </c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  <c r="AX107" s="27" t="s">
        <v>513</v>
      </c>
      <c r="AY107" s="27" t="s">
        <v>514</v>
      </c>
      <c r="AZ107" s="27" t="s">
        <v>545</v>
      </c>
      <c r="BA107" s="27" t="s">
        <v>343</v>
      </c>
      <c r="BB107" s="27" t="s">
        <v>493</v>
      </c>
      <c r="BC107" s="29">
        <v>43911</v>
      </c>
      <c r="BD107" s="29">
        <v>43941</v>
      </c>
      <c r="BE107" s="29">
        <v>43941</v>
      </c>
      <c r="BF107" s="27">
        <v>91</v>
      </c>
      <c r="BG107" s="27" t="s">
        <v>541</v>
      </c>
      <c r="BH107" s="30" t="s">
        <v>546</v>
      </c>
      <c r="BI107" s="28"/>
      <c r="BJ107" s="28"/>
      <c r="BK107" s="28"/>
      <c r="BL107" s="28"/>
      <c r="BM107" s="28"/>
      <c r="BN107" s="28"/>
      <c r="BO107" s="28"/>
      <c r="BP107" s="28"/>
      <c r="BQ107" s="28"/>
      <c r="BR107" s="28"/>
      <c r="BS107" s="28"/>
      <c r="BT107" s="28"/>
      <c r="BU107" s="28"/>
      <c r="BV107" s="28"/>
      <c r="BW107" s="28"/>
      <c r="BX107" s="28"/>
      <c r="BY107" s="19"/>
      <c r="BZ107" s="19"/>
      <c r="CA107" s="19"/>
      <c r="CB107" s="19"/>
      <c r="CC107" s="19"/>
      <c r="CD107" s="19"/>
      <c r="CE107" s="19"/>
      <c r="CF107" s="19"/>
      <c r="CG107" s="19"/>
      <c r="CH107" s="19"/>
      <c r="CI107" s="19"/>
      <c r="CJ107" s="19"/>
      <c r="CK107" s="19"/>
      <c r="CL107" s="19"/>
      <c r="CM107" s="19"/>
      <c r="CN107" s="19"/>
      <c r="CO107" s="19"/>
      <c r="CP107" s="19"/>
      <c r="CQ107" s="19"/>
      <c r="CR107" s="19"/>
      <c r="CS107" s="19"/>
      <c r="CT107" s="19"/>
      <c r="CU107" s="19"/>
      <c r="CV107" s="19"/>
      <c r="CW107" s="19"/>
      <c r="CX107" s="19"/>
      <c r="CY107" s="19"/>
      <c r="CZ107" s="19"/>
      <c r="DA107" s="19"/>
      <c r="DB107" s="19"/>
      <c r="DC107" s="19"/>
      <c r="DD107" s="19"/>
      <c r="DE107" s="19"/>
      <c r="DF107" s="19"/>
      <c r="DG107" s="19"/>
      <c r="DH107" s="19"/>
      <c r="DI107" s="19"/>
      <c r="DJ107" s="19"/>
      <c r="DK107" s="19"/>
      <c r="DL107" s="19"/>
      <c r="DM107" s="19"/>
      <c r="DN107" s="19"/>
      <c r="DO107" s="19"/>
      <c r="DP107" s="19"/>
      <c r="DQ107" s="19"/>
      <c r="DR107" s="19"/>
      <c r="DS107" s="19"/>
      <c r="DT107" s="19"/>
      <c r="DU107" s="19"/>
      <c r="DV107" s="19"/>
      <c r="DW107" s="19"/>
      <c r="DX107" s="19"/>
      <c r="DY107" s="19"/>
      <c r="DZ107" s="19"/>
      <c r="EA107" s="19"/>
      <c r="EB107" s="19"/>
      <c r="EC107" s="19"/>
      <c r="ED107" s="19"/>
      <c r="EE107" s="19"/>
      <c r="EF107" s="19"/>
      <c r="EG107" s="19"/>
      <c r="EH107" s="19"/>
      <c r="EI107" s="19"/>
      <c r="EJ107" s="19"/>
      <c r="EK107" s="19"/>
      <c r="EL107" s="19"/>
      <c r="EM107" s="19"/>
      <c r="EN107" s="19"/>
      <c r="EO107" s="19"/>
      <c r="EP107" s="19"/>
      <c r="EQ107" s="19"/>
      <c r="ER107" s="19"/>
      <c r="ES107" s="19"/>
      <c r="ET107" s="19"/>
      <c r="EU107" s="19"/>
      <c r="EV107" s="19"/>
      <c r="EW107" s="19"/>
      <c r="EX107" s="19"/>
      <c r="EY107" s="19"/>
      <c r="EZ107" s="19"/>
      <c r="FA107" s="19"/>
      <c r="FB107" s="19"/>
      <c r="FC107" s="19"/>
      <c r="FD107" s="19"/>
      <c r="FE107" s="19"/>
      <c r="FF107" s="19"/>
      <c r="FG107" s="19"/>
      <c r="FH107" s="19"/>
      <c r="FI107" s="19"/>
      <c r="FJ107" s="19"/>
      <c r="FK107" s="19"/>
      <c r="FL107" s="20" t="s">
        <v>517</v>
      </c>
      <c r="FM107" s="20" t="s">
        <v>255</v>
      </c>
      <c r="FN107" s="19"/>
      <c r="FO107" s="19"/>
      <c r="FP107" s="19"/>
      <c r="FQ107" s="19"/>
      <c r="FR107" s="19"/>
      <c r="FS107" s="19"/>
      <c r="FT107" s="19"/>
      <c r="FU107" s="19"/>
      <c r="FV107" s="19"/>
      <c r="FW107" s="19"/>
      <c r="FX107" s="19"/>
      <c r="FY107" s="19"/>
      <c r="FZ107" s="19"/>
      <c r="GA107" s="19"/>
      <c r="GB107" s="19"/>
      <c r="GC107" s="19"/>
      <c r="GD107" s="19"/>
      <c r="GE107" s="19"/>
      <c r="GF107" s="19"/>
      <c r="GG107" s="19"/>
      <c r="GH107" s="19"/>
      <c r="GI107" s="19"/>
      <c r="GJ107" s="19"/>
      <c r="GK107" s="19"/>
      <c r="GL107" s="19"/>
      <c r="GM107" s="19"/>
      <c r="GN107" s="19"/>
      <c r="GO107" s="19"/>
      <c r="GP107" s="19"/>
      <c r="GQ107" s="19"/>
      <c r="GR107" s="19"/>
      <c r="GS107" s="19"/>
      <c r="GT107" s="19"/>
      <c r="GU107" s="19"/>
      <c r="GV107" s="19"/>
      <c r="GW107" s="19"/>
      <c r="GX107" s="19"/>
      <c r="GY107" s="19"/>
      <c r="GZ107" s="19"/>
      <c r="HA107" s="19"/>
    </row>
    <row r="108" spans="1:209" ht="23.25" customHeight="1" x14ac:dyDescent="0.15">
      <c r="A108" s="26">
        <v>44658.8023221412</v>
      </c>
      <c r="B108" s="27" t="s">
        <v>6</v>
      </c>
      <c r="C108" s="27" t="s">
        <v>10</v>
      </c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7" t="s">
        <v>513</v>
      </c>
      <c r="AO108" s="27" t="s">
        <v>514</v>
      </c>
      <c r="AP108" s="27" t="s">
        <v>547</v>
      </c>
      <c r="AQ108" s="27" t="s">
        <v>448</v>
      </c>
      <c r="AR108" s="29">
        <v>44474</v>
      </c>
      <c r="AS108" s="29">
        <v>44555</v>
      </c>
      <c r="AT108" s="27" t="s">
        <v>252</v>
      </c>
      <c r="AU108" s="27" t="s">
        <v>252</v>
      </c>
      <c r="AV108" s="27">
        <v>0</v>
      </c>
      <c r="AW108" s="30" t="s">
        <v>548</v>
      </c>
      <c r="AX108" s="28"/>
      <c r="AY108" s="28"/>
      <c r="AZ108" s="28"/>
      <c r="BA108" s="28"/>
      <c r="BB108" s="28"/>
      <c r="BC108" s="28"/>
      <c r="BD108" s="28"/>
      <c r="BE108" s="28"/>
      <c r="BF108" s="28"/>
      <c r="BG108" s="28"/>
      <c r="BH108" s="28"/>
      <c r="BI108" s="28"/>
      <c r="BJ108" s="28"/>
      <c r="BK108" s="28"/>
      <c r="BL108" s="28"/>
      <c r="BM108" s="28"/>
      <c r="BN108" s="28"/>
      <c r="BO108" s="28"/>
      <c r="BP108" s="28"/>
      <c r="BQ108" s="28"/>
      <c r="BR108" s="28"/>
      <c r="BS108" s="28"/>
      <c r="BT108" s="28"/>
      <c r="BU108" s="28"/>
      <c r="BV108" s="28"/>
      <c r="BW108" s="28"/>
      <c r="BX108" s="28"/>
      <c r="BY108" s="19"/>
      <c r="BZ108" s="19"/>
      <c r="CA108" s="19"/>
      <c r="CB108" s="19"/>
      <c r="CC108" s="19"/>
      <c r="CD108" s="19"/>
      <c r="CE108" s="19"/>
      <c r="CF108" s="19"/>
      <c r="CG108" s="19"/>
      <c r="CH108" s="19"/>
      <c r="CI108" s="19"/>
      <c r="CJ108" s="19"/>
      <c r="CK108" s="19"/>
      <c r="CL108" s="19"/>
      <c r="CM108" s="19"/>
      <c r="CN108" s="19"/>
      <c r="CO108" s="19"/>
      <c r="CP108" s="19"/>
      <c r="CQ108" s="19"/>
      <c r="CR108" s="19"/>
      <c r="CS108" s="19"/>
      <c r="CT108" s="19"/>
      <c r="CU108" s="19"/>
      <c r="CV108" s="19"/>
      <c r="CW108" s="19"/>
      <c r="CX108" s="19"/>
      <c r="CY108" s="19"/>
      <c r="CZ108" s="19"/>
      <c r="DA108" s="19"/>
      <c r="DB108" s="19"/>
      <c r="DC108" s="19"/>
      <c r="DD108" s="19"/>
      <c r="DE108" s="19"/>
      <c r="DF108" s="19"/>
      <c r="DG108" s="19"/>
      <c r="DH108" s="19"/>
      <c r="DI108" s="19"/>
      <c r="DJ108" s="19"/>
      <c r="DK108" s="19"/>
      <c r="DL108" s="19"/>
      <c r="DM108" s="19"/>
      <c r="DN108" s="19"/>
      <c r="DO108" s="19"/>
      <c r="DP108" s="19"/>
      <c r="DQ108" s="19"/>
      <c r="DR108" s="19"/>
      <c r="DS108" s="19"/>
      <c r="DT108" s="19"/>
      <c r="DU108" s="19"/>
      <c r="DV108" s="19"/>
      <c r="DW108" s="19"/>
      <c r="DX108" s="19"/>
      <c r="DY108" s="19"/>
      <c r="DZ108" s="19"/>
      <c r="EA108" s="19"/>
      <c r="EB108" s="19"/>
      <c r="EC108" s="19"/>
      <c r="ED108" s="19"/>
      <c r="EE108" s="19"/>
      <c r="EF108" s="19"/>
      <c r="EG108" s="19"/>
      <c r="EH108" s="19"/>
      <c r="EI108" s="19"/>
      <c r="EJ108" s="19"/>
      <c r="EK108" s="19"/>
      <c r="EL108" s="19"/>
      <c r="EM108" s="19"/>
      <c r="EN108" s="19"/>
      <c r="EO108" s="19"/>
      <c r="EP108" s="19"/>
      <c r="EQ108" s="19"/>
      <c r="ER108" s="19"/>
      <c r="ES108" s="19"/>
      <c r="ET108" s="19"/>
      <c r="EU108" s="19"/>
      <c r="EV108" s="19"/>
      <c r="EW108" s="19"/>
      <c r="EX108" s="19"/>
      <c r="EY108" s="19"/>
      <c r="EZ108" s="19"/>
      <c r="FA108" s="19"/>
      <c r="FB108" s="19"/>
      <c r="FC108" s="19"/>
      <c r="FD108" s="19"/>
      <c r="FE108" s="19"/>
      <c r="FF108" s="19"/>
      <c r="FG108" s="19"/>
      <c r="FH108" s="19"/>
      <c r="FI108" s="19"/>
      <c r="FJ108" s="19"/>
      <c r="FK108" s="19"/>
      <c r="FL108" s="20" t="s">
        <v>517</v>
      </c>
      <c r="FM108" s="20" t="s">
        <v>255</v>
      </c>
      <c r="FN108" s="19"/>
      <c r="FO108" s="19"/>
      <c r="FP108" s="19"/>
      <c r="FQ108" s="19"/>
      <c r="FR108" s="19"/>
      <c r="FS108" s="19"/>
      <c r="FT108" s="19"/>
      <c r="FU108" s="19"/>
      <c r="FV108" s="19"/>
      <c r="FW108" s="19"/>
      <c r="FX108" s="19"/>
      <c r="FY108" s="19"/>
      <c r="FZ108" s="19"/>
      <c r="GA108" s="19"/>
      <c r="GB108" s="19"/>
      <c r="GC108" s="19"/>
      <c r="GD108" s="19"/>
      <c r="GE108" s="19"/>
      <c r="GF108" s="19"/>
      <c r="GG108" s="19"/>
      <c r="GH108" s="19"/>
      <c r="GI108" s="19"/>
      <c r="GJ108" s="19"/>
      <c r="GK108" s="19"/>
      <c r="GL108" s="19"/>
      <c r="GM108" s="19"/>
      <c r="GN108" s="19"/>
      <c r="GO108" s="19"/>
      <c r="GP108" s="19"/>
      <c r="GQ108" s="19"/>
      <c r="GR108" s="19"/>
      <c r="GS108" s="19"/>
      <c r="GT108" s="19"/>
      <c r="GU108" s="19"/>
      <c r="GV108" s="19"/>
      <c r="GW108" s="19"/>
      <c r="GX108" s="19"/>
      <c r="GY108" s="19"/>
      <c r="GZ108" s="19"/>
      <c r="HA108" s="19"/>
    </row>
    <row r="109" spans="1:209" ht="23.25" customHeight="1" x14ac:dyDescent="0.15">
      <c r="A109" s="26">
        <v>44658.860676365744</v>
      </c>
      <c r="B109" s="27" t="s">
        <v>6</v>
      </c>
      <c r="C109" s="17" t="s">
        <v>13</v>
      </c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28"/>
      <c r="BM109" s="28"/>
      <c r="BN109" s="28"/>
      <c r="BO109" s="28"/>
      <c r="BP109" s="28"/>
      <c r="BQ109" s="28"/>
      <c r="BR109" s="28"/>
      <c r="BS109" s="28"/>
      <c r="BT109" s="28"/>
      <c r="BU109" s="28"/>
      <c r="BV109" s="28"/>
      <c r="BW109" s="27" t="s">
        <v>247</v>
      </c>
      <c r="BX109" s="27" t="s">
        <v>248</v>
      </c>
      <c r="BY109" s="19"/>
      <c r="BZ109" s="20" t="s">
        <v>154</v>
      </c>
      <c r="CA109" s="20" t="s">
        <v>549</v>
      </c>
      <c r="CB109" s="20" t="s">
        <v>454</v>
      </c>
      <c r="CC109" s="20" t="s">
        <v>550</v>
      </c>
      <c r="CD109" s="21">
        <v>43647</v>
      </c>
      <c r="CE109" s="21">
        <v>43709</v>
      </c>
      <c r="CF109" s="20">
        <v>84</v>
      </c>
      <c r="CG109" s="22" t="s">
        <v>551</v>
      </c>
      <c r="CH109" s="19"/>
      <c r="CI109" s="19"/>
      <c r="CJ109" s="19"/>
      <c r="CK109" s="19"/>
      <c r="CL109" s="19"/>
      <c r="CM109" s="19"/>
      <c r="CN109" s="19"/>
      <c r="CO109" s="19"/>
      <c r="CP109" s="19"/>
      <c r="CQ109" s="19"/>
      <c r="CR109" s="19"/>
      <c r="CS109" s="19"/>
      <c r="CT109" s="19"/>
      <c r="CU109" s="19"/>
      <c r="CV109" s="19"/>
      <c r="CW109" s="19"/>
      <c r="CX109" s="19"/>
      <c r="CY109" s="19"/>
      <c r="CZ109" s="19"/>
      <c r="DA109" s="19"/>
      <c r="DB109" s="19"/>
      <c r="DC109" s="19"/>
      <c r="DD109" s="19"/>
      <c r="DE109" s="19"/>
      <c r="DF109" s="19"/>
      <c r="DG109" s="19"/>
      <c r="DH109" s="19"/>
      <c r="DI109" s="19"/>
      <c r="DJ109" s="19"/>
      <c r="DK109" s="19"/>
      <c r="DL109" s="19"/>
      <c r="DM109" s="19"/>
      <c r="DN109" s="19"/>
      <c r="DO109" s="19"/>
      <c r="DP109" s="19"/>
      <c r="DQ109" s="19"/>
      <c r="DR109" s="19"/>
      <c r="DS109" s="19"/>
      <c r="DT109" s="19"/>
      <c r="DU109" s="19"/>
      <c r="DV109" s="19"/>
      <c r="DW109" s="19"/>
      <c r="DX109" s="19"/>
      <c r="DY109" s="19"/>
      <c r="DZ109" s="19"/>
      <c r="EA109" s="19"/>
      <c r="EB109" s="19"/>
      <c r="EC109" s="19"/>
      <c r="ED109" s="19"/>
      <c r="EE109" s="19"/>
      <c r="EF109" s="19"/>
      <c r="EG109" s="19"/>
      <c r="EH109" s="19"/>
      <c r="EI109" s="19"/>
      <c r="EJ109" s="19"/>
      <c r="EK109" s="19"/>
      <c r="EL109" s="19"/>
      <c r="EM109" s="19"/>
      <c r="EN109" s="19"/>
      <c r="EO109" s="19"/>
      <c r="EP109" s="19"/>
      <c r="EQ109" s="19"/>
      <c r="ER109" s="19"/>
      <c r="ES109" s="19"/>
      <c r="ET109" s="19"/>
      <c r="EU109" s="19"/>
      <c r="EV109" s="19"/>
      <c r="EW109" s="19"/>
      <c r="EX109" s="19"/>
      <c r="EY109" s="19"/>
      <c r="EZ109" s="19"/>
      <c r="FA109" s="19"/>
      <c r="FB109" s="19"/>
      <c r="FC109" s="19"/>
      <c r="FD109" s="19"/>
      <c r="FE109" s="19"/>
      <c r="FF109" s="19"/>
      <c r="FG109" s="19"/>
      <c r="FH109" s="19"/>
      <c r="FI109" s="19"/>
      <c r="FJ109" s="19"/>
      <c r="FK109" s="19"/>
      <c r="FL109" s="20" t="s">
        <v>254</v>
      </c>
      <c r="FM109" s="20" t="s">
        <v>552</v>
      </c>
      <c r="FN109" s="19"/>
      <c r="FO109" s="19"/>
      <c r="FP109" s="19"/>
      <c r="FQ109" s="19"/>
      <c r="FR109" s="19"/>
      <c r="FS109" s="19"/>
      <c r="FT109" s="19"/>
      <c r="FU109" s="19"/>
      <c r="FV109" s="19"/>
      <c r="FW109" s="19"/>
      <c r="FX109" s="19"/>
      <c r="FY109" s="19"/>
      <c r="FZ109" s="19"/>
      <c r="GA109" s="19"/>
      <c r="GB109" s="19"/>
      <c r="GC109" s="19"/>
      <c r="GD109" s="19"/>
      <c r="GE109" s="19"/>
      <c r="GF109" s="19"/>
      <c r="GG109" s="19"/>
      <c r="GH109" s="19"/>
      <c r="GI109" s="19"/>
      <c r="GJ109" s="19"/>
      <c r="GK109" s="19"/>
      <c r="GL109" s="19"/>
      <c r="GM109" s="19"/>
      <c r="GN109" s="19"/>
      <c r="GO109" s="19"/>
      <c r="GP109" s="19"/>
      <c r="GQ109" s="19"/>
      <c r="GR109" s="19"/>
      <c r="GS109" s="19"/>
      <c r="GT109" s="19"/>
      <c r="GU109" s="19"/>
      <c r="GV109" s="19"/>
      <c r="GW109" s="19"/>
      <c r="GX109" s="19"/>
      <c r="GY109" s="19"/>
      <c r="GZ109" s="19"/>
      <c r="HA109" s="19"/>
    </row>
    <row r="110" spans="1:209" ht="23.25" customHeight="1" x14ac:dyDescent="0.15">
      <c r="A110" s="26">
        <v>44658.864346620372</v>
      </c>
      <c r="B110" s="27" t="s">
        <v>6</v>
      </c>
      <c r="C110" s="17" t="s">
        <v>13</v>
      </c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  <c r="BD110" s="28"/>
      <c r="BE110" s="28"/>
      <c r="BF110" s="28"/>
      <c r="BG110" s="28"/>
      <c r="BH110" s="28"/>
      <c r="BI110" s="28"/>
      <c r="BJ110" s="28"/>
      <c r="BK110" s="28"/>
      <c r="BL110" s="28"/>
      <c r="BM110" s="28"/>
      <c r="BN110" s="28"/>
      <c r="BO110" s="28"/>
      <c r="BP110" s="28"/>
      <c r="BQ110" s="28"/>
      <c r="BR110" s="28"/>
      <c r="BS110" s="28"/>
      <c r="BT110" s="28"/>
      <c r="BU110" s="28"/>
      <c r="BV110" s="28"/>
      <c r="BW110" s="27" t="s">
        <v>247</v>
      </c>
      <c r="BX110" s="27" t="s">
        <v>248</v>
      </c>
      <c r="BY110" s="19"/>
      <c r="BZ110" s="20" t="s">
        <v>154</v>
      </c>
      <c r="CA110" s="20" t="s">
        <v>553</v>
      </c>
      <c r="CB110" s="20" t="s">
        <v>454</v>
      </c>
      <c r="CC110" s="20" t="s">
        <v>473</v>
      </c>
      <c r="CD110" s="21">
        <v>43831</v>
      </c>
      <c r="CE110" s="21">
        <v>43921</v>
      </c>
      <c r="CF110" s="20">
        <v>96</v>
      </c>
      <c r="CG110" s="22" t="s">
        <v>554</v>
      </c>
      <c r="CH110" s="19"/>
      <c r="CI110" s="19"/>
      <c r="CJ110" s="19"/>
      <c r="CK110" s="19"/>
      <c r="CL110" s="19"/>
      <c r="CM110" s="19"/>
      <c r="CN110" s="19"/>
      <c r="CO110" s="19"/>
      <c r="CP110" s="19"/>
      <c r="CQ110" s="19"/>
      <c r="CR110" s="19"/>
      <c r="CS110" s="19"/>
      <c r="CT110" s="19"/>
      <c r="CU110" s="19"/>
      <c r="CV110" s="19"/>
      <c r="CW110" s="19"/>
      <c r="CX110" s="19"/>
      <c r="CY110" s="19"/>
      <c r="CZ110" s="19"/>
      <c r="DA110" s="19"/>
      <c r="DB110" s="19"/>
      <c r="DC110" s="19"/>
      <c r="DD110" s="19"/>
      <c r="DE110" s="19"/>
      <c r="DF110" s="19"/>
      <c r="DG110" s="19"/>
      <c r="DH110" s="19"/>
      <c r="DI110" s="19"/>
      <c r="DJ110" s="19"/>
      <c r="DK110" s="19"/>
      <c r="DL110" s="19"/>
      <c r="DM110" s="19"/>
      <c r="DN110" s="19"/>
      <c r="DO110" s="19"/>
      <c r="DP110" s="19"/>
      <c r="DQ110" s="19"/>
      <c r="DR110" s="19"/>
      <c r="DS110" s="19"/>
      <c r="DT110" s="19"/>
      <c r="DU110" s="19"/>
      <c r="DV110" s="19"/>
      <c r="DW110" s="19"/>
      <c r="DX110" s="19"/>
      <c r="DY110" s="19"/>
      <c r="DZ110" s="19"/>
      <c r="EA110" s="19"/>
      <c r="EB110" s="19"/>
      <c r="EC110" s="19"/>
      <c r="ED110" s="19"/>
      <c r="EE110" s="19"/>
      <c r="EF110" s="19"/>
      <c r="EG110" s="19"/>
      <c r="EH110" s="19"/>
      <c r="EI110" s="19"/>
      <c r="EJ110" s="19"/>
      <c r="EK110" s="19"/>
      <c r="EL110" s="19"/>
      <c r="EM110" s="19"/>
      <c r="EN110" s="19"/>
      <c r="EO110" s="19"/>
      <c r="EP110" s="19"/>
      <c r="EQ110" s="19"/>
      <c r="ER110" s="19"/>
      <c r="ES110" s="19"/>
      <c r="ET110" s="19"/>
      <c r="EU110" s="19"/>
      <c r="EV110" s="19"/>
      <c r="EW110" s="19"/>
      <c r="EX110" s="19"/>
      <c r="EY110" s="19"/>
      <c r="EZ110" s="19"/>
      <c r="FA110" s="19"/>
      <c r="FB110" s="19"/>
      <c r="FC110" s="19"/>
      <c r="FD110" s="19"/>
      <c r="FE110" s="19"/>
      <c r="FF110" s="19"/>
      <c r="FG110" s="19"/>
      <c r="FH110" s="19"/>
      <c r="FI110" s="19"/>
      <c r="FJ110" s="19"/>
      <c r="FK110" s="19"/>
      <c r="FL110" s="20" t="s">
        <v>254</v>
      </c>
      <c r="FM110" s="20" t="s">
        <v>321</v>
      </c>
      <c r="FN110" s="19"/>
      <c r="FO110" s="19"/>
      <c r="FP110" s="19"/>
      <c r="FQ110" s="19"/>
      <c r="FR110" s="19"/>
      <c r="FS110" s="19"/>
      <c r="FT110" s="19"/>
      <c r="FU110" s="19"/>
      <c r="FV110" s="19"/>
      <c r="FW110" s="19"/>
      <c r="FX110" s="19"/>
      <c r="FY110" s="19"/>
      <c r="FZ110" s="19"/>
      <c r="GA110" s="19"/>
      <c r="GB110" s="19"/>
      <c r="GC110" s="19"/>
      <c r="GD110" s="19"/>
      <c r="GE110" s="19"/>
      <c r="GF110" s="19"/>
      <c r="GG110" s="19"/>
      <c r="GH110" s="19"/>
      <c r="GI110" s="19"/>
      <c r="GJ110" s="19"/>
      <c r="GK110" s="19"/>
      <c r="GL110" s="19"/>
      <c r="GM110" s="19"/>
      <c r="GN110" s="19"/>
      <c r="GO110" s="19"/>
      <c r="GP110" s="19"/>
      <c r="GQ110" s="19"/>
      <c r="GR110" s="19"/>
      <c r="GS110" s="19"/>
      <c r="GT110" s="19"/>
      <c r="GU110" s="19"/>
      <c r="GV110" s="19"/>
      <c r="GW110" s="19"/>
      <c r="GX110" s="19"/>
      <c r="GY110" s="19"/>
      <c r="GZ110" s="19"/>
      <c r="HA110" s="19"/>
    </row>
    <row r="111" spans="1:209" ht="23.25" customHeight="1" x14ac:dyDescent="0.15">
      <c r="A111" s="26">
        <v>44658.867639467593</v>
      </c>
      <c r="B111" s="27" t="s">
        <v>6</v>
      </c>
      <c r="C111" s="27" t="s">
        <v>10</v>
      </c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7" t="s">
        <v>247</v>
      </c>
      <c r="AO111" s="27" t="s">
        <v>248</v>
      </c>
      <c r="AP111" s="27" t="s">
        <v>307</v>
      </c>
      <c r="AQ111" s="27" t="s">
        <v>300</v>
      </c>
      <c r="AR111" s="29">
        <v>44489</v>
      </c>
      <c r="AS111" s="29">
        <v>44561</v>
      </c>
      <c r="AT111" s="27" t="s">
        <v>252</v>
      </c>
      <c r="AU111" s="27" t="s">
        <v>252</v>
      </c>
      <c r="AV111" s="27">
        <v>0</v>
      </c>
      <c r="AW111" s="30" t="s">
        <v>555</v>
      </c>
      <c r="AX111" s="28"/>
      <c r="AY111" s="28"/>
      <c r="AZ111" s="28"/>
      <c r="BA111" s="28"/>
      <c r="BB111" s="28"/>
      <c r="BC111" s="28"/>
      <c r="BD111" s="28"/>
      <c r="BE111" s="28"/>
      <c r="BF111" s="28"/>
      <c r="BG111" s="28"/>
      <c r="BH111" s="28"/>
      <c r="BI111" s="28"/>
      <c r="BJ111" s="28"/>
      <c r="BK111" s="28"/>
      <c r="BL111" s="28"/>
      <c r="BM111" s="28"/>
      <c r="BN111" s="28"/>
      <c r="BO111" s="28"/>
      <c r="BP111" s="28"/>
      <c r="BQ111" s="28"/>
      <c r="BR111" s="28"/>
      <c r="BS111" s="28"/>
      <c r="BT111" s="28"/>
      <c r="BU111" s="28"/>
      <c r="BV111" s="28"/>
      <c r="BW111" s="28"/>
      <c r="BX111" s="28"/>
      <c r="BY111" s="19"/>
      <c r="BZ111" s="19"/>
      <c r="CA111" s="19"/>
      <c r="CB111" s="19"/>
      <c r="CC111" s="19"/>
      <c r="CD111" s="19"/>
      <c r="CE111" s="19"/>
      <c r="CF111" s="19"/>
      <c r="CG111" s="19"/>
      <c r="CH111" s="19"/>
      <c r="CI111" s="19"/>
      <c r="CJ111" s="19"/>
      <c r="CK111" s="19"/>
      <c r="CL111" s="19"/>
      <c r="CM111" s="19"/>
      <c r="CN111" s="19"/>
      <c r="CO111" s="19"/>
      <c r="CP111" s="19"/>
      <c r="CQ111" s="19"/>
      <c r="CR111" s="19"/>
      <c r="CS111" s="19"/>
      <c r="CT111" s="19"/>
      <c r="CU111" s="19"/>
      <c r="CV111" s="19"/>
      <c r="CW111" s="19"/>
      <c r="CX111" s="19"/>
      <c r="CY111" s="19"/>
      <c r="CZ111" s="19"/>
      <c r="DA111" s="19"/>
      <c r="DB111" s="19"/>
      <c r="DC111" s="19"/>
      <c r="DD111" s="19"/>
      <c r="DE111" s="19"/>
      <c r="DF111" s="19"/>
      <c r="DG111" s="19"/>
      <c r="DH111" s="19"/>
      <c r="DI111" s="19"/>
      <c r="DJ111" s="19"/>
      <c r="DK111" s="19"/>
      <c r="DL111" s="19"/>
      <c r="DM111" s="19"/>
      <c r="DN111" s="19"/>
      <c r="DO111" s="19"/>
      <c r="DP111" s="19"/>
      <c r="DQ111" s="19"/>
      <c r="DR111" s="19"/>
      <c r="DS111" s="19"/>
      <c r="DT111" s="19"/>
      <c r="DU111" s="19"/>
      <c r="DV111" s="19"/>
      <c r="DW111" s="19"/>
      <c r="DX111" s="19"/>
      <c r="DY111" s="19"/>
      <c r="DZ111" s="19"/>
      <c r="EA111" s="19"/>
      <c r="EB111" s="19"/>
      <c r="EC111" s="19"/>
      <c r="ED111" s="19"/>
      <c r="EE111" s="19"/>
      <c r="EF111" s="19"/>
      <c r="EG111" s="19"/>
      <c r="EH111" s="19"/>
      <c r="EI111" s="19"/>
      <c r="EJ111" s="19"/>
      <c r="EK111" s="19"/>
      <c r="EL111" s="19"/>
      <c r="EM111" s="19"/>
      <c r="EN111" s="19"/>
      <c r="EO111" s="19"/>
      <c r="EP111" s="19"/>
      <c r="EQ111" s="19"/>
      <c r="ER111" s="19"/>
      <c r="ES111" s="19"/>
      <c r="ET111" s="19"/>
      <c r="EU111" s="19"/>
      <c r="EV111" s="19"/>
      <c r="EW111" s="19"/>
      <c r="EX111" s="19"/>
      <c r="EY111" s="19"/>
      <c r="EZ111" s="19"/>
      <c r="FA111" s="19"/>
      <c r="FB111" s="19"/>
      <c r="FC111" s="19"/>
      <c r="FD111" s="19"/>
      <c r="FE111" s="19"/>
      <c r="FF111" s="19"/>
      <c r="FG111" s="19"/>
      <c r="FH111" s="19"/>
      <c r="FI111" s="19"/>
      <c r="FJ111" s="19"/>
      <c r="FK111" s="19"/>
      <c r="FL111" s="20" t="s">
        <v>254</v>
      </c>
      <c r="FM111" s="20" t="s">
        <v>273</v>
      </c>
      <c r="FN111" s="19"/>
      <c r="FO111" s="19"/>
      <c r="FP111" s="19"/>
      <c r="FQ111" s="19"/>
      <c r="FR111" s="19"/>
      <c r="FS111" s="19"/>
      <c r="FT111" s="19"/>
      <c r="FU111" s="19"/>
      <c r="FV111" s="19"/>
      <c r="FW111" s="19"/>
      <c r="FX111" s="19"/>
      <c r="FY111" s="19"/>
      <c r="FZ111" s="19"/>
      <c r="GA111" s="19"/>
      <c r="GB111" s="19"/>
      <c r="GC111" s="19"/>
      <c r="GD111" s="19"/>
      <c r="GE111" s="19"/>
      <c r="GF111" s="19"/>
      <c r="GG111" s="19"/>
      <c r="GH111" s="19"/>
      <c r="GI111" s="19"/>
      <c r="GJ111" s="19"/>
      <c r="GK111" s="19"/>
      <c r="GL111" s="19"/>
      <c r="GM111" s="19"/>
      <c r="GN111" s="19"/>
      <c r="GO111" s="19"/>
      <c r="GP111" s="19"/>
      <c r="GQ111" s="19"/>
      <c r="GR111" s="19"/>
      <c r="GS111" s="19"/>
      <c r="GT111" s="19"/>
      <c r="GU111" s="19"/>
      <c r="GV111" s="19"/>
      <c r="GW111" s="19"/>
      <c r="GX111" s="19"/>
      <c r="GY111" s="19"/>
      <c r="GZ111" s="19"/>
      <c r="HA111" s="19"/>
    </row>
    <row r="112" spans="1:209" ht="23.25" customHeight="1" x14ac:dyDescent="0.15">
      <c r="A112" s="26">
        <v>44658.867718796297</v>
      </c>
      <c r="B112" s="27" t="s">
        <v>6</v>
      </c>
      <c r="C112" s="27" t="s">
        <v>11</v>
      </c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  <c r="AX112" s="27" t="s">
        <v>485</v>
      </c>
      <c r="AY112" s="27" t="s">
        <v>486</v>
      </c>
      <c r="AZ112" s="27" t="s">
        <v>500</v>
      </c>
      <c r="BA112" s="27" t="s">
        <v>335</v>
      </c>
      <c r="BB112" s="27" t="s">
        <v>507</v>
      </c>
      <c r="BC112" s="29">
        <v>44268</v>
      </c>
      <c r="BD112" s="29">
        <v>44336</v>
      </c>
      <c r="BE112" s="29">
        <v>44335</v>
      </c>
      <c r="BF112" s="27">
        <v>100</v>
      </c>
      <c r="BG112" s="27" t="s">
        <v>556</v>
      </c>
      <c r="BH112" s="30" t="s">
        <v>557</v>
      </c>
      <c r="BI112" s="28"/>
      <c r="BJ112" s="28"/>
      <c r="BK112" s="28"/>
      <c r="BL112" s="28"/>
      <c r="BM112" s="28"/>
      <c r="BN112" s="28"/>
      <c r="BO112" s="28"/>
      <c r="BP112" s="28"/>
      <c r="BQ112" s="28"/>
      <c r="BR112" s="28"/>
      <c r="BS112" s="28"/>
      <c r="BT112" s="28"/>
      <c r="BU112" s="28"/>
      <c r="BV112" s="28"/>
      <c r="BW112" s="28"/>
      <c r="BX112" s="28"/>
      <c r="BY112" s="19"/>
      <c r="BZ112" s="19"/>
      <c r="CA112" s="19"/>
      <c r="CB112" s="19"/>
      <c r="CC112" s="19"/>
      <c r="CD112" s="19"/>
      <c r="CE112" s="19"/>
      <c r="CF112" s="19"/>
      <c r="CG112" s="19"/>
      <c r="CH112" s="19"/>
      <c r="CI112" s="19"/>
      <c r="CJ112" s="19"/>
      <c r="CK112" s="19"/>
      <c r="CL112" s="19"/>
      <c r="CM112" s="19"/>
      <c r="CN112" s="19"/>
      <c r="CO112" s="19"/>
      <c r="CP112" s="19"/>
      <c r="CQ112" s="19"/>
      <c r="CR112" s="19"/>
      <c r="CS112" s="19"/>
      <c r="CT112" s="19"/>
      <c r="CU112" s="19"/>
      <c r="CV112" s="19"/>
      <c r="CW112" s="19"/>
      <c r="CX112" s="19"/>
      <c r="CY112" s="19"/>
      <c r="CZ112" s="19"/>
      <c r="DA112" s="19"/>
      <c r="DB112" s="19"/>
      <c r="DC112" s="19"/>
      <c r="DD112" s="19"/>
      <c r="DE112" s="19"/>
      <c r="DF112" s="19"/>
      <c r="DG112" s="19"/>
      <c r="DH112" s="19"/>
      <c r="DI112" s="19"/>
      <c r="DJ112" s="19"/>
      <c r="DK112" s="19"/>
      <c r="DL112" s="19"/>
      <c r="DM112" s="19"/>
      <c r="DN112" s="19"/>
      <c r="DO112" s="19"/>
      <c r="DP112" s="19"/>
      <c r="DQ112" s="19"/>
      <c r="DR112" s="19"/>
      <c r="DS112" s="19"/>
      <c r="DT112" s="19"/>
      <c r="DU112" s="19"/>
      <c r="DV112" s="19"/>
      <c r="DW112" s="19"/>
      <c r="DX112" s="19"/>
      <c r="DY112" s="19"/>
      <c r="DZ112" s="19"/>
      <c r="EA112" s="19"/>
      <c r="EB112" s="19"/>
      <c r="EC112" s="19"/>
      <c r="ED112" s="19"/>
      <c r="EE112" s="19"/>
      <c r="EF112" s="19"/>
      <c r="EG112" s="19"/>
      <c r="EH112" s="19"/>
      <c r="EI112" s="19"/>
      <c r="EJ112" s="19"/>
      <c r="EK112" s="19"/>
      <c r="EL112" s="19"/>
      <c r="EM112" s="19"/>
      <c r="EN112" s="19"/>
      <c r="EO112" s="19"/>
      <c r="EP112" s="19"/>
      <c r="EQ112" s="19"/>
      <c r="ER112" s="19"/>
      <c r="ES112" s="19"/>
      <c r="ET112" s="19"/>
      <c r="EU112" s="19"/>
      <c r="EV112" s="19"/>
      <c r="EW112" s="19"/>
      <c r="EX112" s="19"/>
      <c r="EY112" s="19"/>
      <c r="EZ112" s="19"/>
      <c r="FA112" s="19"/>
      <c r="FB112" s="19"/>
      <c r="FC112" s="19"/>
      <c r="FD112" s="19"/>
      <c r="FE112" s="19"/>
      <c r="FF112" s="19"/>
      <c r="FG112" s="19"/>
      <c r="FH112" s="19"/>
      <c r="FI112" s="19"/>
      <c r="FJ112" s="19"/>
      <c r="FK112" s="19"/>
      <c r="FL112" s="20" t="s">
        <v>488</v>
      </c>
      <c r="FM112" s="20" t="s">
        <v>339</v>
      </c>
      <c r="FN112" s="19"/>
      <c r="FO112" s="19"/>
      <c r="FP112" s="19"/>
      <c r="FQ112" s="19"/>
      <c r="FR112" s="19"/>
      <c r="FS112" s="19"/>
      <c r="FT112" s="19"/>
      <c r="FU112" s="19"/>
      <c r="FV112" s="19"/>
      <c r="FW112" s="19"/>
      <c r="FX112" s="19"/>
      <c r="FY112" s="19"/>
      <c r="FZ112" s="19"/>
      <c r="GA112" s="19"/>
      <c r="GB112" s="19"/>
      <c r="GC112" s="19"/>
      <c r="GD112" s="19"/>
      <c r="GE112" s="19"/>
      <c r="GF112" s="19"/>
      <c r="GG112" s="19"/>
      <c r="GH112" s="19"/>
      <c r="GI112" s="19"/>
      <c r="GJ112" s="19"/>
      <c r="GK112" s="19"/>
      <c r="GL112" s="19"/>
      <c r="GM112" s="19"/>
      <c r="GN112" s="19"/>
      <c r="GO112" s="19"/>
      <c r="GP112" s="19"/>
      <c r="GQ112" s="19"/>
      <c r="GR112" s="19"/>
      <c r="GS112" s="19"/>
      <c r="GT112" s="19"/>
      <c r="GU112" s="19"/>
      <c r="GV112" s="19"/>
      <c r="GW112" s="19"/>
      <c r="GX112" s="19"/>
      <c r="GY112" s="19"/>
      <c r="GZ112" s="19"/>
      <c r="HA112" s="19"/>
    </row>
    <row r="113" spans="1:209" ht="23.25" customHeight="1" x14ac:dyDescent="0.15">
      <c r="A113" s="26">
        <v>44658.870292060186</v>
      </c>
      <c r="B113" s="27" t="s">
        <v>6</v>
      </c>
      <c r="C113" s="27" t="s">
        <v>11</v>
      </c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  <c r="AX113" s="27" t="s">
        <v>558</v>
      </c>
      <c r="AY113" s="27" t="s">
        <v>486</v>
      </c>
      <c r="AZ113" s="27" t="s">
        <v>349</v>
      </c>
      <c r="BA113" s="27" t="s">
        <v>407</v>
      </c>
      <c r="BB113" s="27" t="s">
        <v>308</v>
      </c>
      <c r="BC113" s="29">
        <v>44341</v>
      </c>
      <c r="BD113" s="29">
        <v>44404</v>
      </c>
      <c r="BE113" s="29">
        <v>44403</v>
      </c>
      <c r="BF113" s="27">
        <v>100</v>
      </c>
      <c r="BG113" s="27" t="s">
        <v>556</v>
      </c>
      <c r="BH113" s="30" t="s">
        <v>559</v>
      </c>
      <c r="BI113" s="28"/>
      <c r="BJ113" s="28"/>
      <c r="BK113" s="28"/>
      <c r="BL113" s="28"/>
      <c r="BM113" s="28"/>
      <c r="BN113" s="28"/>
      <c r="BO113" s="28"/>
      <c r="BP113" s="28"/>
      <c r="BQ113" s="28"/>
      <c r="BR113" s="28"/>
      <c r="BS113" s="28"/>
      <c r="BT113" s="28"/>
      <c r="BU113" s="28"/>
      <c r="BV113" s="28"/>
      <c r="BW113" s="28"/>
      <c r="BX113" s="28"/>
      <c r="BY113" s="19"/>
      <c r="BZ113" s="19"/>
      <c r="CA113" s="19"/>
      <c r="CB113" s="19"/>
      <c r="CC113" s="19"/>
      <c r="CD113" s="19"/>
      <c r="CE113" s="19"/>
      <c r="CF113" s="19"/>
      <c r="CG113" s="19"/>
      <c r="CH113" s="19"/>
      <c r="CI113" s="19"/>
      <c r="CJ113" s="19"/>
      <c r="CK113" s="19"/>
      <c r="CL113" s="19"/>
      <c r="CM113" s="19"/>
      <c r="CN113" s="19"/>
      <c r="CO113" s="19"/>
      <c r="CP113" s="19"/>
      <c r="CQ113" s="19"/>
      <c r="CR113" s="19"/>
      <c r="CS113" s="19"/>
      <c r="CT113" s="19"/>
      <c r="CU113" s="19"/>
      <c r="CV113" s="19"/>
      <c r="CW113" s="19"/>
      <c r="CX113" s="19"/>
      <c r="CY113" s="19"/>
      <c r="CZ113" s="19"/>
      <c r="DA113" s="19"/>
      <c r="DB113" s="19"/>
      <c r="DC113" s="19"/>
      <c r="DD113" s="19"/>
      <c r="DE113" s="19"/>
      <c r="DF113" s="19"/>
      <c r="DG113" s="19"/>
      <c r="DH113" s="19"/>
      <c r="DI113" s="19"/>
      <c r="DJ113" s="19"/>
      <c r="DK113" s="19"/>
      <c r="DL113" s="19"/>
      <c r="DM113" s="19"/>
      <c r="DN113" s="19"/>
      <c r="DO113" s="19"/>
      <c r="DP113" s="19"/>
      <c r="DQ113" s="19"/>
      <c r="DR113" s="19"/>
      <c r="DS113" s="19"/>
      <c r="DT113" s="19"/>
      <c r="DU113" s="19"/>
      <c r="DV113" s="19"/>
      <c r="DW113" s="19"/>
      <c r="DX113" s="19"/>
      <c r="DY113" s="19"/>
      <c r="DZ113" s="19"/>
      <c r="EA113" s="19"/>
      <c r="EB113" s="19"/>
      <c r="EC113" s="19"/>
      <c r="ED113" s="19"/>
      <c r="EE113" s="19"/>
      <c r="EF113" s="19"/>
      <c r="EG113" s="19"/>
      <c r="EH113" s="19"/>
      <c r="EI113" s="19"/>
      <c r="EJ113" s="19"/>
      <c r="EK113" s="19"/>
      <c r="EL113" s="19"/>
      <c r="EM113" s="19"/>
      <c r="EN113" s="19"/>
      <c r="EO113" s="19"/>
      <c r="EP113" s="19"/>
      <c r="EQ113" s="19"/>
      <c r="ER113" s="19"/>
      <c r="ES113" s="19"/>
      <c r="ET113" s="19"/>
      <c r="EU113" s="19"/>
      <c r="EV113" s="19"/>
      <c r="EW113" s="19"/>
      <c r="EX113" s="19"/>
      <c r="EY113" s="19"/>
      <c r="EZ113" s="19"/>
      <c r="FA113" s="19"/>
      <c r="FB113" s="19"/>
      <c r="FC113" s="19"/>
      <c r="FD113" s="19"/>
      <c r="FE113" s="19"/>
      <c r="FF113" s="19"/>
      <c r="FG113" s="19"/>
      <c r="FH113" s="19"/>
      <c r="FI113" s="19"/>
      <c r="FJ113" s="19"/>
      <c r="FK113" s="19"/>
      <c r="FL113" s="20" t="s">
        <v>488</v>
      </c>
      <c r="FM113" s="20" t="s">
        <v>339</v>
      </c>
      <c r="FN113" s="19"/>
      <c r="FO113" s="19"/>
      <c r="FP113" s="19"/>
      <c r="FQ113" s="19"/>
      <c r="FR113" s="19"/>
      <c r="FS113" s="19"/>
      <c r="FT113" s="19"/>
      <c r="FU113" s="19"/>
      <c r="FV113" s="19"/>
      <c r="FW113" s="19"/>
      <c r="FX113" s="19"/>
      <c r="FY113" s="19"/>
      <c r="FZ113" s="19"/>
      <c r="GA113" s="19"/>
      <c r="GB113" s="19"/>
      <c r="GC113" s="19"/>
      <c r="GD113" s="19"/>
      <c r="GE113" s="19"/>
      <c r="GF113" s="19"/>
      <c r="GG113" s="19"/>
      <c r="GH113" s="19"/>
      <c r="GI113" s="19"/>
      <c r="GJ113" s="19"/>
      <c r="GK113" s="19"/>
      <c r="GL113" s="19"/>
      <c r="GM113" s="19"/>
      <c r="GN113" s="19"/>
      <c r="GO113" s="19"/>
      <c r="GP113" s="19"/>
      <c r="GQ113" s="19"/>
      <c r="GR113" s="19"/>
      <c r="GS113" s="19"/>
      <c r="GT113" s="19"/>
      <c r="GU113" s="19"/>
      <c r="GV113" s="19"/>
      <c r="GW113" s="19"/>
      <c r="GX113" s="19"/>
      <c r="GY113" s="19"/>
      <c r="GZ113" s="19"/>
      <c r="HA113" s="19"/>
    </row>
    <row r="114" spans="1:209" ht="23.25" customHeight="1" x14ac:dyDescent="0.15">
      <c r="A114" s="26">
        <v>44658.872575729169</v>
      </c>
      <c r="B114" s="27" t="s">
        <v>6</v>
      </c>
      <c r="C114" s="27" t="s">
        <v>17</v>
      </c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  <c r="AX114" s="28"/>
      <c r="AY114" s="28"/>
      <c r="AZ114" s="28"/>
      <c r="BA114" s="28"/>
      <c r="BB114" s="28"/>
      <c r="BC114" s="28"/>
      <c r="BD114" s="28"/>
      <c r="BE114" s="28"/>
      <c r="BF114" s="28"/>
      <c r="BG114" s="28"/>
      <c r="BH114" s="28"/>
      <c r="BI114" s="28"/>
      <c r="BJ114" s="28"/>
      <c r="BK114" s="28"/>
      <c r="BL114" s="28"/>
      <c r="BM114" s="28"/>
      <c r="BN114" s="28"/>
      <c r="BO114" s="28"/>
      <c r="BP114" s="28"/>
      <c r="BQ114" s="28"/>
      <c r="BR114" s="28"/>
      <c r="BS114" s="28"/>
      <c r="BT114" s="28"/>
      <c r="BU114" s="28"/>
      <c r="BV114" s="28"/>
      <c r="BW114" s="28"/>
      <c r="BX114" s="28"/>
      <c r="BY114" s="19"/>
      <c r="BZ114" s="19"/>
      <c r="CA114" s="19"/>
      <c r="CB114" s="19"/>
      <c r="CC114" s="19"/>
      <c r="CD114" s="19"/>
      <c r="CE114" s="19"/>
      <c r="CF114" s="19"/>
      <c r="CG114" s="19"/>
      <c r="CH114" s="19"/>
      <c r="CI114" s="19"/>
      <c r="CJ114" s="19"/>
      <c r="CK114" s="19"/>
      <c r="CL114" s="19"/>
      <c r="CM114" s="19"/>
      <c r="CN114" s="19"/>
      <c r="CO114" s="19"/>
      <c r="CP114" s="19"/>
      <c r="CQ114" s="19"/>
      <c r="CR114" s="19"/>
      <c r="CS114" s="19"/>
      <c r="CT114" s="19"/>
      <c r="CU114" s="19"/>
      <c r="CV114" s="19"/>
      <c r="CW114" s="19"/>
      <c r="CX114" s="19"/>
      <c r="CY114" s="19"/>
      <c r="CZ114" s="19"/>
      <c r="DA114" s="19"/>
      <c r="DB114" s="19"/>
      <c r="DC114" s="19"/>
      <c r="DD114" s="19"/>
      <c r="DE114" s="19"/>
      <c r="DF114" s="19"/>
      <c r="DG114" s="19"/>
      <c r="DH114" s="19"/>
      <c r="DI114" s="19"/>
      <c r="DJ114" s="19"/>
      <c r="DK114" s="19"/>
      <c r="DL114" s="19"/>
      <c r="DM114" s="19"/>
      <c r="DN114" s="19"/>
      <c r="DO114" s="19"/>
      <c r="DP114" s="19"/>
      <c r="DQ114" s="19"/>
      <c r="DR114" s="19"/>
      <c r="DS114" s="19"/>
      <c r="DT114" s="19"/>
      <c r="DU114" s="19"/>
      <c r="DV114" s="19"/>
      <c r="DW114" s="19"/>
      <c r="DX114" s="20" t="s">
        <v>247</v>
      </c>
      <c r="DY114" s="20" t="s">
        <v>248</v>
      </c>
      <c r="DZ114" s="20" t="s">
        <v>311</v>
      </c>
      <c r="EA114" s="20" t="s">
        <v>560</v>
      </c>
      <c r="EB114" s="21">
        <v>44618</v>
      </c>
      <c r="EC114" s="20" t="s">
        <v>561</v>
      </c>
      <c r="ED114" s="22" t="s">
        <v>562</v>
      </c>
      <c r="EE114" s="19"/>
      <c r="EF114" s="19"/>
      <c r="EG114" s="19"/>
      <c r="EH114" s="19"/>
      <c r="EI114" s="19"/>
      <c r="EJ114" s="19"/>
      <c r="EK114" s="19"/>
      <c r="EL114" s="19"/>
      <c r="EM114" s="19"/>
      <c r="EN114" s="19"/>
      <c r="EO114" s="19"/>
      <c r="EP114" s="19"/>
      <c r="EQ114" s="19"/>
      <c r="ER114" s="19"/>
      <c r="ES114" s="19"/>
      <c r="ET114" s="19"/>
      <c r="EU114" s="19"/>
      <c r="EV114" s="19"/>
      <c r="EW114" s="19"/>
      <c r="EX114" s="19"/>
      <c r="EY114" s="19"/>
      <c r="EZ114" s="19"/>
      <c r="FA114" s="19"/>
      <c r="FB114" s="19"/>
      <c r="FC114" s="19"/>
      <c r="FD114" s="19"/>
      <c r="FE114" s="19"/>
      <c r="FF114" s="19"/>
      <c r="FG114" s="19"/>
      <c r="FH114" s="19"/>
      <c r="FI114" s="19"/>
      <c r="FJ114" s="19"/>
      <c r="FK114" s="19"/>
      <c r="FL114" s="20" t="s">
        <v>254</v>
      </c>
      <c r="FM114" s="20" t="s">
        <v>255</v>
      </c>
      <c r="FN114" s="19"/>
      <c r="FO114" s="19"/>
      <c r="FP114" s="19"/>
      <c r="FQ114" s="19"/>
      <c r="FR114" s="19"/>
      <c r="FS114" s="19"/>
      <c r="FT114" s="19"/>
      <c r="FU114" s="19"/>
      <c r="FV114" s="19"/>
      <c r="FW114" s="19"/>
      <c r="FX114" s="19"/>
      <c r="FY114" s="19"/>
      <c r="FZ114" s="19"/>
      <c r="GA114" s="19"/>
      <c r="GB114" s="19"/>
      <c r="GC114" s="19"/>
      <c r="GD114" s="19"/>
      <c r="GE114" s="19"/>
      <c r="GF114" s="19"/>
      <c r="GG114" s="19"/>
      <c r="GH114" s="19"/>
      <c r="GI114" s="19"/>
      <c r="GJ114" s="19"/>
      <c r="GK114" s="19"/>
      <c r="GL114" s="19"/>
      <c r="GM114" s="19"/>
      <c r="GN114" s="19"/>
      <c r="GO114" s="19"/>
      <c r="GP114" s="19"/>
      <c r="GQ114" s="19"/>
      <c r="GR114" s="19"/>
      <c r="GS114" s="19"/>
      <c r="GT114" s="19"/>
      <c r="GU114" s="19"/>
      <c r="GV114" s="19"/>
      <c r="GW114" s="19"/>
      <c r="GX114" s="19"/>
      <c r="GY114" s="19"/>
      <c r="GZ114" s="19"/>
      <c r="HA114" s="19"/>
    </row>
    <row r="115" spans="1:209" ht="23.25" customHeight="1" x14ac:dyDescent="0.15">
      <c r="A115" s="26">
        <v>44658.873086006948</v>
      </c>
      <c r="B115" s="27" t="s">
        <v>6</v>
      </c>
      <c r="C115" s="27" t="s">
        <v>11</v>
      </c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  <c r="AX115" s="27" t="s">
        <v>485</v>
      </c>
      <c r="AY115" s="27" t="s">
        <v>486</v>
      </c>
      <c r="AZ115" s="27" t="s">
        <v>563</v>
      </c>
      <c r="BA115" s="27" t="s">
        <v>335</v>
      </c>
      <c r="BB115" s="27" t="s">
        <v>507</v>
      </c>
      <c r="BC115" s="29">
        <v>44321</v>
      </c>
      <c r="BD115" s="29">
        <v>44381</v>
      </c>
      <c r="BE115" s="29">
        <v>44380</v>
      </c>
      <c r="BF115" s="27">
        <v>100</v>
      </c>
      <c r="BG115" s="27" t="s">
        <v>556</v>
      </c>
      <c r="BH115" s="30" t="s">
        <v>564</v>
      </c>
      <c r="BI115" s="28"/>
      <c r="BJ115" s="28"/>
      <c r="BK115" s="28"/>
      <c r="BL115" s="28"/>
      <c r="BM115" s="28"/>
      <c r="BN115" s="28"/>
      <c r="BO115" s="28"/>
      <c r="BP115" s="28"/>
      <c r="BQ115" s="28"/>
      <c r="BR115" s="28"/>
      <c r="BS115" s="28"/>
      <c r="BT115" s="28"/>
      <c r="BU115" s="28"/>
      <c r="BV115" s="28"/>
      <c r="BW115" s="28"/>
      <c r="BX115" s="28"/>
      <c r="BY115" s="19"/>
      <c r="BZ115" s="19"/>
      <c r="CA115" s="19"/>
      <c r="CB115" s="19"/>
      <c r="CC115" s="19"/>
      <c r="CD115" s="19"/>
      <c r="CE115" s="19"/>
      <c r="CF115" s="19"/>
      <c r="CG115" s="19"/>
      <c r="CH115" s="19"/>
      <c r="CI115" s="19"/>
      <c r="CJ115" s="19"/>
      <c r="CK115" s="19"/>
      <c r="CL115" s="19"/>
      <c r="CM115" s="19"/>
      <c r="CN115" s="19"/>
      <c r="CO115" s="19"/>
      <c r="CP115" s="19"/>
      <c r="CQ115" s="19"/>
      <c r="CR115" s="19"/>
      <c r="CS115" s="19"/>
      <c r="CT115" s="19"/>
      <c r="CU115" s="19"/>
      <c r="CV115" s="19"/>
      <c r="CW115" s="19"/>
      <c r="CX115" s="19"/>
      <c r="CY115" s="19"/>
      <c r="CZ115" s="19"/>
      <c r="DA115" s="19"/>
      <c r="DB115" s="19"/>
      <c r="DC115" s="19"/>
      <c r="DD115" s="19"/>
      <c r="DE115" s="19"/>
      <c r="DF115" s="19"/>
      <c r="DG115" s="19"/>
      <c r="DH115" s="19"/>
      <c r="DI115" s="19"/>
      <c r="DJ115" s="19"/>
      <c r="DK115" s="19"/>
      <c r="DL115" s="19"/>
      <c r="DM115" s="19"/>
      <c r="DN115" s="19"/>
      <c r="DO115" s="19"/>
      <c r="DP115" s="19"/>
      <c r="DQ115" s="19"/>
      <c r="DR115" s="19"/>
      <c r="DS115" s="19"/>
      <c r="DT115" s="19"/>
      <c r="DU115" s="19"/>
      <c r="DV115" s="19"/>
      <c r="DW115" s="19"/>
      <c r="DX115" s="19"/>
      <c r="DY115" s="19"/>
      <c r="DZ115" s="19"/>
      <c r="EA115" s="19"/>
      <c r="EB115" s="19"/>
      <c r="EC115" s="19"/>
      <c r="ED115" s="19"/>
      <c r="EE115" s="19"/>
      <c r="EF115" s="19"/>
      <c r="EG115" s="19"/>
      <c r="EH115" s="19"/>
      <c r="EI115" s="19"/>
      <c r="EJ115" s="19"/>
      <c r="EK115" s="19"/>
      <c r="EL115" s="19"/>
      <c r="EM115" s="19"/>
      <c r="EN115" s="19"/>
      <c r="EO115" s="19"/>
      <c r="EP115" s="19"/>
      <c r="EQ115" s="19"/>
      <c r="ER115" s="19"/>
      <c r="ES115" s="19"/>
      <c r="ET115" s="19"/>
      <c r="EU115" s="19"/>
      <c r="EV115" s="19"/>
      <c r="EW115" s="19"/>
      <c r="EX115" s="19"/>
      <c r="EY115" s="19"/>
      <c r="EZ115" s="19"/>
      <c r="FA115" s="19"/>
      <c r="FB115" s="19"/>
      <c r="FC115" s="19"/>
      <c r="FD115" s="19"/>
      <c r="FE115" s="19"/>
      <c r="FF115" s="19"/>
      <c r="FG115" s="19"/>
      <c r="FH115" s="19"/>
      <c r="FI115" s="19"/>
      <c r="FJ115" s="19"/>
      <c r="FK115" s="19"/>
      <c r="FL115" s="20" t="s">
        <v>488</v>
      </c>
      <c r="FM115" s="20" t="s">
        <v>339</v>
      </c>
      <c r="FN115" s="19"/>
      <c r="FO115" s="19"/>
      <c r="FP115" s="19"/>
      <c r="FQ115" s="19"/>
      <c r="FR115" s="19"/>
      <c r="FS115" s="19"/>
      <c r="FT115" s="19"/>
      <c r="FU115" s="19"/>
      <c r="FV115" s="19"/>
      <c r="FW115" s="19"/>
      <c r="FX115" s="19"/>
      <c r="FY115" s="19"/>
      <c r="FZ115" s="19"/>
      <c r="GA115" s="19"/>
      <c r="GB115" s="19"/>
      <c r="GC115" s="19"/>
      <c r="GD115" s="19"/>
      <c r="GE115" s="19"/>
      <c r="GF115" s="19"/>
      <c r="GG115" s="19"/>
      <c r="GH115" s="19"/>
      <c r="GI115" s="19"/>
      <c r="GJ115" s="19"/>
      <c r="GK115" s="19"/>
      <c r="GL115" s="19"/>
      <c r="GM115" s="19"/>
      <c r="GN115" s="19"/>
      <c r="GO115" s="19"/>
      <c r="GP115" s="19"/>
      <c r="GQ115" s="19"/>
      <c r="GR115" s="19"/>
      <c r="GS115" s="19"/>
      <c r="GT115" s="19"/>
      <c r="GU115" s="19"/>
      <c r="GV115" s="19"/>
      <c r="GW115" s="19"/>
      <c r="GX115" s="19"/>
      <c r="GY115" s="19"/>
      <c r="GZ115" s="19"/>
      <c r="HA115" s="19"/>
    </row>
    <row r="116" spans="1:209" ht="23.25" customHeight="1" x14ac:dyDescent="0.15">
      <c r="A116" s="26">
        <v>44658.889244189813</v>
      </c>
      <c r="B116" s="27" t="s">
        <v>6</v>
      </c>
      <c r="C116" s="27" t="s">
        <v>10</v>
      </c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7" t="s">
        <v>256</v>
      </c>
      <c r="AO116" s="27" t="s">
        <v>257</v>
      </c>
      <c r="AP116" s="27" t="s">
        <v>565</v>
      </c>
      <c r="AQ116" s="27" t="s">
        <v>493</v>
      </c>
      <c r="AR116" s="29">
        <v>44338</v>
      </c>
      <c r="AS116" s="29">
        <v>44732</v>
      </c>
      <c r="AT116" s="27" t="s">
        <v>252</v>
      </c>
      <c r="AU116" s="27" t="s">
        <v>252</v>
      </c>
      <c r="AV116" s="27">
        <v>0</v>
      </c>
      <c r="AW116" s="30" t="s">
        <v>566</v>
      </c>
      <c r="AX116" s="28"/>
      <c r="AY116" s="28"/>
      <c r="AZ116" s="28"/>
      <c r="BA116" s="28"/>
      <c r="BB116" s="28"/>
      <c r="BC116" s="28"/>
      <c r="BD116" s="28"/>
      <c r="BE116" s="28"/>
      <c r="BF116" s="28"/>
      <c r="BG116" s="28"/>
      <c r="BH116" s="28"/>
      <c r="BI116" s="28"/>
      <c r="BJ116" s="28"/>
      <c r="BK116" s="28"/>
      <c r="BL116" s="28"/>
      <c r="BM116" s="28"/>
      <c r="BN116" s="28"/>
      <c r="BO116" s="28"/>
      <c r="BP116" s="28"/>
      <c r="BQ116" s="28"/>
      <c r="BR116" s="28"/>
      <c r="BS116" s="28"/>
      <c r="BT116" s="28"/>
      <c r="BU116" s="28"/>
      <c r="BV116" s="28"/>
      <c r="BW116" s="28"/>
      <c r="BX116" s="28"/>
      <c r="BY116" s="19"/>
      <c r="BZ116" s="19"/>
      <c r="CA116" s="19"/>
      <c r="CB116" s="19"/>
      <c r="CC116" s="19"/>
      <c r="CD116" s="19"/>
      <c r="CE116" s="19"/>
      <c r="CF116" s="19"/>
      <c r="CG116" s="19"/>
      <c r="CH116" s="19"/>
      <c r="CI116" s="19"/>
      <c r="CJ116" s="19"/>
      <c r="CK116" s="19"/>
      <c r="CL116" s="19"/>
      <c r="CM116" s="19"/>
      <c r="CN116" s="19"/>
      <c r="CO116" s="19"/>
      <c r="CP116" s="19"/>
      <c r="CQ116" s="19"/>
      <c r="CR116" s="19"/>
      <c r="CS116" s="19"/>
      <c r="CT116" s="19"/>
      <c r="CU116" s="19"/>
      <c r="CV116" s="19"/>
      <c r="CW116" s="19"/>
      <c r="CX116" s="19"/>
      <c r="CY116" s="19"/>
      <c r="CZ116" s="19"/>
      <c r="DA116" s="19"/>
      <c r="DB116" s="19"/>
      <c r="DC116" s="19"/>
      <c r="DD116" s="19"/>
      <c r="DE116" s="19"/>
      <c r="DF116" s="19"/>
      <c r="DG116" s="19"/>
      <c r="DH116" s="19"/>
      <c r="DI116" s="19"/>
      <c r="DJ116" s="19"/>
      <c r="DK116" s="19"/>
      <c r="DL116" s="19"/>
      <c r="DM116" s="19"/>
      <c r="DN116" s="19"/>
      <c r="DO116" s="19"/>
      <c r="DP116" s="19"/>
      <c r="DQ116" s="19"/>
      <c r="DR116" s="19"/>
      <c r="DS116" s="19"/>
      <c r="DT116" s="19"/>
      <c r="DU116" s="19"/>
      <c r="DV116" s="19"/>
      <c r="DW116" s="19"/>
      <c r="DX116" s="19"/>
      <c r="DY116" s="19"/>
      <c r="DZ116" s="19"/>
      <c r="EA116" s="19"/>
      <c r="EB116" s="19"/>
      <c r="EC116" s="19"/>
      <c r="ED116" s="19"/>
      <c r="EE116" s="19"/>
      <c r="EF116" s="19"/>
      <c r="EG116" s="19"/>
      <c r="EH116" s="19"/>
      <c r="EI116" s="19"/>
      <c r="EJ116" s="19"/>
      <c r="EK116" s="19"/>
      <c r="EL116" s="19"/>
      <c r="EM116" s="19"/>
      <c r="EN116" s="19"/>
      <c r="EO116" s="19"/>
      <c r="EP116" s="19"/>
      <c r="EQ116" s="19"/>
      <c r="ER116" s="19"/>
      <c r="ES116" s="19"/>
      <c r="ET116" s="19"/>
      <c r="EU116" s="19"/>
      <c r="EV116" s="19"/>
      <c r="EW116" s="19"/>
      <c r="EX116" s="19"/>
      <c r="EY116" s="19"/>
      <c r="EZ116" s="19"/>
      <c r="FA116" s="19"/>
      <c r="FB116" s="19"/>
      <c r="FC116" s="19"/>
      <c r="FD116" s="19"/>
      <c r="FE116" s="19"/>
      <c r="FF116" s="19"/>
      <c r="FG116" s="19"/>
      <c r="FH116" s="19"/>
      <c r="FI116" s="19"/>
      <c r="FJ116" s="19"/>
      <c r="FK116" s="19"/>
      <c r="FL116" s="20" t="s">
        <v>567</v>
      </c>
      <c r="FM116" s="20" t="s">
        <v>255</v>
      </c>
      <c r="FN116" s="19"/>
      <c r="FO116" s="19"/>
      <c r="FP116" s="19"/>
      <c r="FQ116" s="19"/>
      <c r="FR116" s="19"/>
      <c r="FS116" s="19"/>
      <c r="FT116" s="19"/>
      <c r="FU116" s="19"/>
      <c r="FV116" s="19"/>
      <c r="FW116" s="19"/>
      <c r="FX116" s="19"/>
      <c r="FY116" s="19"/>
      <c r="FZ116" s="19"/>
      <c r="GA116" s="19"/>
      <c r="GB116" s="19"/>
      <c r="GC116" s="19"/>
      <c r="GD116" s="19"/>
      <c r="GE116" s="19"/>
      <c r="GF116" s="19"/>
      <c r="GG116" s="19"/>
      <c r="GH116" s="19"/>
      <c r="GI116" s="19"/>
      <c r="GJ116" s="19"/>
      <c r="GK116" s="19"/>
      <c r="GL116" s="19"/>
      <c r="GM116" s="19"/>
      <c r="GN116" s="19"/>
      <c r="GO116" s="19"/>
      <c r="GP116" s="19"/>
      <c r="GQ116" s="19"/>
      <c r="GR116" s="19"/>
      <c r="GS116" s="19"/>
      <c r="GT116" s="19"/>
      <c r="GU116" s="19"/>
      <c r="GV116" s="19"/>
      <c r="GW116" s="19"/>
      <c r="GX116" s="19"/>
      <c r="GY116" s="19"/>
      <c r="GZ116" s="19"/>
      <c r="HA116" s="19"/>
    </row>
    <row r="117" spans="1:209" ht="23.25" customHeight="1" x14ac:dyDescent="0.15">
      <c r="A117" s="26">
        <v>44658.890273078709</v>
      </c>
      <c r="B117" s="27" t="s">
        <v>6</v>
      </c>
      <c r="C117" s="27" t="s">
        <v>11</v>
      </c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  <c r="AX117" s="27" t="s">
        <v>247</v>
      </c>
      <c r="AY117" s="27" t="s">
        <v>248</v>
      </c>
      <c r="AZ117" s="27" t="s">
        <v>568</v>
      </c>
      <c r="BA117" s="27" t="s">
        <v>335</v>
      </c>
      <c r="BB117" s="27" t="s">
        <v>308</v>
      </c>
      <c r="BC117" s="29">
        <v>44317</v>
      </c>
      <c r="BD117" s="29">
        <v>44378</v>
      </c>
      <c r="BE117" s="29">
        <v>44377</v>
      </c>
      <c r="BF117" s="27">
        <v>98</v>
      </c>
      <c r="BG117" s="27" t="s">
        <v>337</v>
      </c>
      <c r="BH117" s="30" t="s">
        <v>569</v>
      </c>
      <c r="BI117" s="28"/>
      <c r="BJ117" s="28"/>
      <c r="BK117" s="28"/>
      <c r="BL117" s="28"/>
      <c r="BM117" s="28"/>
      <c r="BN117" s="28"/>
      <c r="BO117" s="28"/>
      <c r="BP117" s="28"/>
      <c r="BQ117" s="28"/>
      <c r="BR117" s="28"/>
      <c r="BS117" s="28"/>
      <c r="BT117" s="28"/>
      <c r="BU117" s="28"/>
      <c r="BV117" s="28"/>
      <c r="BW117" s="28"/>
      <c r="BX117" s="28"/>
      <c r="BY117" s="19"/>
      <c r="BZ117" s="19"/>
      <c r="CA117" s="19"/>
      <c r="CB117" s="19"/>
      <c r="CC117" s="19"/>
      <c r="CD117" s="19"/>
      <c r="CE117" s="19"/>
      <c r="CF117" s="19"/>
      <c r="CG117" s="19"/>
      <c r="CH117" s="19"/>
      <c r="CI117" s="19"/>
      <c r="CJ117" s="19"/>
      <c r="CK117" s="19"/>
      <c r="CL117" s="19"/>
      <c r="CM117" s="19"/>
      <c r="CN117" s="19"/>
      <c r="CO117" s="19"/>
      <c r="CP117" s="19"/>
      <c r="CQ117" s="19"/>
      <c r="CR117" s="19"/>
      <c r="CS117" s="19"/>
      <c r="CT117" s="19"/>
      <c r="CU117" s="19"/>
      <c r="CV117" s="19"/>
      <c r="CW117" s="19"/>
      <c r="CX117" s="19"/>
      <c r="CY117" s="19"/>
      <c r="CZ117" s="19"/>
      <c r="DA117" s="19"/>
      <c r="DB117" s="19"/>
      <c r="DC117" s="19"/>
      <c r="DD117" s="19"/>
      <c r="DE117" s="19"/>
      <c r="DF117" s="19"/>
      <c r="DG117" s="19"/>
      <c r="DH117" s="19"/>
      <c r="DI117" s="19"/>
      <c r="DJ117" s="19"/>
      <c r="DK117" s="19"/>
      <c r="DL117" s="19"/>
      <c r="DM117" s="19"/>
      <c r="DN117" s="19"/>
      <c r="DO117" s="19"/>
      <c r="DP117" s="19"/>
      <c r="DQ117" s="19"/>
      <c r="DR117" s="19"/>
      <c r="DS117" s="19"/>
      <c r="DT117" s="19"/>
      <c r="DU117" s="19"/>
      <c r="DV117" s="19"/>
      <c r="DW117" s="19"/>
      <c r="DX117" s="19"/>
      <c r="DY117" s="19"/>
      <c r="DZ117" s="19"/>
      <c r="EA117" s="19"/>
      <c r="EB117" s="19"/>
      <c r="EC117" s="19"/>
      <c r="ED117" s="19"/>
      <c r="EE117" s="19"/>
      <c r="EF117" s="19"/>
      <c r="EG117" s="19"/>
      <c r="EH117" s="19"/>
      <c r="EI117" s="19"/>
      <c r="EJ117" s="19"/>
      <c r="EK117" s="19"/>
      <c r="EL117" s="19"/>
      <c r="EM117" s="19"/>
      <c r="EN117" s="19"/>
      <c r="EO117" s="19"/>
      <c r="EP117" s="19"/>
      <c r="EQ117" s="19"/>
      <c r="ER117" s="19"/>
      <c r="ES117" s="19"/>
      <c r="ET117" s="19"/>
      <c r="EU117" s="19"/>
      <c r="EV117" s="19"/>
      <c r="EW117" s="19"/>
      <c r="EX117" s="19"/>
      <c r="EY117" s="19"/>
      <c r="EZ117" s="19"/>
      <c r="FA117" s="19"/>
      <c r="FB117" s="19"/>
      <c r="FC117" s="19"/>
      <c r="FD117" s="19"/>
      <c r="FE117" s="19"/>
      <c r="FF117" s="19"/>
      <c r="FG117" s="19"/>
      <c r="FH117" s="19"/>
      <c r="FI117" s="19"/>
      <c r="FJ117" s="19"/>
      <c r="FK117" s="19"/>
      <c r="FL117" s="20" t="s">
        <v>254</v>
      </c>
      <c r="FM117" s="20" t="s">
        <v>339</v>
      </c>
      <c r="FN117" s="19"/>
      <c r="FO117" s="19"/>
      <c r="FP117" s="19"/>
      <c r="FQ117" s="19"/>
      <c r="FR117" s="19"/>
      <c r="FS117" s="19"/>
      <c r="FT117" s="19"/>
      <c r="FU117" s="19"/>
      <c r="FV117" s="19"/>
      <c r="FW117" s="19"/>
      <c r="FX117" s="19"/>
      <c r="FY117" s="19"/>
      <c r="FZ117" s="19"/>
      <c r="GA117" s="19"/>
      <c r="GB117" s="19"/>
      <c r="GC117" s="19"/>
      <c r="GD117" s="19"/>
      <c r="GE117" s="19"/>
      <c r="GF117" s="19"/>
      <c r="GG117" s="19"/>
      <c r="GH117" s="19"/>
      <c r="GI117" s="19"/>
      <c r="GJ117" s="19"/>
      <c r="GK117" s="19"/>
      <c r="GL117" s="19"/>
      <c r="GM117" s="19"/>
      <c r="GN117" s="19"/>
      <c r="GO117" s="19"/>
      <c r="GP117" s="19"/>
      <c r="GQ117" s="19"/>
      <c r="GR117" s="19"/>
      <c r="GS117" s="19"/>
      <c r="GT117" s="19"/>
      <c r="GU117" s="19"/>
      <c r="GV117" s="19"/>
      <c r="GW117" s="19"/>
      <c r="GX117" s="19"/>
      <c r="GY117" s="19"/>
      <c r="GZ117" s="19"/>
      <c r="HA117" s="19"/>
    </row>
    <row r="118" spans="1:209" ht="23.25" customHeight="1" x14ac:dyDescent="0.15">
      <c r="A118" s="26">
        <v>44658.892439953706</v>
      </c>
      <c r="B118" s="27" t="s">
        <v>6</v>
      </c>
      <c r="C118" s="27" t="s">
        <v>10</v>
      </c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7" t="s">
        <v>256</v>
      </c>
      <c r="AO118" s="27" t="s">
        <v>257</v>
      </c>
      <c r="AP118" s="27" t="s">
        <v>565</v>
      </c>
      <c r="AQ118" s="27" t="s">
        <v>493</v>
      </c>
      <c r="AR118" s="29">
        <v>44338</v>
      </c>
      <c r="AS118" s="29">
        <v>44367</v>
      </c>
      <c r="AT118" s="27" t="s">
        <v>252</v>
      </c>
      <c r="AU118" s="27" t="s">
        <v>252</v>
      </c>
      <c r="AV118" s="27">
        <v>0</v>
      </c>
      <c r="AW118" s="30" t="s">
        <v>570</v>
      </c>
      <c r="AX118" s="28"/>
      <c r="AY118" s="28"/>
      <c r="AZ118" s="28"/>
      <c r="BA118" s="28"/>
      <c r="BB118" s="28"/>
      <c r="BC118" s="28"/>
      <c r="BD118" s="28"/>
      <c r="BE118" s="28"/>
      <c r="BF118" s="28"/>
      <c r="BG118" s="28"/>
      <c r="BH118" s="28"/>
      <c r="BI118" s="28"/>
      <c r="BJ118" s="28"/>
      <c r="BK118" s="28"/>
      <c r="BL118" s="28"/>
      <c r="BM118" s="28"/>
      <c r="BN118" s="28"/>
      <c r="BO118" s="28"/>
      <c r="BP118" s="28"/>
      <c r="BQ118" s="28"/>
      <c r="BR118" s="28"/>
      <c r="BS118" s="28"/>
      <c r="BT118" s="28"/>
      <c r="BU118" s="28"/>
      <c r="BV118" s="28"/>
      <c r="BW118" s="28"/>
      <c r="BX118" s="28"/>
      <c r="BY118" s="19"/>
      <c r="BZ118" s="19"/>
      <c r="CA118" s="19"/>
      <c r="CB118" s="19"/>
      <c r="CC118" s="19"/>
      <c r="CD118" s="19"/>
      <c r="CE118" s="19"/>
      <c r="CF118" s="19"/>
      <c r="CG118" s="19"/>
      <c r="CH118" s="19"/>
      <c r="CI118" s="19"/>
      <c r="CJ118" s="19"/>
      <c r="CK118" s="19"/>
      <c r="CL118" s="19"/>
      <c r="CM118" s="19"/>
      <c r="CN118" s="19"/>
      <c r="CO118" s="19"/>
      <c r="CP118" s="19"/>
      <c r="CQ118" s="19"/>
      <c r="CR118" s="19"/>
      <c r="CS118" s="19"/>
      <c r="CT118" s="19"/>
      <c r="CU118" s="19"/>
      <c r="CV118" s="19"/>
      <c r="CW118" s="19"/>
      <c r="CX118" s="19"/>
      <c r="CY118" s="19"/>
      <c r="CZ118" s="19"/>
      <c r="DA118" s="19"/>
      <c r="DB118" s="19"/>
      <c r="DC118" s="19"/>
      <c r="DD118" s="19"/>
      <c r="DE118" s="19"/>
      <c r="DF118" s="19"/>
      <c r="DG118" s="19"/>
      <c r="DH118" s="19"/>
      <c r="DI118" s="19"/>
      <c r="DJ118" s="19"/>
      <c r="DK118" s="19"/>
      <c r="DL118" s="19"/>
      <c r="DM118" s="19"/>
      <c r="DN118" s="19"/>
      <c r="DO118" s="19"/>
      <c r="DP118" s="19"/>
      <c r="DQ118" s="19"/>
      <c r="DR118" s="19"/>
      <c r="DS118" s="19"/>
      <c r="DT118" s="19"/>
      <c r="DU118" s="19"/>
      <c r="DV118" s="19"/>
      <c r="DW118" s="19"/>
      <c r="DX118" s="19"/>
      <c r="DY118" s="19"/>
      <c r="DZ118" s="19"/>
      <c r="EA118" s="19"/>
      <c r="EB118" s="19"/>
      <c r="EC118" s="19"/>
      <c r="ED118" s="19"/>
      <c r="EE118" s="19"/>
      <c r="EF118" s="19"/>
      <c r="EG118" s="19"/>
      <c r="EH118" s="19"/>
      <c r="EI118" s="19"/>
      <c r="EJ118" s="19"/>
      <c r="EK118" s="19"/>
      <c r="EL118" s="19"/>
      <c r="EM118" s="19"/>
      <c r="EN118" s="19"/>
      <c r="EO118" s="19"/>
      <c r="EP118" s="19"/>
      <c r="EQ118" s="19"/>
      <c r="ER118" s="19"/>
      <c r="ES118" s="19"/>
      <c r="ET118" s="19"/>
      <c r="EU118" s="19"/>
      <c r="EV118" s="19"/>
      <c r="EW118" s="19"/>
      <c r="EX118" s="19"/>
      <c r="EY118" s="19"/>
      <c r="EZ118" s="19"/>
      <c r="FA118" s="19"/>
      <c r="FB118" s="19"/>
      <c r="FC118" s="19"/>
      <c r="FD118" s="19"/>
      <c r="FE118" s="19"/>
      <c r="FF118" s="19"/>
      <c r="FG118" s="19"/>
      <c r="FH118" s="19"/>
      <c r="FI118" s="19"/>
      <c r="FJ118" s="19"/>
      <c r="FK118" s="19"/>
      <c r="FL118" s="20" t="s">
        <v>261</v>
      </c>
      <c r="FM118" s="20" t="s">
        <v>255</v>
      </c>
      <c r="FN118" s="19"/>
      <c r="FO118" s="19"/>
      <c r="FP118" s="19"/>
      <c r="FQ118" s="19"/>
      <c r="FR118" s="19"/>
      <c r="FS118" s="19"/>
      <c r="FT118" s="19"/>
      <c r="FU118" s="19"/>
      <c r="FV118" s="19"/>
      <c r="FW118" s="19"/>
      <c r="FX118" s="19"/>
      <c r="FY118" s="19"/>
      <c r="FZ118" s="19"/>
      <c r="GA118" s="19"/>
      <c r="GB118" s="19"/>
      <c r="GC118" s="19"/>
      <c r="GD118" s="19"/>
      <c r="GE118" s="19"/>
      <c r="GF118" s="19"/>
      <c r="GG118" s="19"/>
      <c r="GH118" s="19"/>
      <c r="GI118" s="19"/>
      <c r="GJ118" s="19"/>
      <c r="GK118" s="19"/>
      <c r="GL118" s="19"/>
      <c r="GM118" s="19"/>
      <c r="GN118" s="19"/>
      <c r="GO118" s="19"/>
      <c r="GP118" s="19"/>
      <c r="GQ118" s="19"/>
      <c r="GR118" s="19"/>
      <c r="GS118" s="19"/>
      <c r="GT118" s="19"/>
      <c r="GU118" s="19"/>
      <c r="GV118" s="19"/>
      <c r="GW118" s="19"/>
      <c r="GX118" s="19"/>
      <c r="GY118" s="19"/>
      <c r="GZ118" s="19"/>
      <c r="HA118" s="19"/>
    </row>
    <row r="119" spans="1:209" ht="23.25" customHeight="1" x14ac:dyDescent="0.15">
      <c r="A119" s="26">
        <v>44658.893669074074</v>
      </c>
      <c r="B119" s="27" t="s">
        <v>6</v>
      </c>
      <c r="C119" s="27" t="s">
        <v>11</v>
      </c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  <c r="AX119" s="27" t="s">
        <v>247</v>
      </c>
      <c r="AY119" s="27" t="s">
        <v>248</v>
      </c>
      <c r="AZ119" s="27" t="s">
        <v>349</v>
      </c>
      <c r="BA119" s="27" t="s">
        <v>335</v>
      </c>
      <c r="BB119" s="27" t="s">
        <v>493</v>
      </c>
      <c r="BC119" s="29">
        <v>43647</v>
      </c>
      <c r="BD119" s="29">
        <v>43676</v>
      </c>
      <c r="BE119" s="29">
        <v>43675</v>
      </c>
      <c r="BF119" s="27">
        <v>100</v>
      </c>
      <c r="BG119" s="27" t="s">
        <v>571</v>
      </c>
      <c r="BH119" s="30" t="s">
        <v>572</v>
      </c>
      <c r="BI119" s="28"/>
      <c r="BJ119" s="28"/>
      <c r="BK119" s="28"/>
      <c r="BL119" s="28"/>
      <c r="BM119" s="28"/>
      <c r="BN119" s="28"/>
      <c r="BO119" s="28"/>
      <c r="BP119" s="28"/>
      <c r="BQ119" s="28"/>
      <c r="BR119" s="28"/>
      <c r="BS119" s="28"/>
      <c r="BT119" s="28"/>
      <c r="BU119" s="28"/>
      <c r="BV119" s="28"/>
      <c r="BW119" s="28"/>
      <c r="BX119" s="28"/>
      <c r="BY119" s="19"/>
      <c r="BZ119" s="19"/>
      <c r="CA119" s="19"/>
      <c r="CB119" s="19"/>
      <c r="CC119" s="19"/>
      <c r="CD119" s="19"/>
      <c r="CE119" s="19"/>
      <c r="CF119" s="19"/>
      <c r="CG119" s="19"/>
      <c r="CH119" s="19"/>
      <c r="CI119" s="19"/>
      <c r="CJ119" s="19"/>
      <c r="CK119" s="19"/>
      <c r="CL119" s="19"/>
      <c r="CM119" s="19"/>
      <c r="CN119" s="19"/>
      <c r="CO119" s="19"/>
      <c r="CP119" s="19"/>
      <c r="CQ119" s="19"/>
      <c r="CR119" s="19"/>
      <c r="CS119" s="19"/>
      <c r="CT119" s="19"/>
      <c r="CU119" s="19"/>
      <c r="CV119" s="19"/>
      <c r="CW119" s="19"/>
      <c r="CX119" s="19"/>
      <c r="CY119" s="19"/>
      <c r="CZ119" s="19"/>
      <c r="DA119" s="19"/>
      <c r="DB119" s="19"/>
      <c r="DC119" s="19"/>
      <c r="DD119" s="19"/>
      <c r="DE119" s="19"/>
      <c r="DF119" s="19"/>
      <c r="DG119" s="19"/>
      <c r="DH119" s="19"/>
      <c r="DI119" s="19"/>
      <c r="DJ119" s="19"/>
      <c r="DK119" s="19"/>
      <c r="DL119" s="19"/>
      <c r="DM119" s="19"/>
      <c r="DN119" s="19"/>
      <c r="DO119" s="19"/>
      <c r="DP119" s="19"/>
      <c r="DQ119" s="19"/>
      <c r="DR119" s="19"/>
      <c r="DS119" s="19"/>
      <c r="DT119" s="19"/>
      <c r="DU119" s="19"/>
      <c r="DV119" s="19"/>
      <c r="DW119" s="19"/>
      <c r="DX119" s="19"/>
      <c r="DY119" s="19"/>
      <c r="DZ119" s="19"/>
      <c r="EA119" s="19"/>
      <c r="EB119" s="19"/>
      <c r="EC119" s="19"/>
      <c r="ED119" s="19"/>
      <c r="EE119" s="19"/>
      <c r="EF119" s="19"/>
      <c r="EG119" s="19"/>
      <c r="EH119" s="19"/>
      <c r="EI119" s="19"/>
      <c r="EJ119" s="19"/>
      <c r="EK119" s="19"/>
      <c r="EL119" s="19"/>
      <c r="EM119" s="19"/>
      <c r="EN119" s="19"/>
      <c r="EO119" s="19"/>
      <c r="EP119" s="19"/>
      <c r="EQ119" s="19"/>
      <c r="ER119" s="19"/>
      <c r="ES119" s="19"/>
      <c r="ET119" s="19"/>
      <c r="EU119" s="19"/>
      <c r="EV119" s="19"/>
      <c r="EW119" s="19"/>
      <c r="EX119" s="19"/>
      <c r="EY119" s="19"/>
      <c r="EZ119" s="19"/>
      <c r="FA119" s="19"/>
      <c r="FB119" s="19"/>
      <c r="FC119" s="19"/>
      <c r="FD119" s="19"/>
      <c r="FE119" s="19"/>
      <c r="FF119" s="19"/>
      <c r="FG119" s="19"/>
      <c r="FH119" s="19"/>
      <c r="FI119" s="19"/>
      <c r="FJ119" s="19"/>
      <c r="FK119" s="19"/>
      <c r="FL119" s="20" t="s">
        <v>254</v>
      </c>
      <c r="FM119" s="20" t="s">
        <v>552</v>
      </c>
      <c r="FN119" s="19"/>
      <c r="FO119" s="19"/>
      <c r="FP119" s="19"/>
      <c r="FQ119" s="19"/>
      <c r="FR119" s="19"/>
      <c r="FS119" s="19"/>
      <c r="FT119" s="19"/>
      <c r="FU119" s="19"/>
      <c r="FV119" s="19"/>
      <c r="FW119" s="19"/>
      <c r="FX119" s="19"/>
      <c r="FY119" s="19"/>
      <c r="FZ119" s="19"/>
      <c r="GA119" s="19"/>
      <c r="GB119" s="19"/>
      <c r="GC119" s="19"/>
      <c r="GD119" s="19"/>
      <c r="GE119" s="19"/>
      <c r="GF119" s="19"/>
      <c r="GG119" s="19"/>
      <c r="GH119" s="19"/>
      <c r="GI119" s="19"/>
      <c r="GJ119" s="19"/>
      <c r="GK119" s="19"/>
      <c r="GL119" s="19"/>
      <c r="GM119" s="19"/>
      <c r="GN119" s="19"/>
      <c r="GO119" s="19"/>
      <c r="GP119" s="19"/>
      <c r="GQ119" s="19"/>
      <c r="GR119" s="19"/>
      <c r="GS119" s="19"/>
      <c r="GT119" s="19"/>
      <c r="GU119" s="19"/>
      <c r="GV119" s="19"/>
      <c r="GW119" s="19"/>
      <c r="GX119" s="19"/>
      <c r="GY119" s="19"/>
      <c r="GZ119" s="19"/>
      <c r="HA119" s="19"/>
    </row>
    <row r="120" spans="1:209" ht="23.25" customHeight="1" x14ac:dyDescent="0.15">
      <c r="A120" s="26">
        <v>44658.896293472222</v>
      </c>
      <c r="B120" s="27" t="s">
        <v>6</v>
      </c>
      <c r="C120" s="27" t="s">
        <v>10</v>
      </c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7" t="s">
        <v>256</v>
      </c>
      <c r="AO120" s="27" t="s">
        <v>257</v>
      </c>
      <c r="AP120" s="27" t="s">
        <v>573</v>
      </c>
      <c r="AQ120" s="27" t="s">
        <v>493</v>
      </c>
      <c r="AR120" s="29">
        <v>44338</v>
      </c>
      <c r="AS120" s="29">
        <v>44367</v>
      </c>
      <c r="AT120" s="27" t="s">
        <v>252</v>
      </c>
      <c r="AU120" s="27" t="s">
        <v>252</v>
      </c>
      <c r="AV120" s="27">
        <v>0</v>
      </c>
      <c r="AW120" s="30" t="s">
        <v>574</v>
      </c>
      <c r="AX120" s="28"/>
      <c r="AY120" s="28"/>
      <c r="AZ120" s="28"/>
      <c r="BA120" s="28"/>
      <c r="BB120" s="28"/>
      <c r="BC120" s="28"/>
      <c r="BD120" s="28"/>
      <c r="BE120" s="28"/>
      <c r="BF120" s="28"/>
      <c r="BG120" s="28"/>
      <c r="BH120" s="28"/>
      <c r="BI120" s="28"/>
      <c r="BJ120" s="28"/>
      <c r="BK120" s="28"/>
      <c r="BL120" s="28"/>
      <c r="BM120" s="28"/>
      <c r="BN120" s="28"/>
      <c r="BO120" s="28"/>
      <c r="BP120" s="28"/>
      <c r="BQ120" s="28"/>
      <c r="BR120" s="28"/>
      <c r="BS120" s="28"/>
      <c r="BT120" s="28"/>
      <c r="BU120" s="28"/>
      <c r="BV120" s="28"/>
      <c r="BW120" s="28"/>
      <c r="BX120" s="28"/>
      <c r="BY120" s="19"/>
      <c r="BZ120" s="19"/>
      <c r="CA120" s="19"/>
      <c r="CB120" s="19"/>
      <c r="CC120" s="19"/>
      <c r="CD120" s="19"/>
      <c r="CE120" s="19"/>
      <c r="CF120" s="19"/>
      <c r="CG120" s="19"/>
      <c r="CH120" s="19"/>
      <c r="CI120" s="19"/>
      <c r="CJ120" s="19"/>
      <c r="CK120" s="19"/>
      <c r="CL120" s="19"/>
      <c r="CM120" s="19"/>
      <c r="CN120" s="19"/>
      <c r="CO120" s="19"/>
      <c r="CP120" s="19"/>
      <c r="CQ120" s="19"/>
      <c r="CR120" s="19"/>
      <c r="CS120" s="19"/>
      <c r="CT120" s="19"/>
      <c r="CU120" s="19"/>
      <c r="CV120" s="19"/>
      <c r="CW120" s="19"/>
      <c r="CX120" s="19"/>
      <c r="CY120" s="19"/>
      <c r="CZ120" s="19"/>
      <c r="DA120" s="19"/>
      <c r="DB120" s="19"/>
      <c r="DC120" s="19"/>
      <c r="DD120" s="19"/>
      <c r="DE120" s="19"/>
      <c r="DF120" s="19"/>
      <c r="DG120" s="19"/>
      <c r="DH120" s="19"/>
      <c r="DI120" s="19"/>
      <c r="DJ120" s="19"/>
      <c r="DK120" s="19"/>
      <c r="DL120" s="19"/>
      <c r="DM120" s="19"/>
      <c r="DN120" s="19"/>
      <c r="DO120" s="19"/>
      <c r="DP120" s="19"/>
      <c r="DQ120" s="19"/>
      <c r="DR120" s="19"/>
      <c r="DS120" s="19"/>
      <c r="DT120" s="19"/>
      <c r="DU120" s="19"/>
      <c r="DV120" s="19"/>
      <c r="DW120" s="19"/>
      <c r="DX120" s="19"/>
      <c r="DY120" s="19"/>
      <c r="DZ120" s="19"/>
      <c r="EA120" s="19"/>
      <c r="EB120" s="19"/>
      <c r="EC120" s="19"/>
      <c r="ED120" s="19"/>
      <c r="EE120" s="19"/>
      <c r="EF120" s="19"/>
      <c r="EG120" s="19"/>
      <c r="EH120" s="19"/>
      <c r="EI120" s="19"/>
      <c r="EJ120" s="19"/>
      <c r="EK120" s="19"/>
      <c r="EL120" s="19"/>
      <c r="EM120" s="19"/>
      <c r="EN120" s="19"/>
      <c r="EO120" s="19"/>
      <c r="EP120" s="19"/>
      <c r="EQ120" s="19"/>
      <c r="ER120" s="19"/>
      <c r="ES120" s="19"/>
      <c r="ET120" s="19"/>
      <c r="EU120" s="19"/>
      <c r="EV120" s="19"/>
      <c r="EW120" s="19"/>
      <c r="EX120" s="19"/>
      <c r="EY120" s="19"/>
      <c r="EZ120" s="19"/>
      <c r="FA120" s="19"/>
      <c r="FB120" s="19"/>
      <c r="FC120" s="19"/>
      <c r="FD120" s="19"/>
      <c r="FE120" s="19"/>
      <c r="FF120" s="19"/>
      <c r="FG120" s="19"/>
      <c r="FH120" s="19"/>
      <c r="FI120" s="19"/>
      <c r="FJ120" s="19"/>
      <c r="FK120" s="19"/>
      <c r="FL120" s="20" t="s">
        <v>261</v>
      </c>
      <c r="FM120" s="20" t="s">
        <v>278</v>
      </c>
      <c r="FN120" s="19"/>
      <c r="FO120" s="19"/>
      <c r="FP120" s="19"/>
      <c r="FQ120" s="19"/>
      <c r="FR120" s="19"/>
      <c r="FS120" s="19"/>
      <c r="FT120" s="19"/>
      <c r="FU120" s="19"/>
      <c r="FV120" s="19"/>
      <c r="FW120" s="19"/>
      <c r="FX120" s="19"/>
      <c r="FY120" s="19"/>
      <c r="FZ120" s="19"/>
      <c r="GA120" s="19"/>
      <c r="GB120" s="19"/>
      <c r="GC120" s="19"/>
      <c r="GD120" s="19"/>
      <c r="GE120" s="19"/>
      <c r="GF120" s="19"/>
      <c r="GG120" s="19"/>
      <c r="GH120" s="19"/>
      <c r="GI120" s="19"/>
      <c r="GJ120" s="19"/>
      <c r="GK120" s="19"/>
      <c r="GL120" s="19"/>
      <c r="GM120" s="19"/>
      <c r="GN120" s="19"/>
      <c r="GO120" s="19"/>
      <c r="GP120" s="19"/>
      <c r="GQ120" s="19"/>
      <c r="GR120" s="19"/>
      <c r="GS120" s="19"/>
      <c r="GT120" s="19"/>
      <c r="GU120" s="19"/>
      <c r="GV120" s="19"/>
      <c r="GW120" s="19"/>
      <c r="GX120" s="19"/>
      <c r="GY120" s="19"/>
      <c r="GZ120" s="19"/>
      <c r="HA120" s="19"/>
    </row>
    <row r="121" spans="1:209" ht="23.25" customHeight="1" x14ac:dyDescent="0.15">
      <c r="A121" s="26">
        <v>44658.898457511576</v>
      </c>
      <c r="B121" s="27" t="s">
        <v>6</v>
      </c>
      <c r="C121" s="27" t="s">
        <v>10</v>
      </c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7" t="s">
        <v>256</v>
      </c>
      <c r="AO121" s="27" t="s">
        <v>257</v>
      </c>
      <c r="AP121" s="27" t="s">
        <v>258</v>
      </c>
      <c r="AQ121" s="27" t="s">
        <v>259</v>
      </c>
      <c r="AR121" s="29">
        <v>44578</v>
      </c>
      <c r="AS121" s="29">
        <v>44729</v>
      </c>
      <c r="AT121" s="27" t="s">
        <v>251</v>
      </c>
      <c r="AU121" s="27" t="s">
        <v>252</v>
      </c>
      <c r="AV121" s="27">
        <v>0</v>
      </c>
      <c r="AW121" s="30" t="s">
        <v>575</v>
      </c>
      <c r="AX121" s="28"/>
      <c r="AY121" s="28"/>
      <c r="AZ121" s="28"/>
      <c r="BA121" s="28"/>
      <c r="BB121" s="28"/>
      <c r="BC121" s="28"/>
      <c r="BD121" s="28"/>
      <c r="BE121" s="28"/>
      <c r="BF121" s="28"/>
      <c r="BG121" s="28"/>
      <c r="BH121" s="28"/>
      <c r="BI121" s="28"/>
      <c r="BJ121" s="28"/>
      <c r="BK121" s="28"/>
      <c r="BL121" s="28"/>
      <c r="BM121" s="28"/>
      <c r="BN121" s="28"/>
      <c r="BO121" s="28"/>
      <c r="BP121" s="28"/>
      <c r="BQ121" s="28"/>
      <c r="BR121" s="28"/>
      <c r="BS121" s="28"/>
      <c r="BT121" s="28"/>
      <c r="BU121" s="28"/>
      <c r="BV121" s="28"/>
      <c r="BW121" s="28"/>
      <c r="BX121" s="28"/>
      <c r="BY121" s="19"/>
      <c r="BZ121" s="19"/>
      <c r="CA121" s="19"/>
      <c r="CB121" s="19"/>
      <c r="CC121" s="19"/>
      <c r="CD121" s="19"/>
      <c r="CE121" s="19"/>
      <c r="CF121" s="19"/>
      <c r="CG121" s="19"/>
      <c r="CH121" s="19"/>
      <c r="CI121" s="19"/>
      <c r="CJ121" s="19"/>
      <c r="CK121" s="19"/>
      <c r="CL121" s="19"/>
      <c r="CM121" s="19"/>
      <c r="CN121" s="19"/>
      <c r="CO121" s="19"/>
      <c r="CP121" s="19"/>
      <c r="CQ121" s="19"/>
      <c r="CR121" s="19"/>
      <c r="CS121" s="19"/>
      <c r="CT121" s="19"/>
      <c r="CU121" s="19"/>
      <c r="CV121" s="19"/>
      <c r="CW121" s="19"/>
      <c r="CX121" s="19"/>
      <c r="CY121" s="19"/>
      <c r="CZ121" s="19"/>
      <c r="DA121" s="19"/>
      <c r="DB121" s="19"/>
      <c r="DC121" s="19"/>
      <c r="DD121" s="19"/>
      <c r="DE121" s="19"/>
      <c r="DF121" s="19"/>
      <c r="DG121" s="19"/>
      <c r="DH121" s="19"/>
      <c r="DI121" s="19"/>
      <c r="DJ121" s="19"/>
      <c r="DK121" s="19"/>
      <c r="DL121" s="19"/>
      <c r="DM121" s="19"/>
      <c r="DN121" s="19"/>
      <c r="DO121" s="19"/>
      <c r="DP121" s="19"/>
      <c r="DQ121" s="19"/>
      <c r="DR121" s="19"/>
      <c r="DS121" s="19"/>
      <c r="DT121" s="19"/>
      <c r="DU121" s="19"/>
      <c r="DV121" s="19"/>
      <c r="DW121" s="19"/>
      <c r="DX121" s="19"/>
      <c r="DY121" s="19"/>
      <c r="DZ121" s="19"/>
      <c r="EA121" s="19"/>
      <c r="EB121" s="19"/>
      <c r="EC121" s="19"/>
      <c r="ED121" s="19"/>
      <c r="EE121" s="19"/>
      <c r="EF121" s="19"/>
      <c r="EG121" s="19"/>
      <c r="EH121" s="19"/>
      <c r="EI121" s="19"/>
      <c r="EJ121" s="19"/>
      <c r="EK121" s="19"/>
      <c r="EL121" s="19"/>
      <c r="EM121" s="19"/>
      <c r="EN121" s="19"/>
      <c r="EO121" s="19"/>
      <c r="EP121" s="19"/>
      <c r="EQ121" s="19"/>
      <c r="ER121" s="19"/>
      <c r="ES121" s="19"/>
      <c r="ET121" s="19"/>
      <c r="EU121" s="19"/>
      <c r="EV121" s="19"/>
      <c r="EW121" s="19"/>
      <c r="EX121" s="19"/>
      <c r="EY121" s="19"/>
      <c r="EZ121" s="19"/>
      <c r="FA121" s="19"/>
      <c r="FB121" s="19"/>
      <c r="FC121" s="19"/>
      <c r="FD121" s="19"/>
      <c r="FE121" s="19"/>
      <c r="FF121" s="19"/>
      <c r="FG121" s="19"/>
      <c r="FH121" s="19"/>
      <c r="FI121" s="19"/>
      <c r="FJ121" s="19"/>
      <c r="FK121" s="19"/>
      <c r="FL121" s="20" t="s">
        <v>261</v>
      </c>
      <c r="FM121" s="20" t="s">
        <v>255</v>
      </c>
      <c r="FN121" s="19"/>
      <c r="FO121" s="19"/>
      <c r="FP121" s="19"/>
      <c r="FQ121" s="19"/>
      <c r="FR121" s="19"/>
      <c r="FS121" s="19"/>
      <c r="FT121" s="19"/>
      <c r="FU121" s="19"/>
      <c r="FV121" s="19"/>
      <c r="FW121" s="19"/>
      <c r="FX121" s="19"/>
      <c r="FY121" s="19"/>
      <c r="FZ121" s="19"/>
      <c r="GA121" s="19"/>
      <c r="GB121" s="19"/>
      <c r="GC121" s="19"/>
      <c r="GD121" s="19"/>
      <c r="GE121" s="19"/>
      <c r="GF121" s="19"/>
      <c r="GG121" s="19"/>
      <c r="GH121" s="19"/>
      <c r="GI121" s="19"/>
      <c r="GJ121" s="19"/>
      <c r="GK121" s="19"/>
      <c r="GL121" s="19"/>
      <c r="GM121" s="19"/>
      <c r="GN121" s="19"/>
      <c r="GO121" s="19"/>
      <c r="GP121" s="19"/>
      <c r="GQ121" s="19"/>
      <c r="GR121" s="19"/>
      <c r="GS121" s="19"/>
      <c r="GT121" s="19"/>
      <c r="GU121" s="19"/>
      <c r="GV121" s="19"/>
      <c r="GW121" s="19"/>
      <c r="GX121" s="19"/>
      <c r="GY121" s="19"/>
      <c r="GZ121" s="19"/>
      <c r="HA121" s="19"/>
    </row>
    <row r="122" spans="1:209" ht="23.25" customHeight="1" x14ac:dyDescent="0.15">
      <c r="A122" s="26">
        <v>44658.90306459491</v>
      </c>
      <c r="B122" s="27" t="s">
        <v>6</v>
      </c>
      <c r="C122" s="27" t="s">
        <v>11</v>
      </c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  <c r="AX122" s="27" t="s">
        <v>256</v>
      </c>
      <c r="AY122" s="27" t="s">
        <v>257</v>
      </c>
      <c r="AZ122" s="27" t="s">
        <v>576</v>
      </c>
      <c r="BA122" s="27" t="s">
        <v>420</v>
      </c>
      <c r="BB122" s="27" t="s">
        <v>493</v>
      </c>
      <c r="BC122" s="29">
        <v>44531</v>
      </c>
      <c r="BD122" s="29">
        <v>44561</v>
      </c>
      <c r="BE122" s="29">
        <v>44561</v>
      </c>
      <c r="BF122" s="27">
        <v>100</v>
      </c>
      <c r="BG122" s="27" t="s">
        <v>577</v>
      </c>
      <c r="BH122" s="30" t="s">
        <v>578</v>
      </c>
      <c r="BI122" s="28"/>
      <c r="BJ122" s="28"/>
      <c r="BK122" s="28"/>
      <c r="BL122" s="28"/>
      <c r="BM122" s="28"/>
      <c r="BN122" s="28"/>
      <c r="BO122" s="28"/>
      <c r="BP122" s="28"/>
      <c r="BQ122" s="28"/>
      <c r="BR122" s="28"/>
      <c r="BS122" s="28"/>
      <c r="BT122" s="28"/>
      <c r="BU122" s="28"/>
      <c r="BV122" s="28"/>
      <c r="BW122" s="28"/>
      <c r="BX122" s="28"/>
      <c r="BY122" s="19"/>
      <c r="BZ122" s="19"/>
      <c r="CA122" s="19"/>
      <c r="CB122" s="19"/>
      <c r="CC122" s="19"/>
      <c r="CD122" s="19"/>
      <c r="CE122" s="19"/>
      <c r="CF122" s="19"/>
      <c r="CG122" s="19"/>
      <c r="CH122" s="19"/>
      <c r="CI122" s="19"/>
      <c r="CJ122" s="19"/>
      <c r="CK122" s="19"/>
      <c r="CL122" s="19"/>
      <c r="CM122" s="19"/>
      <c r="CN122" s="19"/>
      <c r="CO122" s="19"/>
      <c r="CP122" s="19"/>
      <c r="CQ122" s="19"/>
      <c r="CR122" s="19"/>
      <c r="CS122" s="19"/>
      <c r="CT122" s="19"/>
      <c r="CU122" s="19"/>
      <c r="CV122" s="19"/>
      <c r="CW122" s="19"/>
      <c r="CX122" s="19"/>
      <c r="CY122" s="19"/>
      <c r="CZ122" s="19"/>
      <c r="DA122" s="19"/>
      <c r="DB122" s="19"/>
      <c r="DC122" s="19"/>
      <c r="DD122" s="19"/>
      <c r="DE122" s="19"/>
      <c r="DF122" s="19"/>
      <c r="DG122" s="19"/>
      <c r="DH122" s="19"/>
      <c r="DI122" s="19"/>
      <c r="DJ122" s="19"/>
      <c r="DK122" s="19"/>
      <c r="DL122" s="19"/>
      <c r="DM122" s="19"/>
      <c r="DN122" s="19"/>
      <c r="DO122" s="19"/>
      <c r="DP122" s="19"/>
      <c r="DQ122" s="19"/>
      <c r="DR122" s="19"/>
      <c r="DS122" s="19"/>
      <c r="DT122" s="19"/>
      <c r="DU122" s="19"/>
      <c r="DV122" s="19"/>
      <c r="DW122" s="19"/>
      <c r="DX122" s="19"/>
      <c r="DY122" s="19"/>
      <c r="DZ122" s="19"/>
      <c r="EA122" s="19"/>
      <c r="EB122" s="19"/>
      <c r="EC122" s="19"/>
      <c r="ED122" s="19"/>
      <c r="EE122" s="19"/>
      <c r="EF122" s="19"/>
      <c r="EG122" s="19"/>
      <c r="EH122" s="19"/>
      <c r="EI122" s="19"/>
      <c r="EJ122" s="19"/>
      <c r="EK122" s="19"/>
      <c r="EL122" s="19"/>
      <c r="EM122" s="19"/>
      <c r="EN122" s="19"/>
      <c r="EO122" s="19"/>
      <c r="EP122" s="19"/>
      <c r="EQ122" s="19"/>
      <c r="ER122" s="19"/>
      <c r="ES122" s="19"/>
      <c r="ET122" s="19"/>
      <c r="EU122" s="19"/>
      <c r="EV122" s="19"/>
      <c r="EW122" s="19"/>
      <c r="EX122" s="19"/>
      <c r="EY122" s="19"/>
      <c r="EZ122" s="19"/>
      <c r="FA122" s="19"/>
      <c r="FB122" s="19"/>
      <c r="FC122" s="19"/>
      <c r="FD122" s="19"/>
      <c r="FE122" s="19"/>
      <c r="FF122" s="19"/>
      <c r="FG122" s="19"/>
      <c r="FH122" s="19"/>
      <c r="FI122" s="19"/>
      <c r="FJ122" s="19"/>
      <c r="FK122" s="19"/>
      <c r="FL122" s="20" t="s">
        <v>261</v>
      </c>
      <c r="FM122" s="20" t="s">
        <v>278</v>
      </c>
      <c r="FN122" s="19"/>
      <c r="FO122" s="19"/>
      <c r="FP122" s="19"/>
      <c r="FQ122" s="19"/>
      <c r="FR122" s="19"/>
      <c r="FS122" s="19"/>
      <c r="FT122" s="19"/>
      <c r="FU122" s="19"/>
      <c r="FV122" s="19"/>
      <c r="FW122" s="19"/>
      <c r="FX122" s="19"/>
      <c r="FY122" s="19"/>
      <c r="FZ122" s="19"/>
      <c r="GA122" s="19"/>
      <c r="GB122" s="19"/>
      <c r="GC122" s="19"/>
      <c r="GD122" s="19"/>
      <c r="GE122" s="19"/>
      <c r="GF122" s="19"/>
      <c r="GG122" s="19"/>
      <c r="GH122" s="19"/>
      <c r="GI122" s="19"/>
      <c r="GJ122" s="19"/>
      <c r="GK122" s="19"/>
      <c r="GL122" s="19"/>
      <c r="GM122" s="19"/>
      <c r="GN122" s="19"/>
      <c r="GO122" s="19"/>
      <c r="GP122" s="19"/>
      <c r="GQ122" s="19"/>
      <c r="GR122" s="19"/>
      <c r="GS122" s="19"/>
      <c r="GT122" s="19"/>
      <c r="GU122" s="19"/>
      <c r="GV122" s="19"/>
      <c r="GW122" s="19"/>
      <c r="GX122" s="19"/>
      <c r="GY122" s="19"/>
      <c r="GZ122" s="19"/>
      <c r="HA122" s="19"/>
    </row>
    <row r="123" spans="1:209" ht="23.25" customHeight="1" x14ac:dyDescent="0.15">
      <c r="A123" s="26">
        <v>44658.904584710646</v>
      </c>
      <c r="B123" s="27" t="s">
        <v>6</v>
      </c>
      <c r="C123" s="27" t="s">
        <v>11</v>
      </c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  <c r="AX123" s="27" t="s">
        <v>256</v>
      </c>
      <c r="AY123" s="27" t="s">
        <v>257</v>
      </c>
      <c r="AZ123" s="27" t="s">
        <v>420</v>
      </c>
      <c r="BA123" s="27" t="s">
        <v>579</v>
      </c>
      <c r="BB123" s="27" t="s">
        <v>493</v>
      </c>
      <c r="BC123" s="29">
        <v>44531</v>
      </c>
      <c r="BD123" s="29">
        <v>44561</v>
      </c>
      <c r="BE123" s="29">
        <v>44561</v>
      </c>
      <c r="BF123" s="27">
        <v>100</v>
      </c>
      <c r="BG123" s="27" t="s">
        <v>580</v>
      </c>
      <c r="BH123" s="30" t="s">
        <v>581</v>
      </c>
      <c r="BI123" s="28"/>
      <c r="BJ123" s="28"/>
      <c r="BK123" s="28"/>
      <c r="BL123" s="28"/>
      <c r="BM123" s="28"/>
      <c r="BN123" s="28"/>
      <c r="BO123" s="28"/>
      <c r="BP123" s="28"/>
      <c r="BQ123" s="28"/>
      <c r="BR123" s="28"/>
      <c r="BS123" s="28"/>
      <c r="BT123" s="28"/>
      <c r="BU123" s="28"/>
      <c r="BV123" s="28"/>
      <c r="BW123" s="28"/>
      <c r="BX123" s="28"/>
      <c r="BY123" s="19"/>
      <c r="BZ123" s="19"/>
      <c r="CA123" s="19"/>
      <c r="CB123" s="19"/>
      <c r="CC123" s="19"/>
      <c r="CD123" s="19"/>
      <c r="CE123" s="19"/>
      <c r="CF123" s="19"/>
      <c r="CG123" s="19"/>
      <c r="CH123" s="19"/>
      <c r="CI123" s="19"/>
      <c r="CJ123" s="19"/>
      <c r="CK123" s="19"/>
      <c r="CL123" s="19"/>
      <c r="CM123" s="19"/>
      <c r="CN123" s="19"/>
      <c r="CO123" s="19"/>
      <c r="CP123" s="19"/>
      <c r="CQ123" s="19"/>
      <c r="CR123" s="19"/>
      <c r="CS123" s="19"/>
      <c r="CT123" s="19"/>
      <c r="CU123" s="19"/>
      <c r="CV123" s="19"/>
      <c r="CW123" s="19"/>
      <c r="CX123" s="19"/>
      <c r="CY123" s="19"/>
      <c r="CZ123" s="19"/>
      <c r="DA123" s="19"/>
      <c r="DB123" s="19"/>
      <c r="DC123" s="19"/>
      <c r="DD123" s="19"/>
      <c r="DE123" s="19"/>
      <c r="DF123" s="19"/>
      <c r="DG123" s="19"/>
      <c r="DH123" s="19"/>
      <c r="DI123" s="19"/>
      <c r="DJ123" s="19"/>
      <c r="DK123" s="19"/>
      <c r="DL123" s="19"/>
      <c r="DM123" s="19"/>
      <c r="DN123" s="19"/>
      <c r="DO123" s="19"/>
      <c r="DP123" s="19"/>
      <c r="DQ123" s="19"/>
      <c r="DR123" s="19"/>
      <c r="DS123" s="19"/>
      <c r="DT123" s="19"/>
      <c r="DU123" s="19"/>
      <c r="DV123" s="19"/>
      <c r="DW123" s="19"/>
      <c r="DX123" s="19"/>
      <c r="DY123" s="19"/>
      <c r="DZ123" s="19"/>
      <c r="EA123" s="19"/>
      <c r="EB123" s="19"/>
      <c r="EC123" s="19"/>
      <c r="ED123" s="19"/>
      <c r="EE123" s="19"/>
      <c r="EF123" s="19"/>
      <c r="EG123" s="19"/>
      <c r="EH123" s="19"/>
      <c r="EI123" s="19"/>
      <c r="EJ123" s="19"/>
      <c r="EK123" s="19"/>
      <c r="EL123" s="19"/>
      <c r="EM123" s="19"/>
      <c r="EN123" s="19"/>
      <c r="EO123" s="19"/>
      <c r="EP123" s="19"/>
      <c r="EQ123" s="19"/>
      <c r="ER123" s="19"/>
      <c r="ES123" s="19"/>
      <c r="ET123" s="19"/>
      <c r="EU123" s="19"/>
      <c r="EV123" s="19"/>
      <c r="EW123" s="19"/>
      <c r="EX123" s="19"/>
      <c r="EY123" s="19"/>
      <c r="EZ123" s="19"/>
      <c r="FA123" s="19"/>
      <c r="FB123" s="19"/>
      <c r="FC123" s="19"/>
      <c r="FD123" s="19"/>
      <c r="FE123" s="19"/>
      <c r="FF123" s="19"/>
      <c r="FG123" s="19"/>
      <c r="FH123" s="19"/>
      <c r="FI123" s="19"/>
      <c r="FJ123" s="19"/>
      <c r="FK123" s="19"/>
      <c r="FL123" s="20" t="s">
        <v>261</v>
      </c>
      <c r="FM123" s="20" t="s">
        <v>278</v>
      </c>
      <c r="FN123" s="19"/>
      <c r="FO123" s="19"/>
      <c r="FP123" s="19"/>
      <c r="FQ123" s="19"/>
      <c r="FR123" s="19"/>
      <c r="FS123" s="19"/>
      <c r="FT123" s="19"/>
      <c r="FU123" s="19"/>
      <c r="FV123" s="19"/>
      <c r="FW123" s="19"/>
      <c r="FX123" s="19"/>
      <c r="FY123" s="19"/>
      <c r="FZ123" s="19"/>
      <c r="GA123" s="19"/>
      <c r="GB123" s="19"/>
      <c r="GC123" s="19"/>
      <c r="GD123" s="19"/>
      <c r="GE123" s="19"/>
      <c r="GF123" s="19"/>
      <c r="GG123" s="19"/>
      <c r="GH123" s="19"/>
      <c r="GI123" s="19"/>
      <c r="GJ123" s="19"/>
      <c r="GK123" s="19"/>
      <c r="GL123" s="19"/>
      <c r="GM123" s="19"/>
      <c r="GN123" s="19"/>
      <c r="GO123" s="19"/>
      <c r="GP123" s="19"/>
      <c r="GQ123" s="19"/>
      <c r="GR123" s="19"/>
      <c r="GS123" s="19"/>
      <c r="GT123" s="19"/>
      <c r="GU123" s="19"/>
      <c r="GV123" s="19"/>
      <c r="GW123" s="19"/>
      <c r="GX123" s="19"/>
      <c r="GY123" s="19"/>
      <c r="GZ123" s="19"/>
      <c r="HA123" s="19"/>
    </row>
    <row r="124" spans="1:209" ht="23.25" customHeight="1" x14ac:dyDescent="0.15">
      <c r="A124" s="26">
        <v>44658.906110983793</v>
      </c>
      <c r="B124" s="27" t="s">
        <v>6</v>
      </c>
      <c r="C124" s="27" t="s">
        <v>11</v>
      </c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  <c r="AX124" s="27" t="s">
        <v>256</v>
      </c>
      <c r="AY124" s="27" t="s">
        <v>257</v>
      </c>
      <c r="AZ124" s="27" t="s">
        <v>582</v>
      </c>
      <c r="BA124" s="27" t="s">
        <v>579</v>
      </c>
      <c r="BB124" s="27" t="s">
        <v>493</v>
      </c>
      <c r="BC124" s="29">
        <v>44531</v>
      </c>
      <c r="BD124" s="29">
        <v>44561</v>
      </c>
      <c r="BE124" s="29">
        <v>44561</v>
      </c>
      <c r="BF124" s="27">
        <v>100</v>
      </c>
      <c r="BG124" s="27" t="s">
        <v>580</v>
      </c>
      <c r="BH124" s="30" t="s">
        <v>583</v>
      </c>
      <c r="BI124" s="28"/>
      <c r="BJ124" s="28"/>
      <c r="BK124" s="28"/>
      <c r="BL124" s="28"/>
      <c r="BM124" s="28"/>
      <c r="BN124" s="28"/>
      <c r="BO124" s="28"/>
      <c r="BP124" s="28"/>
      <c r="BQ124" s="28"/>
      <c r="BR124" s="28"/>
      <c r="BS124" s="28"/>
      <c r="BT124" s="28"/>
      <c r="BU124" s="28"/>
      <c r="BV124" s="28"/>
      <c r="BW124" s="28"/>
      <c r="BX124" s="28"/>
      <c r="BY124" s="19"/>
      <c r="BZ124" s="19"/>
      <c r="CA124" s="19"/>
      <c r="CB124" s="19"/>
      <c r="CC124" s="19"/>
      <c r="CD124" s="19"/>
      <c r="CE124" s="19"/>
      <c r="CF124" s="19"/>
      <c r="CG124" s="19"/>
      <c r="CH124" s="19"/>
      <c r="CI124" s="19"/>
      <c r="CJ124" s="19"/>
      <c r="CK124" s="19"/>
      <c r="CL124" s="19"/>
      <c r="CM124" s="19"/>
      <c r="CN124" s="19"/>
      <c r="CO124" s="19"/>
      <c r="CP124" s="19"/>
      <c r="CQ124" s="19"/>
      <c r="CR124" s="19"/>
      <c r="CS124" s="19"/>
      <c r="CT124" s="19"/>
      <c r="CU124" s="19"/>
      <c r="CV124" s="19"/>
      <c r="CW124" s="19"/>
      <c r="CX124" s="19"/>
      <c r="CY124" s="19"/>
      <c r="CZ124" s="19"/>
      <c r="DA124" s="19"/>
      <c r="DB124" s="19"/>
      <c r="DC124" s="19"/>
      <c r="DD124" s="19"/>
      <c r="DE124" s="19"/>
      <c r="DF124" s="19"/>
      <c r="DG124" s="19"/>
      <c r="DH124" s="19"/>
      <c r="DI124" s="19"/>
      <c r="DJ124" s="19"/>
      <c r="DK124" s="19"/>
      <c r="DL124" s="19"/>
      <c r="DM124" s="19"/>
      <c r="DN124" s="19"/>
      <c r="DO124" s="19"/>
      <c r="DP124" s="19"/>
      <c r="DQ124" s="19"/>
      <c r="DR124" s="19"/>
      <c r="DS124" s="19"/>
      <c r="DT124" s="19"/>
      <c r="DU124" s="19"/>
      <c r="DV124" s="19"/>
      <c r="DW124" s="19"/>
      <c r="DX124" s="19"/>
      <c r="DY124" s="19"/>
      <c r="DZ124" s="19"/>
      <c r="EA124" s="19"/>
      <c r="EB124" s="19"/>
      <c r="EC124" s="19"/>
      <c r="ED124" s="19"/>
      <c r="EE124" s="19"/>
      <c r="EF124" s="19"/>
      <c r="EG124" s="19"/>
      <c r="EH124" s="19"/>
      <c r="EI124" s="19"/>
      <c r="EJ124" s="19"/>
      <c r="EK124" s="19"/>
      <c r="EL124" s="19"/>
      <c r="EM124" s="19"/>
      <c r="EN124" s="19"/>
      <c r="EO124" s="19"/>
      <c r="EP124" s="19"/>
      <c r="EQ124" s="19"/>
      <c r="ER124" s="19"/>
      <c r="ES124" s="19"/>
      <c r="ET124" s="19"/>
      <c r="EU124" s="19"/>
      <c r="EV124" s="19"/>
      <c r="EW124" s="19"/>
      <c r="EX124" s="19"/>
      <c r="EY124" s="19"/>
      <c r="EZ124" s="19"/>
      <c r="FA124" s="19"/>
      <c r="FB124" s="19"/>
      <c r="FC124" s="19"/>
      <c r="FD124" s="19"/>
      <c r="FE124" s="19"/>
      <c r="FF124" s="19"/>
      <c r="FG124" s="19"/>
      <c r="FH124" s="19"/>
      <c r="FI124" s="19"/>
      <c r="FJ124" s="19"/>
      <c r="FK124" s="19"/>
      <c r="FL124" s="20" t="s">
        <v>261</v>
      </c>
      <c r="FM124" s="20" t="s">
        <v>278</v>
      </c>
      <c r="FN124" s="19"/>
      <c r="FO124" s="19"/>
      <c r="FP124" s="19"/>
      <c r="FQ124" s="19"/>
      <c r="FR124" s="19"/>
      <c r="FS124" s="19"/>
      <c r="FT124" s="19"/>
      <c r="FU124" s="19"/>
      <c r="FV124" s="19"/>
      <c r="FW124" s="19"/>
      <c r="FX124" s="19"/>
      <c r="FY124" s="19"/>
      <c r="FZ124" s="19"/>
      <c r="GA124" s="19"/>
      <c r="GB124" s="19"/>
      <c r="GC124" s="19"/>
      <c r="GD124" s="19"/>
      <c r="GE124" s="19"/>
      <c r="GF124" s="19"/>
      <c r="GG124" s="19"/>
      <c r="GH124" s="19"/>
      <c r="GI124" s="19"/>
      <c r="GJ124" s="19"/>
      <c r="GK124" s="19"/>
      <c r="GL124" s="19"/>
      <c r="GM124" s="19"/>
      <c r="GN124" s="19"/>
      <c r="GO124" s="19"/>
      <c r="GP124" s="19"/>
      <c r="GQ124" s="19"/>
      <c r="GR124" s="19"/>
      <c r="GS124" s="19"/>
      <c r="GT124" s="19"/>
      <c r="GU124" s="19"/>
      <c r="GV124" s="19"/>
      <c r="GW124" s="19"/>
      <c r="GX124" s="19"/>
      <c r="GY124" s="19"/>
      <c r="GZ124" s="19"/>
      <c r="HA124" s="19"/>
    </row>
    <row r="125" spans="1:209" ht="23.25" customHeight="1" x14ac:dyDescent="0.15">
      <c r="A125" s="26">
        <v>44658.909226770833</v>
      </c>
      <c r="B125" s="27" t="s">
        <v>6</v>
      </c>
      <c r="C125" s="27" t="s">
        <v>11</v>
      </c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  <c r="AX125" s="27" t="s">
        <v>247</v>
      </c>
      <c r="AY125" s="27" t="s">
        <v>248</v>
      </c>
      <c r="AZ125" s="27" t="s">
        <v>497</v>
      </c>
      <c r="BA125" s="27" t="s">
        <v>584</v>
      </c>
      <c r="BB125" s="27" t="s">
        <v>493</v>
      </c>
      <c r="BC125" s="29">
        <v>44531</v>
      </c>
      <c r="BD125" s="29">
        <v>44542</v>
      </c>
      <c r="BE125" s="29">
        <v>44542</v>
      </c>
      <c r="BF125" s="27">
        <v>100</v>
      </c>
      <c r="BG125" s="27" t="s">
        <v>580</v>
      </c>
      <c r="BH125" s="30" t="s">
        <v>585</v>
      </c>
      <c r="BI125" s="28"/>
      <c r="BJ125" s="28"/>
      <c r="BK125" s="28"/>
      <c r="BL125" s="28"/>
      <c r="BM125" s="28"/>
      <c r="BN125" s="28"/>
      <c r="BO125" s="28"/>
      <c r="BP125" s="28"/>
      <c r="BQ125" s="28"/>
      <c r="BR125" s="28"/>
      <c r="BS125" s="28"/>
      <c r="BT125" s="28"/>
      <c r="BU125" s="28"/>
      <c r="BV125" s="28"/>
      <c r="BW125" s="28"/>
      <c r="BX125" s="28"/>
      <c r="BY125" s="19"/>
      <c r="BZ125" s="19"/>
      <c r="CA125" s="19"/>
      <c r="CB125" s="19"/>
      <c r="CC125" s="19"/>
      <c r="CD125" s="19"/>
      <c r="CE125" s="19"/>
      <c r="CF125" s="19"/>
      <c r="CG125" s="19"/>
      <c r="CH125" s="19"/>
      <c r="CI125" s="19"/>
      <c r="CJ125" s="19"/>
      <c r="CK125" s="19"/>
      <c r="CL125" s="19"/>
      <c r="CM125" s="19"/>
      <c r="CN125" s="19"/>
      <c r="CO125" s="19"/>
      <c r="CP125" s="19"/>
      <c r="CQ125" s="19"/>
      <c r="CR125" s="19"/>
      <c r="CS125" s="19"/>
      <c r="CT125" s="19"/>
      <c r="CU125" s="19"/>
      <c r="CV125" s="19"/>
      <c r="CW125" s="19"/>
      <c r="CX125" s="19"/>
      <c r="CY125" s="19"/>
      <c r="CZ125" s="19"/>
      <c r="DA125" s="19"/>
      <c r="DB125" s="19"/>
      <c r="DC125" s="19"/>
      <c r="DD125" s="19"/>
      <c r="DE125" s="19"/>
      <c r="DF125" s="19"/>
      <c r="DG125" s="19"/>
      <c r="DH125" s="19"/>
      <c r="DI125" s="19"/>
      <c r="DJ125" s="19"/>
      <c r="DK125" s="19"/>
      <c r="DL125" s="19"/>
      <c r="DM125" s="19"/>
      <c r="DN125" s="19"/>
      <c r="DO125" s="19"/>
      <c r="DP125" s="19"/>
      <c r="DQ125" s="19"/>
      <c r="DR125" s="19"/>
      <c r="DS125" s="19"/>
      <c r="DT125" s="19"/>
      <c r="DU125" s="19"/>
      <c r="DV125" s="19"/>
      <c r="DW125" s="19"/>
      <c r="DX125" s="19"/>
      <c r="DY125" s="19"/>
      <c r="DZ125" s="19"/>
      <c r="EA125" s="19"/>
      <c r="EB125" s="19"/>
      <c r="EC125" s="19"/>
      <c r="ED125" s="19"/>
      <c r="EE125" s="19"/>
      <c r="EF125" s="19"/>
      <c r="EG125" s="19"/>
      <c r="EH125" s="19"/>
      <c r="EI125" s="19"/>
      <c r="EJ125" s="19"/>
      <c r="EK125" s="19"/>
      <c r="EL125" s="19"/>
      <c r="EM125" s="19"/>
      <c r="EN125" s="19"/>
      <c r="EO125" s="19"/>
      <c r="EP125" s="19"/>
      <c r="EQ125" s="19"/>
      <c r="ER125" s="19"/>
      <c r="ES125" s="19"/>
      <c r="ET125" s="19"/>
      <c r="EU125" s="19"/>
      <c r="EV125" s="19"/>
      <c r="EW125" s="19"/>
      <c r="EX125" s="19"/>
      <c r="EY125" s="19"/>
      <c r="EZ125" s="19"/>
      <c r="FA125" s="19"/>
      <c r="FB125" s="19"/>
      <c r="FC125" s="19"/>
      <c r="FD125" s="19"/>
      <c r="FE125" s="19"/>
      <c r="FF125" s="19"/>
      <c r="FG125" s="19"/>
      <c r="FH125" s="19"/>
      <c r="FI125" s="19"/>
      <c r="FJ125" s="19"/>
      <c r="FK125" s="19"/>
      <c r="FL125" s="20" t="s">
        <v>254</v>
      </c>
      <c r="FM125" s="20" t="s">
        <v>273</v>
      </c>
      <c r="FN125" s="19"/>
      <c r="FO125" s="19"/>
      <c r="FP125" s="19"/>
      <c r="FQ125" s="19"/>
      <c r="FR125" s="19"/>
      <c r="FS125" s="19"/>
      <c r="FT125" s="19"/>
      <c r="FU125" s="19"/>
      <c r="FV125" s="19"/>
      <c r="FW125" s="19"/>
      <c r="FX125" s="19"/>
      <c r="FY125" s="19"/>
      <c r="FZ125" s="19"/>
      <c r="GA125" s="19"/>
      <c r="GB125" s="19"/>
      <c r="GC125" s="19"/>
      <c r="GD125" s="19"/>
      <c r="GE125" s="19"/>
      <c r="GF125" s="19"/>
      <c r="GG125" s="19"/>
      <c r="GH125" s="19"/>
      <c r="GI125" s="19"/>
      <c r="GJ125" s="19"/>
      <c r="GK125" s="19"/>
      <c r="GL125" s="19"/>
      <c r="GM125" s="19"/>
      <c r="GN125" s="19"/>
      <c r="GO125" s="19"/>
      <c r="GP125" s="19"/>
      <c r="GQ125" s="19"/>
      <c r="GR125" s="19"/>
      <c r="GS125" s="19"/>
      <c r="GT125" s="19"/>
      <c r="GU125" s="19"/>
      <c r="GV125" s="19"/>
      <c r="GW125" s="19"/>
      <c r="GX125" s="19"/>
      <c r="GY125" s="19"/>
      <c r="GZ125" s="19"/>
      <c r="HA125" s="19"/>
    </row>
    <row r="126" spans="1:209" ht="23.25" customHeight="1" x14ac:dyDescent="0.15">
      <c r="A126" s="26">
        <v>44658.911077488425</v>
      </c>
      <c r="B126" s="27" t="s">
        <v>6</v>
      </c>
      <c r="C126" s="27" t="s">
        <v>11</v>
      </c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  <c r="AX126" s="27" t="s">
        <v>247</v>
      </c>
      <c r="AY126" s="27" t="s">
        <v>248</v>
      </c>
      <c r="AZ126" s="27" t="s">
        <v>586</v>
      </c>
      <c r="BA126" s="27" t="s">
        <v>584</v>
      </c>
      <c r="BB126" s="27" t="s">
        <v>493</v>
      </c>
      <c r="BC126" s="29">
        <v>44545</v>
      </c>
      <c r="BD126" s="29">
        <v>44575</v>
      </c>
      <c r="BE126" s="29">
        <v>44574</v>
      </c>
      <c r="BF126" s="27">
        <v>100</v>
      </c>
      <c r="BG126" s="27" t="s">
        <v>580</v>
      </c>
      <c r="BH126" s="30" t="s">
        <v>587</v>
      </c>
      <c r="BI126" s="28"/>
      <c r="BJ126" s="28"/>
      <c r="BK126" s="28"/>
      <c r="BL126" s="28"/>
      <c r="BM126" s="28"/>
      <c r="BN126" s="28"/>
      <c r="BO126" s="28"/>
      <c r="BP126" s="28"/>
      <c r="BQ126" s="28"/>
      <c r="BR126" s="28"/>
      <c r="BS126" s="28"/>
      <c r="BT126" s="28"/>
      <c r="BU126" s="28"/>
      <c r="BV126" s="28"/>
      <c r="BW126" s="28"/>
      <c r="BX126" s="28"/>
      <c r="BY126" s="19"/>
      <c r="BZ126" s="19"/>
      <c r="CA126" s="19"/>
      <c r="CB126" s="19"/>
      <c r="CC126" s="19"/>
      <c r="CD126" s="19"/>
      <c r="CE126" s="19"/>
      <c r="CF126" s="19"/>
      <c r="CG126" s="19"/>
      <c r="CH126" s="19"/>
      <c r="CI126" s="19"/>
      <c r="CJ126" s="19"/>
      <c r="CK126" s="19"/>
      <c r="CL126" s="19"/>
      <c r="CM126" s="19"/>
      <c r="CN126" s="19"/>
      <c r="CO126" s="19"/>
      <c r="CP126" s="19"/>
      <c r="CQ126" s="19"/>
      <c r="CR126" s="19"/>
      <c r="CS126" s="19"/>
      <c r="CT126" s="19"/>
      <c r="CU126" s="19"/>
      <c r="CV126" s="19"/>
      <c r="CW126" s="19"/>
      <c r="CX126" s="19"/>
      <c r="CY126" s="19"/>
      <c r="CZ126" s="19"/>
      <c r="DA126" s="19"/>
      <c r="DB126" s="19"/>
      <c r="DC126" s="19"/>
      <c r="DD126" s="19"/>
      <c r="DE126" s="19"/>
      <c r="DF126" s="19"/>
      <c r="DG126" s="19"/>
      <c r="DH126" s="19"/>
      <c r="DI126" s="19"/>
      <c r="DJ126" s="19"/>
      <c r="DK126" s="19"/>
      <c r="DL126" s="19"/>
      <c r="DM126" s="19"/>
      <c r="DN126" s="19"/>
      <c r="DO126" s="19"/>
      <c r="DP126" s="19"/>
      <c r="DQ126" s="19"/>
      <c r="DR126" s="19"/>
      <c r="DS126" s="19"/>
      <c r="DT126" s="19"/>
      <c r="DU126" s="19"/>
      <c r="DV126" s="19"/>
      <c r="DW126" s="19"/>
      <c r="DX126" s="19"/>
      <c r="DY126" s="19"/>
      <c r="DZ126" s="19"/>
      <c r="EA126" s="19"/>
      <c r="EB126" s="19"/>
      <c r="EC126" s="19"/>
      <c r="ED126" s="19"/>
      <c r="EE126" s="19"/>
      <c r="EF126" s="19"/>
      <c r="EG126" s="19"/>
      <c r="EH126" s="19"/>
      <c r="EI126" s="19"/>
      <c r="EJ126" s="19"/>
      <c r="EK126" s="19"/>
      <c r="EL126" s="19"/>
      <c r="EM126" s="19"/>
      <c r="EN126" s="19"/>
      <c r="EO126" s="19"/>
      <c r="EP126" s="19"/>
      <c r="EQ126" s="19"/>
      <c r="ER126" s="19"/>
      <c r="ES126" s="19"/>
      <c r="ET126" s="19"/>
      <c r="EU126" s="19"/>
      <c r="EV126" s="19"/>
      <c r="EW126" s="19"/>
      <c r="EX126" s="19"/>
      <c r="EY126" s="19"/>
      <c r="EZ126" s="19"/>
      <c r="FA126" s="19"/>
      <c r="FB126" s="19"/>
      <c r="FC126" s="19"/>
      <c r="FD126" s="19"/>
      <c r="FE126" s="19"/>
      <c r="FF126" s="19"/>
      <c r="FG126" s="19"/>
      <c r="FH126" s="19"/>
      <c r="FI126" s="19"/>
      <c r="FJ126" s="19"/>
      <c r="FK126" s="19"/>
      <c r="FL126" s="20" t="s">
        <v>254</v>
      </c>
      <c r="FM126" s="20" t="s">
        <v>273</v>
      </c>
      <c r="FN126" s="19"/>
      <c r="FO126" s="19"/>
      <c r="FP126" s="19"/>
      <c r="FQ126" s="19"/>
      <c r="FR126" s="19"/>
      <c r="FS126" s="19"/>
      <c r="FT126" s="19"/>
      <c r="FU126" s="19"/>
      <c r="FV126" s="19"/>
      <c r="FW126" s="19"/>
      <c r="FX126" s="19"/>
      <c r="FY126" s="19"/>
      <c r="FZ126" s="19"/>
      <c r="GA126" s="19"/>
      <c r="GB126" s="19"/>
      <c r="GC126" s="19"/>
      <c r="GD126" s="19"/>
      <c r="GE126" s="19"/>
      <c r="GF126" s="19"/>
      <c r="GG126" s="19"/>
      <c r="GH126" s="19"/>
      <c r="GI126" s="19"/>
      <c r="GJ126" s="19"/>
      <c r="GK126" s="19"/>
      <c r="GL126" s="19"/>
      <c r="GM126" s="19"/>
      <c r="GN126" s="19"/>
      <c r="GO126" s="19"/>
      <c r="GP126" s="19"/>
      <c r="GQ126" s="19"/>
      <c r="GR126" s="19"/>
      <c r="GS126" s="19"/>
      <c r="GT126" s="19"/>
      <c r="GU126" s="19"/>
      <c r="GV126" s="19"/>
      <c r="GW126" s="19"/>
      <c r="GX126" s="19"/>
      <c r="GY126" s="19"/>
      <c r="GZ126" s="19"/>
      <c r="HA126" s="19"/>
    </row>
    <row r="127" spans="1:209" ht="23.25" customHeight="1" x14ac:dyDescent="0.15">
      <c r="A127" s="26">
        <v>44658.911124675928</v>
      </c>
      <c r="B127" s="27" t="s">
        <v>6</v>
      </c>
      <c r="C127" s="27" t="s">
        <v>11</v>
      </c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  <c r="AX127" s="27" t="s">
        <v>256</v>
      </c>
      <c r="AY127" s="27" t="s">
        <v>257</v>
      </c>
      <c r="AZ127" s="27" t="s">
        <v>588</v>
      </c>
      <c r="BA127" s="27" t="s">
        <v>343</v>
      </c>
      <c r="BB127" s="27" t="s">
        <v>493</v>
      </c>
      <c r="BC127" s="29">
        <v>43952</v>
      </c>
      <c r="BD127" s="29">
        <v>43983</v>
      </c>
      <c r="BE127" s="29">
        <v>43983</v>
      </c>
      <c r="BF127" s="27">
        <v>100</v>
      </c>
      <c r="BG127" s="27" t="s">
        <v>520</v>
      </c>
      <c r="BH127" s="30" t="s">
        <v>589</v>
      </c>
      <c r="BI127" s="28"/>
      <c r="BJ127" s="28"/>
      <c r="BK127" s="28"/>
      <c r="BL127" s="28"/>
      <c r="BM127" s="28"/>
      <c r="BN127" s="28"/>
      <c r="BO127" s="28"/>
      <c r="BP127" s="28"/>
      <c r="BQ127" s="28"/>
      <c r="BR127" s="28"/>
      <c r="BS127" s="28"/>
      <c r="BT127" s="28"/>
      <c r="BU127" s="28"/>
      <c r="BV127" s="28"/>
      <c r="BW127" s="28"/>
      <c r="BX127" s="28"/>
      <c r="BY127" s="19"/>
      <c r="BZ127" s="19"/>
      <c r="CA127" s="19"/>
      <c r="CB127" s="19"/>
      <c r="CC127" s="19"/>
      <c r="CD127" s="19"/>
      <c r="CE127" s="19"/>
      <c r="CF127" s="19"/>
      <c r="CG127" s="19"/>
      <c r="CH127" s="19"/>
      <c r="CI127" s="19"/>
      <c r="CJ127" s="19"/>
      <c r="CK127" s="19"/>
      <c r="CL127" s="19"/>
      <c r="CM127" s="19"/>
      <c r="CN127" s="19"/>
      <c r="CO127" s="19"/>
      <c r="CP127" s="19"/>
      <c r="CQ127" s="19"/>
      <c r="CR127" s="19"/>
      <c r="CS127" s="19"/>
      <c r="CT127" s="19"/>
      <c r="CU127" s="19"/>
      <c r="CV127" s="19"/>
      <c r="CW127" s="19"/>
      <c r="CX127" s="19"/>
      <c r="CY127" s="19"/>
      <c r="CZ127" s="19"/>
      <c r="DA127" s="19"/>
      <c r="DB127" s="19"/>
      <c r="DC127" s="19"/>
      <c r="DD127" s="19"/>
      <c r="DE127" s="19"/>
      <c r="DF127" s="19"/>
      <c r="DG127" s="19"/>
      <c r="DH127" s="19"/>
      <c r="DI127" s="19"/>
      <c r="DJ127" s="19"/>
      <c r="DK127" s="19"/>
      <c r="DL127" s="19"/>
      <c r="DM127" s="19"/>
      <c r="DN127" s="19"/>
      <c r="DO127" s="19"/>
      <c r="DP127" s="19"/>
      <c r="DQ127" s="19"/>
      <c r="DR127" s="19"/>
      <c r="DS127" s="19"/>
      <c r="DT127" s="19"/>
      <c r="DU127" s="19"/>
      <c r="DV127" s="19"/>
      <c r="DW127" s="19"/>
      <c r="DX127" s="19"/>
      <c r="DY127" s="19"/>
      <c r="DZ127" s="19"/>
      <c r="EA127" s="19"/>
      <c r="EB127" s="19"/>
      <c r="EC127" s="19"/>
      <c r="ED127" s="19"/>
      <c r="EE127" s="19"/>
      <c r="EF127" s="19"/>
      <c r="EG127" s="19"/>
      <c r="EH127" s="19"/>
      <c r="EI127" s="19"/>
      <c r="EJ127" s="19"/>
      <c r="EK127" s="19"/>
      <c r="EL127" s="19"/>
      <c r="EM127" s="19"/>
      <c r="EN127" s="19"/>
      <c r="EO127" s="19"/>
      <c r="EP127" s="19"/>
      <c r="EQ127" s="19"/>
      <c r="ER127" s="19"/>
      <c r="ES127" s="19"/>
      <c r="ET127" s="19"/>
      <c r="EU127" s="19"/>
      <c r="EV127" s="19"/>
      <c r="EW127" s="19"/>
      <c r="EX127" s="19"/>
      <c r="EY127" s="19"/>
      <c r="EZ127" s="19"/>
      <c r="FA127" s="19"/>
      <c r="FB127" s="19"/>
      <c r="FC127" s="19"/>
      <c r="FD127" s="19"/>
      <c r="FE127" s="19"/>
      <c r="FF127" s="19"/>
      <c r="FG127" s="19"/>
      <c r="FH127" s="19"/>
      <c r="FI127" s="19"/>
      <c r="FJ127" s="19"/>
      <c r="FK127" s="19"/>
      <c r="FL127" s="20" t="s">
        <v>261</v>
      </c>
      <c r="FM127" s="20" t="s">
        <v>552</v>
      </c>
      <c r="FN127" s="19"/>
      <c r="FO127" s="19"/>
      <c r="FP127" s="19"/>
      <c r="FQ127" s="19"/>
      <c r="FR127" s="19"/>
      <c r="FS127" s="19"/>
      <c r="FT127" s="19"/>
      <c r="FU127" s="19"/>
      <c r="FV127" s="19"/>
      <c r="FW127" s="19"/>
      <c r="FX127" s="19"/>
      <c r="FY127" s="19"/>
      <c r="FZ127" s="19"/>
      <c r="GA127" s="19"/>
      <c r="GB127" s="19"/>
      <c r="GC127" s="19"/>
      <c r="GD127" s="19"/>
      <c r="GE127" s="19"/>
      <c r="GF127" s="19"/>
      <c r="GG127" s="19"/>
      <c r="GH127" s="19"/>
      <c r="GI127" s="19"/>
      <c r="GJ127" s="19"/>
      <c r="GK127" s="19"/>
      <c r="GL127" s="19"/>
      <c r="GM127" s="19"/>
      <c r="GN127" s="19"/>
      <c r="GO127" s="19"/>
      <c r="GP127" s="19"/>
      <c r="GQ127" s="19"/>
      <c r="GR127" s="19"/>
      <c r="GS127" s="19"/>
      <c r="GT127" s="19"/>
      <c r="GU127" s="19"/>
      <c r="GV127" s="19"/>
      <c r="GW127" s="19"/>
      <c r="GX127" s="19"/>
      <c r="GY127" s="19"/>
      <c r="GZ127" s="19"/>
      <c r="HA127" s="19"/>
    </row>
    <row r="128" spans="1:209" ht="23.25" customHeight="1" x14ac:dyDescent="0.15">
      <c r="A128" s="26">
        <v>44658.914173807869</v>
      </c>
      <c r="B128" s="27" t="s">
        <v>6</v>
      </c>
      <c r="C128" s="27" t="s">
        <v>11</v>
      </c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  <c r="AX128" s="27" t="s">
        <v>256</v>
      </c>
      <c r="AY128" s="27" t="s">
        <v>257</v>
      </c>
      <c r="AZ128" s="27" t="s">
        <v>590</v>
      </c>
      <c r="BA128" s="27" t="s">
        <v>375</v>
      </c>
      <c r="BB128" s="27">
        <v>1</v>
      </c>
      <c r="BC128" s="29">
        <v>44348</v>
      </c>
      <c r="BD128" s="29">
        <v>44378</v>
      </c>
      <c r="BE128" s="29">
        <v>44378</v>
      </c>
      <c r="BF128" s="27">
        <v>100</v>
      </c>
      <c r="BG128" s="27" t="s">
        <v>520</v>
      </c>
      <c r="BH128" s="30" t="s">
        <v>591</v>
      </c>
      <c r="BI128" s="28"/>
      <c r="BJ128" s="28"/>
      <c r="BK128" s="28"/>
      <c r="BL128" s="28"/>
      <c r="BM128" s="28"/>
      <c r="BN128" s="28"/>
      <c r="BO128" s="28"/>
      <c r="BP128" s="28"/>
      <c r="BQ128" s="28"/>
      <c r="BR128" s="28"/>
      <c r="BS128" s="28"/>
      <c r="BT128" s="28"/>
      <c r="BU128" s="28"/>
      <c r="BV128" s="28"/>
      <c r="BW128" s="28"/>
      <c r="BX128" s="28"/>
      <c r="BY128" s="19"/>
      <c r="BZ128" s="19"/>
      <c r="CA128" s="19"/>
      <c r="CB128" s="19"/>
      <c r="CC128" s="19"/>
      <c r="CD128" s="19"/>
      <c r="CE128" s="19"/>
      <c r="CF128" s="19"/>
      <c r="CG128" s="19"/>
      <c r="CH128" s="19"/>
      <c r="CI128" s="19"/>
      <c r="CJ128" s="19"/>
      <c r="CK128" s="19"/>
      <c r="CL128" s="19"/>
      <c r="CM128" s="19"/>
      <c r="CN128" s="19"/>
      <c r="CO128" s="19"/>
      <c r="CP128" s="19"/>
      <c r="CQ128" s="19"/>
      <c r="CR128" s="19"/>
      <c r="CS128" s="19"/>
      <c r="CT128" s="19"/>
      <c r="CU128" s="19"/>
      <c r="CV128" s="19"/>
      <c r="CW128" s="19"/>
      <c r="CX128" s="19"/>
      <c r="CY128" s="19"/>
      <c r="CZ128" s="19"/>
      <c r="DA128" s="19"/>
      <c r="DB128" s="19"/>
      <c r="DC128" s="19"/>
      <c r="DD128" s="19"/>
      <c r="DE128" s="19"/>
      <c r="DF128" s="19"/>
      <c r="DG128" s="19"/>
      <c r="DH128" s="19"/>
      <c r="DI128" s="19"/>
      <c r="DJ128" s="19"/>
      <c r="DK128" s="19"/>
      <c r="DL128" s="19"/>
      <c r="DM128" s="19"/>
      <c r="DN128" s="19"/>
      <c r="DO128" s="19"/>
      <c r="DP128" s="19"/>
      <c r="DQ128" s="19"/>
      <c r="DR128" s="19"/>
      <c r="DS128" s="19"/>
      <c r="DT128" s="19"/>
      <c r="DU128" s="19"/>
      <c r="DV128" s="19"/>
      <c r="DW128" s="19"/>
      <c r="DX128" s="19"/>
      <c r="DY128" s="19"/>
      <c r="DZ128" s="19"/>
      <c r="EA128" s="19"/>
      <c r="EB128" s="19"/>
      <c r="EC128" s="19"/>
      <c r="ED128" s="19"/>
      <c r="EE128" s="19"/>
      <c r="EF128" s="19"/>
      <c r="EG128" s="19"/>
      <c r="EH128" s="19"/>
      <c r="EI128" s="19"/>
      <c r="EJ128" s="19"/>
      <c r="EK128" s="19"/>
      <c r="EL128" s="19"/>
      <c r="EM128" s="19"/>
      <c r="EN128" s="19"/>
      <c r="EO128" s="19"/>
      <c r="EP128" s="19"/>
      <c r="EQ128" s="19"/>
      <c r="ER128" s="19"/>
      <c r="ES128" s="19"/>
      <c r="ET128" s="19"/>
      <c r="EU128" s="19"/>
      <c r="EV128" s="19"/>
      <c r="EW128" s="19"/>
      <c r="EX128" s="19"/>
      <c r="EY128" s="19"/>
      <c r="EZ128" s="19"/>
      <c r="FA128" s="19"/>
      <c r="FB128" s="19"/>
      <c r="FC128" s="19"/>
      <c r="FD128" s="19"/>
      <c r="FE128" s="19"/>
      <c r="FF128" s="19"/>
      <c r="FG128" s="19"/>
      <c r="FH128" s="19"/>
      <c r="FI128" s="19"/>
      <c r="FJ128" s="19"/>
      <c r="FK128" s="19"/>
      <c r="FL128" s="20" t="s">
        <v>261</v>
      </c>
      <c r="FM128" s="20" t="s">
        <v>339</v>
      </c>
      <c r="FN128" s="19"/>
      <c r="FO128" s="19"/>
      <c r="FP128" s="19"/>
      <c r="FQ128" s="19"/>
      <c r="FR128" s="19"/>
      <c r="FS128" s="19"/>
      <c r="FT128" s="19"/>
      <c r="FU128" s="19"/>
      <c r="FV128" s="19"/>
      <c r="FW128" s="19"/>
      <c r="FX128" s="19"/>
      <c r="FY128" s="19"/>
      <c r="FZ128" s="19"/>
      <c r="GA128" s="19"/>
      <c r="GB128" s="19"/>
      <c r="GC128" s="19"/>
      <c r="GD128" s="19"/>
      <c r="GE128" s="19"/>
      <c r="GF128" s="19"/>
      <c r="GG128" s="19"/>
      <c r="GH128" s="19"/>
      <c r="GI128" s="19"/>
      <c r="GJ128" s="19"/>
      <c r="GK128" s="19"/>
      <c r="GL128" s="19"/>
      <c r="GM128" s="19"/>
      <c r="GN128" s="19"/>
      <c r="GO128" s="19"/>
      <c r="GP128" s="19"/>
      <c r="GQ128" s="19"/>
      <c r="GR128" s="19"/>
      <c r="GS128" s="19"/>
      <c r="GT128" s="19"/>
      <c r="GU128" s="19"/>
      <c r="GV128" s="19"/>
      <c r="GW128" s="19"/>
      <c r="GX128" s="19"/>
      <c r="GY128" s="19"/>
      <c r="GZ128" s="19"/>
      <c r="HA128" s="19"/>
    </row>
    <row r="129" spans="1:209" ht="23.25" customHeight="1" x14ac:dyDescent="0.15">
      <c r="A129" s="26">
        <v>44658.917953263888</v>
      </c>
      <c r="B129" s="27" t="s">
        <v>6</v>
      </c>
      <c r="C129" s="27" t="s">
        <v>11</v>
      </c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  <c r="AX129" s="27" t="s">
        <v>256</v>
      </c>
      <c r="AY129" s="27" t="s">
        <v>257</v>
      </c>
      <c r="AZ129" s="27" t="s">
        <v>256</v>
      </c>
      <c r="BA129" s="27" t="s">
        <v>375</v>
      </c>
      <c r="BB129" s="27" t="s">
        <v>592</v>
      </c>
      <c r="BC129" s="29">
        <v>43617</v>
      </c>
      <c r="BD129" s="29">
        <v>44348</v>
      </c>
      <c r="BE129" s="29">
        <v>44348</v>
      </c>
      <c r="BF129" s="27">
        <v>100</v>
      </c>
      <c r="BG129" s="27" t="s">
        <v>580</v>
      </c>
      <c r="BH129" s="30" t="s">
        <v>593</v>
      </c>
      <c r="BI129" s="28"/>
      <c r="BJ129" s="28"/>
      <c r="BK129" s="28"/>
      <c r="BL129" s="28"/>
      <c r="BM129" s="28"/>
      <c r="BN129" s="28"/>
      <c r="BO129" s="28"/>
      <c r="BP129" s="28"/>
      <c r="BQ129" s="28"/>
      <c r="BR129" s="28"/>
      <c r="BS129" s="28"/>
      <c r="BT129" s="28"/>
      <c r="BU129" s="28"/>
      <c r="BV129" s="28"/>
      <c r="BW129" s="28"/>
      <c r="BX129" s="28"/>
      <c r="BY129" s="19"/>
      <c r="BZ129" s="19"/>
      <c r="CA129" s="19"/>
      <c r="CB129" s="19"/>
      <c r="CC129" s="19"/>
      <c r="CD129" s="19"/>
      <c r="CE129" s="19"/>
      <c r="CF129" s="19"/>
      <c r="CG129" s="19"/>
      <c r="CH129" s="19"/>
      <c r="CI129" s="19"/>
      <c r="CJ129" s="19"/>
      <c r="CK129" s="19"/>
      <c r="CL129" s="19"/>
      <c r="CM129" s="19"/>
      <c r="CN129" s="19"/>
      <c r="CO129" s="19"/>
      <c r="CP129" s="19"/>
      <c r="CQ129" s="19"/>
      <c r="CR129" s="19"/>
      <c r="CS129" s="19"/>
      <c r="CT129" s="19"/>
      <c r="CU129" s="19"/>
      <c r="CV129" s="19"/>
      <c r="CW129" s="19"/>
      <c r="CX129" s="19"/>
      <c r="CY129" s="19"/>
      <c r="CZ129" s="19"/>
      <c r="DA129" s="19"/>
      <c r="DB129" s="19"/>
      <c r="DC129" s="19"/>
      <c r="DD129" s="19"/>
      <c r="DE129" s="19"/>
      <c r="DF129" s="19"/>
      <c r="DG129" s="19"/>
      <c r="DH129" s="19"/>
      <c r="DI129" s="19"/>
      <c r="DJ129" s="19"/>
      <c r="DK129" s="19"/>
      <c r="DL129" s="19"/>
      <c r="DM129" s="19"/>
      <c r="DN129" s="19"/>
      <c r="DO129" s="19"/>
      <c r="DP129" s="19"/>
      <c r="DQ129" s="19"/>
      <c r="DR129" s="19"/>
      <c r="DS129" s="19"/>
      <c r="DT129" s="19"/>
      <c r="DU129" s="19"/>
      <c r="DV129" s="19"/>
      <c r="DW129" s="19"/>
      <c r="DX129" s="19"/>
      <c r="DY129" s="19"/>
      <c r="DZ129" s="19"/>
      <c r="EA129" s="19"/>
      <c r="EB129" s="19"/>
      <c r="EC129" s="19"/>
      <c r="ED129" s="19"/>
      <c r="EE129" s="19"/>
      <c r="EF129" s="19"/>
      <c r="EG129" s="19"/>
      <c r="EH129" s="19"/>
      <c r="EI129" s="19"/>
      <c r="EJ129" s="19"/>
      <c r="EK129" s="19"/>
      <c r="EL129" s="19"/>
      <c r="EM129" s="19"/>
      <c r="EN129" s="19"/>
      <c r="EO129" s="19"/>
      <c r="EP129" s="19"/>
      <c r="EQ129" s="19"/>
      <c r="ER129" s="19"/>
      <c r="ES129" s="19"/>
      <c r="ET129" s="19"/>
      <c r="EU129" s="19"/>
      <c r="EV129" s="19"/>
      <c r="EW129" s="19"/>
      <c r="EX129" s="19"/>
      <c r="EY129" s="19"/>
      <c r="EZ129" s="19"/>
      <c r="FA129" s="19"/>
      <c r="FB129" s="19"/>
      <c r="FC129" s="19"/>
      <c r="FD129" s="19"/>
      <c r="FE129" s="19"/>
      <c r="FF129" s="19"/>
      <c r="FG129" s="19"/>
      <c r="FH129" s="19"/>
      <c r="FI129" s="19"/>
      <c r="FJ129" s="19"/>
      <c r="FK129" s="19"/>
      <c r="FL129" s="20" t="s">
        <v>261</v>
      </c>
      <c r="FM129" s="20" t="s">
        <v>380</v>
      </c>
      <c r="FN129" s="19"/>
      <c r="FO129" s="19"/>
      <c r="FP129" s="19"/>
      <c r="FQ129" s="19"/>
      <c r="FR129" s="19"/>
      <c r="FS129" s="19"/>
      <c r="FT129" s="19"/>
      <c r="FU129" s="19"/>
      <c r="FV129" s="19"/>
      <c r="FW129" s="19"/>
      <c r="FX129" s="19"/>
      <c r="FY129" s="19"/>
      <c r="FZ129" s="19"/>
      <c r="GA129" s="19"/>
      <c r="GB129" s="19"/>
      <c r="GC129" s="19"/>
      <c r="GD129" s="19"/>
      <c r="GE129" s="19"/>
      <c r="GF129" s="19"/>
      <c r="GG129" s="19"/>
      <c r="GH129" s="19"/>
      <c r="GI129" s="19"/>
      <c r="GJ129" s="19"/>
      <c r="GK129" s="19"/>
      <c r="GL129" s="19"/>
      <c r="GM129" s="19"/>
      <c r="GN129" s="19"/>
      <c r="GO129" s="19"/>
      <c r="GP129" s="19"/>
      <c r="GQ129" s="19"/>
      <c r="GR129" s="19"/>
      <c r="GS129" s="19"/>
      <c r="GT129" s="19"/>
      <c r="GU129" s="19"/>
      <c r="GV129" s="19"/>
      <c r="GW129" s="19"/>
      <c r="GX129" s="19"/>
      <c r="GY129" s="19"/>
      <c r="GZ129" s="19"/>
      <c r="HA129" s="19"/>
    </row>
    <row r="130" spans="1:209" ht="23.25" customHeight="1" x14ac:dyDescent="0.15">
      <c r="A130" s="26">
        <v>44658.920066990744</v>
      </c>
      <c r="B130" s="27" t="s">
        <v>6</v>
      </c>
      <c r="C130" s="27" t="s">
        <v>10</v>
      </c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7" t="s">
        <v>256</v>
      </c>
      <c r="AO130" s="27" t="s">
        <v>257</v>
      </c>
      <c r="AP130" s="27" t="s">
        <v>594</v>
      </c>
      <c r="AQ130" s="27" t="s">
        <v>493</v>
      </c>
      <c r="AR130" s="29">
        <v>44470</v>
      </c>
      <c r="AS130" s="29">
        <v>44531</v>
      </c>
      <c r="AT130" s="27" t="s">
        <v>252</v>
      </c>
      <c r="AU130" s="27" t="s">
        <v>252</v>
      </c>
      <c r="AV130" s="27">
        <v>0</v>
      </c>
      <c r="AW130" s="30" t="s">
        <v>595</v>
      </c>
      <c r="AX130" s="28"/>
      <c r="AY130" s="28"/>
      <c r="AZ130" s="28"/>
      <c r="BA130" s="28"/>
      <c r="BB130" s="28"/>
      <c r="BC130" s="28"/>
      <c r="BD130" s="28"/>
      <c r="BE130" s="28"/>
      <c r="BF130" s="28"/>
      <c r="BG130" s="28"/>
      <c r="BH130" s="28"/>
      <c r="BI130" s="28"/>
      <c r="BJ130" s="28"/>
      <c r="BK130" s="28"/>
      <c r="BL130" s="28"/>
      <c r="BM130" s="28"/>
      <c r="BN130" s="28"/>
      <c r="BO130" s="28"/>
      <c r="BP130" s="28"/>
      <c r="BQ130" s="28"/>
      <c r="BR130" s="28"/>
      <c r="BS130" s="28"/>
      <c r="BT130" s="28"/>
      <c r="BU130" s="28"/>
      <c r="BV130" s="28"/>
      <c r="BW130" s="28"/>
      <c r="BX130" s="28"/>
      <c r="BY130" s="19"/>
      <c r="BZ130" s="19"/>
      <c r="CA130" s="19"/>
      <c r="CB130" s="19"/>
      <c r="CC130" s="19"/>
      <c r="CD130" s="19"/>
      <c r="CE130" s="19"/>
      <c r="CF130" s="19"/>
      <c r="CG130" s="19"/>
      <c r="CH130" s="19"/>
      <c r="CI130" s="19"/>
      <c r="CJ130" s="19"/>
      <c r="CK130" s="19"/>
      <c r="CL130" s="19"/>
      <c r="CM130" s="19"/>
      <c r="CN130" s="19"/>
      <c r="CO130" s="19"/>
      <c r="CP130" s="19"/>
      <c r="CQ130" s="19"/>
      <c r="CR130" s="19"/>
      <c r="CS130" s="19"/>
      <c r="CT130" s="19"/>
      <c r="CU130" s="19"/>
      <c r="CV130" s="19"/>
      <c r="CW130" s="19"/>
      <c r="CX130" s="19"/>
      <c r="CY130" s="19"/>
      <c r="CZ130" s="19"/>
      <c r="DA130" s="19"/>
      <c r="DB130" s="19"/>
      <c r="DC130" s="19"/>
      <c r="DD130" s="19"/>
      <c r="DE130" s="19"/>
      <c r="DF130" s="19"/>
      <c r="DG130" s="19"/>
      <c r="DH130" s="19"/>
      <c r="DI130" s="19"/>
      <c r="DJ130" s="19"/>
      <c r="DK130" s="19"/>
      <c r="DL130" s="19"/>
      <c r="DM130" s="19"/>
      <c r="DN130" s="19"/>
      <c r="DO130" s="19"/>
      <c r="DP130" s="19"/>
      <c r="DQ130" s="19"/>
      <c r="DR130" s="19"/>
      <c r="DS130" s="19"/>
      <c r="DT130" s="19"/>
      <c r="DU130" s="19"/>
      <c r="DV130" s="19"/>
      <c r="DW130" s="19"/>
      <c r="DX130" s="19"/>
      <c r="DY130" s="19"/>
      <c r="DZ130" s="19"/>
      <c r="EA130" s="19"/>
      <c r="EB130" s="19"/>
      <c r="EC130" s="19"/>
      <c r="ED130" s="19"/>
      <c r="EE130" s="19"/>
      <c r="EF130" s="19"/>
      <c r="EG130" s="19"/>
      <c r="EH130" s="19"/>
      <c r="EI130" s="19"/>
      <c r="EJ130" s="19"/>
      <c r="EK130" s="19"/>
      <c r="EL130" s="19"/>
      <c r="EM130" s="19"/>
      <c r="EN130" s="19"/>
      <c r="EO130" s="19"/>
      <c r="EP130" s="19"/>
      <c r="EQ130" s="19"/>
      <c r="ER130" s="19"/>
      <c r="ES130" s="19"/>
      <c r="ET130" s="19"/>
      <c r="EU130" s="19"/>
      <c r="EV130" s="19"/>
      <c r="EW130" s="19"/>
      <c r="EX130" s="19"/>
      <c r="EY130" s="19"/>
      <c r="EZ130" s="19"/>
      <c r="FA130" s="19"/>
      <c r="FB130" s="19"/>
      <c r="FC130" s="19"/>
      <c r="FD130" s="19"/>
      <c r="FE130" s="19"/>
      <c r="FF130" s="19"/>
      <c r="FG130" s="19"/>
      <c r="FH130" s="19"/>
      <c r="FI130" s="19"/>
      <c r="FJ130" s="19"/>
      <c r="FK130" s="19"/>
      <c r="FL130" s="20" t="s">
        <v>261</v>
      </c>
      <c r="FM130" s="20" t="s">
        <v>278</v>
      </c>
      <c r="FN130" s="19"/>
      <c r="FO130" s="19"/>
      <c r="FP130" s="19"/>
      <c r="FQ130" s="19"/>
      <c r="FR130" s="19"/>
      <c r="FS130" s="19"/>
      <c r="FT130" s="19"/>
      <c r="FU130" s="19"/>
      <c r="FV130" s="19"/>
      <c r="FW130" s="19"/>
      <c r="FX130" s="19"/>
      <c r="FY130" s="19"/>
      <c r="FZ130" s="19"/>
      <c r="GA130" s="19"/>
      <c r="GB130" s="19"/>
      <c r="GC130" s="19"/>
      <c r="GD130" s="19"/>
      <c r="GE130" s="19"/>
      <c r="GF130" s="19"/>
      <c r="GG130" s="19"/>
      <c r="GH130" s="19"/>
      <c r="GI130" s="19"/>
      <c r="GJ130" s="19"/>
      <c r="GK130" s="19"/>
      <c r="GL130" s="19"/>
      <c r="GM130" s="19"/>
      <c r="GN130" s="19"/>
      <c r="GO130" s="19"/>
      <c r="GP130" s="19"/>
      <c r="GQ130" s="19"/>
      <c r="GR130" s="19"/>
      <c r="GS130" s="19"/>
      <c r="GT130" s="19"/>
      <c r="GU130" s="19"/>
      <c r="GV130" s="19"/>
      <c r="GW130" s="19"/>
      <c r="GX130" s="19"/>
      <c r="GY130" s="19"/>
      <c r="GZ130" s="19"/>
      <c r="HA130" s="19"/>
    </row>
    <row r="131" spans="1:209" ht="23.25" customHeight="1" x14ac:dyDescent="0.15">
      <c r="A131" s="26">
        <v>44658.92104288195</v>
      </c>
      <c r="B131" s="27" t="s">
        <v>6</v>
      </c>
      <c r="C131" s="27" t="s">
        <v>12</v>
      </c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  <c r="AX131" s="28"/>
      <c r="AY131" s="28"/>
      <c r="AZ131" s="28"/>
      <c r="BA131" s="28"/>
      <c r="BB131" s="28"/>
      <c r="BC131" s="28"/>
      <c r="BD131" s="28"/>
      <c r="BE131" s="28"/>
      <c r="BF131" s="28"/>
      <c r="BG131" s="28"/>
      <c r="BH131" s="28"/>
      <c r="BI131" s="27" t="s">
        <v>428</v>
      </c>
      <c r="BJ131" s="27" t="s">
        <v>429</v>
      </c>
      <c r="BK131" s="27" t="s">
        <v>166</v>
      </c>
      <c r="BL131" s="27" t="s">
        <v>167</v>
      </c>
      <c r="BM131" s="27" t="s">
        <v>596</v>
      </c>
      <c r="BN131" s="27">
        <v>1</v>
      </c>
      <c r="BO131" s="29">
        <v>44020</v>
      </c>
      <c r="BP131" s="29">
        <v>44020</v>
      </c>
      <c r="BQ131" s="27" t="s">
        <v>597</v>
      </c>
      <c r="BR131" s="27" t="s">
        <v>598</v>
      </c>
      <c r="BS131" s="27" t="s">
        <v>271</v>
      </c>
      <c r="BT131" s="27" t="s">
        <v>151</v>
      </c>
      <c r="BU131" s="28"/>
      <c r="BV131" s="30" t="s">
        <v>599</v>
      </c>
      <c r="BW131" s="28"/>
      <c r="BX131" s="28"/>
      <c r="BY131" s="19"/>
      <c r="BZ131" s="19"/>
      <c r="CA131" s="19"/>
      <c r="CB131" s="19"/>
      <c r="CC131" s="19"/>
      <c r="CD131" s="19"/>
      <c r="CE131" s="19"/>
      <c r="CF131" s="19"/>
      <c r="CG131" s="19"/>
      <c r="CH131" s="19"/>
      <c r="CI131" s="19"/>
      <c r="CJ131" s="19"/>
      <c r="CK131" s="19"/>
      <c r="CL131" s="19"/>
      <c r="CM131" s="19"/>
      <c r="CN131" s="19"/>
      <c r="CO131" s="19"/>
      <c r="CP131" s="19"/>
      <c r="CQ131" s="19"/>
      <c r="CR131" s="19"/>
      <c r="CS131" s="19"/>
      <c r="CT131" s="19"/>
      <c r="CU131" s="19"/>
      <c r="CV131" s="19"/>
      <c r="CW131" s="19"/>
      <c r="CX131" s="19"/>
      <c r="CY131" s="19"/>
      <c r="CZ131" s="19"/>
      <c r="DA131" s="19"/>
      <c r="DB131" s="19"/>
      <c r="DC131" s="19"/>
      <c r="DD131" s="19"/>
      <c r="DE131" s="19"/>
      <c r="DF131" s="19"/>
      <c r="DG131" s="19"/>
      <c r="DH131" s="19"/>
      <c r="DI131" s="19"/>
      <c r="DJ131" s="19"/>
      <c r="DK131" s="19"/>
      <c r="DL131" s="19"/>
      <c r="DM131" s="19"/>
      <c r="DN131" s="19"/>
      <c r="DO131" s="19"/>
      <c r="DP131" s="19"/>
      <c r="DQ131" s="19"/>
      <c r="DR131" s="19"/>
      <c r="DS131" s="19"/>
      <c r="DT131" s="19"/>
      <c r="DU131" s="19"/>
      <c r="DV131" s="19"/>
      <c r="DW131" s="19"/>
      <c r="DX131" s="19"/>
      <c r="DY131" s="19"/>
      <c r="DZ131" s="19"/>
      <c r="EA131" s="19"/>
      <c r="EB131" s="19"/>
      <c r="EC131" s="19"/>
      <c r="ED131" s="19"/>
      <c r="EE131" s="19"/>
      <c r="EF131" s="19"/>
      <c r="EG131" s="19"/>
      <c r="EH131" s="19"/>
      <c r="EI131" s="19"/>
      <c r="EJ131" s="19"/>
      <c r="EK131" s="19"/>
      <c r="EL131" s="19"/>
      <c r="EM131" s="19"/>
      <c r="EN131" s="19"/>
      <c r="EO131" s="19"/>
      <c r="EP131" s="19"/>
      <c r="EQ131" s="19"/>
      <c r="ER131" s="19"/>
      <c r="ES131" s="19"/>
      <c r="ET131" s="19"/>
      <c r="EU131" s="19"/>
      <c r="EV131" s="19"/>
      <c r="EW131" s="19"/>
      <c r="EX131" s="19"/>
      <c r="EY131" s="19"/>
      <c r="EZ131" s="19"/>
      <c r="FA131" s="19"/>
      <c r="FB131" s="19"/>
      <c r="FC131" s="19"/>
      <c r="FD131" s="19"/>
      <c r="FE131" s="19"/>
      <c r="FF131" s="19"/>
      <c r="FG131" s="19"/>
      <c r="FH131" s="19"/>
      <c r="FI131" s="19"/>
      <c r="FJ131" s="19"/>
      <c r="FK131" s="19"/>
      <c r="FL131" s="20" t="s">
        <v>434</v>
      </c>
      <c r="FM131" s="20" t="s">
        <v>339</v>
      </c>
      <c r="FN131" s="19"/>
      <c r="FO131" s="19"/>
      <c r="FP131" s="19"/>
      <c r="FQ131" s="19"/>
      <c r="FR131" s="19"/>
      <c r="FS131" s="19"/>
      <c r="FT131" s="19"/>
      <c r="FU131" s="19"/>
      <c r="FV131" s="19"/>
      <c r="FW131" s="19"/>
      <c r="FX131" s="19"/>
      <c r="FY131" s="19"/>
      <c r="FZ131" s="19"/>
      <c r="GA131" s="19"/>
      <c r="GB131" s="19"/>
      <c r="GC131" s="19"/>
      <c r="GD131" s="19"/>
      <c r="GE131" s="19"/>
      <c r="GF131" s="19"/>
      <c r="GG131" s="19"/>
      <c r="GH131" s="19"/>
      <c r="GI131" s="19"/>
      <c r="GJ131" s="19"/>
      <c r="GK131" s="19"/>
      <c r="GL131" s="19"/>
      <c r="GM131" s="19"/>
      <c r="GN131" s="19"/>
      <c r="GO131" s="19"/>
      <c r="GP131" s="19"/>
      <c r="GQ131" s="19"/>
      <c r="GR131" s="19"/>
      <c r="GS131" s="19"/>
      <c r="GT131" s="19"/>
      <c r="GU131" s="19"/>
      <c r="GV131" s="19"/>
      <c r="GW131" s="19"/>
      <c r="GX131" s="19"/>
      <c r="GY131" s="19"/>
      <c r="GZ131" s="19"/>
      <c r="HA131" s="19"/>
    </row>
    <row r="132" spans="1:209" ht="23.25" customHeight="1" x14ac:dyDescent="0.15">
      <c r="A132" s="26">
        <v>44658.921583194446</v>
      </c>
      <c r="B132" s="27" t="s">
        <v>6</v>
      </c>
      <c r="C132" s="27" t="s">
        <v>11</v>
      </c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7" t="s">
        <v>256</v>
      </c>
      <c r="AY132" s="27" t="s">
        <v>257</v>
      </c>
      <c r="AZ132" s="27" t="s">
        <v>600</v>
      </c>
      <c r="BA132" s="27" t="s">
        <v>307</v>
      </c>
      <c r="BB132" s="27">
        <v>1</v>
      </c>
      <c r="BC132" s="29">
        <v>44652</v>
      </c>
      <c r="BD132" s="29">
        <v>44681</v>
      </c>
      <c r="BE132" s="29">
        <v>44681</v>
      </c>
      <c r="BF132" s="27">
        <v>100</v>
      </c>
      <c r="BG132" s="27" t="s">
        <v>601</v>
      </c>
      <c r="BH132" s="30" t="s">
        <v>602</v>
      </c>
      <c r="BI132" s="28"/>
      <c r="BJ132" s="28"/>
      <c r="BK132" s="28"/>
      <c r="BL132" s="28"/>
      <c r="BM132" s="28"/>
      <c r="BN132" s="28"/>
      <c r="BO132" s="28"/>
      <c r="BP132" s="28"/>
      <c r="BQ132" s="28"/>
      <c r="BR132" s="28"/>
      <c r="BS132" s="28"/>
      <c r="BT132" s="28"/>
      <c r="BU132" s="28"/>
      <c r="BV132" s="28"/>
      <c r="BW132" s="28"/>
      <c r="BX132" s="28"/>
      <c r="BY132" s="19"/>
      <c r="BZ132" s="19"/>
      <c r="CA132" s="19"/>
      <c r="CB132" s="19"/>
      <c r="CC132" s="19"/>
      <c r="CD132" s="19"/>
      <c r="CE132" s="19"/>
      <c r="CF132" s="19"/>
      <c r="CG132" s="19"/>
      <c r="CH132" s="19"/>
      <c r="CI132" s="19"/>
      <c r="CJ132" s="19"/>
      <c r="CK132" s="19"/>
      <c r="CL132" s="19"/>
      <c r="CM132" s="19"/>
      <c r="CN132" s="19"/>
      <c r="CO132" s="19"/>
      <c r="CP132" s="19"/>
      <c r="CQ132" s="19"/>
      <c r="CR132" s="19"/>
      <c r="CS132" s="19"/>
      <c r="CT132" s="19"/>
      <c r="CU132" s="19"/>
      <c r="CV132" s="19"/>
      <c r="CW132" s="19"/>
      <c r="CX132" s="19"/>
      <c r="CY132" s="19"/>
      <c r="CZ132" s="19"/>
      <c r="DA132" s="19"/>
      <c r="DB132" s="19"/>
      <c r="DC132" s="19"/>
      <c r="DD132" s="19"/>
      <c r="DE132" s="19"/>
      <c r="DF132" s="19"/>
      <c r="DG132" s="19"/>
      <c r="DH132" s="19"/>
      <c r="DI132" s="19"/>
      <c r="DJ132" s="19"/>
      <c r="DK132" s="19"/>
      <c r="DL132" s="19"/>
      <c r="DM132" s="19"/>
      <c r="DN132" s="19"/>
      <c r="DO132" s="19"/>
      <c r="DP132" s="19"/>
      <c r="DQ132" s="19"/>
      <c r="DR132" s="19"/>
      <c r="DS132" s="19"/>
      <c r="DT132" s="19"/>
      <c r="DU132" s="19"/>
      <c r="DV132" s="19"/>
      <c r="DW132" s="19"/>
      <c r="DX132" s="19"/>
      <c r="DY132" s="19"/>
      <c r="DZ132" s="19"/>
      <c r="EA132" s="19"/>
      <c r="EB132" s="19"/>
      <c r="EC132" s="19"/>
      <c r="ED132" s="19"/>
      <c r="EE132" s="19"/>
      <c r="EF132" s="19"/>
      <c r="EG132" s="19"/>
      <c r="EH132" s="19"/>
      <c r="EI132" s="19"/>
      <c r="EJ132" s="19"/>
      <c r="EK132" s="19"/>
      <c r="EL132" s="19"/>
      <c r="EM132" s="19"/>
      <c r="EN132" s="19"/>
      <c r="EO132" s="19"/>
      <c r="EP132" s="19"/>
      <c r="EQ132" s="19"/>
      <c r="ER132" s="19"/>
      <c r="ES132" s="19"/>
      <c r="ET132" s="19"/>
      <c r="EU132" s="19"/>
      <c r="EV132" s="19"/>
      <c r="EW132" s="19"/>
      <c r="EX132" s="19"/>
      <c r="EY132" s="19"/>
      <c r="EZ132" s="19"/>
      <c r="FA132" s="19"/>
      <c r="FB132" s="19"/>
      <c r="FC132" s="19"/>
      <c r="FD132" s="19"/>
      <c r="FE132" s="19"/>
      <c r="FF132" s="19"/>
      <c r="FG132" s="19"/>
      <c r="FH132" s="19"/>
      <c r="FI132" s="19"/>
      <c r="FJ132" s="19"/>
      <c r="FK132" s="19"/>
      <c r="FL132" s="20" t="s">
        <v>261</v>
      </c>
      <c r="FM132" s="20" t="s">
        <v>255</v>
      </c>
      <c r="FN132" s="19"/>
      <c r="FO132" s="19"/>
      <c r="FP132" s="19"/>
      <c r="FQ132" s="19"/>
      <c r="FR132" s="19"/>
      <c r="FS132" s="19"/>
      <c r="FT132" s="19"/>
      <c r="FU132" s="19"/>
      <c r="FV132" s="19"/>
      <c r="FW132" s="19"/>
      <c r="FX132" s="19"/>
      <c r="FY132" s="19"/>
      <c r="FZ132" s="19"/>
      <c r="GA132" s="19"/>
      <c r="GB132" s="19"/>
      <c r="GC132" s="19"/>
      <c r="GD132" s="19"/>
      <c r="GE132" s="19"/>
      <c r="GF132" s="19"/>
      <c r="GG132" s="19"/>
      <c r="GH132" s="19"/>
      <c r="GI132" s="19"/>
      <c r="GJ132" s="19"/>
      <c r="GK132" s="19"/>
      <c r="GL132" s="19"/>
      <c r="GM132" s="19"/>
      <c r="GN132" s="19"/>
      <c r="GO132" s="19"/>
      <c r="GP132" s="19"/>
      <c r="GQ132" s="19"/>
      <c r="GR132" s="19"/>
      <c r="GS132" s="19"/>
      <c r="GT132" s="19"/>
      <c r="GU132" s="19"/>
      <c r="GV132" s="19"/>
      <c r="GW132" s="19"/>
      <c r="GX132" s="19"/>
      <c r="GY132" s="19"/>
      <c r="GZ132" s="19"/>
      <c r="HA132" s="19"/>
    </row>
    <row r="133" spans="1:209" ht="23.25" customHeight="1" x14ac:dyDescent="0.15">
      <c r="A133" s="26">
        <v>44658.924692800923</v>
      </c>
      <c r="B133" s="27" t="s">
        <v>6</v>
      </c>
      <c r="C133" s="27" t="s">
        <v>12</v>
      </c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  <c r="AX133" s="28"/>
      <c r="AY133" s="28"/>
      <c r="AZ133" s="28"/>
      <c r="BA133" s="28"/>
      <c r="BB133" s="28"/>
      <c r="BC133" s="28"/>
      <c r="BD133" s="28"/>
      <c r="BE133" s="28"/>
      <c r="BF133" s="28"/>
      <c r="BG133" s="28"/>
      <c r="BH133" s="28"/>
      <c r="BI133" s="27" t="s">
        <v>428</v>
      </c>
      <c r="BJ133" s="27" t="s">
        <v>429</v>
      </c>
      <c r="BK133" s="27" t="s">
        <v>166</v>
      </c>
      <c r="BL133" s="27" t="s">
        <v>167</v>
      </c>
      <c r="BM133" s="27" t="s">
        <v>603</v>
      </c>
      <c r="BN133" s="27">
        <v>1</v>
      </c>
      <c r="BO133" s="29">
        <v>44024</v>
      </c>
      <c r="BP133" s="29">
        <v>44024</v>
      </c>
      <c r="BQ133" s="27" t="s">
        <v>604</v>
      </c>
      <c r="BR133" s="27" t="s">
        <v>605</v>
      </c>
      <c r="BS133" s="27" t="s">
        <v>271</v>
      </c>
      <c r="BT133" s="27" t="s">
        <v>151</v>
      </c>
      <c r="BU133" s="28"/>
      <c r="BV133" s="30" t="s">
        <v>606</v>
      </c>
      <c r="BW133" s="28"/>
      <c r="BX133" s="28"/>
      <c r="BY133" s="19"/>
      <c r="BZ133" s="19"/>
      <c r="CA133" s="19"/>
      <c r="CB133" s="19"/>
      <c r="CC133" s="19"/>
      <c r="CD133" s="19"/>
      <c r="CE133" s="19"/>
      <c r="CF133" s="19"/>
      <c r="CG133" s="19"/>
      <c r="CH133" s="19"/>
      <c r="CI133" s="19"/>
      <c r="CJ133" s="19"/>
      <c r="CK133" s="19"/>
      <c r="CL133" s="19"/>
      <c r="CM133" s="19"/>
      <c r="CN133" s="19"/>
      <c r="CO133" s="19"/>
      <c r="CP133" s="19"/>
      <c r="CQ133" s="19"/>
      <c r="CR133" s="19"/>
      <c r="CS133" s="19"/>
      <c r="CT133" s="19"/>
      <c r="CU133" s="19"/>
      <c r="CV133" s="19"/>
      <c r="CW133" s="19"/>
      <c r="CX133" s="19"/>
      <c r="CY133" s="19"/>
      <c r="CZ133" s="19"/>
      <c r="DA133" s="19"/>
      <c r="DB133" s="19"/>
      <c r="DC133" s="19"/>
      <c r="DD133" s="19"/>
      <c r="DE133" s="19"/>
      <c r="DF133" s="19"/>
      <c r="DG133" s="19"/>
      <c r="DH133" s="19"/>
      <c r="DI133" s="19"/>
      <c r="DJ133" s="19"/>
      <c r="DK133" s="19"/>
      <c r="DL133" s="19"/>
      <c r="DM133" s="19"/>
      <c r="DN133" s="19"/>
      <c r="DO133" s="19"/>
      <c r="DP133" s="19"/>
      <c r="DQ133" s="19"/>
      <c r="DR133" s="19"/>
      <c r="DS133" s="19"/>
      <c r="DT133" s="19"/>
      <c r="DU133" s="19"/>
      <c r="DV133" s="19"/>
      <c r="DW133" s="19"/>
      <c r="DX133" s="19"/>
      <c r="DY133" s="19"/>
      <c r="DZ133" s="19"/>
      <c r="EA133" s="19"/>
      <c r="EB133" s="19"/>
      <c r="EC133" s="19"/>
      <c r="ED133" s="19"/>
      <c r="EE133" s="19"/>
      <c r="EF133" s="19"/>
      <c r="EG133" s="19"/>
      <c r="EH133" s="19"/>
      <c r="EI133" s="19"/>
      <c r="EJ133" s="19"/>
      <c r="EK133" s="19"/>
      <c r="EL133" s="19"/>
      <c r="EM133" s="19"/>
      <c r="EN133" s="19"/>
      <c r="EO133" s="19"/>
      <c r="EP133" s="19"/>
      <c r="EQ133" s="19"/>
      <c r="ER133" s="19"/>
      <c r="ES133" s="19"/>
      <c r="ET133" s="19"/>
      <c r="EU133" s="19"/>
      <c r="EV133" s="19"/>
      <c r="EW133" s="19"/>
      <c r="EX133" s="19"/>
      <c r="EY133" s="19"/>
      <c r="EZ133" s="19"/>
      <c r="FA133" s="19"/>
      <c r="FB133" s="19"/>
      <c r="FC133" s="19"/>
      <c r="FD133" s="19"/>
      <c r="FE133" s="19"/>
      <c r="FF133" s="19"/>
      <c r="FG133" s="19"/>
      <c r="FH133" s="19"/>
      <c r="FI133" s="19"/>
      <c r="FJ133" s="19"/>
      <c r="FK133" s="19"/>
      <c r="FL133" s="20" t="s">
        <v>434</v>
      </c>
      <c r="FM133" s="20" t="s">
        <v>339</v>
      </c>
      <c r="FN133" s="19"/>
      <c r="FO133" s="19"/>
      <c r="FP133" s="19"/>
      <c r="FQ133" s="19"/>
      <c r="FR133" s="19"/>
      <c r="FS133" s="19"/>
      <c r="FT133" s="19"/>
      <c r="FU133" s="19"/>
      <c r="FV133" s="19"/>
      <c r="FW133" s="19"/>
      <c r="FX133" s="19"/>
      <c r="FY133" s="19"/>
      <c r="FZ133" s="19"/>
      <c r="GA133" s="19"/>
      <c r="GB133" s="19"/>
      <c r="GC133" s="19"/>
      <c r="GD133" s="19"/>
      <c r="GE133" s="19"/>
      <c r="GF133" s="19"/>
      <c r="GG133" s="19"/>
      <c r="GH133" s="19"/>
      <c r="GI133" s="19"/>
      <c r="GJ133" s="19"/>
      <c r="GK133" s="19"/>
      <c r="GL133" s="19"/>
      <c r="GM133" s="19"/>
      <c r="GN133" s="19"/>
      <c r="GO133" s="19"/>
      <c r="GP133" s="19"/>
      <c r="GQ133" s="19"/>
      <c r="GR133" s="19"/>
      <c r="GS133" s="19"/>
      <c r="GT133" s="19"/>
      <c r="GU133" s="19"/>
      <c r="GV133" s="19"/>
      <c r="GW133" s="19"/>
      <c r="GX133" s="19"/>
      <c r="GY133" s="19"/>
      <c r="GZ133" s="19"/>
      <c r="HA133" s="19"/>
    </row>
    <row r="134" spans="1:209" ht="23.25" customHeight="1" x14ac:dyDescent="0.15">
      <c r="A134" s="26">
        <v>44658.924754525462</v>
      </c>
      <c r="B134" s="27" t="s">
        <v>6</v>
      </c>
      <c r="C134" s="27" t="s">
        <v>12</v>
      </c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  <c r="AX134" s="28"/>
      <c r="AY134" s="28"/>
      <c r="AZ134" s="28"/>
      <c r="BA134" s="28"/>
      <c r="BB134" s="28"/>
      <c r="BC134" s="28"/>
      <c r="BD134" s="28"/>
      <c r="BE134" s="28"/>
      <c r="BF134" s="28"/>
      <c r="BG134" s="28"/>
      <c r="BH134" s="28"/>
      <c r="BI134" s="27" t="s">
        <v>256</v>
      </c>
      <c r="BJ134" s="27" t="s">
        <v>257</v>
      </c>
      <c r="BK134" s="27" t="s">
        <v>154</v>
      </c>
      <c r="BL134" s="27" t="s">
        <v>167</v>
      </c>
      <c r="BM134" s="27" t="s">
        <v>607</v>
      </c>
      <c r="BN134" s="27">
        <v>30</v>
      </c>
      <c r="BO134" s="29">
        <v>44075</v>
      </c>
      <c r="BP134" s="29">
        <v>44105</v>
      </c>
      <c r="BQ134" s="27" t="s">
        <v>608</v>
      </c>
      <c r="BR134" s="27" t="s">
        <v>520</v>
      </c>
      <c r="BS134" s="27" t="s">
        <v>271</v>
      </c>
      <c r="BT134" s="27" t="s">
        <v>151</v>
      </c>
      <c r="BU134" s="27">
        <v>0</v>
      </c>
      <c r="BV134" s="30" t="s">
        <v>609</v>
      </c>
      <c r="BW134" s="28"/>
      <c r="BX134" s="28"/>
      <c r="BY134" s="19"/>
      <c r="BZ134" s="19"/>
      <c r="CA134" s="19"/>
      <c r="CB134" s="19"/>
      <c r="CC134" s="19"/>
      <c r="CD134" s="19"/>
      <c r="CE134" s="19"/>
      <c r="CF134" s="19"/>
      <c r="CG134" s="19"/>
      <c r="CH134" s="19"/>
      <c r="CI134" s="19"/>
      <c r="CJ134" s="19"/>
      <c r="CK134" s="19"/>
      <c r="CL134" s="19"/>
      <c r="CM134" s="19"/>
      <c r="CN134" s="19"/>
      <c r="CO134" s="19"/>
      <c r="CP134" s="19"/>
      <c r="CQ134" s="19"/>
      <c r="CR134" s="19"/>
      <c r="CS134" s="19"/>
      <c r="CT134" s="19"/>
      <c r="CU134" s="19"/>
      <c r="CV134" s="19"/>
      <c r="CW134" s="19"/>
      <c r="CX134" s="19"/>
      <c r="CY134" s="19"/>
      <c r="CZ134" s="19"/>
      <c r="DA134" s="19"/>
      <c r="DB134" s="19"/>
      <c r="DC134" s="19"/>
      <c r="DD134" s="19"/>
      <c r="DE134" s="19"/>
      <c r="DF134" s="19"/>
      <c r="DG134" s="19"/>
      <c r="DH134" s="19"/>
      <c r="DI134" s="19"/>
      <c r="DJ134" s="19"/>
      <c r="DK134" s="19"/>
      <c r="DL134" s="19"/>
      <c r="DM134" s="19"/>
      <c r="DN134" s="19"/>
      <c r="DO134" s="19"/>
      <c r="DP134" s="19"/>
      <c r="DQ134" s="19"/>
      <c r="DR134" s="19"/>
      <c r="DS134" s="19"/>
      <c r="DT134" s="19"/>
      <c r="DU134" s="19"/>
      <c r="DV134" s="19"/>
      <c r="DW134" s="19"/>
      <c r="DX134" s="19"/>
      <c r="DY134" s="19"/>
      <c r="DZ134" s="19"/>
      <c r="EA134" s="19"/>
      <c r="EB134" s="19"/>
      <c r="EC134" s="19"/>
      <c r="ED134" s="19"/>
      <c r="EE134" s="19"/>
      <c r="EF134" s="19"/>
      <c r="EG134" s="19"/>
      <c r="EH134" s="19"/>
      <c r="EI134" s="19"/>
      <c r="EJ134" s="19"/>
      <c r="EK134" s="19"/>
      <c r="EL134" s="19"/>
      <c r="EM134" s="19"/>
      <c r="EN134" s="19"/>
      <c r="EO134" s="19"/>
      <c r="EP134" s="19"/>
      <c r="EQ134" s="19"/>
      <c r="ER134" s="19"/>
      <c r="ES134" s="19"/>
      <c r="ET134" s="19"/>
      <c r="EU134" s="19"/>
      <c r="EV134" s="19"/>
      <c r="EW134" s="19"/>
      <c r="EX134" s="19"/>
      <c r="EY134" s="19"/>
      <c r="EZ134" s="19"/>
      <c r="FA134" s="19"/>
      <c r="FB134" s="19"/>
      <c r="FC134" s="19"/>
      <c r="FD134" s="19"/>
      <c r="FE134" s="19"/>
      <c r="FF134" s="19"/>
      <c r="FG134" s="19"/>
      <c r="FH134" s="19"/>
      <c r="FI134" s="19"/>
      <c r="FJ134" s="19"/>
      <c r="FK134" s="19"/>
      <c r="FL134" s="20" t="s">
        <v>261</v>
      </c>
      <c r="FM134" s="20" t="s">
        <v>321</v>
      </c>
      <c r="FN134" s="19"/>
      <c r="FO134" s="19"/>
      <c r="FP134" s="19"/>
      <c r="FQ134" s="19"/>
      <c r="FR134" s="19"/>
      <c r="FS134" s="19"/>
      <c r="FT134" s="19"/>
      <c r="FU134" s="19"/>
      <c r="FV134" s="19"/>
      <c r="FW134" s="19"/>
      <c r="FX134" s="19"/>
      <c r="FY134" s="19"/>
      <c r="FZ134" s="19"/>
      <c r="GA134" s="19"/>
      <c r="GB134" s="19"/>
      <c r="GC134" s="19"/>
      <c r="GD134" s="19"/>
      <c r="GE134" s="19"/>
      <c r="GF134" s="19"/>
      <c r="GG134" s="19"/>
      <c r="GH134" s="19"/>
      <c r="GI134" s="19"/>
      <c r="GJ134" s="19"/>
      <c r="GK134" s="19"/>
      <c r="GL134" s="19"/>
      <c r="GM134" s="19"/>
      <c r="GN134" s="19"/>
      <c r="GO134" s="19"/>
      <c r="GP134" s="19"/>
      <c r="GQ134" s="19"/>
      <c r="GR134" s="19"/>
      <c r="GS134" s="19"/>
      <c r="GT134" s="19"/>
      <c r="GU134" s="19"/>
      <c r="GV134" s="19"/>
      <c r="GW134" s="19"/>
      <c r="GX134" s="19"/>
      <c r="GY134" s="19"/>
      <c r="GZ134" s="19"/>
      <c r="HA134" s="19"/>
    </row>
    <row r="135" spans="1:209" ht="23.25" customHeight="1" x14ac:dyDescent="0.15">
      <c r="A135" s="26">
        <v>44658.929712870369</v>
      </c>
      <c r="B135" s="27" t="s">
        <v>6</v>
      </c>
      <c r="C135" s="27" t="s">
        <v>11</v>
      </c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  <c r="AX135" s="27" t="s">
        <v>256</v>
      </c>
      <c r="AY135" s="27" t="s">
        <v>257</v>
      </c>
      <c r="AZ135" s="27" t="s">
        <v>610</v>
      </c>
      <c r="BA135" s="27" t="s">
        <v>610</v>
      </c>
      <c r="BB135" s="27">
        <v>2</v>
      </c>
      <c r="BC135" s="29">
        <v>43983</v>
      </c>
      <c r="BD135" s="29">
        <v>44531</v>
      </c>
      <c r="BE135" s="29">
        <v>44531</v>
      </c>
      <c r="BF135" s="27">
        <v>100</v>
      </c>
      <c r="BG135" s="27" t="s">
        <v>520</v>
      </c>
      <c r="BH135" s="30" t="s">
        <v>611</v>
      </c>
      <c r="BI135" s="28"/>
      <c r="BJ135" s="28"/>
      <c r="BK135" s="28"/>
      <c r="BL135" s="28"/>
      <c r="BM135" s="28"/>
      <c r="BN135" s="28"/>
      <c r="BO135" s="28"/>
      <c r="BP135" s="28"/>
      <c r="BQ135" s="28"/>
      <c r="BR135" s="28"/>
      <c r="BS135" s="28"/>
      <c r="BT135" s="28"/>
      <c r="BU135" s="28"/>
      <c r="BV135" s="28"/>
      <c r="BW135" s="28"/>
      <c r="BX135" s="28"/>
      <c r="BY135" s="19"/>
      <c r="BZ135" s="19"/>
      <c r="CA135" s="19"/>
      <c r="CB135" s="19"/>
      <c r="CC135" s="19"/>
      <c r="CD135" s="19"/>
      <c r="CE135" s="19"/>
      <c r="CF135" s="19"/>
      <c r="CG135" s="19"/>
      <c r="CH135" s="19"/>
      <c r="CI135" s="19"/>
      <c r="CJ135" s="19"/>
      <c r="CK135" s="19"/>
      <c r="CL135" s="19"/>
      <c r="CM135" s="19"/>
      <c r="CN135" s="19"/>
      <c r="CO135" s="19"/>
      <c r="CP135" s="19"/>
      <c r="CQ135" s="19"/>
      <c r="CR135" s="19"/>
      <c r="CS135" s="19"/>
      <c r="CT135" s="19"/>
      <c r="CU135" s="19"/>
      <c r="CV135" s="19"/>
      <c r="CW135" s="19"/>
      <c r="CX135" s="19"/>
      <c r="CY135" s="19"/>
      <c r="CZ135" s="19"/>
      <c r="DA135" s="19"/>
      <c r="DB135" s="19"/>
      <c r="DC135" s="19"/>
      <c r="DD135" s="19"/>
      <c r="DE135" s="19"/>
      <c r="DF135" s="19"/>
      <c r="DG135" s="19"/>
      <c r="DH135" s="19"/>
      <c r="DI135" s="19"/>
      <c r="DJ135" s="19"/>
      <c r="DK135" s="19"/>
      <c r="DL135" s="19"/>
      <c r="DM135" s="19"/>
      <c r="DN135" s="19"/>
      <c r="DO135" s="19"/>
      <c r="DP135" s="19"/>
      <c r="DQ135" s="19"/>
      <c r="DR135" s="19"/>
      <c r="DS135" s="19"/>
      <c r="DT135" s="19"/>
      <c r="DU135" s="19"/>
      <c r="DV135" s="19"/>
      <c r="DW135" s="19"/>
      <c r="DX135" s="19"/>
      <c r="DY135" s="19"/>
      <c r="DZ135" s="19"/>
      <c r="EA135" s="19"/>
      <c r="EB135" s="19"/>
      <c r="EC135" s="19"/>
      <c r="ED135" s="19"/>
      <c r="EE135" s="19"/>
      <c r="EF135" s="19"/>
      <c r="EG135" s="19"/>
      <c r="EH135" s="19"/>
      <c r="EI135" s="19"/>
      <c r="EJ135" s="19"/>
      <c r="EK135" s="19"/>
      <c r="EL135" s="19"/>
      <c r="EM135" s="19"/>
      <c r="EN135" s="19"/>
      <c r="EO135" s="19"/>
      <c r="EP135" s="19"/>
      <c r="EQ135" s="19"/>
      <c r="ER135" s="19"/>
      <c r="ES135" s="19"/>
      <c r="ET135" s="19"/>
      <c r="EU135" s="19"/>
      <c r="EV135" s="19"/>
      <c r="EW135" s="19"/>
      <c r="EX135" s="19"/>
      <c r="EY135" s="19"/>
      <c r="EZ135" s="19"/>
      <c r="FA135" s="19"/>
      <c r="FB135" s="19"/>
      <c r="FC135" s="19"/>
      <c r="FD135" s="19"/>
      <c r="FE135" s="19"/>
      <c r="FF135" s="19"/>
      <c r="FG135" s="19"/>
      <c r="FH135" s="19"/>
      <c r="FI135" s="19"/>
      <c r="FJ135" s="19"/>
      <c r="FK135" s="19"/>
      <c r="FL135" s="20" t="s">
        <v>261</v>
      </c>
      <c r="FM135" s="20" t="s">
        <v>552</v>
      </c>
      <c r="FN135" s="19"/>
      <c r="FO135" s="19"/>
      <c r="FP135" s="19"/>
      <c r="FQ135" s="19"/>
      <c r="FR135" s="19"/>
      <c r="FS135" s="19"/>
      <c r="FT135" s="19"/>
      <c r="FU135" s="19"/>
      <c r="FV135" s="19"/>
      <c r="FW135" s="19"/>
      <c r="FX135" s="19"/>
      <c r="FY135" s="19"/>
      <c r="FZ135" s="19"/>
      <c r="GA135" s="19"/>
      <c r="GB135" s="19"/>
      <c r="GC135" s="19"/>
      <c r="GD135" s="19"/>
      <c r="GE135" s="19"/>
      <c r="GF135" s="19"/>
      <c r="GG135" s="19"/>
      <c r="GH135" s="19"/>
      <c r="GI135" s="19"/>
      <c r="GJ135" s="19"/>
      <c r="GK135" s="19"/>
      <c r="GL135" s="19"/>
      <c r="GM135" s="19"/>
      <c r="GN135" s="19"/>
      <c r="GO135" s="19"/>
      <c r="GP135" s="19"/>
      <c r="GQ135" s="19"/>
      <c r="GR135" s="19"/>
      <c r="GS135" s="19"/>
      <c r="GT135" s="19"/>
      <c r="GU135" s="19"/>
      <c r="GV135" s="19"/>
      <c r="GW135" s="19"/>
      <c r="GX135" s="19"/>
      <c r="GY135" s="19"/>
      <c r="GZ135" s="19"/>
      <c r="HA135" s="19"/>
    </row>
    <row r="136" spans="1:209" ht="23.25" customHeight="1" x14ac:dyDescent="0.15">
      <c r="A136" s="26">
        <v>44658.932207094906</v>
      </c>
      <c r="B136" s="27" t="s">
        <v>6</v>
      </c>
      <c r="C136" s="27" t="s">
        <v>12</v>
      </c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7" t="s">
        <v>256</v>
      </c>
      <c r="BJ136" s="27" t="s">
        <v>257</v>
      </c>
      <c r="BK136" s="27" t="s">
        <v>311</v>
      </c>
      <c r="BL136" s="27" t="s">
        <v>167</v>
      </c>
      <c r="BM136" s="27" t="s">
        <v>612</v>
      </c>
      <c r="BN136" s="27">
        <v>1</v>
      </c>
      <c r="BO136" s="29">
        <v>44567</v>
      </c>
      <c r="BP136" s="29">
        <v>44567</v>
      </c>
      <c r="BQ136" s="27" t="s">
        <v>613</v>
      </c>
      <c r="BR136" s="27" t="s">
        <v>613</v>
      </c>
      <c r="BS136" s="27" t="s">
        <v>171</v>
      </c>
      <c r="BT136" s="27" t="s">
        <v>151</v>
      </c>
      <c r="BU136" s="27">
        <v>0</v>
      </c>
      <c r="BV136" s="30" t="s">
        <v>614</v>
      </c>
      <c r="BW136" s="28"/>
      <c r="BX136" s="28"/>
      <c r="BY136" s="19"/>
      <c r="BZ136" s="19"/>
      <c r="CA136" s="19"/>
      <c r="CB136" s="19"/>
      <c r="CC136" s="19"/>
      <c r="CD136" s="19"/>
      <c r="CE136" s="19"/>
      <c r="CF136" s="19"/>
      <c r="CG136" s="19"/>
      <c r="CH136" s="19"/>
      <c r="CI136" s="19"/>
      <c r="CJ136" s="19"/>
      <c r="CK136" s="19"/>
      <c r="CL136" s="19"/>
      <c r="CM136" s="19"/>
      <c r="CN136" s="19"/>
      <c r="CO136" s="19"/>
      <c r="CP136" s="19"/>
      <c r="CQ136" s="19"/>
      <c r="CR136" s="19"/>
      <c r="CS136" s="19"/>
      <c r="CT136" s="19"/>
      <c r="CU136" s="19"/>
      <c r="CV136" s="19"/>
      <c r="CW136" s="19"/>
      <c r="CX136" s="19"/>
      <c r="CY136" s="19"/>
      <c r="CZ136" s="19"/>
      <c r="DA136" s="19"/>
      <c r="DB136" s="19"/>
      <c r="DC136" s="19"/>
      <c r="DD136" s="19"/>
      <c r="DE136" s="19"/>
      <c r="DF136" s="19"/>
      <c r="DG136" s="19"/>
      <c r="DH136" s="19"/>
      <c r="DI136" s="19"/>
      <c r="DJ136" s="19"/>
      <c r="DK136" s="19"/>
      <c r="DL136" s="19"/>
      <c r="DM136" s="19"/>
      <c r="DN136" s="19"/>
      <c r="DO136" s="19"/>
      <c r="DP136" s="19"/>
      <c r="DQ136" s="19"/>
      <c r="DR136" s="19"/>
      <c r="DS136" s="19"/>
      <c r="DT136" s="19"/>
      <c r="DU136" s="19"/>
      <c r="DV136" s="19"/>
      <c r="DW136" s="19"/>
      <c r="DX136" s="19"/>
      <c r="DY136" s="19"/>
      <c r="DZ136" s="19"/>
      <c r="EA136" s="19"/>
      <c r="EB136" s="19"/>
      <c r="EC136" s="19"/>
      <c r="ED136" s="19"/>
      <c r="EE136" s="19"/>
      <c r="EF136" s="19"/>
      <c r="EG136" s="19"/>
      <c r="EH136" s="19"/>
      <c r="EI136" s="19"/>
      <c r="EJ136" s="19"/>
      <c r="EK136" s="19"/>
      <c r="EL136" s="19"/>
      <c r="EM136" s="19"/>
      <c r="EN136" s="19"/>
      <c r="EO136" s="19"/>
      <c r="EP136" s="19"/>
      <c r="EQ136" s="19"/>
      <c r="ER136" s="19"/>
      <c r="ES136" s="19"/>
      <c r="ET136" s="19"/>
      <c r="EU136" s="19"/>
      <c r="EV136" s="19"/>
      <c r="EW136" s="19"/>
      <c r="EX136" s="19"/>
      <c r="EY136" s="19"/>
      <c r="EZ136" s="19"/>
      <c r="FA136" s="19"/>
      <c r="FB136" s="19"/>
      <c r="FC136" s="19"/>
      <c r="FD136" s="19"/>
      <c r="FE136" s="19"/>
      <c r="FF136" s="19"/>
      <c r="FG136" s="19"/>
      <c r="FH136" s="19"/>
      <c r="FI136" s="19"/>
      <c r="FJ136" s="19"/>
      <c r="FK136" s="19"/>
      <c r="FL136" s="20" t="s">
        <v>261</v>
      </c>
      <c r="FM136" s="20" t="s">
        <v>273</v>
      </c>
      <c r="FN136" s="19"/>
      <c r="FO136" s="19"/>
      <c r="FP136" s="19"/>
      <c r="FQ136" s="19"/>
      <c r="FR136" s="19"/>
      <c r="FS136" s="19"/>
      <c r="FT136" s="19"/>
      <c r="FU136" s="19"/>
      <c r="FV136" s="19"/>
      <c r="FW136" s="19"/>
      <c r="FX136" s="19"/>
      <c r="FY136" s="19"/>
      <c r="FZ136" s="19"/>
      <c r="GA136" s="19"/>
      <c r="GB136" s="19"/>
      <c r="GC136" s="19"/>
      <c r="GD136" s="19"/>
      <c r="GE136" s="19"/>
      <c r="GF136" s="19"/>
      <c r="GG136" s="19"/>
      <c r="GH136" s="19"/>
      <c r="GI136" s="19"/>
      <c r="GJ136" s="19"/>
      <c r="GK136" s="19"/>
      <c r="GL136" s="19"/>
      <c r="GM136" s="19"/>
      <c r="GN136" s="19"/>
      <c r="GO136" s="19"/>
      <c r="GP136" s="19"/>
      <c r="GQ136" s="19"/>
      <c r="GR136" s="19"/>
      <c r="GS136" s="19"/>
      <c r="GT136" s="19"/>
      <c r="GU136" s="19"/>
      <c r="GV136" s="19"/>
      <c r="GW136" s="19"/>
      <c r="GX136" s="19"/>
      <c r="GY136" s="19"/>
      <c r="GZ136" s="19"/>
      <c r="HA136" s="19"/>
    </row>
    <row r="137" spans="1:209" ht="23.25" customHeight="1" x14ac:dyDescent="0.15">
      <c r="A137" s="26">
        <v>44659.360101527782</v>
      </c>
      <c r="B137" s="27" t="s">
        <v>6</v>
      </c>
      <c r="C137" s="27" t="s">
        <v>11</v>
      </c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  <c r="AX137" s="27" t="s">
        <v>615</v>
      </c>
      <c r="AY137" s="27" t="s">
        <v>616</v>
      </c>
      <c r="AZ137" s="27" t="s">
        <v>617</v>
      </c>
      <c r="BA137" s="27" t="s">
        <v>375</v>
      </c>
      <c r="BB137" s="27">
        <v>6</v>
      </c>
      <c r="BC137" s="29">
        <v>43836</v>
      </c>
      <c r="BD137" s="29">
        <v>44020</v>
      </c>
      <c r="BE137" s="29">
        <v>44026</v>
      </c>
      <c r="BF137" s="27">
        <v>95</v>
      </c>
      <c r="BG137" s="27" t="s">
        <v>556</v>
      </c>
      <c r="BH137" s="30" t="s">
        <v>618</v>
      </c>
      <c r="BI137" s="28"/>
      <c r="BJ137" s="28"/>
      <c r="BK137" s="28"/>
      <c r="BL137" s="28"/>
      <c r="BM137" s="28"/>
      <c r="BN137" s="28"/>
      <c r="BO137" s="28"/>
      <c r="BP137" s="28"/>
      <c r="BQ137" s="28"/>
      <c r="BR137" s="28"/>
      <c r="BS137" s="28"/>
      <c r="BT137" s="28"/>
      <c r="BU137" s="28"/>
      <c r="BV137" s="28"/>
      <c r="BW137" s="28"/>
      <c r="BX137" s="28"/>
      <c r="BY137" s="19"/>
      <c r="BZ137" s="19"/>
      <c r="CA137" s="19"/>
      <c r="CB137" s="19"/>
      <c r="CC137" s="19"/>
      <c r="CD137" s="19"/>
      <c r="CE137" s="19"/>
      <c r="CF137" s="19"/>
      <c r="CG137" s="19"/>
      <c r="CH137" s="19"/>
      <c r="CI137" s="19"/>
      <c r="CJ137" s="19"/>
      <c r="CK137" s="19"/>
      <c r="CL137" s="19"/>
      <c r="CM137" s="19"/>
      <c r="CN137" s="19"/>
      <c r="CO137" s="19"/>
      <c r="CP137" s="19"/>
      <c r="CQ137" s="19"/>
      <c r="CR137" s="19"/>
      <c r="CS137" s="19"/>
      <c r="CT137" s="19"/>
      <c r="CU137" s="19"/>
      <c r="CV137" s="19"/>
      <c r="CW137" s="19"/>
      <c r="CX137" s="19"/>
      <c r="CY137" s="19"/>
      <c r="CZ137" s="19"/>
      <c r="DA137" s="19"/>
      <c r="DB137" s="19"/>
      <c r="DC137" s="19"/>
      <c r="DD137" s="19"/>
      <c r="DE137" s="19"/>
      <c r="DF137" s="19"/>
      <c r="DG137" s="19"/>
      <c r="DH137" s="19"/>
      <c r="DI137" s="19"/>
      <c r="DJ137" s="19"/>
      <c r="DK137" s="19"/>
      <c r="DL137" s="19"/>
      <c r="DM137" s="19"/>
      <c r="DN137" s="19"/>
      <c r="DO137" s="19"/>
      <c r="DP137" s="19"/>
      <c r="DQ137" s="19"/>
      <c r="DR137" s="19"/>
      <c r="DS137" s="19"/>
      <c r="DT137" s="19"/>
      <c r="DU137" s="19"/>
      <c r="DV137" s="19"/>
      <c r="DW137" s="19"/>
      <c r="DX137" s="19"/>
      <c r="DY137" s="19"/>
      <c r="DZ137" s="19"/>
      <c r="EA137" s="19"/>
      <c r="EB137" s="19"/>
      <c r="EC137" s="19"/>
      <c r="ED137" s="19"/>
      <c r="EE137" s="19"/>
      <c r="EF137" s="19"/>
      <c r="EG137" s="19"/>
      <c r="EH137" s="19"/>
      <c r="EI137" s="19"/>
      <c r="EJ137" s="19"/>
      <c r="EK137" s="19"/>
      <c r="EL137" s="19"/>
      <c r="EM137" s="19"/>
      <c r="EN137" s="19"/>
      <c r="EO137" s="19"/>
      <c r="EP137" s="19"/>
      <c r="EQ137" s="19"/>
      <c r="ER137" s="19"/>
      <c r="ES137" s="19"/>
      <c r="ET137" s="19"/>
      <c r="EU137" s="19"/>
      <c r="EV137" s="19"/>
      <c r="EW137" s="19"/>
      <c r="EX137" s="19"/>
      <c r="EY137" s="19"/>
      <c r="EZ137" s="19"/>
      <c r="FA137" s="19"/>
      <c r="FB137" s="19"/>
      <c r="FC137" s="19"/>
      <c r="FD137" s="19"/>
      <c r="FE137" s="19"/>
      <c r="FF137" s="19"/>
      <c r="FG137" s="19"/>
      <c r="FH137" s="19"/>
      <c r="FI137" s="19"/>
      <c r="FJ137" s="19"/>
      <c r="FK137" s="19"/>
      <c r="FL137" s="20" t="s">
        <v>619</v>
      </c>
      <c r="FM137" s="20" t="s">
        <v>321</v>
      </c>
      <c r="FN137" s="19"/>
      <c r="FO137" s="19"/>
      <c r="FP137" s="19"/>
      <c r="FQ137" s="19"/>
      <c r="FR137" s="19"/>
      <c r="FS137" s="19"/>
      <c r="FT137" s="19"/>
      <c r="FU137" s="19"/>
      <c r="FV137" s="19"/>
      <c r="FW137" s="19"/>
      <c r="FX137" s="19"/>
      <c r="FY137" s="19"/>
      <c r="FZ137" s="19"/>
      <c r="GA137" s="19"/>
      <c r="GB137" s="19"/>
      <c r="GC137" s="19"/>
      <c r="GD137" s="19"/>
      <c r="GE137" s="19"/>
      <c r="GF137" s="19"/>
      <c r="GG137" s="19"/>
      <c r="GH137" s="19"/>
      <c r="GI137" s="19"/>
      <c r="GJ137" s="19"/>
      <c r="GK137" s="19"/>
      <c r="GL137" s="19"/>
      <c r="GM137" s="19"/>
      <c r="GN137" s="19"/>
      <c r="GO137" s="19"/>
      <c r="GP137" s="19"/>
      <c r="GQ137" s="19"/>
      <c r="GR137" s="19"/>
      <c r="GS137" s="19"/>
      <c r="GT137" s="19"/>
      <c r="GU137" s="19"/>
      <c r="GV137" s="19"/>
      <c r="GW137" s="19"/>
      <c r="GX137" s="19"/>
      <c r="GY137" s="19"/>
      <c r="GZ137" s="19"/>
      <c r="HA137" s="19"/>
    </row>
    <row r="138" spans="1:209" ht="23.25" customHeight="1" x14ac:dyDescent="0.15">
      <c r="A138" s="26">
        <v>44659.370212615744</v>
      </c>
      <c r="B138" s="27" t="s">
        <v>6</v>
      </c>
      <c r="C138" s="27" t="s">
        <v>10</v>
      </c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7" t="s">
        <v>372</v>
      </c>
      <c r="AO138" s="27" t="s">
        <v>373</v>
      </c>
      <c r="AP138" s="27" t="s">
        <v>515</v>
      </c>
      <c r="AQ138" s="27" t="s">
        <v>250</v>
      </c>
      <c r="AR138" s="29">
        <v>44621</v>
      </c>
      <c r="AS138" s="29">
        <v>44687</v>
      </c>
      <c r="AT138" s="27" t="s">
        <v>251</v>
      </c>
      <c r="AU138" s="27" t="s">
        <v>252</v>
      </c>
      <c r="AV138" s="27">
        <v>0</v>
      </c>
      <c r="AW138" s="30" t="s">
        <v>620</v>
      </c>
      <c r="AX138" s="28"/>
      <c r="AY138" s="28"/>
      <c r="AZ138" s="28"/>
      <c r="BA138" s="28"/>
      <c r="BB138" s="28"/>
      <c r="BC138" s="28"/>
      <c r="BD138" s="28"/>
      <c r="BE138" s="28"/>
      <c r="BF138" s="28"/>
      <c r="BG138" s="28"/>
      <c r="BH138" s="28"/>
      <c r="BI138" s="28"/>
      <c r="BJ138" s="28"/>
      <c r="BK138" s="28"/>
      <c r="BL138" s="28"/>
      <c r="BM138" s="28"/>
      <c r="BN138" s="28"/>
      <c r="BO138" s="28"/>
      <c r="BP138" s="28"/>
      <c r="BQ138" s="28"/>
      <c r="BR138" s="28"/>
      <c r="BS138" s="28"/>
      <c r="BT138" s="28"/>
      <c r="BU138" s="28"/>
      <c r="BV138" s="28"/>
      <c r="BW138" s="28"/>
      <c r="BX138" s="28"/>
      <c r="BY138" s="19"/>
      <c r="BZ138" s="19"/>
      <c r="CA138" s="19"/>
      <c r="CB138" s="19"/>
      <c r="CC138" s="19"/>
      <c r="CD138" s="19"/>
      <c r="CE138" s="19"/>
      <c r="CF138" s="19"/>
      <c r="CG138" s="19"/>
      <c r="CH138" s="19"/>
      <c r="CI138" s="19"/>
      <c r="CJ138" s="19"/>
      <c r="CK138" s="19"/>
      <c r="CL138" s="19"/>
      <c r="CM138" s="19"/>
      <c r="CN138" s="19"/>
      <c r="CO138" s="19"/>
      <c r="CP138" s="19"/>
      <c r="CQ138" s="19"/>
      <c r="CR138" s="19"/>
      <c r="CS138" s="19"/>
      <c r="CT138" s="19"/>
      <c r="CU138" s="19"/>
      <c r="CV138" s="19"/>
      <c r="CW138" s="19"/>
      <c r="CX138" s="19"/>
      <c r="CY138" s="19"/>
      <c r="CZ138" s="19"/>
      <c r="DA138" s="19"/>
      <c r="DB138" s="19"/>
      <c r="DC138" s="19"/>
      <c r="DD138" s="19"/>
      <c r="DE138" s="19"/>
      <c r="DF138" s="19"/>
      <c r="DG138" s="19"/>
      <c r="DH138" s="19"/>
      <c r="DI138" s="19"/>
      <c r="DJ138" s="19"/>
      <c r="DK138" s="19"/>
      <c r="DL138" s="19"/>
      <c r="DM138" s="19"/>
      <c r="DN138" s="19"/>
      <c r="DO138" s="19"/>
      <c r="DP138" s="19"/>
      <c r="DQ138" s="19"/>
      <c r="DR138" s="19"/>
      <c r="DS138" s="19"/>
      <c r="DT138" s="19"/>
      <c r="DU138" s="19"/>
      <c r="DV138" s="19"/>
      <c r="DW138" s="19"/>
      <c r="DX138" s="19"/>
      <c r="DY138" s="19"/>
      <c r="DZ138" s="19"/>
      <c r="EA138" s="19"/>
      <c r="EB138" s="19"/>
      <c r="EC138" s="19"/>
      <c r="ED138" s="19"/>
      <c r="EE138" s="19"/>
      <c r="EF138" s="19"/>
      <c r="EG138" s="19"/>
      <c r="EH138" s="19"/>
      <c r="EI138" s="19"/>
      <c r="EJ138" s="19"/>
      <c r="EK138" s="19"/>
      <c r="EL138" s="19"/>
      <c r="EM138" s="19"/>
      <c r="EN138" s="19"/>
      <c r="EO138" s="19"/>
      <c r="EP138" s="19"/>
      <c r="EQ138" s="19"/>
      <c r="ER138" s="19"/>
      <c r="ES138" s="19"/>
      <c r="ET138" s="19"/>
      <c r="EU138" s="19"/>
      <c r="EV138" s="19"/>
      <c r="EW138" s="19"/>
      <c r="EX138" s="19"/>
      <c r="EY138" s="19"/>
      <c r="EZ138" s="19"/>
      <c r="FA138" s="19"/>
      <c r="FB138" s="19"/>
      <c r="FC138" s="19"/>
      <c r="FD138" s="19"/>
      <c r="FE138" s="19"/>
      <c r="FF138" s="19"/>
      <c r="FG138" s="19"/>
      <c r="FH138" s="19"/>
      <c r="FI138" s="19"/>
      <c r="FJ138" s="19"/>
      <c r="FK138" s="19"/>
      <c r="FL138" s="20" t="s">
        <v>379</v>
      </c>
      <c r="FM138" s="20" t="s">
        <v>255</v>
      </c>
      <c r="FN138" s="19"/>
      <c r="FO138" s="19"/>
      <c r="FP138" s="19"/>
      <c r="FQ138" s="19"/>
      <c r="FR138" s="19"/>
      <c r="FS138" s="19"/>
      <c r="FT138" s="19"/>
      <c r="FU138" s="19"/>
      <c r="FV138" s="19"/>
      <c r="FW138" s="19"/>
      <c r="FX138" s="19"/>
      <c r="FY138" s="19"/>
      <c r="FZ138" s="19"/>
      <c r="GA138" s="19"/>
      <c r="GB138" s="19"/>
      <c r="GC138" s="19"/>
      <c r="GD138" s="19"/>
      <c r="GE138" s="19"/>
      <c r="GF138" s="19"/>
      <c r="GG138" s="19"/>
      <c r="GH138" s="19"/>
      <c r="GI138" s="19"/>
      <c r="GJ138" s="19"/>
      <c r="GK138" s="19"/>
      <c r="GL138" s="19"/>
      <c r="GM138" s="19"/>
      <c r="GN138" s="19"/>
      <c r="GO138" s="19"/>
      <c r="GP138" s="19"/>
      <c r="GQ138" s="19"/>
      <c r="GR138" s="19"/>
      <c r="GS138" s="19"/>
      <c r="GT138" s="19"/>
      <c r="GU138" s="19"/>
      <c r="GV138" s="19"/>
      <c r="GW138" s="19"/>
      <c r="GX138" s="19"/>
      <c r="GY138" s="19"/>
      <c r="GZ138" s="19"/>
      <c r="HA138" s="19"/>
    </row>
    <row r="139" spans="1:209" ht="23.25" customHeight="1" x14ac:dyDescent="0.15">
      <c r="A139" s="26">
        <v>44659.377894988429</v>
      </c>
      <c r="B139" s="27" t="s">
        <v>6</v>
      </c>
      <c r="C139" s="27" t="s">
        <v>10</v>
      </c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7" t="s">
        <v>428</v>
      </c>
      <c r="AO139" s="27" t="s">
        <v>429</v>
      </c>
      <c r="AP139" s="27" t="s">
        <v>621</v>
      </c>
      <c r="AQ139" s="27" t="s">
        <v>622</v>
      </c>
      <c r="AR139" s="29">
        <v>44467</v>
      </c>
      <c r="AS139" s="29">
        <v>44501</v>
      </c>
      <c r="AT139" s="27" t="s">
        <v>252</v>
      </c>
      <c r="AU139" s="27" t="s">
        <v>252</v>
      </c>
      <c r="AV139" s="27">
        <v>0</v>
      </c>
      <c r="AW139" s="30" t="s">
        <v>623</v>
      </c>
      <c r="AX139" s="28"/>
      <c r="AY139" s="28"/>
      <c r="AZ139" s="28"/>
      <c r="BA139" s="28"/>
      <c r="BB139" s="28"/>
      <c r="BC139" s="28"/>
      <c r="BD139" s="28"/>
      <c r="BE139" s="28"/>
      <c r="BF139" s="28"/>
      <c r="BG139" s="28"/>
      <c r="BH139" s="28"/>
      <c r="BI139" s="28"/>
      <c r="BJ139" s="28"/>
      <c r="BK139" s="28"/>
      <c r="BL139" s="28"/>
      <c r="BM139" s="28"/>
      <c r="BN139" s="28"/>
      <c r="BO139" s="28"/>
      <c r="BP139" s="28"/>
      <c r="BQ139" s="28"/>
      <c r="BR139" s="28"/>
      <c r="BS139" s="28"/>
      <c r="BT139" s="28"/>
      <c r="BU139" s="28"/>
      <c r="BV139" s="28"/>
      <c r="BW139" s="28"/>
      <c r="BX139" s="28"/>
      <c r="BY139" s="19"/>
      <c r="BZ139" s="19"/>
      <c r="CA139" s="19"/>
      <c r="CB139" s="19"/>
      <c r="CC139" s="19"/>
      <c r="CD139" s="19"/>
      <c r="CE139" s="19"/>
      <c r="CF139" s="19"/>
      <c r="CG139" s="19"/>
      <c r="CH139" s="19"/>
      <c r="CI139" s="19"/>
      <c r="CJ139" s="19"/>
      <c r="CK139" s="19"/>
      <c r="CL139" s="19"/>
      <c r="CM139" s="19"/>
      <c r="CN139" s="19"/>
      <c r="CO139" s="19"/>
      <c r="CP139" s="19"/>
      <c r="CQ139" s="19"/>
      <c r="CR139" s="19"/>
      <c r="CS139" s="19"/>
      <c r="CT139" s="19"/>
      <c r="CU139" s="19"/>
      <c r="CV139" s="19"/>
      <c r="CW139" s="19"/>
      <c r="CX139" s="19"/>
      <c r="CY139" s="19"/>
      <c r="CZ139" s="19"/>
      <c r="DA139" s="19"/>
      <c r="DB139" s="19"/>
      <c r="DC139" s="19"/>
      <c r="DD139" s="19"/>
      <c r="DE139" s="19"/>
      <c r="DF139" s="19"/>
      <c r="DG139" s="19"/>
      <c r="DH139" s="19"/>
      <c r="DI139" s="19"/>
      <c r="DJ139" s="19"/>
      <c r="DK139" s="19"/>
      <c r="DL139" s="19"/>
      <c r="DM139" s="19"/>
      <c r="DN139" s="19"/>
      <c r="DO139" s="19"/>
      <c r="DP139" s="19"/>
      <c r="DQ139" s="19"/>
      <c r="DR139" s="19"/>
      <c r="DS139" s="19"/>
      <c r="DT139" s="19"/>
      <c r="DU139" s="19"/>
      <c r="DV139" s="19"/>
      <c r="DW139" s="19"/>
      <c r="DX139" s="19"/>
      <c r="DY139" s="19"/>
      <c r="DZ139" s="19"/>
      <c r="EA139" s="19"/>
      <c r="EB139" s="19"/>
      <c r="EC139" s="19"/>
      <c r="ED139" s="19"/>
      <c r="EE139" s="19"/>
      <c r="EF139" s="19"/>
      <c r="EG139" s="19"/>
      <c r="EH139" s="19"/>
      <c r="EI139" s="19"/>
      <c r="EJ139" s="19"/>
      <c r="EK139" s="19"/>
      <c r="EL139" s="19"/>
      <c r="EM139" s="19"/>
      <c r="EN139" s="19"/>
      <c r="EO139" s="19"/>
      <c r="EP139" s="19"/>
      <c r="EQ139" s="19"/>
      <c r="ER139" s="19"/>
      <c r="ES139" s="19"/>
      <c r="ET139" s="19"/>
      <c r="EU139" s="19"/>
      <c r="EV139" s="19"/>
      <c r="EW139" s="19"/>
      <c r="EX139" s="19"/>
      <c r="EY139" s="19"/>
      <c r="EZ139" s="19"/>
      <c r="FA139" s="19"/>
      <c r="FB139" s="19"/>
      <c r="FC139" s="19"/>
      <c r="FD139" s="19"/>
      <c r="FE139" s="19"/>
      <c r="FF139" s="19"/>
      <c r="FG139" s="19"/>
      <c r="FH139" s="19"/>
      <c r="FI139" s="19"/>
      <c r="FJ139" s="19"/>
      <c r="FK139" s="19"/>
      <c r="FL139" s="20" t="s">
        <v>434</v>
      </c>
      <c r="FM139" s="20" t="s">
        <v>273</v>
      </c>
      <c r="FN139" s="19"/>
      <c r="FO139" s="19"/>
      <c r="FP139" s="19"/>
      <c r="FQ139" s="19"/>
      <c r="FR139" s="19"/>
      <c r="FS139" s="19"/>
      <c r="FT139" s="19"/>
      <c r="FU139" s="19"/>
      <c r="FV139" s="19"/>
      <c r="FW139" s="19"/>
      <c r="FX139" s="19"/>
      <c r="FY139" s="19"/>
      <c r="FZ139" s="19"/>
      <c r="GA139" s="19"/>
      <c r="GB139" s="19"/>
      <c r="GC139" s="19"/>
      <c r="GD139" s="19"/>
      <c r="GE139" s="19"/>
      <c r="GF139" s="19"/>
      <c r="GG139" s="19"/>
      <c r="GH139" s="19"/>
      <c r="GI139" s="19"/>
      <c r="GJ139" s="19"/>
      <c r="GK139" s="19"/>
      <c r="GL139" s="19"/>
      <c r="GM139" s="19"/>
      <c r="GN139" s="19"/>
      <c r="GO139" s="19"/>
      <c r="GP139" s="19"/>
      <c r="GQ139" s="19"/>
      <c r="GR139" s="19"/>
      <c r="GS139" s="19"/>
      <c r="GT139" s="19"/>
      <c r="GU139" s="19"/>
      <c r="GV139" s="19"/>
      <c r="GW139" s="19"/>
      <c r="GX139" s="19"/>
      <c r="GY139" s="19"/>
      <c r="GZ139" s="19"/>
      <c r="HA139" s="19"/>
    </row>
    <row r="140" spans="1:209" ht="23.25" customHeight="1" x14ac:dyDescent="0.15">
      <c r="A140" s="26">
        <v>44659.383908090276</v>
      </c>
      <c r="B140" s="27" t="s">
        <v>6</v>
      </c>
      <c r="C140" s="27" t="s">
        <v>11</v>
      </c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  <c r="AX140" s="27" t="s">
        <v>428</v>
      </c>
      <c r="AY140" s="27" t="s">
        <v>429</v>
      </c>
      <c r="AZ140" s="27" t="s">
        <v>600</v>
      </c>
      <c r="BA140" s="27" t="s">
        <v>307</v>
      </c>
      <c r="BB140" s="27" t="s">
        <v>624</v>
      </c>
      <c r="BC140" s="29">
        <v>44652</v>
      </c>
      <c r="BD140" s="29">
        <v>44681</v>
      </c>
      <c r="BE140" s="29">
        <v>44681</v>
      </c>
      <c r="BF140" s="27">
        <v>100</v>
      </c>
      <c r="BG140" s="27" t="s">
        <v>337</v>
      </c>
      <c r="BH140" s="30" t="s">
        <v>625</v>
      </c>
      <c r="BI140" s="28"/>
      <c r="BJ140" s="28"/>
      <c r="BK140" s="28"/>
      <c r="BL140" s="28"/>
      <c r="BM140" s="28"/>
      <c r="BN140" s="28"/>
      <c r="BO140" s="28"/>
      <c r="BP140" s="28"/>
      <c r="BQ140" s="28"/>
      <c r="BR140" s="28"/>
      <c r="BS140" s="28"/>
      <c r="BT140" s="28"/>
      <c r="BU140" s="28"/>
      <c r="BV140" s="28"/>
      <c r="BW140" s="28"/>
      <c r="BX140" s="28"/>
      <c r="BY140" s="19"/>
      <c r="BZ140" s="19"/>
      <c r="CA140" s="19"/>
      <c r="CB140" s="19"/>
      <c r="CC140" s="19"/>
      <c r="CD140" s="19"/>
      <c r="CE140" s="19"/>
      <c r="CF140" s="19"/>
      <c r="CG140" s="19"/>
      <c r="CH140" s="19"/>
      <c r="CI140" s="19"/>
      <c r="CJ140" s="19"/>
      <c r="CK140" s="19"/>
      <c r="CL140" s="19"/>
      <c r="CM140" s="19"/>
      <c r="CN140" s="19"/>
      <c r="CO140" s="19"/>
      <c r="CP140" s="19"/>
      <c r="CQ140" s="19"/>
      <c r="CR140" s="19"/>
      <c r="CS140" s="19"/>
      <c r="CT140" s="19"/>
      <c r="CU140" s="19"/>
      <c r="CV140" s="19"/>
      <c r="CW140" s="19"/>
      <c r="CX140" s="19"/>
      <c r="CY140" s="19"/>
      <c r="CZ140" s="19"/>
      <c r="DA140" s="19"/>
      <c r="DB140" s="19"/>
      <c r="DC140" s="19"/>
      <c r="DD140" s="19"/>
      <c r="DE140" s="19"/>
      <c r="DF140" s="19"/>
      <c r="DG140" s="19"/>
      <c r="DH140" s="19"/>
      <c r="DI140" s="19"/>
      <c r="DJ140" s="19"/>
      <c r="DK140" s="19"/>
      <c r="DL140" s="19"/>
      <c r="DM140" s="19"/>
      <c r="DN140" s="19"/>
      <c r="DO140" s="19"/>
      <c r="DP140" s="19"/>
      <c r="DQ140" s="19"/>
      <c r="DR140" s="19"/>
      <c r="DS140" s="19"/>
      <c r="DT140" s="19"/>
      <c r="DU140" s="19"/>
      <c r="DV140" s="19"/>
      <c r="DW140" s="19"/>
      <c r="DX140" s="19"/>
      <c r="DY140" s="19"/>
      <c r="DZ140" s="19"/>
      <c r="EA140" s="19"/>
      <c r="EB140" s="19"/>
      <c r="EC140" s="19"/>
      <c r="ED140" s="19"/>
      <c r="EE140" s="19"/>
      <c r="EF140" s="19"/>
      <c r="EG140" s="19"/>
      <c r="EH140" s="19"/>
      <c r="EI140" s="19"/>
      <c r="EJ140" s="19"/>
      <c r="EK140" s="19"/>
      <c r="EL140" s="19"/>
      <c r="EM140" s="19"/>
      <c r="EN140" s="19"/>
      <c r="EO140" s="19"/>
      <c r="EP140" s="19"/>
      <c r="EQ140" s="19"/>
      <c r="ER140" s="19"/>
      <c r="ES140" s="19"/>
      <c r="ET140" s="19"/>
      <c r="EU140" s="19"/>
      <c r="EV140" s="19"/>
      <c r="EW140" s="19"/>
      <c r="EX140" s="19"/>
      <c r="EY140" s="19"/>
      <c r="EZ140" s="19"/>
      <c r="FA140" s="19"/>
      <c r="FB140" s="19"/>
      <c r="FC140" s="19"/>
      <c r="FD140" s="19"/>
      <c r="FE140" s="19"/>
      <c r="FF140" s="19"/>
      <c r="FG140" s="19"/>
      <c r="FH140" s="19"/>
      <c r="FI140" s="19"/>
      <c r="FJ140" s="19"/>
      <c r="FK140" s="19"/>
      <c r="FL140" s="20" t="s">
        <v>434</v>
      </c>
      <c r="FM140" s="20" t="s">
        <v>255</v>
      </c>
      <c r="FN140" s="19"/>
      <c r="FO140" s="19"/>
      <c r="FP140" s="19"/>
      <c r="FQ140" s="19"/>
      <c r="FR140" s="19"/>
      <c r="FS140" s="19"/>
      <c r="FT140" s="19"/>
      <c r="FU140" s="19"/>
      <c r="FV140" s="19"/>
      <c r="FW140" s="19"/>
      <c r="FX140" s="19"/>
      <c r="FY140" s="19"/>
      <c r="FZ140" s="19"/>
      <c r="GA140" s="19"/>
      <c r="GB140" s="19"/>
      <c r="GC140" s="19"/>
      <c r="GD140" s="19"/>
      <c r="GE140" s="19"/>
      <c r="GF140" s="19"/>
      <c r="GG140" s="19"/>
      <c r="GH140" s="19"/>
      <c r="GI140" s="19"/>
      <c r="GJ140" s="19"/>
      <c r="GK140" s="19"/>
      <c r="GL140" s="19"/>
      <c r="GM140" s="19"/>
      <c r="GN140" s="19"/>
      <c r="GO140" s="19"/>
      <c r="GP140" s="19"/>
      <c r="GQ140" s="19"/>
      <c r="GR140" s="19"/>
      <c r="GS140" s="19"/>
      <c r="GT140" s="19"/>
      <c r="GU140" s="19"/>
      <c r="GV140" s="19"/>
      <c r="GW140" s="19"/>
      <c r="GX140" s="19"/>
      <c r="GY140" s="19"/>
      <c r="GZ140" s="19"/>
      <c r="HA140" s="19"/>
    </row>
    <row r="141" spans="1:209" ht="23.25" customHeight="1" x14ac:dyDescent="0.15">
      <c r="A141" s="26">
        <v>44659.391369571764</v>
      </c>
      <c r="B141" s="27" t="s">
        <v>6</v>
      </c>
      <c r="C141" s="27" t="s">
        <v>12</v>
      </c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28"/>
      <c r="BD141" s="28"/>
      <c r="BE141" s="28"/>
      <c r="BF141" s="28"/>
      <c r="BG141" s="28"/>
      <c r="BH141" s="28"/>
      <c r="BI141" s="27" t="s">
        <v>615</v>
      </c>
      <c r="BJ141" s="27" t="s">
        <v>616</v>
      </c>
      <c r="BK141" s="27" t="s">
        <v>154</v>
      </c>
      <c r="BL141" s="27" t="s">
        <v>146</v>
      </c>
      <c r="BM141" s="27" t="s">
        <v>626</v>
      </c>
      <c r="BN141" s="27">
        <v>2</v>
      </c>
      <c r="BO141" s="29">
        <v>43505</v>
      </c>
      <c r="BP141" s="29">
        <v>43506</v>
      </c>
      <c r="BQ141" s="27" t="s">
        <v>627</v>
      </c>
      <c r="BR141" s="27" t="s">
        <v>628</v>
      </c>
      <c r="BS141" s="27" t="s">
        <v>271</v>
      </c>
      <c r="BT141" s="27" t="s">
        <v>629</v>
      </c>
      <c r="BU141" s="27">
        <v>200</v>
      </c>
      <c r="BV141" s="30" t="s">
        <v>630</v>
      </c>
      <c r="BW141" s="28"/>
      <c r="BX141" s="28"/>
      <c r="BY141" s="19"/>
      <c r="BZ141" s="19"/>
      <c r="CA141" s="19"/>
      <c r="CB141" s="19"/>
      <c r="CC141" s="19"/>
      <c r="CD141" s="19"/>
      <c r="CE141" s="19"/>
      <c r="CF141" s="19"/>
      <c r="CG141" s="19"/>
      <c r="CH141" s="19"/>
      <c r="CI141" s="19"/>
      <c r="CJ141" s="19"/>
      <c r="CK141" s="19"/>
      <c r="CL141" s="19"/>
      <c r="CM141" s="19"/>
      <c r="CN141" s="19"/>
      <c r="CO141" s="19"/>
      <c r="CP141" s="19"/>
      <c r="CQ141" s="19"/>
      <c r="CR141" s="19"/>
      <c r="CS141" s="19"/>
      <c r="CT141" s="19"/>
      <c r="CU141" s="19"/>
      <c r="CV141" s="19"/>
      <c r="CW141" s="19"/>
      <c r="CX141" s="19"/>
      <c r="CY141" s="19"/>
      <c r="CZ141" s="19"/>
      <c r="DA141" s="19"/>
      <c r="DB141" s="19"/>
      <c r="DC141" s="19"/>
      <c r="DD141" s="19"/>
      <c r="DE141" s="19"/>
      <c r="DF141" s="19"/>
      <c r="DG141" s="19"/>
      <c r="DH141" s="19"/>
      <c r="DI141" s="19"/>
      <c r="DJ141" s="19"/>
      <c r="DK141" s="19"/>
      <c r="DL141" s="19"/>
      <c r="DM141" s="19"/>
      <c r="DN141" s="19"/>
      <c r="DO141" s="19"/>
      <c r="DP141" s="19"/>
      <c r="DQ141" s="19"/>
      <c r="DR141" s="19"/>
      <c r="DS141" s="19"/>
      <c r="DT141" s="19"/>
      <c r="DU141" s="19"/>
      <c r="DV141" s="19"/>
      <c r="DW141" s="19"/>
      <c r="DX141" s="19"/>
      <c r="DY141" s="19"/>
      <c r="DZ141" s="19"/>
      <c r="EA141" s="19"/>
      <c r="EB141" s="19"/>
      <c r="EC141" s="19"/>
      <c r="ED141" s="19"/>
      <c r="EE141" s="19"/>
      <c r="EF141" s="19"/>
      <c r="EG141" s="19"/>
      <c r="EH141" s="19"/>
      <c r="EI141" s="19"/>
      <c r="EJ141" s="19"/>
      <c r="EK141" s="19"/>
      <c r="EL141" s="19"/>
      <c r="EM141" s="19"/>
      <c r="EN141" s="19"/>
      <c r="EO141" s="19"/>
      <c r="EP141" s="19"/>
      <c r="EQ141" s="19"/>
      <c r="ER141" s="19"/>
      <c r="ES141" s="19"/>
      <c r="ET141" s="19"/>
      <c r="EU141" s="19"/>
      <c r="EV141" s="19"/>
      <c r="EW141" s="19"/>
      <c r="EX141" s="19"/>
      <c r="EY141" s="19"/>
      <c r="EZ141" s="19"/>
      <c r="FA141" s="19"/>
      <c r="FB141" s="19"/>
      <c r="FC141" s="19"/>
      <c r="FD141" s="19"/>
      <c r="FE141" s="19"/>
      <c r="FF141" s="19"/>
      <c r="FG141" s="19"/>
      <c r="FH141" s="19"/>
      <c r="FI141" s="19"/>
      <c r="FJ141" s="19"/>
      <c r="FK141" s="19"/>
      <c r="FL141" s="20" t="s">
        <v>619</v>
      </c>
      <c r="FM141" s="20" t="s">
        <v>380</v>
      </c>
      <c r="FN141" s="19"/>
      <c r="FO141" s="19"/>
      <c r="FP141" s="19"/>
      <c r="FQ141" s="19"/>
      <c r="FR141" s="19"/>
      <c r="FS141" s="19"/>
      <c r="FT141" s="19"/>
      <c r="FU141" s="19"/>
      <c r="FV141" s="19"/>
      <c r="FW141" s="19"/>
      <c r="FX141" s="19"/>
      <c r="FY141" s="19"/>
      <c r="FZ141" s="19"/>
      <c r="GA141" s="19"/>
      <c r="GB141" s="19"/>
      <c r="GC141" s="19"/>
      <c r="GD141" s="19"/>
      <c r="GE141" s="19"/>
      <c r="GF141" s="19"/>
      <c r="GG141" s="19"/>
      <c r="GH141" s="19"/>
      <c r="GI141" s="19"/>
      <c r="GJ141" s="19"/>
      <c r="GK141" s="19"/>
      <c r="GL141" s="19"/>
      <c r="GM141" s="19"/>
      <c r="GN141" s="19"/>
      <c r="GO141" s="19"/>
      <c r="GP141" s="19"/>
      <c r="GQ141" s="19"/>
      <c r="GR141" s="19"/>
      <c r="GS141" s="19"/>
      <c r="GT141" s="19"/>
      <c r="GU141" s="19"/>
      <c r="GV141" s="19"/>
      <c r="GW141" s="19"/>
      <c r="GX141" s="19"/>
      <c r="GY141" s="19"/>
      <c r="GZ141" s="19"/>
      <c r="HA141" s="19"/>
    </row>
    <row r="142" spans="1:209" ht="23.25" customHeight="1" x14ac:dyDescent="0.15">
      <c r="A142" s="26">
        <v>44659.392447465274</v>
      </c>
      <c r="B142" s="27" t="s">
        <v>6</v>
      </c>
      <c r="C142" s="27" t="s">
        <v>11</v>
      </c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  <c r="AX142" s="27" t="s">
        <v>631</v>
      </c>
      <c r="AY142" s="27" t="s">
        <v>632</v>
      </c>
      <c r="AZ142" s="27" t="s">
        <v>633</v>
      </c>
      <c r="BA142" s="27" t="s">
        <v>634</v>
      </c>
      <c r="BB142" s="27" t="s">
        <v>635</v>
      </c>
      <c r="BC142" s="29">
        <v>44657</v>
      </c>
      <c r="BD142" s="29">
        <v>44663</v>
      </c>
      <c r="BE142" s="29">
        <v>44657</v>
      </c>
      <c r="BF142" s="27">
        <v>95</v>
      </c>
      <c r="BG142" s="27" t="s">
        <v>636</v>
      </c>
      <c r="BH142" s="30" t="s">
        <v>637</v>
      </c>
      <c r="BI142" s="28"/>
      <c r="BJ142" s="28"/>
      <c r="BK142" s="28"/>
      <c r="BL142" s="28"/>
      <c r="BM142" s="28"/>
      <c r="BN142" s="28"/>
      <c r="BO142" s="28"/>
      <c r="BP142" s="28"/>
      <c r="BQ142" s="28"/>
      <c r="BR142" s="28"/>
      <c r="BS142" s="28"/>
      <c r="BT142" s="28"/>
      <c r="BU142" s="28"/>
      <c r="BV142" s="28"/>
      <c r="BW142" s="28"/>
      <c r="BX142" s="28"/>
      <c r="BY142" s="19"/>
      <c r="BZ142" s="19"/>
      <c r="CA142" s="19"/>
      <c r="CB142" s="19"/>
      <c r="CC142" s="19"/>
      <c r="CD142" s="19"/>
      <c r="CE142" s="19"/>
      <c r="CF142" s="19"/>
      <c r="CG142" s="19"/>
      <c r="CH142" s="19"/>
      <c r="CI142" s="19"/>
      <c r="CJ142" s="19"/>
      <c r="CK142" s="19"/>
      <c r="CL142" s="19"/>
      <c r="CM142" s="19"/>
      <c r="CN142" s="19"/>
      <c r="CO142" s="19"/>
      <c r="CP142" s="19"/>
      <c r="CQ142" s="19"/>
      <c r="CR142" s="19"/>
      <c r="CS142" s="19"/>
      <c r="CT142" s="19"/>
      <c r="CU142" s="19"/>
      <c r="CV142" s="19"/>
      <c r="CW142" s="19"/>
      <c r="CX142" s="19"/>
      <c r="CY142" s="19"/>
      <c r="CZ142" s="19"/>
      <c r="DA142" s="19"/>
      <c r="DB142" s="19"/>
      <c r="DC142" s="19"/>
      <c r="DD142" s="19"/>
      <c r="DE142" s="19"/>
      <c r="DF142" s="19"/>
      <c r="DG142" s="19"/>
      <c r="DH142" s="19"/>
      <c r="DI142" s="19"/>
      <c r="DJ142" s="19"/>
      <c r="DK142" s="19"/>
      <c r="DL142" s="19"/>
      <c r="DM142" s="19"/>
      <c r="DN142" s="19"/>
      <c r="DO142" s="19"/>
      <c r="DP142" s="19"/>
      <c r="DQ142" s="19"/>
      <c r="DR142" s="19"/>
      <c r="DS142" s="19"/>
      <c r="DT142" s="19"/>
      <c r="DU142" s="19"/>
      <c r="DV142" s="19"/>
      <c r="DW142" s="19"/>
      <c r="DX142" s="19"/>
      <c r="DY142" s="19"/>
      <c r="DZ142" s="19"/>
      <c r="EA142" s="19"/>
      <c r="EB142" s="19"/>
      <c r="EC142" s="19"/>
      <c r="ED142" s="19"/>
      <c r="EE142" s="19"/>
      <c r="EF142" s="19"/>
      <c r="EG142" s="19"/>
      <c r="EH142" s="19"/>
      <c r="EI142" s="19"/>
      <c r="EJ142" s="19"/>
      <c r="EK142" s="19"/>
      <c r="EL142" s="19"/>
      <c r="EM142" s="19"/>
      <c r="EN142" s="19"/>
      <c r="EO142" s="19"/>
      <c r="EP142" s="19"/>
      <c r="EQ142" s="19"/>
      <c r="ER142" s="19"/>
      <c r="ES142" s="19"/>
      <c r="ET142" s="19"/>
      <c r="EU142" s="19"/>
      <c r="EV142" s="19"/>
      <c r="EW142" s="19"/>
      <c r="EX142" s="19"/>
      <c r="EY142" s="19"/>
      <c r="EZ142" s="19"/>
      <c r="FA142" s="19"/>
      <c r="FB142" s="19"/>
      <c r="FC142" s="19"/>
      <c r="FD142" s="19"/>
      <c r="FE142" s="19"/>
      <c r="FF142" s="19"/>
      <c r="FG142" s="19"/>
      <c r="FH142" s="19"/>
      <c r="FI142" s="19"/>
      <c r="FJ142" s="19"/>
      <c r="FK142" s="19"/>
      <c r="FL142" s="20" t="s">
        <v>638</v>
      </c>
      <c r="FM142" s="20" t="s">
        <v>255</v>
      </c>
      <c r="FN142" s="19"/>
      <c r="FO142" s="19"/>
      <c r="FP142" s="19"/>
      <c r="FQ142" s="19"/>
      <c r="FR142" s="19"/>
      <c r="FS142" s="19"/>
      <c r="FT142" s="19"/>
      <c r="FU142" s="19"/>
      <c r="FV142" s="19"/>
      <c r="FW142" s="19"/>
      <c r="FX142" s="19"/>
      <c r="FY142" s="19"/>
      <c r="FZ142" s="19"/>
      <c r="GA142" s="19"/>
      <c r="GB142" s="19"/>
      <c r="GC142" s="19"/>
      <c r="GD142" s="19"/>
      <c r="GE142" s="19"/>
      <c r="GF142" s="19"/>
      <c r="GG142" s="19"/>
      <c r="GH142" s="19"/>
      <c r="GI142" s="19"/>
      <c r="GJ142" s="19"/>
      <c r="GK142" s="19"/>
      <c r="GL142" s="19"/>
      <c r="GM142" s="19"/>
      <c r="GN142" s="19"/>
      <c r="GO142" s="19"/>
      <c r="GP142" s="19"/>
      <c r="GQ142" s="19"/>
      <c r="GR142" s="19"/>
      <c r="GS142" s="19"/>
      <c r="GT142" s="19"/>
      <c r="GU142" s="19"/>
      <c r="GV142" s="19"/>
      <c r="GW142" s="19"/>
      <c r="GX142" s="19"/>
      <c r="GY142" s="19"/>
      <c r="GZ142" s="19"/>
      <c r="HA142" s="19"/>
    </row>
    <row r="143" spans="1:209" ht="23.25" customHeight="1" x14ac:dyDescent="0.15">
      <c r="A143" s="26">
        <v>44659.396030405092</v>
      </c>
      <c r="B143" s="27" t="s">
        <v>6</v>
      </c>
      <c r="C143" s="27" t="s">
        <v>11</v>
      </c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  <c r="AX143" s="27" t="s">
        <v>428</v>
      </c>
      <c r="AY143" s="27" t="s">
        <v>429</v>
      </c>
      <c r="AZ143" s="27" t="s">
        <v>639</v>
      </c>
      <c r="BA143" s="27" t="s">
        <v>640</v>
      </c>
      <c r="BB143" s="27" t="s">
        <v>624</v>
      </c>
      <c r="BC143" s="29">
        <v>44371</v>
      </c>
      <c r="BD143" s="29">
        <v>44401</v>
      </c>
      <c r="BE143" s="29">
        <v>44401</v>
      </c>
      <c r="BF143" s="27">
        <v>100</v>
      </c>
      <c r="BG143" s="27" t="s">
        <v>556</v>
      </c>
      <c r="BH143" s="30" t="s">
        <v>641</v>
      </c>
      <c r="BI143" s="28"/>
      <c r="BJ143" s="28"/>
      <c r="BK143" s="28"/>
      <c r="BL143" s="28"/>
      <c r="BM143" s="28"/>
      <c r="BN143" s="28"/>
      <c r="BO143" s="28"/>
      <c r="BP143" s="28"/>
      <c r="BQ143" s="28"/>
      <c r="BR143" s="28"/>
      <c r="BS143" s="28"/>
      <c r="BT143" s="28"/>
      <c r="BU143" s="28"/>
      <c r="BV143" s="28"/>
      <c r="BW143" s="28"/>
      <c r="BX143" s="28"/>
      <c r="BY143" s="19"/>
      <c r="BZ143" s="19"/>
      <c r="CA143" s="19"/>
      <c r="CB143" s="19"/>
      <c r="CC143" s="19"/>
      <c r="CD143" s="19"/>
      <c r="CE143" s="19"/>
      <c r="CF143" s="19"/>
      <c r="CG143" s="19"/>
      <c r="CH143" s="19"/>
      <c r="CI143" s="19"/>
      <c r="CJ143" s="19"/>
      <c r="CK143" s="19"/>
      <c r="CL143" s="19"/>
      <c r="CM143" s="19"/>
      <c r="CN143" s="19"/>
      <c r="CO143" s="19"/>
      <c r="CP143" s="19"/>
      <c r="CQ143" s="19"/>
      <c r="CR143" s="19"/>
      <c r="CS143" s="19"/>
      <c r="CT143" s="19"/>
      <c r="CU143" s="19"/>
      <c r="CV143" s="19"/>
      <c r="CW143" s="19"/>
      <c r="CX143" s="19"/>
      <c r="CY143" s="19"/>
      <c r="CZ143" s="19"/>
      <c r="DA143" s="19"/>
      <c r="DB143" s="19"/>
      <c r="DC143" s="19"/>
      <c r="DD143" s="19"/>
      <c r="DE143" s="19"/>
      <c r="DF143" s="19"/>
      <c r="DG143" s="19"/>
      <c r="DH143" s="19"/>
      <c r="DI143" s="19"/>
      <c r="DJ143" s="19"/>
      <c r="DK143" s="19"/>
      <c r="DL143" s="19"/>
      <c r="DM143" s="19"/>
      <c r="DN143" s="19"/>
      <c r="DO143" s="19"/>
      <c r="DP143" s="19"/>
      <c r="DQ143" s="19"/>
      <c r="DR143" s="19"/>
      <c r="DS143" s="19"/>
      <c r="DT143" s="19"/>
      <c r="DU143" s="19"/>
      <c r="DV143" s="19"/>
      <c r="DW143" s="19"/>
      <c r="DX143" s="19"/>
      <c r="DY143" s="19"/>
      <c r="DZ143" s="19"/>
      <c r="EA143" s="19"/>
      <c r="EB143" s="19"/>
      <c r="EC143" s="19"/>
      <c r="ED143" s="19"/>
      <c r="EE143" s="19"/>
      <c r="EF143" s="19"/>
      <c r="EG143" s="19"/>
      <c r="EH143" s="19"/>
      <c r="EI143" s="19"/>
      <c r="EJ143" s="19"/>
      <c r="EK143" s="19"/>
      <c r="EL143" s="19"/>
      <c r="EM143" s="19"/>
      <c r="EN143" s="19"/>
      <c r="EO143" s="19"/>
      <c r="EP143" s="19"/>
      <c r="EQ143" s="19"/>
      <c r="ER143" s="19"/>
      <c r="ES143" s="19"/>
      <c r="ET143" s="19"/>
      <c r="EU143" s="19"/>
      <c r="EV143" s="19"/>
      <c r="EW143" s="19"/>
      <c r="EX143" s="19"/>
      <c r="EY143" s="19"/>
      <c r="EZ143" s="19"/>
      <c r="FA143" s="19"/>
      <c r="FB143" s="19"/>
      <c r="FC143" s="19"/>
      <c r="FD143" s="19"/>
      <c r="FE143" s="19"/>
      <c r="FF143" s="19"/>
      <c r="FG143" s="19"/>
      <c r="FH143" s="19"/>
      <c r="FI143" s="19"/>
      <c r="FJ143" s="19"/>
      <c r="FK143" s="19"/>
      <c r="FL143" s="20" t="s">
        <v>434</v>
      </c>
      <c r="FM143" s="20" t="s">
        <v>278</v>
      </c>
      <c r="FN143" s="19"/>
      <c r="FO143" s="19"/>
      <c r="FP143" s="19"/>
      <c r="FQ143" s="19"/>
      <c r="FR143" s="19"/>
      <c r="FS143" s="19"/>
      <c r="FT143" s="19"/>
      <c r="FU143" s="19"/>
      <c r="FV143" s="19"/>
      <c r="FW143" s="19"/>
      <c r="FX143" s="19"/>
      <c r="FY143" s="19"/>
      <c r="FZ143" s="19"/>
      <c r="GA143" s="19"/>
      <c r="GB143" s="19"/>
      <c r="GC143" s="19"/>
      <c r="GD143" s="19"/>
      <c r="GE143" s="19"/>
      <c r="GF143" s="19"/>
      <c r="GG143" s="19"/>
      <c r="GH143" s="19"/>
      <c r="GI143" s="19"/>
      <c r="GJ143" s="19"/>
      <c r="GK143" s="19"/>
      <c r="GL143" s="19"/>
      <c r="GM143" s="19"/>
      <c r="GN143" s="19"/>
      <c r="GO143" s="19"/>
      <c r="GP143" s="19"/>
      <c r="GQ143" s="19"/>
      <c r="GR143" s="19"/>
      <c r="GS143" s="19"/>
      <c r="GT143" s="19"/>
      <c r="GU143" s="19"/>
      <c r="GV143" s="19"/>
      <c r="GW143" s="19"/>
      <c r="GX143" s="19"/>
      <c r="GY143" s="19"/>
      <c r="GZ143" s="19"/>
      <c r="HA143" s="19"/>
    </row>
    <row r="144" spans="1:209" ht="23.25" customHeight="1" x14ac:dyDescent="0.15">
      <c r="A144" s="26">
        <v>44659.396955185184</v>
      </c>
      <c r="B144" s="27" t="s">
        <v>6</v>
      </c>
      <c r="C144" s="27" t="s">
        <v>10</v>
      </c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7" t="s">
        <v>642</v>
      </c>
      <c r="AO144" s="27" t="s">
        <v>632</v>
      </c>
      <c r="AP144" s="27" t="s">
        <v>634</v>
      </c>
      <c r="AQ144" s="27" t="s">
        <v>389</v>
      </c>
      <c r="AR144" s="29">
        <v>44630</v>
      </c>
      <c r="AS144" s="29">
        <v>44707</v>
      </c>
      <c r="AT144" s="27" t="s">
        <v>252</v>
      </c>
      <c r="AU144" s="27" t="s">
        <v>252</v>
      </c>
      <c r="AV144" s="27">
        <v>0</v>
      </c>
      <c r="AW144" s="30" t="s">
        <v>643</v>
      </c>
      <c r="AX144" s="28"/>
      <c r="AY144" s="28"/>
      <c r="AZ144" s="28"/>
      <c r="BA144" s="28"/>
      <c r="BB144" s="28"/>
      <c r="BC144" s="28"/>
      <c r="BD144" s="28"/>
      <c r="BE144" s="28"/>
      <c r="BF144" s="28"/>
      <c r="BG144" s="28"/>
      <c r="BH144" s="28"/>
      <c r="BI144" s="28"/>
      <c r="BJ144" s="28"/>
      <c r="BK144" s="28"/>
      <c r="BL144" s="28"/>
      <c r="BM144" s="28"/>
      <c r="BN144" s="28"/>
      <c r="BO144" s="28"/>
      <c r="BP144" s="28"/>
      <c r="BQ144" s="28"/>
      <c r="BR144" s="28"/>
      <c r="BS144" s="28"/>
      <c r="BT144" s="28"/>
      <c r="BU144" s="28"/>
      <c r="BV144" s="28"/>
      <c r="BW144" s="28"/>
      <c r="BX144" s="28"/>
      <c r="BY144" s="19"/>
      <c r="BZ144" s="19"/>
      <c r="CA144" s="19"/>
      <c r="CB144" s="19"/>
      <c r="CC144" s="19"/>
      <c r="CD144" s="19"/>
      <c r="CE144" s="19"/>
      <c r="CF144" s="19"/>
      <c r="CG144" s="19"/>
      <c r="CH144" s="19"/>
      <c r="CI144" s="19"/>
      <c r="CJ144" s="19"/>
      <c r="CK144" s="19"/>
      <c r="CL144" s="19"/>
      <c r="CM144" s="19"/>
      <c r="CN144" s="19"/>
      <c r="CO144" s="19"/>
      <c r="CP144" s="19"/>
      <c r="CQ144" s="19"/>
      <c r="CR144" s="19"/>
      <c r="CS144" s="19"/>
      <c r="CT144" s="19"/>
      <c r="CU144" s="19"/>
      <c r="CV144" s="19"/>
      <c r="CW144" s="19"/>
      <c r="CX144" s="19"/>
      <c r="CY144" s="19"/>
      <c r="CZ144" s="19"/>
      <c r="DA144" s="19"/>
      <c r="DB144" s="19"/>
      <c r="DC144" s="19"/>
      <c r="DD144" s="19"/>
      <c r="DE144" s="19"/>
      <c r="DF144" s="19"/>
      <c r="DG144" s="19"/>
      <c r="DH144" s="19"/>
      <c r="DI144" s="19"/>
      <c r="DJ144" s="19"/>
      <c r="DK144" s="19"/>
      <c r="DL144" s="19"/>
      <c r="DM144" s="19"/>
      <c r="DN144" s="19"/>
      <c r="DO144" s="19"/>
      <c r="DP144" s="19"/>
      <c r="DQ144" s="19"/>
      <c r="DR144" s="19"/>
      <c r="DS144" s="19"/>
      <c r="DT144" s="19"/>
      <c r="DU144" s="19"/>
      <c r="DV144" s="19"/>
      <c r="DW144" s="19"/>
      <c r="DX144" s="19"/>
      <c r="DY144" s="19"/>
      <c r="DZ144" s="19"/>
      <c r="EA144" s="19"/>
      <c r="EB144" s="19"/>
      <c r="EC144" s="19"/>
      <c r="ED144" s="19"/>
      <c r="EE144" s="19"/>
      <c r="EF144" s="19"/>
      <c r="EG144" s="19"/>
      <c r="EH144" s="19"/>
      <c r="EI144" s="19"/>
      <c r="EJ144" s="19"/>
      <c r="EK144" s="19"/>
      <c r="EL144" s="19"/>
      <c r="EM144" s="19"/>
      <c r="EN144" s="19"/>
      <c r="EO144" s="19"/>
      <c r="EP144" s="19"/>
      <c r="EQ144" s="19"/>
      <c r="ER144" s="19"/>
      <c r="ES144" s="19"/>
      <c r="ET144" s="19"/>
      <c r="EU144" s="19"/>
      <c r="EV144" s="19"/>
      <c r="EW144" s="19"/>
      <c r="EX144" s="19"/>
      <c r="EY144" s="19"/>
      <c r="EZ144" s="19"/>
      <c r="FA144" s="19"/>
      <c r="FB144" s="19"/>
      <c r="FC144" s="19"/>
      <c r="FD144" s="19"/>
      <c r="FE144" s="19"/>
      <c r="FF144" s="19"/>
      <c r="FG144" s="19"/>
      <c r="FH144" s="19"/>
      <c r="FI144" s="19"/>
      <c r="FJ144" s="19"/>
      <c r="FK144" s="19"/>
      <c r="FL144" s="20" t="s">
        <v>638</v>
      </c>
      <c r="FM144" s="20" t="s">
        <v>255</v>
      </c>
      <c r="FN144" s="19"/>
      <c r="FO144" s="19"/>
      <c r="FP144" s="19"/>
      <c r="FQ144" s="19"/>
      <c r="FR144" s="19"/>
      <c r="FS144" s="19"/>
      <c r="FT144" s="19"/>
      <c r="FU144" s="19"/>
      <c r="FV144" s="19"/>
      <c r="FW144" s="19"/>
      <c r="FX144" s="19"/>
      <c r="FY144" s="19"/>
      <c r="FZ144" s="19"/>
      <c r="GA144" s="19"/>
      <c r="GB144" s="19"/>
      <c r="GC144" s="19"/>
      <c r="GD144" s="19"/>
      <c r="GE144" s="19"/>
      <c r="GF144" s="19"/>
      <c r="GG144" s="19"/>
      <c r="GH144" s="19"/>
      <c r="GI144" s="19"/>
      <c r="GJ144" s="19"/>
      <c r="GK144" s="19"/>
      <c r="GL144" s="19"/>
      <c r="GM144" s="19"/>
      <c r="GN144" s="19"/>
      <c r="GO144" s="19"/>
      <c r="GP144" s="19"/>
      <c r="GQ144" s="19"/>
      <c r="GR144" s="19"/>
      <c r="GS144" s="19"/>
      <c r="GT144" s="19"/>
      <c r="GU144" s="19"/>
      <c r="GV144" s="19"/>
      <c r="GW144" s="19"/>
      <c r="GX144" s="19"/>
      <c r="GY144" s="19"/>
      <c r="GZ144" s="19"/>
      <c r="HA144" s="19"/>
    </row>
    <row r="145" spans="1:209" ht="23.25" customHeight="1" x14ac:dyDescent="0.15">
      <c r="A145" s="26">
        <v>44659.402650127318</v>
      </c>
      <c r="B145" s="27" t="s">
        <v>6</v>
      </c>
      <c r="C145" s="27" t="s">
        <v>11</v>
      </c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  <c r="AX145" s="27" t="s">
        <v>642</v>
      </c>
      <c r="AY145" s="27" t="s">
        <v>632</v>
      </c>
      <c r="AZ145" s="27" t="s">
        <v>644</v>
      </c>
      <c r="BA145" s="27" t="s">
        <v>645</v>
      </c>
      <c r="BB145" s="27" t="s">
        <v>646</v>
      </c>
      <c r="BC145" s="29">
        <v>44460</v>
      </c>
      <c r="BD145" s="29">
        <v>44526</v>
      </c>
      <c r="BE145" s="29">
        <v>44527</v>
      </c>
      <c r="BF145" s="27">
        <v>100</v>
      </c>
      <c r="BG145" s="27" t="s">
        <v>647</v>
      </c>
      <c r="BH145" s="30" t="s">
        <v>648</v>
      </c>
      <c r="BI145" s="28"/>
      <c r="BJ145" s="28"/>
      <c r="BK145" s="28"/>
      <c r="BL145" s="28"/>
      <c r="BM145" s="28"/>
      <c r="BN145" s="28"/>
      <c r="BO145" s="28"/>
      <c r="BP145" s="28"/>
      <c r="BQ145" s="28"/>
      <c r="BR145" s="28"/>
      <c r="BS145" s="28"/>
      <c r="BT145" s="28"/>
      <c r="BU145" s="28"/>
      <c r="BV145" s="28"/>
      <c r="BW145" s="28"/>
      <c r="BX145" s="28"/>
      <c r="BY145" s="19"/>
      <c r="BZ145" s="19"/>
      <c r="CA145" s="19"/>
      <c r="CB145" s="19"/>
      <c r="CC145" s="19"/>
      <c r="CD145" s="19"/>
      <c r="CE145" s="19"/>
      <c r="CF145" s="19"/>
      <c r="CG145" s="19"/>
      <c r="CH145" s="19"/>
      <c r="CI145" s="19"/>
      <c r="CJ145" s="19"/>
      <c r="CK145" s="19"/>
      <c r="CL145" s="19"/>
      <c r="CM145" s="19"/>
      <c r="CN145" s="19"/>
      <c r="CO145" s="19"/>
      <c r="CP145" s="19"/>
      <c r="CQ145" s="19"/>
      <c r="CR145" s="19"/>
      <c r="CS145" s="19"/>
      <c r="CT145" s="19"/>
      <c r="CU145" s="19"/>
      <c r="CV145" s="19"/>
      <c r="CW145" s="19"/>
      <c r="CX145" s="19"/>
      <c r="CY145" s="19"/>
      <c r="CZ145" s="19"/>
      <c r="DA145" s="19"/>
      <c r="DB145" s="19"/>
      <c r="DC145" s="19"/>
      <c r="DD145" s="19"/>
      <c r="DE145" s="19"/>
      <c r="DF145" s="19"/>
      <c r="DG145" s="19"/>
      <c r="DH145" s="19"/>
      <c r="DI145" s="19"/>
      <c r="DJ145" s="19"/>
      <c r="DK145" s="19"/>
      <c r="DL145" s="19"/>
      <c r="DM145" s="19"/>
      <c r="DN145" s="19"/>
      <c r="DO145" s="19"/>
      <c r="DP145" s="19"/>
      <c r="DQ145" s="19"/>
      <c r="DR145" s="19"/>
      <c r="DS145" s="19"/>
      <c r="DT145" s="19"/>
      <c r="DU145" s="19"/>
      <c r="DV145" s="19"/>
      <c r="DW145" s="19"/>
      <c r="DX145" s="19"/>
      <c r="DY145" s="19"/>
      <c r="DZ145" s="19"/>
      <c r="EA145" s="19"/>
      <c r="EB145" s="19"/>
      <c r="EC145" s="19"/>
      <c r="ED145" s="19"/>
      <c r="EE145" s="19"/>
      <c r="EF145" s="19"/>
      <c r="EG145" s="19"/>
      <c r="EH145" s="19"/>
      <c r="EI145" s="19"/>
      <c r="EJ145" s="19"/>
      <c r="EK145" s="19"/>
      <c r="EL145" s="19"/>
      <c r="EM145" s="19"/>
      <c r="EN145" s="19"/>
      <c r="EO145" s="19"/>
      <c r="EP145" s="19"/>
      <c r="EQ145" s="19"/>
      <c r="ER145" s="19"/>
      <c r="ES145" s="19"/>
      <c r="ET145" s="19"/>
      <c r="EU145" s="19"/>
      <c r="EV145" s="19"/>
      <c r="EW145" s="19"/>
      <c r="EX145" s="19"/>
      <c r="EY145" s="19"/>
      <c r="EZ145" s="19"/>
      <c r="FA145" s="19"/>
      <c r="FB145" s="19"/>
      <c r="FC145" s="19"/>
      <c r="FD145" s="19"/>
      <c r="FE145" s="19"/>
      <c r="FF145" s="19"/>
      <c r="FG145" s="19"/>
      <c r="FH145" s="19"/>
      <c r="FI145" s="19"/>
      <c r="FJ145" s="19"/>
      <c r="FK145" s="19"/>
      <c r="FL145" s="20" t="s">
        <v>638</v>
      </c>
      <c r="FM145" s="20" t="s">
        <v>255</v>
      </c>
      <c r="FN145" s="19"/>
      <c r="FO145" s="19"/>
      <c r="FP145" s="19"/>
      <c r="FQ145" s="19"/>
      <c r="FR145" s="19"/>
      <c r="FS145" s="19"/>
      <c r="FT145" s="19"/>
      <c r="FU145" s="19"/>
      <c r="FV145" s="19"/>
      <c r="FW145" s="19"/>
      <c r="FX145" s="19"/>
      <c r="FY145" s="19"/>
      <c r="FZ145" s="19"/>
      <c r="GA145" s="19"/>
      <c r="GB145" s="19"/>
      <c r="GC145" s="19"/>
      <c r="GD145" s="19"/>
      <c r="GE145" s="19"/>
      <c r="GF145" s="19"/>
      <c r="GG145" s="19"/>
      <c r="GH145" s="19"/>
      <c r="GI145" s="19"/>
      <c r="GJ145" s="19"/>
      <c r="GK145" s="19"/>
      <c r="GL145" s="19"/>
      <c r="GM145" s="19"/>
      <c r="GN145" s="19"/>
      <c r="GO145" s="19"/>
      <c r="GP145" s="19"/>
      <c r="GQ145" s="19"/>
      <c r="GR145" s="19"/>
      <c r="GS145" s="19"/>
      <c r="GT145" s="19"/>
      <c r="GU145" s="19"/>
      <c r="GV145" s="19"/>
      <c r="GW145" s="19"/>
      <c r="GX145" s="19"/>
      <c r="GY145" s="19"/>
      <c r="GZ145" s="19"/>
      <c r="HA145" s="19"/>
    </row>
    <row r="146" spans="1:209" ht="23.25" customHeight="1" x14ac:dyDescent="0.15">
      <c r="A146" s="26">
        <v>44659.403977962967</v>
      </c>
      <c r="B146" s="27" t="s">
        <v>6</v>
      </c>
      <c r="C146" s="27" t="s">
        <v>11</v>
      </c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  <c r="AX146" s="27" t="s">
        <v>615</v>
      </c>
      <c r="AY146" s="27" t="s">
        <v>616</v>
      </c>
      <c r="AZ146" s="27" t="s">
        <v>649</v>
      </c>
      <c r="BA146" s="27" t="s">
        <v>375</v>
      </c>
      <c r="BB146" s="27" t="s">
        <v>650</v>
      </c>
      <c r="BC146" s="29">
        <v>43979</v>
      </c>
      <c r="BD146" s="29">
        <v>44035</v>
      </c>
      <c r="BE146" s="29">
        <v>44035</v>
      </c>
      <c r="BF146" s="27">
        <v>95</v>
      </c>
      <c r="BG146" s="27" t="s">
        <v>556</v>
      </c>
      <c r="BH146" s="30" t="s">
        <v>651</v>
      </c>
      <c r="BI146" s="28"/>
      <c r="BJ146" s="28"/>
      <c r="BK146" s="28"/>
      <c r="BL146" s="28"/>
      <c r="BM146" s="28"/>
      <c r="BN146" s="28"/>
      <c r="BO146" s="28"/>
      <c r="BP146" s="28"/>
      <c r="BQ146" s="28"/>
      <c r="BR146" s="28"/>
      <c r="BS146" s="28"/>
      <c r="BT146" s="28"/>
      <c r="BU146" s="28"/>
      <c r="BV146" s="28"/>
      <c r="BW146" s="28"/>
      <c r="BX146" s="28"/>
      <c r="BY146" s="19"/>
      <c r="BZ146" s="19"/>
      <c r="CA146" s="19"/>
      <c r="CB146" s="19"/>
      <c r="CC146" s="19"/>
      <c r="CD146" s="19"/>
      <c r="CE146" s="19"/>
      <c r="CF146" s="19"/>
      <c r="CG146" s="19"/>
      <c r="CH146" s="19"/>
      <c r="CI146" s="19"/>
      <c r="CJ146" s="19"/>
      <c r="CK146" s="19"/>
      <c r="CL146" s="19"/>
      <c r="CM146" s="19"/>
      <c r="CN146" s="19"/>
      <c r="CO146" s="19"/>
      <c r="CP146" s="19"/>
      <c r="CQ146" s="19"/>
      <c r="CR146" s="19"/>
      <c r="CS146" s="19"/>
      <c r="CT146" s="19"/>
      <c r="CU146" s="19"/>
      <c r="CV146" s="19"/>
      <c r="CW146" s="19"/>
      <c r="CX146" s="19"/>
      <c r="CY146" s="19"/>
      <c r="CZ146" s="19"/>
      <c r="DA146" s="19"/>
      <c r="DB146" s="19"/>
      <c r="DC146" s="19"/>
      <c r="DD146" s="19"/>
      <c r="DE146" s="19"/>
      <c r="DF146" s="19"/>
      <c r="DG146" s="19"/>
      <c r="DH146" s="19"/>
      <c r="DI146" s="19"/>
      <c r="DJ146" s="19"/>
      <c r="DK146" s="19"/>
      <c r="DL146" s="19"/>
      <c r="DM146" s="19"/>
      <c r="DN146" s="19"/>
      <c r="DO146" s="19"/>
      <c r="DP146" s="19"/>
      <c r="DQ146" s="19"/>
      <c r="DR146" s="19"/>
      <c r="DS146" s="19"/>
      <c r="DT146" s="19"/>
      <c r="DU146" s="19"/>
      <c r="DV146" s="19"/>
      <c r="DW146" s="19"/>
      <c r="DX146" s="19"/>
      <c r="DY146" s="19"/>
      <c r="DZ146" s="19"/>
      <c r="EA146" s="19"/>
      <c r="EB146" s="19"/>
      <c r="EC146" s="19"/>
      <c r="ED146" s="19"/>
      <c r="EE146" s="19"/>
      <c r="EF146" s="19"/>
      <c r="EG146" s="19"/>
      <c r="EH146" s="19"/>
      <c r="EI146" s="19"/>
      <c r="EJ146" s="19"/>
      <c r="EK146" s="19"/>
      <c r="EL146" s="19"/>
      <c r="EM146" s="19"/>
      <c r="EN146" s="19"/>
      <c r="EO146" s="19"/>
      <c r="EP146" s="19"/>
      <c r="EQ146" s="19"/>
      <c r="ER146" s="19"/>
      <c r="ES146" s="19"/>
      <c r="ET146" s="19"/>
      <c r="EU146" s="19"/>
      <c r="EV146" s="19"/>
      <c r="EW146" s="19"/>
      <c r="EX146" s="19"/>
      <c r="EY146" s="19"/>
      <c r="EZ146" s="19"/>
      <c r="FA146" s="19"/>
      <c r="FB146" s="19"/>
      <c r="FC146" s="19"/>
      <c r="FD146" s="19"/>
      <c r="FE146" s="19"/>
      <c r="FF146" s="19"/>
      <c r="FG146" s="19"/>
      <c r="FH146" s="19"/>
      <c r="FI146" s="19"/>
      <c r="FJ146" s="19"/>
      <c r="FK146" s="19"/>
      <c r="FL146" s="20" t="s">
        <v>619</v>
      </c>
      <c r="FM146" s="20" t="s">
        <v>321</v>
      </c>
      <c r="FN146" s="19"/>
      <c r="FO146" s="19"/>
      <c r="FP146" s="19"/>
      <c r="FQ146" s="19"/>
      <c r="FR146" s="19"/>
      <c r="FS146" s="19"/>
      <c r="FT146" s="19"/>
      <c r="FU146" s="19"/>
      <c r="FV146" s="19"/>
      <c r="FW146" s="19"/>
      <c r="FX146" s="19"/>
      <c r="FY146" s="19"/>
      <c r="FZ146" s="19"/>
      <c r="GA146" s="19"/>
      <c r="GB146" s="19"/>
      <c r="GC146" s="19"/>
      <c r="GD146" s="19"/>
      <c r="GE146" s="19"/>
      <c r="GF146" s="19"/>
      <c r="GG146" s="19"/>
      <c r="GH146" s="19"/>
      <c r="GI146" s="19"/>
      <c r="GJ146" s="19"/>
      <c r="GK146" s="19"/>
      <c r="GL146" s="19"/>
      <c r="GM146" s="19"/>
      <c r="GN146" s="19"/>
      <c r="GO146" s="19"/>
      <c r="GP146" s="19"/>
      <c r="GQ146" s="19"/>
      <c r="GR146" s="19"/>
      <c r="GS146" s="19"/>
      <c r="GT146" s="19"/>
      <c r="GU146" s="19"/>
      <c r="GV146" s="19"/>
      <c r="GW146" s="19"/>
      <c r="GX146" s="19"/>
      <c r="GY146" s="19"/>
      <c r="GZ146" s="19"/>
      <c r="HA146" s="19"/>
    </row>
    <row r="147" spans="1:209" ht="23.25" customHeight="1" x14ac:dyDescent="0.15">
      <c r="A147" s="26">
        <v>44659.404768958339</v>
      </c>
      <c r="B147" s="27" t="s">
        <v>6</v>
      </c>
      <c r="C147" s="27" t="s">
        <v>22</v>
      </c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  <c r="BD147" s="28"/>
      <c r="BE147" s="28"/>
      <c r="BF147" s="28"/>
      <c r="BG147" s="28"/>
      <c r="BH147" s="28"/>
      <c r="BI147" s="28"/>
      <c r="BJ147" s="28"/>
      <c r="BK147" s="28"/>
      <c r="BL147" s="28"/>
      <c r="BM147" s="28"/>
      <c r="BN147" s="28"/>
      <c r="BO147" s="28"/>
      <c r="BP147" s="28"/>
      <c r="BQ147" s="28"/>
      <c r="BR147" s="28"/>
      <c r="BS147" s="28"/>
      <c r="BT147" s="28"/>
      <c r="BU147" s="28"/>
      <c r="BV147" s="28"/>
      <c r="BW147" s="28"/>
      <c r="BX147" s="28"/>
      <c r="BY147" s="19"/>
      <c r="BZ147" s="19"/>
      <c r="CA147" s="19"/>
      <c r="CB147" s="19"/>
      <c r="CC147" s="19"/>
      <c r="CD147" s="19"/>
      <c r="CE147" s="19"/>
      <c r="CF147" s="19"/>
      <c r="CG147" s="19"/>
      <c r="CH147" s="19"/>
      <c r="CI147" s="19"/>
      <c r="CJ147" s="19"/>
      <c r="CK147" s="19"/>
      <c r="CL147" s="19"/>
      <c r="CM147" s="19"/>
      <c r="CN147" s="19"/>
      <c r="CO147" s="19"/>
      <c r="CP147" s="19"/>
      <c r="CQ147" s="19"/>
      <c r="CR147" s="19"/>
      <c r="CS147" s="19"/>
      <c r="CT147" s="19"/>
      <c r="CU147" s="19"/>
      <c r="CV147" s="19"/>
      <c r="CW147" s="19"/>
      <c r="CX147" s="19"/>
      <c r="CY147" s="19"/>
      <c r="CZ147" s="19"/>
      <c r="DA147" s="19"/>
      <c r="DB147" s="19"/>
      <c r="DC147" s="19"/>
      <c r="DD147" s="19"/>
      <c r="DE147" s="19"/>
      <c r="DF147" s="19"/>
      <c r="DG147" s="19"/>
      <c r="DH147" s="19"/>
      <c r="DI147" s="19"/>
      <c r="DJ147" s="19"/>
      <c r="DK147" s="19"/>
      <c r="DL147" s="19"/>
      <c r="DM147" s="19"/>
      <c r="DN147" s="19"/>
      <c r="DO147" s="19"/>
      <c r="DP147" s="19"/>
      <c r="DQ147" s="19"/>
      <c r="DR147" s="19"/>
      <c r="DS147" s="19"/>
      <c r="DT147" s="19"/>
      <c r="DU147" s="19"/>
      <c r="DV147" s="19"/>
      <c r="DW147" s="19"/>
      <c r="DX147" s="19"/>
      <c r="DY147" s="19"/>
      <c r="DZ147" s="19"/>
      <c r="EA147" s="19"/>
      <c r="EB147" s="19"/>
      <c r="EC147" s="19"/>
      <c r="ED147" s="19"/>
      <c r="EE147" s="19"/>
      <c r="EF147" s="19"/>
      <c r="EG147" s="19"/>
      <c r="EH147" s="19"/>
      <c r="EI147" s="19"/>
      <c r="EJ147" s="19"/>
      <c r="EK147" s="19"/>
      <c r="EL147" s="19"/>
      <c r="EM147" s="19"/>
      <c r="EN147" s="19"/>
      <c r="EO147" s="19"/>
      <c r="EP147" s="19"/>
      <c r="EQ147" s="19"/>
      <c r="ER147" s="19"/>
      <c r="ES147" s="19"/>
      <c r="ET147" s="19"/>
      <c r="EU147" s="19"/>
      <c r="EV147" s="19"/>
      <c r="EW147" s="19"/>
      <c r="EX147" s="19"/>
      <c r="EY147" s="19"/>
      <c r="EZ147" s="19"/>
      <c r="FA147" s="19"/>
      <c r="FB147" s="19"/>
      <c r="FC147" s="19"/>
      <c r="FD147" s="19"/>
      <c r="FE147" s="19"/>
      <c r="FF147" s="19"/>
      <c r="FG147" s="19"/>
      <c r="FH147" s="19"/>
      <c r="FI147" s="19"/>
      <c r="FJ147" s="19"/>
      <c r="FK147" s="19"/>
      <c r="FL147" s="20" t="s">
        <v>638</v>
      </c>
      <c r="FM147" s="20" t="s">
        <v>255</v>
      </c>
      <c r="FN147" s="19"/>
      <c r="FO147" s="19"/>
      <c r="FP147" s="19"/>
      <c r="FQ147" s="19"/>
      <c r="FR147" s="19"/>
      <c r="FS147" s="19"/>
      <c r="FT147" s="19"/>
      <c r="FU147" s="19"/>
      <c r="FV147" s="19"/>
      <c r="FW147" s="19"/>
      <c r="FX147" s="19"/>
      <c r="FY147" s="19"/>
      <c r="FZ147" s="19"/>
      <c r="GA147" s="19"/>
      <c r="GB147" s="19"/>
      <c r="GC147" s="19"/>
      <c r="GD147" s="19"/>
      <c r="GE147" s="19"/>
      <c r="GF147" s="20" t="s">
        <v>642</v>
      </c>
      <c r="GG147" s="20" t="s">
        <v>632</v>
      </c>
      <c r="GH147" s="20" t="s">
        <v>634</v>
      </c>
      <c r="GI147" s="21">
        <v>44585</v>
      </c>
      <c r="GJ147" s="22" t="s">
        <v>652</v>
      </c>
      <c r="GK147" s="20" t="s">
        <v>653</v>
      </c>
      <c r="GL147" s="20" t="s">
        <v>654</v>
      </c>
      <c r="GM147" s="19"/>
      <c r="GN147" s="19"/>
      <c r="GO147" s="19"/>
      <c r="GP147" s="19"/>
      <c r="GQ147" s="19"/>
      <c r="GR147" s="19"/>
      <c r="GS147" s="19"/>
      <c r="GT147" s="19"/>
      <c r="GU147" s="19"/>
      <c r="GV147" s="19"/>
      <c r="GW147" s="19"/>
      <c r="GX147" s="19"/>
      <c r="GY147" s="19"/>
      <c r="GZ147" s="19"/>
      <c r="HA147" s="19"/>
    </row>
    <row r="148" spans="1:209" ht="23.25" customHeight="1" x14ac:dyDescent="0.15">
      <c r="A148" s="26">
        <v>44659.407064363426</v>
      </c>
      <c r="B148" s="27" t="s">
        <v>6</v>
      </c>
      <c r="C148" s="27" t="s">
        <v>11</v>
      </c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7" t="s">
        <v>642</v>
      </c>
      <c r="AY148" s="27" t="s">
        <v>632</v>
      </c>
      <c r="AZ148" s="27" t="s">
        <v>655</v>
      </c>
      <c r="BA148" s="27" t="s">
        <v>634</v>
      </c>
      <c r="BB148" s="27" t="s">
        <v>656</v>
      </c>
      <c r="BC148" s="29">
        <v>44578</v>
      </c>
      <c r="BD148" s="29">
        <v>44578</v>
      </c>
      <c r="BE148" s="29">
        <v>44578</v>
      </c>
      <c r="BF148" s="27">
        <v>8</v>
      </c>
      <c r="BG148" s="27" t="s">
        <v>647</v>
      </c>
      <c r="BH148" s="30" t="s">
        <v>657</v>
      </c>
      <c r="BI148" s="28"/>
      <c r="BJ148" s="28"/>
      <c r="BK148" s="28"/>
      <c r="BL148" s="28"/>
      <c r="BM148" s="28"/>
      <c r="BN148" s="28"/>
      <c r="BO148" s="28"/>
      <c r="BP148" s="28"/>
      <c r="BQ148" s="28"/>
      <c r="BR148" s="28"/>
      <c r="BS148" s="28"/>
      <c r="BT148" s="28"/>
      <c r="BU148" s="28"/>
      <c r="BV148" s="28"/>
      <c r="BW148" s="28"/>
      <c r="BX148" s="28"/>
      <c r="BY148" s="19"/>
      <c r="BZ148" s="19"/>
      <c r="CA148" s="19"/>
      <c r="CB148" s="19"/>
      <c r="CC148" s="19"/>
      <c r="CD148" s="19"/>
      <c r="CE148" s="19"/>
      <c r="CF148" s="19"/>
      <c r="CG148" s="19"/>
      <c r="CH148" s="19"/>
      <c r="CI148" s="19"/>
      <c r="CJ148" s="19"/>
      <c r="CK148" s="19"/>
      <c r="CL148" s="19"/>
      <c r="CM148" s="19"/>
      <c r="CN148" s="19"/>
      <c r="CO148" s="19"/>
      <c r="CP148" s="19"/>
      <c r="CQ148" s="19"/>
      <c r="CR148" s="19"/>
      <c r="CS148" s="19"/>
      <c r="CT148" s="19"/>
      <c r="CU148" s="19"/>
      <c r="CV148" s="19"/>
      <c r="CW148" s="19"/>
      <c r="CX148" s="19"/>
      <c r="CY148" s="19"/>
      <c r="CZ148" s="19"/>
      <c r="DA148" s="19"/>
      <c r="DB148" s="19"/>
      <c r="DC148" s="19"/>
      <c r="DD148" s="19"/>
      <c r="DE148" s="19"/>
      <c r="DF148" s="19"/>
      <c r="DG148" s="19"/>
      <c r="DH148" s="19"/>
      <c r="DI148" s="19"/>
      <c r="DJ148" s="19"/>
      <c r="DK148" s="19"/>
      <c r="DL148" s="19"/>
      <c r="DM148" s="19"/>
      <c r="DN148" s="19"/>
      <c r="DO148" s="19"/>
      <c r="DP148" s="19"/>
      <c r="DQ148" s="19"/>
      <c r="DR148" s="19"/>
      <c r="DS148" s="19"/>
      <c r="DT148" s="19"/>
      <c r="DU148" s="19"/>
      <c r="DV148" s="19"/>
      <c r="DW148" s="19"/>
      <c r="DX148" s="19"/>
      <c r="DY148" s="19"/>
      <c r="DZ148" s="19"/>
      <c r="EA148" s="19"/>
      <c r="EB148" s="19"/>
      <c r="EC148" s="19"/>
      <c r="ED148" s="19"/>
      <c r="EE148" s="19"/>
      <c r="EF148" s="19"/>
      <c r="EG148" s="19"/>
      <c r="EH148" s="19"/>
      <c r="EI148" s="19"/>
      <c r="EJ148" s="19"/>
      <c r="EK148" s="19"/>
      <c r="EL148" s="19"/>
      <c r="EM148" s="19"/>
      <c r="EN148" s="19"/>
      <c r="EO148" s="19"/>
      <c r="EP148" s="19"/>
      <c r="EQ148" s="19"/>
      <c r="ER148" s="19"/>
      <c r="ES148" s="19"/>
      <c r="ET148" s="19"/>
      <c r="EU148" s="19"/>
      <c r="EV148" s="19"/>
      <c r="EW148" s="19"/>
      <c r="EX148" s="19"/>
      <c r="EY148" s="19"/>
      <c r="EZ148" s="19"/>
      <c r="FA148" s="19"/>
      <c r="FB148" s="19"/>
      <c r="FC148" s="19"/>
      <c r="FD148" s="19"/>
      <c r="FE148" s="19"/>
      <c r="FF148" s="19"/>
      <c r="FG148" s="19"/>
      <c r="FH148" s="19"/>
      <c r="FI148" s="19"/>
      <c r="FJ148" s="19"/>
      <c r="FK148" s="19"/>
      <c r="FL148" s="20" t="s">
        <v>638</v>
      </c>
      <c r="FM148" s="20" t="s">
        <v>255</v>
      </c>
      <c r="FN148" s="19"/>
      <c r="FO148" s="19"/>
      <c r="FP148" s="19"/>
      <c r="FQ148" s="19"/>
      <c r="FR148" s="19"/>
      <c r="FS148" s="19"/>
      <c r="FT148" s="19"/>
      <c r="FU148" s="19"/>
      <c r="FV148" s="19"/>
      <c r="FW148" s="19"/>
      <c r="FX148" s="19"/>
      <c r="FY148" s="19"/>
      <c r="FZ148" s="19"/>
      <c r="GA148" s="19"/>
      <c r="GB148" s="19"/>
      <c r="GC148" s="19"/>
      <c r="GD148" s="19"/>
      <c r="GE148" s="19"/>
      <c r="GF148" s="19"/>
      <c r="GG148" s="19"/>
      <c r="GH148" s="19"/>
      <c r="GI148" s="19"/>
      <c r="GJ148" s="19"/>
      <c r="GK148" s="19"/>
      <c r="GL148" s="19"/>
      <c r="GM148" s="19"/>
      <c r="GN148" s="19"/>
      <c r="GO148" s="19"/>
      <c r="GP148" s="19"/>
      <c r="GQ148" s="19"/>
      <c r="GR148" s="19"/>
      <c r="GS148" s="19"/>
      <c r="GT148" s="19"/>
      <c r="GU148" s="19"/>
      <c r="GV148" s="19"/>
      <c r="GW148" s="19"/>
      <c r="GX148" s="19"/>
      <c r="GY148" s="19"/>
      <c r="GZ148" s="19"/>
      <c r="HA148" s="19"/>
    </row>
    <row r="149" spans="1:209" ht="23.25" customHeight="1" x14ac:dyDescent="0.15">
      <c r="A149" s="26">
        <v>44659.408281967597</v>
      </c>
      <c r="B149" s="27" t="s">
        <v>6</v>
      </c>
      <c r="C149" s="27" t="s">
        <v>10</v>
      </c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7" t="s">
        <v>642</v>
      </c>
      <c r="AO149" s="27" t="s">
        <v>632</v>
      </c>
      <c r="AP149" s="27" t="s">
        <v>634</v>
      </c>
      <c r="AQ149" s="27" t="s">
        <v>389</v>
      </c>
      <c r="AR149" s="29">
        <v>44630</v>
      </c>
      <c r="AS149" s="29">
        <v>44707</v>
      </c>
      <c r="AT149" s="27" t="s">
        <v>252</v>
      </c>
      <c r="AU149" s="27" t="s">
        <v>252</v>
      </c>
      <c r="AV149" s="27">
        <v>0</v>
      </c>
      <c r="AW149" s="30" t="s">
        <v>658</v>
      </c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  <c r="BP149" s="28"/>
      <c r="BQ149" s="28"/>
      <c r="BR149" s="28"/>
      <c r="BS149" s="28"/>
      <c r="BT149" s="28"/>
      <c r="BU149" s="28"/>
      <c r="BV149" s="28"/>
      <c r="BW149" s="28"/>
      <c r="BX149" s="28"/>
      <c r="BY149" s="19"/>
      <c r="BZ149" s="19"/>
      <c r="CA149" s="19"/>
      <c r="CB149" s="19"/>
      <c r="CC149" s="19"/>
      <c r="CD149" s="19"/>
      <c r="CE149" s="19"/>
      <c r="CF149" s="19"/>
      <c r="CG149" s="19"/>
      <c r="CH149" s="19"/>
      <c r="CI149" s="19"/>
      <c r="CJ149" s="19"/>
      <c r="CK149" s="19"/>
      <c r="CL149" s="19"/>
      <c r="CM149" s="19"/>
      <c r="CN149" s="19"/>
      <c r="CO149" s="19"/>
      <c r="CP149" s="19"/>
      <c r="CQ149" s="19"/>
      <c r="CR149" s="19"/>
      <c r="CS149" s="19"/>
      <c r="CT149" s="19"/>
      <c r="CU149" s="19"/>
      <c r="CV149" s="19"/>
      <c r="CW149" s="19"/>
      <c r="CX149" s="19"/>
      <c r="CY149" s="19"/>
      <c r="CZ149" s="19"/>
      <c r="DA149" s="19"/>
      <c r="DB149" s="19"/>
      <c r="DC149" s="19"/>
      <c r="DD149" s="19"/>
      <c r="DE149" s="19"/>
      <c r="DF149" s="19"/>
      <c r="DG149" s="19"/>
      <c r="DH149" s="19"/>
      <c r="DI149" s="19"/>
      <c r="DJ149" s="19"/>
      <c r="DK149" s="19"/>
      <c r="DL149" s="19"/>
      <c r="DM149" s="19"/>
      <c r="DN149" s="19"/>
      <c r="DO149" s="19"/>
      <c r="DP149" s="19"/>
      <c r="DQ149" s="19"/>
      <c r="DR149" s="19"/>
      <c r="DS149" s="19"/>
      <c r="DT149" s="19"/>
      <c r="DU149" s="19"/>
      <c r="DV149" s="19"/>
      <c r="DW149" s="19"/>
      <c r="DX149" s="19"/>
      <c r="DY149" s="19"/>
      <c r="DZ149" s="19"/>
      <c r="EA149" s="19"/>
      <c r="EB149" s="19"/>
      <c r="EC149" s="19"/>
      <c r="ED149" s="19"/>
      <c r="EE149" s="19"/>
      <c r="EF149" s="19"/>
      <c r="EG149" s="19"/>
      <c r="EH149" s="19"/>
      <c r="EI149" s="19"/>
      <c r="EJ149" s="19"/>
      <c r="EK149" s="19"/>
      <c r="EL149" s="19"/>
      <c r="EM149" s="19"/>
      <c r="EN149" s="19"/>
      <c r="EO149" s="19"/>
      <c r="EP149" s="19"/>
      <c r="EQ149" s="19"/>
      <c r="ER149" s="19"/>
      <c r="ES149" s="19"/>
      <c r="ET149" s="19"/>
      <c r="EU149" s="19"/>
      <c r="EV149" s="19"/>
      <c r="EW149" s="19"/>
      <c r="EX149" s="19"/>
      <c r="EY149" s="19"/>
      <c r="EZ149" s="19"/>
      <c r="FA149" s="19"/>
      <c r="FB149" s="19"/>
      <c r="FC149" s="19"/>
      <c r="FD149" s="19"/>
      <c r="FE149" s="19"/>
      <c r="FF149" s="19"/>
      <c r="FG149" s="19"/>
      <c r="FH149" s="19"/>
      <c r="FI149" s="19"/>
      <c r="FJ149" s="19"/>
      <c r="FK149" s="19"/>
      <c r="FL149" s="20" t="s">
        <v>638</v>
      </c>
      <c r="FM149" s="20" t="s">
        <v>255</v>
      </c>
      <c r="FN149" s="19"/>
      <c r="FO149" s="19"/>
      <c r="FP149" s="19"/>
      <c r="FQ149" s="19"/>
      <c r="FR149" s="19"/>
      <c r="FS149" s="19"/>
      <c r="FT149" s="19"/>
      <c r="FU149" s="19"/>
      <c r="FV149" s="19"/>
      <c r="FW149" s="19"/>
      <c r="FX149" s="19"/>
      <c r="FY149" s="19"/>
      <c r="FZ149" s="19"/>
      <c r="GA149" s="19"/>
      <c r="GB149" s="19"/>
      <c r="GC149" s="19"/>
      <c r="GD149" s="19"/>
      <c r="GE149" s="19"/>
      <c r="GF149" s="19"/>
      <c r="GG149" s="19"/>
      <c r="GH149" s="19"/>
      <c r="GI149" s="19"/>
      <c r="GJ149" s="19"/>
      <c r="GK149" s="19"/>
      <c r="GL149" s="19"/>
      <c r="GM149" s="19"/>
      <c r="GN149" s="19"/>
      <c r="GO149" s="19"/>
      <c r="GP149" s="19"/>
      <c r="GQ149" s="19"/>
      <c r="GR149" s="19"/>
      <c r="GS149" s="19"/>
      <c r="GT149" s="19"/>
      <c r="GU149" s="19"/>
      <c r="GV149" s="19"/>
      <c r="GW149" s="19"/>
      <c r="GX149" s="19"/>
      <c r="GY149" s="19"/>
      <c r="GZ149" s="19"/>
      <c r="HA149" s="19"/>
    </row>
    <row r="150" spans="1:209" ht="23.25" customHeight="1" x14ac:dyDescent="0.15">
      <c r="A150" s="26">
        <v>44659.408604398152</v>
      </c>
      <c r="B150" s="27" t="s">
        <v>6</v>
      </c>
      <c r="C150" s="27" t="s">
        <v>11</v>
      </c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7" t="s">
        <v>428</v>
      </c>
      <c r="AY150" s="27" t="s">
        <v>429</v>
      </c>
      <c r="AZ150" s="27" t="s">
        <v>659</v>
      </c>
      <c r="BA150" s="27" t="s">
        <v>375</v>
      </c>
      <c r="BB150" s="27" t="s">
        <v>660</v>
      </c>
      <c r="BC150" s="29">
        <v>44348</v>
      </c>
      <c r="BD150" s="29">
        <v>44378</v>
      </c>
      <c r="BE150" s="29">
        <v>44378</v>
      </c>
      <c r="BF150" s="27">
        <v>100</v>
      </c>
      <c r="BG150" s="27" t="s">
        <v>520</v>
      </c>
      <c r="BH150" s="30" t="s">
        <v>661</v>
      </c>
      <c r="BI150" s="28"/>
      <c r="BJ150" s="28"/>
      <c r="BK150" s="28"/>
      <c r="BL150" s="28"/>
      <c r="BM150" s="28"/>
      <c r="BN150" s="28"/>
      <c r="BO150" s="28"/>
      <c r="BP150" s="28"/>
      <c r="BQ150" s="28"/>
      <c r="BR150" s="28"/>
      <c r="BS150" s="28"/>
      <c r="BT150" s="28"/>
      <c r="BU150" s="28"/>
      <c r="BV150" s="28"/>
      <c r="BW150" s="28"/>
      <c r="BX150" s="28"/>
      <c r="BY150" s="19"/>
      <c r="BZ150" s="19"/>
      <c r="CA150" s="19"/>
      <c r="CB150" s="19"/>
      <c r="CC150" s="19"/>
      <c r="CD150" s="19"/>
      <c r="CE150" s="19"/>
      <c r="CF150" s="19"/>
      <c r="CG150" s="19"/>
      <c r="CH150" s="19"/>
      <c r="CI150" s="19"/>
      <c r="CJ150" s="19"/>
      <c r="CK150" s="19"/>
      <c r="CL150" s="19"/>
      <c r="CM150" s="19"/>
      <c r="CN150" s="19"/>
      <c r="CO150" s="19"/>
      <c r="CP150" s="19"/>
      <c r="CQ150" s="19"/>
      <c r="CR150" s="19"/>
      <c r="CS150" s="19"/>
      <c r="CT150" s="19"/>
      <c r="CU150" s="19"/>
      <c r="CV150" s="19"/>
      <c r="CW150" s="19"/>
      <c r="CX150" s="19"/>
      <c r="CY150" s="19"/>
      <c r="CZ150" s="19"/>
      <c r="DA150" s="19"/>
      <c r="DB150" s="19"/>
      <c r="DC150" s="19"/>
      <c r="DD150" s="19"/>
      <c r="DE150" s="19"/>
      <c r="DF150" s="19"/>
      <c r="DG150" s="19"/>
      <c r="DH150" s="19"/>
      <c r="DI150" s="19"/>
      <c r="DJ150" s="19"/>
      <c r="DK150" s="19"/>
      <c r="DL150" s="19"/>
      <c r="DM150" s="19"/>
      <c r="DN150" s="19"/>
      <c r="DO150" s="19"/>
      <c r="DP150" s="19"/>
      <c r="DQ150" s="19"/>
      <c r="DR150" s="19"/>
      <c r="DS150" s="19"/>
      <c r="DT150" s="19"/>
      <c r="DU150" s="19"/>
      <c r="DV150" s="19"/>
      <c r="DW150" s="19"/>
      <c r="DX150" s="19"/>
      <c r="DY150" s="19"/>
      <c r="DZ150" s="19"/>
      <c r="EA150" s="19"/>
      <c r="EB150" s="19"/>
      <c r="EC150" s="19"/>
      <c r="ED150" s="19"/>
      <c r="EE150" s="19"/>
      <c r="EF150" s="19"/>
      <c r="EG150" s="19"/>
      <c r="EH150" s="19"/>
      <c r="EI150" s="19"/>
      <c r="EJ150" s="19"/>
      <c r="EK150" s="19"/>
      <c r="EL150" s="19"/>
      <c r="EM150" s="19"/>
      <c r="EN150" s="19"/>
      <c r="EO150" s="19"/>
      <c r="EP150" s="19"/>
      <c r="EQ150" s="19"/>
      <c r="ER150" s="19"/>
      <c r="ES150" s="19"/>
      <c r="ET150" s="19"/>
      <c r="EU150" s="19"/>
      <c r="EV150" s="19"/>
      <c r="EW150" s="19"/>
      <c r="EX150" s="19"/>
      <c r="EY150" s="19"/>
      <c r="EZ150" s="19"/>
      <c r="FA150" s="19"/>
      <c r="FB150" s="19"/>
      <c r="FC150" s="19"/>
      <c r="FD150" s="19"/>
      <c r="FE150" s="19"/>
      <c r="FF150" s="19"/>
      <c r="FG150" s="19"/>
      <c r="FH150" s="19"/>
      <c r="FI150" s="19"/>
      <c r="FJ150" s="19"/>
      <c r="FK150" s="19"/>
      <c r="FL150" s="20" t="s">
        <v>434</v>
      </c>
      <c r="FM150" s="20" t="s">
        <v>339</v>
      </c>
      <c r="FN150" s="19"/>
      <c r="FO150" s="19"/>
      <c r="FP150" s="19"/>
      <c r="FQ150" s="19"/>
      <c r="FR150" s="19"/>
      <c r="FS150" s="19"/>
      <c r="FT150" s="19"/>
      <c r="FU150" s="19"/>
      <c r="FV150" s="19"/>
      <c r="FW150" s="19"/>
      <c r="FX150" s="19"/>
      <c r="FY150" s="19"/>
      <c r="FZ150" s="19"/>
      <c r="GA150" s="19"/>
      <c r="GB150" s="19"/>
      <c r="GC150" s="19"/>
      <c r="GD150" s="19"/>
      <c r="GE150" s="19"/>
      <c r="GF150" s="19"/>
      <c r="GG150" s="19"/>
      <c r="GH150" s="19"/>
      <c r="GI150" s="19"/>
      <c r="GJ150" s="19"/>
      <c r="GK150" s="19"/>
      <c r="GL150" s="19"/>
      <c r="GM150" s="19"/>
      <c r="GN150" s="19"/>
      <c r="GO150" s="19"/>
      <c r="GP150" s="19"/>
      <c r="GQ150" s="19"/>
      <c r="GR150" s="19"/>
      <c r="GS150" s="19"/>
      <c r="GT150" s="19"/>
      <c r="GU150" s="19"/>
      <c r="GV150" s="19"/>
      <c r="GW150" s="19"/>
      <c r="GX150" s="19"/>
      <c r="GY150" s="19"/>
      <c r="GZ150" s="19"/>
      <c r="HA150" s="19"/>
    </row>
    <row r="151" spans="1:209" ht="23.25" customHeight="1" x14ac:dyDescent="0.15">
      <c r="A151" s="26">
        <v>44659.415188703701</v>
      </c>
      <c r="B151" s="27" t="s">
        <v>6</v>
      </c>
      <c r="C151" s="27" t="s">
        <v>11</v>
      </c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7" t="s">
        <v>428</v>
      </c>
      <c r="AY151" s="27" t="s">
        <v>429</v>
      </c>
      <c r="AZ151" s="27" t="s">
        <v>568</v>
      </c>
      <c r="BA151" s="27" t="s">
        <v>662</v>
      </c>
      <c r="BB151" s="27" t="s">
        <v>318</v>
      </c>
      <c r="BC151" s="29">
        <v>44317</v>
      </c>
      <c r="BD151" s="29">
        <v>44378</v>
      </c>
      <c r="BE151" s="29">
        <v>44377</v>
      </c>
      <c r="BF151" s="27">
        <v>96</v>
      </c>
      <c r="BG151" s="27" t="s">
        <v>337</v>
      </c>
      <c r="BH151" s="30" t="s">
        <v>663</v>
      </c>
      <c r="BI151" s="28"/>
      <c r="BJ151" s="28"/>
      <c r="BK151" s="28"/>
      <c r="BL151" s="28"/>
      <c r="BM151" s="28"/>
      <c r="BN151" s="28"/>
      <c r="BO151" s="28"/>
      <c r="BP151" s="28"/>
      <c r="BQ151" s="28"/>
      <c r="BR151" s="28"/>
      <c r="BS151" s="28"/>
      <c r="BT151" s="28"/>
      <c r="BU151" s="28"/>
      <c r="BV151" s="28"/>
      <c r="BW151" s="28"/>
      <c r="BX151" s="28"/>
      <c r="BY151" s="19"/>
      <c r="BZ151" s="19"/>
      <c r="CA151" s="19"/>
      <c r="CB151" s="19"/>
      <c r="CC151" s="19"/>
      <c r="CD151" s="19"/>
      <c r="CE151" s="19"/>
      <c r="CF151" s="19"/>
      <c r="CG151" s="19"/>
      <c r="CH151" s="19"/>
      <c r="CI151" s="19"/>
      <c r="CJ151" s="19"/>
      <c r="CK151" s="19"/>
      <c r="CL151" s="19"/>
      <c r="CM151" s="19"/>
      <c r="CN151" s="19"/>
      <c r="CO151" s="19"/>
      <c r="CP151" s="19"/>
      <c r="CQ151" s="19"/>
      <c r="CR151" s="19"/>
      <c r="CS151" s="19"/>
      <c r="CT151" s="19"/>
      <c r="CU151" s="19"/>
      <c r="CV151" s="19"/>
      <c r="CW151" s="19"/>
      <c r="CX151" s="19"/>
      <c r="CY151" s="19"/>
      <c r="CZ151" s="19"/>
      <c r="DA151" s="19"/>
      <c r="DB151" s="19"/>
      <c r="DC151" s="19"/>
      <c r="DD151" s="19"/>
      <c r="DE151" s="19"/>
      <c r="DF151" s="19"/>
      <c r="DG151" s="19"/>
      <c r="DH151" s="19"/>
      <c r="DI151" s="19"/>
      <c r="DJ151" s="19"/>
      <c r="DK151" s="19"/>
      <c r="DL151" s="19"/>
      <c r="DM151" s="19"/>
      <c r="DN151" s="19"/>
      <c r="DO151" s="19"/>
      <c r="DP151" s="19"/>
      <c r="DQ151" s="19"/>
      <c r="DR151" s="19"/>
      <c r="DS151" s="19"/>
      <c r="DT151" s="19"/>
      <c r="DU151" s="19"/>
      <c r="DV151" s="19"/>
      <c r="DW151" s="19"/>
      <c r="DX151" s="19"/>
      <c r="DY151" s="19"/>
      <c r="DZ151" s="19"/>
      <c r="EA151" s="19"/>
      <c r="EB151" s="19"/>
      <c r="EC151" s="19"/>
      <c r="ED151" s="19"/>
      <c r="EE151" s="19"/>
      <c r="EF151" s="19"/>
      <c r="EG151" s="19"/>
      <c r="EH151" s="19"/>
      <c r="EI151" s="19"/>
      <c r="EJ151" s="19"/>
      <c r="EK151" s="19"/>
      <c r="EL151" s="19"/>
      <c r="EM151" s="19"/>
      <c r="EN151" s="19"/>
      <c r="EO151" s="19"/>
      <c r="EP151" s="19"/>
      <c r="EQ151" s="19"/>
      <c r="ER151" s="19"/>
      <c r="ES151" s="19"/>
      <c r="ET151" s="19"/>
      <c r="EU151" s="19"/>
      <c r="EV151" s="19"/>
      <c r="EW151" s="19"/>
      <c r="EX151" s="19"/>
      <c r="EY151" s="19"/>
      <c r="EZ151" s="19"/>
      <c r="FA151" s="19"/>
      <c r="FB151" s="19"/>
      <c r="FC151" s="19"/>
      <c r="FD151" s="19"/>
      <c r="FE151" s="19"/>
      <c r="FF151" s="19"/>
      <c r="FG151" s="19"/>
      <c r="FH151" s="19"/>
      <c r="FI151" s="19"/>
      <c r="FJ151" s="19"/>
      <c r="FK151" s="19"/>
      <c r="FL151" s="20" t="s">
        <v>434</v>
      </c>
      <c r="FM151" s="20" t="s">
        <v>339</v>
      </c>
      <c r="FN151" s="19"/>
      <c r="FO151" s="19"/>
      <c r="FP151" s="19"/>
      <c r="FQ151" s="19"/>
      <c r="FR151" s="19"/>
      <c r="FS151" s="19"/>
      <c r="FT151" s="19"/>
      <c r="FU151" s="19"/>
      <c r="FV151" s="19"/>
      <c r="FW151" s="19"/>
      <c r="FX151" s="19"/>
      <c r="FY151" s="19"/>
      <c r="FZ151" s="19"/>
      <c r="GA151" s="19"/>
      <c r="GB151" s="19"/>
      <c r="GC151" s="19"/>
      <c r="GD151" s="19"/>
      <c r="GE151" s="19"/>
      <c r="GF151" s="19"/>
      <c r="GG151" s="19"/>
      <c r="GH151" s="19"/>
      <c r="GI151" s="19"/>
      <c r="GJ151" s="19"/>
      <c r="GK151" s="19"/>
      <c r="GL151" s="19"/>
      <c r="GM151" s="19"/>
      <c r="GN151" s="19"/>
      <c r="GO151" s="19"/>
      <c r="GP151" s="19"/>
      <c r="GQ151" s="19"/>
      <c r="GR151" s="19"/>
      <c r="GS151" s="19"/>
      <c r="GT151" s="19"/>
      <c r="GU151" s="19"/>
      <c r="GV151" s="19"/>
      <c r="GW151" s="19"/>
      <c r="GX151" s="19"/>
      <c r="GY151" s="19"/>
      <c r="GZ151" s="19"/>
      <c r="HA151" s="19"/>
    </row>
    <row r="152" spans="1:209" ht="23.25" customHeight="1" x14ac:dyDescent="0.15">
      <c r="A152" s="26">
        <v>44659.41702857639</v>
      </c>
      <c r="B152" s="27" t="s">
        <v>6</v>
      </c>
      <c r="C152" s="27" t="s">
        <v>11</v>
      </c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7" t="s">
        <v>428</v>
      </c>
      <c r="AY152" s="27" t="s">
        <v>429</v>
      </c>
      <c r="AZ152" s="27" t="s">
        <v>664</v>
      </c>
      <c r="BA152" s="27" t="s">
        <v>335</v>
      </c>
      <c r="BB152" s="27" t="s">
        <v>318</v>
      </c>
      <c r="BC152" s="29">
        <v>44394</v>
      </c>
      <c r="BD152" s="29">
        <v>44456</v>
      </c>
      <c r="BE152" s="29">
        <v>44453</v>
      </c>
      <c r="BF152" s="27">
        <v>98</v>
      </c>
      <c r="BG152" s="27" t="s">
        <v>337</v>
      </c>
      <c r="BH152" s="30" t="s">
        <v>665</v>
      </c>
      <c r="BI152" s="28"/>
      <c r="BJ152" s="28"/>
      <c r="BK152" s="28"/>
      <c r="BL152" s="28"/>
      <c r="BM152" s="28"/>
      <c r="BN152" s="28"/>
      <c r="BO152" s="28"/>
      <c r="BP152" s="28"/>
      <c r="BQ152" s="28"/>
      <c r="BR152" s="28"/>
      <c r="BS152" s="28"/>
      <c r="BT152" s="28"/>
      <c r="BU152" s="28"/>
      <c r="BV152" s="28"/>
      <c r="BW152" s="28"/>
      <c r="BX152" s="28"/>
      <c r="BY152" s="19"/>
      <c r="BZ152" s="19"/>
      <c r="CA152" s="19"/>
      <c r="CB152" s="19"/>
      <c r="CC152" s="19"/>
      <c r="CD152" s="19"/>
      <c r="CE152" s="19"/>
      <c r="CF152" s="19"/>
      <c r="CG152" s="19"/>
      <c r="CH152" s="19"/>
      <c r="CI152" s="19"/>
      <c r="CJ152" s="19"/>
      <c r="CK152" s="19"/>
      <c r="CL152" s="19"/>
      <c r="CM152" s="19"/>
      <c r="CN152" s="19"/>
      <c r="CO152" s="19"/>
      <c r="CP152" s="19"/>
      <c r="CQ152" s="19"/>
      <c r="CR152" s="19"/>
      <c r="CS152" s="19"/>
      <c r="CT152" s="19"/>
      <c r="CU152" s="19"/>
      <c r="CV152" s="19"/>
      <c r="CW152" s="19"/>
      <c r="CX152" s="19"/>
      <c r="CY152" s="19"/>
      <c r="CZ152" s="19"/>
      <c r="DA152" s="19"/>
      <c r="DB152" s="19"/>
      <c r="DC152" s="19"/>
      <c r="DD152" s="19"/>
      <c r="DE152" s="19"/>
      <c r="DF152" s="19"/>
      <c r="DG152" s="19"/>
      <c r="DH152" s="19"/>
      <c r="DI152" s="19"/>
      <c r="DJ152" s="19"/>
      <c r="DK152" s="19"/>
      <c r="DL152" s="19"/>
      <c r="DM152" s="19"/>
      <c r="DN152" s="19"/>
      <c r="DO152" s="19"/>
      <c r="DP152" s="19"/>
      <c r="DQ152" s="19"/>
      <c r="DR152" s="19"/>
      <c r="DS152" s="19"/>
      <c r="DT152" s="19"/>
      <c r="DU152" s="19"/>
      <c r="DV152" s="19"/>
      <c r="DW152" s="19"/>
      <c r="DX152" s="19"/>
      <c r="DY152" s="19"/>
      <c r="DZ152" s="19"/>
      <c r="EA152" s="19"/>
      <c r="EB152" s="19"/>
      <c r="EC152" s="19"/>
      <c r="ED152" s="19"/>
      <c r="EE152" s="19"/>
      <c r="EF152" s="19"/>
      <c r="EG152" s="19"/>
      <c r="EH152" s="19"/>
      <c r="EI152" s="19"/>
      <c r="EJ152" s="19"/>
      <c r="EK152" s="19"/>
      <c r="EL152" s="19"/>
      <c r="EM152" s="19"/>
      <c r="EN152" s="19"/>
      <c r="EO152" s="19"/>
      <c r="EP152" s="19"/>
      <c r="EQ152" s="19"/>
      <c r="ER152" s="19"/>
      <c r="ES152" s="19"/>
      <c r="ET152" s="19"/>
      <c r="EU152" s="19"/>
      <c r="EV152" s="19"/>
      <c r="EW152" s="19"/>
      <c r="EX152" s="19"/>
      <c r="EY152" s="19"/>
      <c r="EZ152" s="19"/>
      <c r="FA152" s="19"/>
      <c r="FB152" s="19"/>
      <c r="FC152" s="19"/>
      <c r="FD152" s="19"/>
      <c r="FE152" s="19"/>
      <c r="FF152" s="19"/>
      <c r="FG152" s="19"/>
      <c r="FH152" s="19"/>
      <c r="FI152" s="19"/>
      <c r="FJ152" s="19"/>
      <c r="FK152" s="19"/>
      <c r="FL152" s="20" t="s">
        <v>434</v>
      </c>
      <c r="FM152" s="20" t="s">
        <v>339</v>
      </c>
      <c r="FN152" s="19"/>
      <c r="FO152" s="19"/>
      <c r="FP152" s="19"/>
      <c r="FQ152" s="19"/>
      <c r="FR152" s="19"/>
      <c r="FS152" s="19"/>
      <c r="FT152" s="19"/>
      <c r="FU152" s="19"/>
      <c r="FV152" s="19"/>
      <c r="FW152" s="19"/>
      <c r="FX152" s="19"/>
      <c r="FY152" s="19"/>
      <c r="FZ152" s="19"/>
      <c r="GA152" s="19"/>
      <c r="GB152" s="19"/>
      <c r="GC152" s="19"/>
      <c r="GD152" s="19"/>
      <c r="GE152" s="19"/>
      <c r="GF152" s="19"/>
      <c r="GG152" s="19"/>
      <c r="GH152" s="19"/>
      <c r="GI152" s="19"/>
      <c r="GJ152" s="19"/>
      <c r="GK152" s="19"/>
      <c r="GL152" s="19"/>
      <c r="GM152" s="19"/>
      <c r="GN152" s="19"/>
      <c r="GO152" s="19"/>
      <c r="GP152" s="19"/>
      <c r="GQ152" s="19"/>
      <c r="GR152" s="19"/>
      <c r="GS152" s="19"/>
      <c r="GT152" s="19"/>
      <c r="GU152" s="19"/>
      <c r="GV152" s="19"/>
      <c r="GW152" s="19"/>
      <c r="GX152" s="19"/>
      <c r="GY152" s="19"/>
      <c r="GZ152" s="19"/>
      <c r="HA152" s="19"/>
    </row>
    <row r="153" spans="1:209" ht="23.25" customHeight="1" x14ac:dyDescent="0.15">
      <c r="A153" s="26">
        <v>44659.419392986107</v>
      </c>
      <c r="B153" s="27" t="s">
        <v>6</v>
      </c>
      <c r="C153" s="27" t="s">
        <v>11</v>
      </c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  <c r="AX153" s="27" t="s">
        <v>615</v>
      </c>
      <c r="AY153" s="27" t="s">
        <v>616</v>
      </c>
      <c r="AZ153" s="27" t="s">
        <v>666</v>
      </c>
      <c r="BA153" s="27" t="s">
        <v>307</v>
      </c>
      <c r="BB153" s="27" t="s">
        <v>667</v>
      </c>
      <c r="BC153" s="29">
        <v>44511</v>
      </c>
      <c r="BD153" s="29">
        <v>44512</v>
      </c>
      <c r="BE153" s="29">
        <v>44512</v>
      </c>
      <c r="BF153" s="27">
        <v>95</v>
      </c>
      <c r="BG153" s="27" t="s">
        <v>556</v>
      </c>
      <c r="BH153" s="30" t="s">
        <v>668</v>
      </c>
      <c r="BI153" s="28"/>
      <c r="BJ153" s="28"/>
      <c r="BK153" s="28"/>
      <c r="BL153" s="28"/>
      <c r="BM153" s="28"/>
      <c r="BN153" s="28"/>
      <c r="BO153" s="28"/>
      <c r="BP153" s="28"/>
      <c r="BQ153" s="28"/>
      <c r="BR153" s="28"/>
      <c r="BS153" s="28"/>
      <c r="BT153" s="28"/>
      <c r="BU153" s="28"/>
      <c r="BV153" s="28"/>
      <c r="BW153" s="28"/>
      <c r="BX153" s="28"/>
      <c r="BY153" s="19"/>
      <c r="BZ153" s="19"/>
      <c r="CA153" s="19"/>
      <c r="CB153" s="19"/>
      <c r="CC153" s="19"/>
      <c r="CD153" s="19"/>
      <c r="CE153" s="19"/>
      <c r="CF153" s="19"/>
      <c r="CG153" s="19"/>
      <c r="CH153" s="19"/>
      <c r="CI153" s="19"/>
      <c r="CJ153" s="19"/>
      <c r="CK153" s="19"/>
      <c r="CL153" s="19"/>
      <c r="CM153" s="19"/>
      <c r="CN153" s="19"/>
      <c r="CO153" s="19"/>
      <c r="CP153" s="19"/>
      <c r="CQ153" s="19"/>
      <c r="CR153" s="19"/>
      <c r="CS153" s="19"/>
      <c r="CT153" s="19"/>
      <c r="CU153" s="19"/>
      <c r="CV153" s="19"/>
      <c r="CW153" s="19"/>
      <c r="CX153" s="19"/>
      <c r="CY153" s="19"/>
      <c r="CZ153" s="19"/>
      <c r="DA153" s="19"/>
      <c r="DB153" s="19"/>
      <c r="DC153" s="19"/>
      <c r="DD153" s="19"/>
      <c r="DE153" s="19"/>
      <c r="DF153" s="19"/>
      <c r="DG153" s="19"/>
      <c r="DH153" s="19"/>
      <c r="DI153" s="19"/>
      <c r="DJ153" s="19"/>
      <c r="DK153" s="19"/>
      <c r="DL153" s="19"/>
      <c r="DM153" s="19"/>
      <c r="DN153" s="19"/>
      <c r="DO153" s="19"/>
      <c r="DP153" s="19"/>
      <c r="DQ153" s="19"/>
      <c r="DR153" s="19"/>
      <c r="DS153" s="19"/>
      <c r="DT153" s="19"/>
      <c r="DU153" s="19"/>
      <c r="DV153" s="19"/>
      <c r="DW153" s="19"/>
      <c r="DX153" s="19"/>
      <c r="DY153" s="19"/>
      <c r="DZ153" s="19"/>
      <c r="EA153" s="19"/>
      <c r="EB153" s="19"/>
      <c r="EC153" s="19"/>
      <c r="ED153" s="19"/>
      <c r="EE153" s="19"/>
      <c r="EF153" s="19"/>
      <c r="EG153" s="19"/>
      <c r="EH153" s="19"/>
      <c r="EI153" s="19"/>
      <c r="EJ153" s="19"/>
      <c r="EK153" s="19"/>
      <c r="EL153" s="19"/>
      <c r="EM153" s="19"/>
      <c r="EN153" s="19"/>
      <c r="EO153" s="19"/>
      <c r="EP153" s="19"/>
      <c r="EQ153" s="19"/>
      <c r="ER153" s="19"/>
      <c r="ES153" s="19"/>
      <c r="ET153" s="19"/>
      <c r="EU153" s="19"/>
      <c r="EV153" s="19"/>
      <c r="EW153" s="19"/>
      <c r="EX153" s="19"/>
      <c r="EY153" s="19"/>
      <c r="EZ153" s="19"/>
      <c r="FA153" s="19"/>
      <c r="FB153" s="19"/>
      <c r="FC153" s="19"/>
      <c r="FD153" s="19"/>
      <c r="FE153" s="19"/>
      <c r="FF153" s="19"/>
      <c r="FG153" s="19"/>
      <c r="FH153" s="19"/>
      <c r="FI153" s="19"/>
      <c r="FJ153" s="19"/>
      <c r="FK153" s="19"/>
      <c r="FL153" s="20" t="s">
        <v>619</v>
      </c>
      <c r="FM153" s="20" t="s">
        <v>273</v>
      </c>
      <c r="FN153" s="19"/>
      <c r="FO153" s="19"/>
      <c r="FP153" s="19"/>
      <c r="FQ153" s="19"/>
      <c r="FR153" s="19"/>
      <c r="FS153" s="19"/>
      <c r="FT153" s="19"/>
      <c r="FU153" s="19"/>
      <c r="FV153" s="19"/>
      <c r="FW153" s="19"/>
      <c r="FX153" s="19"/>
      <c r="FY153" s="19"/>
      <c r="FZ153" s="19"/>
      <c r="GA153" s="19"/>
      <c r="GB153" s="19"/>
      <c r="GC153" s="19"/>
      <c r="GD153" s="19"/>
      <c r="GE153" s="19"/>
      <c r="GF153" s="19"/>
      <c r="GG153" s="19"/>
      <c r="GH153" s="19"/>
      <c r="GI153" s="19"/>
      <c r="GJ153" s="19"/>
      <c r="GK153" s="19"/>
      <c r="GL153" s="19"/>
      <c r="GM153" s="19"/>
      <c r="GN153" s="19"/>
      <c r="GO153" s="19"/>
      <c r="GP153" s="19"/>
      <c r="GQ153" s="19"/>
      <c r="GR153" s="19"/>
      <c r="GS153" s="19"/>
      <c r="GT153" s="19"/>
      <c r="GU153" s="19"/>
      <c r="GV153" s="19"/>
      <c r="GW153" s="19"/>
      <c r="GX153" s="19"/>
      <c r="GY153" s="19"/>
      <c r="GZ153" s="19"/>
      <c r="HA153" s="19"/>
    </row>
    <row r="154" spans="1:209" ht="23.25" customHeight="1" x14ac:dyDescent="0.15">
      <c r="A154" s="26">
        <v>44659.422609039349</v>
      </c>
      <c r="B154" s="27" t="s">
        <v>6</v>
      </c>
      <c r="C154" s="27" t="s">
        <v>11</v>
      </c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7" t="s">
        <v>428</v>
      </c>
      <c r="AY154" s="27" t="s">
        <v>429</v>
      </c>
      <c r="AZ154" s="27" t="s">
        <v>349</v>
      </c>
      <c r="BA154" s="27" t="s">
        <v>335</v>
      </c>
      <c r="BB154" s="27" t="s">
        <v>318</v>
      </c>
      <c r="BC154" s="29">
        <v>44256</v>
      </c>
      <c r="BD154" s="29">
        <v>44317</v>
      </c>
      <c r="BE154" s="29">
        <v>44316</v>
      </c>
      <c r="BF154" s="27">
        <v>100</v>
      </c>
      <c r="BG154" s="27" t="s">
        <v>337</v>
      </c>
      <c r="BH154" s="30" t="s">
        <v>669</v>
      </c>
      <c r="BI154" s="28"/>
      <c r="BJ154" s="28"/>
      <c r="BK154" s="28"/>
      <c r="BL154" s="28"/>
      <c r="BM154" s="28"/>
      <c r="BN154" s="28"/>
      <c r="BO154" s="28"/>
      <c r="BP154" s="28"/>
      <c r="BQ154" s="28"/>
      <c r="BR154" s="28"/>
      <c r="BS154" s="28"/>
      <c r="BT154" s="28"/>
      <c r="BU154" s="28"/>
      <c r="BV154" s="28"/>
      <c r="BW154" s="28"/>
      <c r="BX154" s="28"/>
      <c r="BY154" s="19"/>
      <c r="BZ154" s="19"/>
      <c r="CA154" s="19"/>
      <c r="CB154" s="19"/>
      <c r="CC154" s="19"/>
      <c r="CD154" s="19"/>
      <c r="CE154" s="19"/>
      <c r="CF154" s="19"/>
      <c r="CG154" s="19"/>
      <c r="CH154" s="19"/>
      <c r="CI154" s="19"/>
      <c r="CJ154" s="19"/>
      <c r="CK154" s="19"/>
      <c r="CL154" s="19"/>
      <c r="CM154" s="19"/>
      <c r="CN154" s="19"/>
      <c r="CO154" s="19"/>
      <c r="CP154" s="19"/>
      <c r="CQ154" s="19"/>
      <c r="CR154" s="19"/>
      <c r="CS154" s="19"/>
      <c r="CT154" s="19"/>
      <c r="CU154" s="19"/>
      <c r="CV154" s="19"/>
      <c r="CW154" s="19"/>
      <c r="CX154" s="19"/>
      <c r="CY154" s="19"/>
      <c r="CZ154" s="19"/>
      <c r="DA154" s="19"/>
      <c r="DB154" s="19"/>
      <c r="DC154" s="19"/>
      <c r="DD154" s="19"/>
      <c r="DE154" s="19"/>
      <c r="DF154" s="19"/>
      <c r="DG154" s="19"/>
      <c r="DH154" s="19"/>
      <c r="DI154" s="19"/>
      <c r="DJ154" s="19"/>
      <c r="DK154" s="19"/>
      <c r="DL154" s="19"/>
      <c r="DM154" s="19"/>
      <c r="DN154" s="19"/>
      <c r="DO154" s="19"/>
      <c r="DP154" s="19"/>
      <c r="DQ154" s="19"/>
      <c r="DR154" s="19"/>
      <c r="DS154" s="19"/>
      <c r="DT154" s="19"/>
      <c r="DU154" s="19"/>
      <c r="DV154" s="19"/>
      <c r="DW154" s="19"/>
      <c r="DX154" s="19"/>
      <c r="DY154" s="19"/>
      <c r="DZ154" s="19"/>
      <c r="EA154" s="19"/>
      <c r="EB154" s="19"/>
      <c r="EC154" s="19"/>
      <c r="ED154" s="19"/>
      <c r="EE154" s="19"/>
      <c r="EF154" s="19"/>
      <c r="EG154" s="19"/>
      <c r="EH154" s="19"/>
      <c r="EI154" s="19"/>
      <c r="EJ154" s="19"/>
      <c r="EK154" s="19"/>
      <c r="EL154" s="19"/>
      <c r="EM154" s="19"/>
      <c r="EN154" s="19"/>
      <c r="EO154" s="19"/>
      <c r="EP154" s="19"/>
      <c r="EQ154" s="19"/>
      <c r="ER154" s="19"/>
      <c r="ES154" s="19"/>
      <c r="ET154" s="19"/>
      <c r="EU154" s="19"/>
      <c r="EV154" s="19"/>
      <c r="EW154" s="19"/>
      <c r="EX154" s="19"/>
      <c r="EY154" s="19"/>
      <c r="EZ154" s="19"/>
      <c r="FA154" s="19"/>
      <c r="FB154" s="19"/>
      <c r="FC154" s="19"/>
      <c r="FD154" s="19"/>
      <c r="FE154" s="19"/>
      <c r="FF154" s="19"/>
      <c r="FG154" s="19"/>
      <c r="FH154" s="19"/>
      <c r="FI154" s="19"/>
      <c r="FJ154" s="19"/>
      <c r="FK154" s="19"/>
      <c r="FL154" s="20" t="s">
        <v>434</v>
      </c>
      <c r="FM154" s="20" t="s">
        <v>339</v>
      </c>
      <c r="FN154" s="19"/>
      <c r="FO154" s="19"/>
      <c r="FP154" s="19"/>
      <c r="FQ154" s="19"/>
      <c r="FR154" s="19"/>
      <c r="FS154" s="19"/>
      <c r="FT154" s="19"/>
      <c r="FU154" s="19"/>
      <c r="FV154" s="19"/>
      <c r="FW154" s="19"/>
      <c r="FX154" s="19"/>
      <c r="FY154" s="19"/>
      <c r="FZ154" s="19"/>
      <c r="GA154" s="19"/>
      <c r="GB154" s="19"/>
      <c r="GC154" s="19"/>
      <c r="GD154" s="19"/>
      <c r="GE154" s="19"/>
      <c r="GF154" s="19"/>
      <c r="GG154" s="19"/>
      <c r="GH154" s="19"/>
      <c r="GI154" s="19"/>
      <c r="GJ154" s="19"/>
      <c r="GK154" s="19"/>
      <c r="GL154" s="19"/>
      <c r="GM154" s="19"/>
      <c r="GN154" s="19"/>
      <c r="GO154" s="19"/>
      <c r="GP154" s="19"/>
      <c r="GQ154" s="19"/>
      <c r="GR154" s="19"/>
      <c r="GS154" s="19"/>
      <c r="GT154" s="19"/>
      <c r="GU154" s="19"/>
      <c r="GV154" s="19"/>
      <c r="GW154" s="19"/>
      <c r="GX154" s="19"/>
      <c r="GY154" s="19"/>
      <c r="GZ154" s="19"/>
      <c r="HA154" s="19"/>
    </row>
    <row r="155" spans="1:209" ht="23.25" customHeight="1" x14ac:dyDescent="0.15">
      <c r="A155" s="26">
        <v>44659.424665891202</v>
      </c>
      <c r="B155" s="27" t="s">
        <v>6</v>
      </c>
      <c r="C155" s="27" t="s">
        <v>11</v>
      </c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7" t="s">
        <v>428</v>
      </c>
      <c r="AY155" s="27" t="s">
        <v>429</v>
      </c>
      <c r="AZ155" s="27" t="s">
        <v>500</v>
      </c>
      <c r="BA155" s="27" t="s">
        <v>335</v>
      </c>
      <c r="BB155" s="27" t="s">
        <v>624</v>
      </c>
      <c r="BC155" s="29">
        <v>44287</v>
      </c>
      <c r="BD155" s="29">
        <v>44317</v>
      </c>
      <c r="BE155" s="29">
        <v>44311</v>
      </c>
      <c r="BF155" s="27">
        <v>95</v>
      </c>
      <c r="BG155" s="27" t="s">
        <v>337</v>
      </c>
      <c r="BH155" s="30" t="s">
        <v>670</v>
      </c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19"/>
      <c r="BZ155" s="19"/>
      <c r="CA155" s="19"/>
      <c r="CB155" s="19"/>
      <c r="CC155" s="19"/>
      <c r="CD155" s="19"/>
      <c r="CE155" s="19"/>
      <c r="CF155" s="19"/>
      <c r="CG155" s="19"/>
      <c r="CH155" s="19"/>
      <c r="CI155" s="19"/>
      <c r="CJ155" s="19"/>
      <c r="CK155" s="19"/>
      <c r="CL155" s="19"/>
      <c r="CM155" s="19"/>
      <c r="CN155" s="19"/>
      <c r="CO155" s="19"/>
      <c r="CP155" s="19"/>
      <c r="CQ155" s="19"/>
      <c r="CR155" s="19"/>
      <c r="CS155" s="19"/>
      <c r="CT155" s="19"/>
      <c r="CU155" s="19"/>
      <c r="CV155" s="19"/>
      <c r="CW155" s="19"/>
      <c r="CX155" s="19"/>
      <c r="CY155" s="19"/>
      <c r="CZ155" s="19"/>
      <c r="DA155" s="19"/>
      <c r="DB155" s="19"/>
      <c r="DC155" s="19"/>
      <c r="DD155" s="19"/>
      <c r="DE155" s="19"/>
      <c r="DF155" s="19"/>
      <c r="DG155" s="19"/>
      <c r="DH155" s="19"/>
      <c r="DI155" s="19"/>
      <c r="DJ155" s="19"/>
      <c r="DK155" s="19"/>
      <c r="DL155" s="19"/>
      <c r="DM155" s="19"/>
      <c r="DN155" s="19"/>
      <c r="DO155" s="19"/>
      <c r="DP155" s="19"/>
      <c r="DQ155" s="19"/>
      <c r="DR155" s="19"/>
      <c r="DS155" s="19"/>
      <c r="DT155" s="19"/>
      <c r="DU155" s="19"/>
      <c r="DV155" s="19"/>
      <c r="DW155" s="19"/>
      <c r="DX155" s="19"/>
      <c r="DY155" s="19"/>
      <c r="DZ155" s="19"/>
      <c r="EA155" s="19"/>
      <c r="EB155" s="19"/>
      <c r="EC155" s="19"/>
      <c r="ED155" s="19"/>
      <c r="EE155" s="19"/>
      <c r="EF155" s="19"/>
      <c r="EG155" s="19"/>
      <c r="EH155" s="19"/>
      <c r="EI155" s="19"/>
      <c r="EJ155" s="19"/>
      <c r="EK155" s="19"/>
      <c r="EL155" s="19"/>
      <c r="EM155" s="19"/>
      <c r="EN155" s="19"/>
      <c r="EO155" s="19"/>
      <c r="EP155" s="19"/>
      <c r="EQ155" s="19"/>
      <c r="ER155" s="19"/>
      <c r="ES155" s="19"/>
      <c r="ET155" s="19"/>
      <c r="EU155" s="19"/>
      <c r="EV155" s="19"/>
      <c r="EW155" s="19"/>
      <c r="EX155" s="19"/>
      <c r="EY155" s="19"/>
      <c r="EZ155" s="19"/>
      <c r="FA155" s="19"/>
      <c r="FB155" s="19"/>
      <c r="FC155" s="19"/>
      <c r="FD155" s="19"/>
      <c r="FE155" s="19"/>
      <c r="FF155" s="19"/>
      <c r="FG155" s="19"/>
      <c r="FH155" s="19"/>
      <c r="FI155" s="19"/>
      <c r="FJ155" s="19"/>
      <c r="FK155" s="19"/>
      <c r="FL155" s="20" t="s">
        <v>434</v>
      </c>
      <c r="FM155" s="20" t="s">
        <v>339</v>
      </c>
      <c r="FN155" s="19"/>
      <c r="FO155" s="19"/>
      <c r="FP155" s="19"/>
      <c r="FQ155" s="19"/>
      <c r="FR155" s="19"/>
      <c r="FS155" s="19"/>
      <c r="FT155" s="19"/>
      <c r="FU155" s="19"/>
      <c r="FV155" s="19"/>
      <c r="FW155" s="19"/>
      <c r="FX155" s="19"/>
      <c r="FY155" s="19"/>
      <c r="FZ155" s="19"/>
      <c r="GA155" s="19"/>
      <c r="GB155" s="19"/>
      <c r="GC155" s="19"/>
      <c r="GD155" s="19"/>
      <c r="GE155" s="19"/>
      <c r="GF155" s="19"/>
      <c r="GG155" s="19"/>
      <c r="GH155" s="19"/>
      <c r="GI155" s="19"/>
      <c r="GJ155" s="19"/>
      <c r="GK155" s="19"/>
      <c r="GL155" s="19"/>
      <c r="GM155" s="19"/>
      <c r="GN155" s="19"/>
      <c r="GO155" s="19"/>
      <c r="GP155" s="19"/>
      <c r="GQ155" s="19"/>
      <c r="GR155" s="19"/>
      <c r="GS155" s="19"/>
      <c r="GT155" s="19"/>
      <c r="GU155" s="19"/>
      <c r="GV155" s="19"/>
      <c r="GW155" s="19"/>
      <c r="GX155" s="19"/>
      <c r="GY155" s="19"/>
      <c r="GZ155" s="19"/>
      <c r="HA155" s="19"/>
    </row>
    <row r="156" spans="1:209" ht="23.25" customHeight="1" x14ac:dyDescent="0.15">
      <c r="A156" s="26">
        <v>44659.428213807871</v>
      </c>
      <c r="B156" s="27" t="s">
        <v>6</v>
      </c>
      <c r="C156" s="27" t="s">
        <v>11</v>
      </c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7" t="s">
        <v>428</v>
      </c>
      <c r="AY156" s="27" t="s">
        <v>429</v>
      </c>
      <c r="AZ156" s="27" t="s">
        <v>671</v>
      </c>
      <c r="BA156" s="27" t="s">
        <v>335</v>
      </c>
      <c r="BB156" s="27" t="s">
        <v>624</v>
      </c>
      <c r="BC156" s="29">
        <v>44341</v>
      </c>
      <c r="BD156" s="29">
        <v>44372</v>
      </c>
      <c r="BE156" s="29">
        <v>44372</v>
      </c>
      <c r="BF156" s="27">
        <v>100</v>
      </c>
      <c r="BG156" s="27" t="s">
        <v>672</v>
      </c>
      <c r="BH156" s="30" t="s">
        <v>673</v>
      </c>
      <c r="BI156" s="28"/>
      <c r="BJ156" s="28"/>
      <c r="BK156" s="28"/>
      <c r="BL156" s="28"/>
      <c r="BM156" s="28"/>
      <c r="BN156" s="28"/>
      <c r="BO156" s="28"/>
      <c r="BP156" s="28"/>
      <c r="BQ156" s="28"/>
      <c r="BR156" s="28"/>
      <c r="BS156" s="28"/>
      <c r="BT156" s="28"/>
      <c r="BU156" s="28"/>
      <c r="BV156" s="28"/>
      <c r="BW156" s="28"/>
      <c r="BX156" s="28"/>
      <c r="BY156" s="19"/>
      <c r="BZ156" s="19"/>
      <c r="CA156" s="19"/>
      <c r="CB156" s="19"/>
      <c r="CC156" s="19"/>
      <c r="CD156" s="19"/>
      <c r="CE156" s="19"/>
      <c r="CF156" s="19"/>
      <c r="CG156" s="19"/>
      <c r="CH156" s="19"/>
      <c r="CI156" s="19"/>
      <c r="CJ156" s="19"/>
      <c r="CK156" s="19"/>
      <c r="CL156" s="19"/>
      <c r="CM156" s="19"/>
      <c r="CN156" s="19"/>
      <c r="CO156" s="19"/>
      <c r="CP156" s="19"/>
      <c r="CQ156" s="19"/>
      <c r="CR156" s="19"/>
      <c r="CS156" s="19"/>
      <c r="CT156" s="19"/>
      <c r="CU156" s="19"/>
      <c r="CV156" s="19"/>
      <c r="CW156" s="19"/>
      <c r="CX156" s="19"/>
      <c r="CY156" s="19"/>
      <c r="CZ156" s="19"/>
      <c r="DA156" s="19"/>
      <c r="DB156" s="19"/>
      <c r="DC156" s="19"/>
      <c r="DD156" s="19"/>
      <c r="DE156" s="19"/>
      <c r="DF156" s="19"/>
      <c r="DG156" s="19"/>
      <c r="DH156" s="19"/>
      <c r="DI156" s="19"/>
      <c r="DJ156" s="19"/>
      <c r="DK156" s="19"/>
      <c r="DL156" s="19"/>
      <c r="DM156" s="19"/>
      <c r="DN156" s="19"/>
      <c r="DO156" s="19"/>
      <c r="DP156" s="19"/>
      <c r="DQ156" s="19"/>
      <c r="DR156" s="19"/>
      <c r="DS156" s="19"/>
      <c r="DT156" s="19"/>
      <c r="DU156" s="19"/>
      <c r="DV156" s="19"/>
      <c r="DW156" s="19"/>
      <c r="DX156" s="19"/>
      <c r="DY156" s="19"/>
      <c r="DZ156" s="19"/>
      <c r="EA156" s="19"/>
      <c r="EB156" s="19"/>
      <c r="EC156" s="19"/>
      <c r="ED156" s="19"/>
      <c r="EE156" s="19"/>
      <c r="EF156" s="19"/>
      <c r="EG156" s="19"/>
      <c r="EH156" s="19"/>
      <c r="EI156" s="19"/>
      <c r="EJ156" s="19"/>
      <c r="EK156" s="19"/>
      <c r="EL156" s="19"/>
      <c r="EM156" s="19"/>
      <c r="EN156" s="19"/>
      <c r="EO156" s="19"/>
      <c r="EP156" s="19"/>
      <c r="EQ156" s="19"/>
      <c r="ER156" s="19"/>
      <c r="ES156" s="19"/>
      <c r="ET156" s="19"/>
      <c r="EU156" s="19"/>
      <c r="EV156" s="19"/>
      <c r="EW156" s="19"/>
      <c r="EX156" s="19"/>
      <c r="EY156" s="19"/>
      <c r="EZ156" s="19"/>
      <c r="FA156" s="19"/>
      <c r="FB156" s="19"/>
      <c r="FC156" s="19"/>
      <c r="FD156" s="19"/>
      <c r="FE156" s="19"/>
      <c r="FF156" s="19"/>
      <c r="FG156" s="19"/>
      <c r="FH156" s="19"/>
      <c r="FI156" s="19"/>
      <c r="FJ156" s="19"/>
      <c r="FK156" s="19"/>
      <c r="FL156" s="20" t="s">
        <v>434</v>
      </c>
      <c r="FM156" s="20" t="s">
        <v>278</v>
      </c>
      <c r="FN156" s="19"/>
      <c r="FO156" s="19"/>
      <c r="FP156" s="19"/>
      <c r="FQ156" s="19"/>
      <c r="FR156" s="19"/>
      <c r="FS156" s="19"/>
      <c r="FT156" s="19"/>
      <c r="FU156" s="19"/>
      <c r="FV156" s="19"/>
      <c r="FW156" s="19"/>
      <c r="FX156" s="19"/>
      <c r="FY156" s="19"/>
      <c r="FZ156" s="19"/>
      <c r="GA156" s="19"/>
      <c r="GB156" s="19"/>
      <c r="GC156" s="19"/>
      <c r="GD156" s="19"/>
      <c r="GE156" s="19"/>
      <c r="GF156" s="19"/>
      <c r="GG156" s="19"/>
      <c r="GH156" s="19"/>
      <c r="GI156" s="19"/>
      <c r="GJ156" s="19"/>
      <c r="GK156" s="19"/>
      <c r="GL156" s="19"/>
      <c r="GM156" s="19"/>
      <c r="GN156" s="19"/>
      <c r="GO156" s="19"/>
      <c r="GP156" s="19"/>
      <c r="GQ156" s="19"/>
      <c r="GR156" s="19"/>
      <c r="GS156" s="19"/>
      <c r="GT156" s="19"/>
      <c r="GU156" s="19"/>
      <c r="GV156" s="19"/>
      <c r="GW156" s="19"/>
      <c r="GX156" s="19"/>
      <c r="GY156" s="19"/>
      <c r="GZ156" s="19"/>
      <c r="HA156" s="19"/>
    </row>
    <row r="157" spans="1:209" ht="23.25" customHeight="1" x14ac:dyDescent="0.15">
      <c r="A157" s="26">
        <v>44659.431164861111</v>
      </c>
      <c r="B157" s="27" t="s">
        <v>6</v>
      </c>
      <c r="C157" s="27" t="s">
        <v>11</v>
      </c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  <c r="AX157" s="27" t="s">
        <v>428</v>
      </c>
      <c r="AY157" s="27" t="s">
        <v>429</v>
      </c>
      <c r="AZ157" s="27" t="s">
        <v>674</v>
      </c>
      <c r="BA157" s="27" t="s">
        <v>335</v>
      </c>
      <c r="BB157" s="27" t="s">
        <v>624</v>
      </c>
      <c r="BC157" s="29">
        <v>44353</v>
      </c>
      <c r="BD157" s="29">
        <v>44383</v>
      </c>
      <c r="BE157" s="29">
        <v>44383</v>
      </c>
      <c r="BF157" s="27">
        <v>95</v>
      </c>
      <c r="BG157" s="27" t="s">
        <v>675</v>
      </c>
      <c r="BH157" s="30" t="s">
        <v>676</v>
      </c>
      <c r="BI157" s="28"/>
      <c r="BJ157" s="28"/>
      <c r="BK157" s="28"/>
      <c r="BL157" s="28"/>
      <c r="BM157" s="28"/>
      <c r="BN157" s="28"/>
      <c r="BO157" s="28"/>
      <c r="BP157" s="28"/>
      <c r="BQ157" s="28"/>
      <c r="BR157" s="28"/>
      <c r="BS157" s="28"/>
      <c r="BT157" s="28"/>
      <c r="BU157" s="28"/>
      <c r="BV157" s="28"/>
      <c r="BW157" s="28"/>
      <c r="BX157" s="28"/>
      <c r="BY157" s="19"/>
      <c r="BZ157" s="19"/>
      <c r="CA157" s="19"/>
      <c r="CB157" s="19"/>
      <c r="CC157" s="19"/>
      <c r="CD157" s="19"/>
      <c r="CE157" s="19"/>
      <c r="CF157" s="19"/>
      <c r="CG157" s="19"/>
      <c r="CH157" s="19"/>
      <c r="CI157" s="19"/>
      <c r="CJ157" s="19"/>
      <c r="CK157" s="19"/>
      <c r="CL157" s="19"/>
      <c r="CM157" s="19"/>
      <c r="CN157" s="19"/>
      <c r="CO157" s="19"/>
      <c r="CP157" s="19"/>
      <c r="CQ157" s="19"/>
      <c r="CR157" s="19"/>
      <c r="CS157" s="19"/>
      <c r="CT157" s="19"/>
      <c r="CU157" s="19"/>
      <c r="CV157" s="19"/>
      <c r="CW157" s="19"/>
      <c r="CX157" s="19"/>
      <c r="CY157" s="19"/>
      <c r="CZ157" s="19"/>
      <c r="DA157" s="19"/>
      <c r="DB157" s="19"/>
      <c r="DC157" s="19"/>
      <c r="DD157" s="19"/>
      <c r="DE157" s="19"/>
      <c r="DF157" s="19"/>
      <c r="DG157" s="19"/>
      <c r="DH157" s="19"/>
      <c r="DI157" s="19"/>
      <c r="DJ157" s="19"/>
      <c r="DK157" s="19"/>
      <c r="DL157" s="19"/>
      <c r="DM157" s="19"/>
      <c r="DN157" s="19"/>
      <c r="DO157" s="19"/>
      <c r="DP157" s="19"/>
      <c r="DQ157" s="19"/>
      <c r="DR157" s="19"/>
      <c r="DS157" s="19"/>
      <c r="DT157" s="19"/>
      <c r="DU157" s="19"/>
      <c r="DV157" s="19"/>
      <c r="DW157" s="19"/>
      <c r="DX157" s="19"/>
      <c r="DY157" s="19"/>
      <c r="DZ157" s="19"/>
      <c r="EA157" s="19"/>
      <c r="EB157" s="19"/>
      <c r="EC157" s="19"/>
      <c r="ED157" s="19"/>
      <c r="EE157" s="19"/>
      <c r="EF157" s="19"/>
      <c r="EG157" s="19"/>
      <c r="EH157" s="19"/>
      <c r="EI157" s="19"/>
      <c r="EJ157" s="19"/>
      <c r="EK157" s="19"/>
      <c r="EL157" s="19"/>
      <c r="EM157" s="19"/>
      <c r="EN157" s="19"/>
      <c r="EO157" s="19"/>
      <c r="EP157" s="19"/>
      <c r="EQ157" s="19"/>
      <c r="ER157" s="19"/>
      <c r="ES157" s="19"/>
      <c r="ET157" s="19"/>
      <c r="EU157" s="19"/>
      <c r="EV157" s="19"/>
      <c r="EW157" s="19"/>
      <c r="EX157" s="19"/>
      <c r="EY157" s="19"/>
      <c r="EZ157" s="19"/>
      <c r="FA157" s="19"/>
      <c r="FB157" s="19"/>
      <c r="FC157" s="19"/>
      <c r="FD157" s="19"/>
      <c r="FE157" s="19"/>
      <c r="FF157" s="19"/>
      <c r="FG157" s="19"/>
      <c r="FH157" s="19"/>
      <c r="FI157" s="19"/>
      <c r="FJ157" s="19"/>
      <c r="FK157" s="19"/>
      <c r="FL157" s="20" t="s">
        <v>434</v>
      </c>
      <c r="FM157" s="20" t="s">
        <v>339</v>
      </c>
      <c r="FN157" s="19"/>
      <c r="FO157" s="19"/>
      <c r="FP157" s="19"/>
      <c r="FQ157" s="19"/>
      <c r="FR157" s="19"/>
      <c r="FS157" s="19"/>
      <c r="FT157" s="19"/>
      <c r="FU157" s="19"/>
      <c r="FV157" s="19"/>
      <c r="FW157" s="19"/>
      <c r="FX157" s="19"/>
      <c r="FY157" s="19"/>
      <c r="FZ157" s="19"/>
      <c r="GA157" s="19"/>
      <c r="GB157" s="19"/>
      <c r="GC157" s="19"/>
      <c r="GD157" s="19"/>
      <c r="GE157" s="19"/>
      <c r="GF157" s="19"/>
      <c r="GG157" s="19"/>
      <c r="GH157" s="19"/>
      <c r="GI157" s="19"/>
      <c r="GJ157" s="19"/>
      <c r="GK157" s="19"/>
      <c r="GL157" s="19"/>
      <c r="GM157" s="19"/>
      <c r="GN157" s="19"/>
      <c r="GO157" s="19"/>
      <c r="GP157" s="19"/>
      <c r="GQ157" s="19"/>
      <c r="GR157" s="19"/>
      <c r="GS157" s="19"/>
      <c r="GT157" s="19"/>
      <c r="GU157" s="19"/>
      <c r="GV157" s="19"/>
      <c r="GW157" s="19"/>
      <c r="GX157" s="19"/>
      <c r="GY157" s="19"/>
      <c r="GZ157" s="19"/>
      <c r="HA157" s="19"/>
    </row>
    <row r="158" spans="1:209" ht="23.25" customHeight="1" x14ac:dyDescent="0.15">
      <c r="A158" s="26">
        <v>44659.435258981481</v>
      </c>
      <c r="B158" s="27" t="s">
        <v>6</v>
      </c>
      <c r="C158" s="27" t="s">
        <v>10</v>
      </c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7" t="s">
        <v>677</v>
      </c>
      <c r="AO158" s="27" t="s">
        <v>678</v>
      </c>
      <c r="AP158" s="27" t="s">
        <v>307</v>
      </c>
      <c r="AQ158" s="27" t="s">
        <v>507</v>
      </c>
      <c r="AR158" s="29">
        <v>44470</v>
      </c>
      <c r="AS158" s="29">
        <v>44561</v>
      </c>
      <c r="AT158" s="27" t="s">
        <v>252</v>
      </c>
      <c r="AU158" s="27" t="s">
        <v>252</v>
      </c>
      <c r="AV158" s="31" t="s">
        <v>679</v>
      </c>
      <c r="AW158" s="30" t="s">
        <v>680</v>
      </c>
      <c r="AX158" s="28"/>
      <c r="AY158" s="28"/>
      <c r="AZ158" s="28"/>
      <c r="BA158" s="28"/>
      <c r="BB158" s="28"/>
      <c r="BC158" s="28"/>
      <c r="BD158" s="28"/>
      <c r="BE158" s="28"/>
      <c r="BF158" s="28"/>
      <c r="BG158" s="28"/>
      <c r="BH158" s="28"/>
      <c r="BI158" s="28"/>
      <c r="BJ158" s="28"/>
      <c r="BK158" s="28"/>
      <c r="BL158" s="28"/>
      <c r="BM158" s="28"/>
      <c r="BN158" s="28"/>
      <c r="BO158" s="28"/>
      <c r="BP158" s="28"/>
      <c r="BQ158" s="28"/>
      <c r="BR158" s="28"/>
      <c r="BS158" s="28"/>
      <c r="BT158" s="28"/>
      <c r="BU158" s="28"/>
      <c r="BV158" s="28"/>
      <c r="BW158" s="28"/>
      <c r="BX158" s="28"/>
      <c r="BY158" s="19"/>
      <c r="BZ158" s="19"/>
      <c r="CA158" s="19"/>
      <c r="CB158" s="19"/>
      <c r="CC158" s="19"/>
      <c r="CD158" s="19"/>
      <c r="CE158" s="19"/>
      <c r="CF158" s="19"/>
      <c r="CG158" s="19"/>
      <c r="CH158" s="19"/>
      <c r="CI158" s="19"/>
      <c r="CJ158" s="19"/>
      <c r="CK158" s="19"/>
      <c r="CL158" s="19"/>
      <c r="CM158" s="19"/>
      <c r="CN158" s="19"/>
      <c r="CO158" s="19"/>
      <c r="CP158" s="19"/>
      <c r="CQ158" s="19"/>
      <c r="CR158" s="19"/>
      <c r="CS158" s="19"/>
      <c r="CT158" s="19"/>
      <c r="CU158" s="19"/>
      <c r="CV158" s="19"/>
      <c r="CW158" s="19"/>
      <c r="CX158" s="19"/>
      <c r="CY158" s="19"/>
      <c r="CZ158" s="19"/>
      <c r="DA158" s="19"/>
      <c r="DB158" s="19"/>
      <c r="DC158" s="19"/>
      <c r="DD158" s="19"/>
      <c r="DE158" s="19"/>
      <c r="DF158" s="19"/>
      <c r="DG158" s="19"/>
      <c r="DH158" s="19"/>
      <c r="DI158" s="19"/>
      <c r="DJ158" s="19"/>
      <c r="DK158" s="19"/>
      <c r="DL158" s="19"/>
      <c r="DM158" s="19"/>
      <c r="DN158" s="19"/>
      <c r="DO158" s="19"/>
      <c r="DP158" s="19"/>
      <c r="DQ158" s="19"/>
      <c r="DR158" s="19"/>
      <c r="DS158" s="19"/>
      <c r="DT158" s="19"/>
      <c r="DU158" s="19"/>
      <c r="DV158" s="19"/>
      <c r="DW158" s="19"/>
      <c r="DX158" s="19"/>
      <c r="DY158" s="19"/>
      <c r="DZ158" s="19"/>
      <c r="EA158" s="19"/>
      <c r="EB158" s="19"/>
      <c r="EC158" s="19"/>
      <c r="ED158" s="19"/>
      <c r="EE158" s="19"/>
      <c r="EF158" s="19"/>
      <c r="EG158" s="19"/>
      <c r="EH158" s="19"/>
      <c r="EI158" s="19"/>
      <c r="EJ158" s="19"/>
      <c r="EK158" s="19"/>
      <c r="EL158" s="19"/>
      <c r="EM158" s="19"/>
      <c r="EN158" s="19"/>
      <c r="EO158" s="19"/>
      <c r="EP158" s="19"/>
      <c r="EQ158" s="19"/>
      <c r="ER158" s="19"/>
      <c r="ES158" s="19"/>
      <c r="ET158" s="19"/>
      <c r="EU158" s="19"/>
      <c r="EV158" s="19"/>
      <c r="EW158" s="19"/>
      <c r="EX158" s="19"/>
      <c r="EY158" s="19"/>
      <c r="EZ158" s="19"/>
      <c r="FA158" s="19"/>
      <c r="FB158" s="19"/>
      <c r="FC158" s="19"/>
      <c r="FD158" s="19"/>
      <c r="FE158" s="19"/>
      <c r="FF158" s="19"/>
      <c r="FG158" s="19"/>
      <c r="FH158" s="19"/>
      <c r="FI158" s="19"/>
      <c r="FJ158" s="19"/>
      <c r="FK158" s="19"/>
      <c r="FL158" s="20" t="s">
        <v>681</v>
      </c>
      <c r="FM158" s="20" t="s">
        <v>255</v>
      </c>
      <c r="FN158" s="19"/>
      <c r="FO158" s="19"/>
      <c r="FP158" s="19"/>
      <c r="FQ158" s="19"/>
      <c r="FR158" s="19"/>
      <c r="FS158" s="19"/>
      <c r="FT158" s="19"/>
      <c r="FU158" s="19"/>
      <c r="FV158" s="19"/>
      <c r="FW158" s="19"/>
      <c r="FX158" s="19"/>
      <c r="FY158" s="19"/>
      <c r="FZ158" s="19"/>
      <c r="GA158" s="19"/>
      <c r="GB158" s="19"/>
      <c r="GC158" s="19"/>
      <c r="GD158" s="19"/>
      <c r="GE158" s="19"/>
      <c r="GF158" s="19"/>
      <c r="GG158" s="19"/>
      <c r="GH158" s="19"/>
      <c r="GI158" s="19"/>
      <c r="GJ158" s="19"/>
      <c r="GK158" s="19"/>
      <c r="GL158" s="19"/>
      <c r="GM158" s="19"/>
      <c r="GN158" s="19"/>
      <c r="GO158" s="19"/>
      <c r="GP158" s="19"/>
      <c r="GQ158" s="19"/>
      <c r="GR158" s="19"/>
      <c r="GS158" s="19"/>
      <c r="GT158" s="19"/>
      <c r="GU158" s="19"/>
      <c r="GV158" s="19"/>
      <c r="GW158" s="19"/>
      <c r="GX158" s="19"/>
      <c r="GY158" s="19"/>
      <c r="GZ158" s="19"/>
      <c r="HA158" s="19"/>
    </row>
    <row r="159" spans="1:209" ht="23.25" customHeight="1" x14ac:dyDescent="0.15">
      <c r="A159" s="26">
        <v>44659.436442743056</v>
      </c>
      <c r="B159" s="27" t="s">
        <v>6</v>
      </c>
      <c r="C159" s="27" t="s">
        <v>11</v>
      </c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7" t="s">
        <v>428</v>
      </c>
      <c r="AY159" s="27" t="s">
        <v>429</v>
      </c>
      <c r="AZ159" s="27" t="s">
        <v>682</v>
      </c>
      <c r="BA159" s="27" t="s">
        <v>335</v>
      </c>
      <c r="BB159" s="27" t="s">
        <v>624</v>
      </c>
      <c r="BC159" s="29">
        <v>43912</v>
      </c>
      <c r="BD159" s="29">
        <v>43943</v>
      </c>
      <c r="BE159" s="29">
        <v>43943</v>
      </c>
      <c r="BF159" s="27">
        <v>90</v>
      </c>
      <c r="BG159" s="27" t="s">
        <v>337</v>
      </c>
      <c r="BH159" s="30" t="s">
        <v>683</v>
      </c>
      <c r="BI159" s="28"/>
      <c r="BJ159" s="28"/>
      <c r="BK159" s="28"/>
      <c r="BL159" s="28"/>
      <c r="BM159" s="28"/>
      <c r="BN159" s="28"/>
      <c r="BO159" s="28"/>
      <c r="BP159" s="28"/>
      <c r="BQ159" s="28"/>
      <c r="BR159" s="28"/>
      <c r="BS159" s="28"/>
      <c r="BT159" s="28"/>
      <c r="BU159" s="28"/>
      <c r="BV159" s="28"/>
      <c r="BW159" s="28"/>
      <c r="BX159" s="28"/>
      <c r="BY159" s="19"/>
      <c r="BZ159" s="19"/>
      <c r="CA159" s="19"/>
      <c r="CB159" s="19"/>
      <c r="CC159" s="19"/>
      <c r="CD159" s="19"/>
      <c r="CE159" s="19"/>
      <c r="CF159" s="19"/>
      <c r="CG159" s="19"/>
      <c r="CH159" s="19"/>
      <c r="CI159" s="19"/>
      <c r="CJ159" s="19"/>
      <c r="CK159" s="19"/>
      <c r="CL159" s="19"/>
      <c r="CM159" s="19"/>
      <c r="CN159" s="19"/>
      <c r="CO159" s="19"/>
      <c r="CP159" s="19"/>
      <c r="CQ159" s="19"/>
      <c r="CR159" s="19"/>
      <c r="CS159" s="19"/>
      <c r="CT159" s="19"/>
      <c r="CU159" s="19"/>
      <c r="CV159" s="19"/>
      <c r="CW159" s="19"/>
      <c r="CX159" s="19"/>
      <c r="CY159" s="19"/>
      <c r="CZ159" s="19"/>
      <c r="DA159" s="19"/>
      <c r="DB159" s="19"/>
      <c r="DC159" s="19"/>
      <c r="DD159" s="19"/>
      <c r="DE159" s="19"/>
      <c r="DF159" s="19"/>
      <c r="DG159" s="19"/>
      <c r="DH159" s="19"/>
      <c r="DI159" s="19"/>
      <c r="DJ159" s="19"/>
      <c r="DK159" s="19"/>
      <c r="DL159" s="19"/>
      <c r="DM159" s="19"/>
      <c r="DN159" s="19"/>
      <c r="DO159" s="19"/>
      <c r="DP159" s="19"/>
      <c r="DQ159" s="19"/>
      <c r="DR159" s="19"/>
      <c r="DS159" s="19"/>
      <c r="DT159" s="19"/>
      <c r="DU159" s="19"/>
      <c r="DV159" s="19"/>
      <c r="DW159" s="19"/>
      <c r="DX159" s="19"/>
      <c r="DY159" s="19"/>
      <c r="DZ159" s="19"/>
      <c r="EA159" s="19"/>
      <c r="EB159" s="19"/>
      <c r="EC159" s="19"/>
      <c r="ED159" s="19"/>
      <c r="EE159" s="19"/>
      <c r="EF159" s="19"/>
      <c r="EG159" s="19"/>
      <c r="EH159" s="19"/>
      <c r="EI159" s="19"/>
      <c r="EJ159" s="19"/>
      <c r="EK159" s="19"/>
      <c r="EL159" s="19"/>
      <c r="EM159" s="19"/>
      <c r="EN159" s="19"/>
      <c r="EO159" s="19"/>
      <c r="EP159" s="19"/>
      <c r="EQ159" s="19"/>
      <c r="ER159" s="19"/>
      <c r="ES159" s="19"/>
      <c r="ET159" s="19"/>
      <c r="EU159" s="19"/>
      <c r="EV159" s="19"/>
      <c r="EW159" s="19"/>
      <c r="EX159" s="19"/>
      <c r="EY159" s="19"/>
      <c r="EZ159" s="19"/>
      <c r="FA159" s="19"/>
      <c r="FB159" s="19"/>
      <c r="FC159" s="19"/>
      <c r="FD159" s="19"/>
      <c r="FE159" s="19"/>
      <c r="FF159" s="19"/>
      <c r="FG159" s="19"/>
      <c r="FH159" s="19"/>
      <c r="FI159" s="19"/>
      <c r="FJ159" s="19"/>
      <c r="FK159" s="19"/>
      <c r="FL159" s="20" t="s">
        <v>434</v>
      </c>
      <c r="FM159" s="20" t="s">
        <v>321</v>
      </c>
      <c r="FN159" s="19"/>
      <c r="FO159" s="19"/>
      <c r="FP159" s="19"/>
      <c r="FQ159" s="19"/>
      <c r="FR159" s="19"/>
      <c r="FS159" s="19"/>
      <c r="FT159" s="19"/>
      <c r="FU159" s="19"/>
      <c r="FV159" s="19"/>
      <c r="FW159" s="19"/>
      <c r="FX159" s="19"/>
      <c r="FY159" s="19"/>
      <c r="FZ159" s="19"/>
      <c r="GA159" s="19"/>
      <c r="GB159" s="19"/>
      <c r="GC159" s="19"/>
      <c r="GD159" s="19"/>
      <c r="GE159" s="19"/>
      <c r="GF159" s="19"/>
      <c r="GG159" s="19"/>
      <c r="GH159" s="19"/>
      <c r="GI159" s="19"/>
      <c r="GJ159" s="19"/>
      <c r="GK159" s="19"/>
      <c r="GL159" s="19"/>
      <c r="GM159" s="19"/>
      <c r="GN159" s="19"/>
      <c r="GO159" s="19"/>
      <c r="GP159" s="19"/>
      <c r="GQ159" s="19"/>
      <c r="GR159" s="19"/>
      <c r="GS159" s="19"/>
      <c r="GT159" s="19"/>
      <c r="GU159" s="19"/>
      <c r="GV159" s="19"/>
      <c r="GW159" s="19"/>
      <c r="GX159" s="19"/>
      <c r="GY159" s="19"/>
      <c r="GZ159" s="19"/>
      <c r="HA159" s="19"/>
    </row>
    <row r="160" spans="1:209" ht="23.25" customHeight="1" x14ac:dyDescent="0.15">
      <c r="A160" s="26">
        <v>44659.437651863424</v>
      </c>
      <c r="B160" s="27" t="s">
        <v>6</v>
      </c>
      <c r="C160" s="27" t="s">
        <v>11</v>
      </c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7" t="s">
        <v>428</v>
      </c>
      <c r="AY160" s="27" t="s">
        <v>429</v>
      </c>
      <c r="AZ160" s="27" t="s">
        <v>684</v>
      </c>
      <c r="BA160" s="27" t="s">
        <v>335</v>
      </c>
      <c r="BB160" s="27" t="s">
        <v>624</v>
      </c>
      <c r="BC160" s="29">
        <v>44341</v>
      </c>
      <c r="BD160" s="29">
        <v>44372</v>
      </c>
      <c r="BE160" s="29">
        <v>44372</v>
      </c>
      <c r="BF160" s="27">
        <v>100</v>
      </c>
      <c r="BG160" s="27" t="s">
        <v>337</v>
      </c>
      <c r="BH160" s="30" t="s">
        <v>685</v>
      </c>
      <c r="BI160" s="28"/>
      <c r="BJ160" s="28"/>
      <c r="BK160" s="28"/>
      <c r="BL160" s="28"/>
      <c r="BM160" s="28"/>
      <c r="BN160" s="28"/>
      <c r="BO160" s="28"/>
      <c r="BP160" s="28"/>
      <c r="BQ160" s="28"/>
      <c r="BR160" s="28"/>
      <c r="BS160" s="28"/>
      <c r="BT160" s="28"/>
      <c r="BU160" s="28"/>
      <c r="BV160" s="28"/>
      <c r="BW160" s="28"/>
      <c r="BX160" s="28"/>
      <c r="BY160" s="19"/>
      <c r="BZ160" s="19"/>
      <c r="CA160" s="19"/>
      <c r="CB160" s="19"/>
      <c r="CC160" s="19"/>
      <c r="CD160" s="19"/>
      <c r="CE160" s="19"/>
      <c r="CF160" s="19"/>
      <c r="CG160" s="19"/>
      <c r="CH160" s="19"/>
      <c r="CI160" s="19"/>
      <c r="CJ160" s="19"/>
      <c r="CK160" s="19"/>
      <c r="CL160" s="19"/>
      <c r="CM160" s="19"/>
      <c r="CN160" s="19"/>
      <c r="CO160" s="19"/>
      <c r="CP160" s="19"/>
      <c r="CQ160" s="19"/>
      <c r="CR160" s="19"/>
      <c r="CS160" s="19"/>
      <c r="CT160" s="19"/>
      <c r="CU160" s="19"/>
      <c r="CV160" s="19"/>
      <c r="CW160" s="19"/>
      <c r="CX160" s="19"/>
      <c r="CY160" s="19"/>
      <c r="CZ160" s="19"/>
      <c r="DA160" s="19"/>
      <c r="DB160" s="19"/>
      <c r="DC160" s="19"/>
      <c r="DD160" s="19"/>
      <c r="DE160" s="19"/>
      <c r="DF160" s="19"/>
      <c r="DG160" s="19"/>
      <c r="DH160" s="19"/>
      <c r="DI160" s="19"/>
      <c r="DJ160" s="19"/>
      <c r="DK160" s="19"/>
      <c r="DL160" s="19"/>
      <c r="DM160" s="19"/>
      <c r="DN160" s="19"/>
      <c r="DO160" s="19"/>
      <c r="DP160" s="19"/>
      <c r="DQ160" s="19"/>
      <c r="DR160" s="19"/>
      <c r="DS160" s="19"/>
      <c r="DT160" s="19"/>
      <c r="DU160" s="19"/>
      <c r="DV160" s="19"/>
      <c r="DW160" s="19"/>
      <c r="DX160" s="19"/>
      <c r="DY160" s="19"/>
      <c r="DZ160" s="19"/>
      <c r="EA160" s="19"/>
      <c r="EB160" s="19"/>
      <c r="EC160" s="19"/>
      <c r="ED160" s="19"/>
      <c r="EE160" s="19"/>
      <c r="EF160" s="19"/>
      <c r="EG160" s="19"/>
      <c r="EH160" s="19"/>
      <c r="EI160" s="19"/>
      <c r="EJ160" s="19"/>
      <c r="EK160" s="19"/>
      <c r="EL160" s="19"/>
      <c r="EM160" s="19"/>
      <c r="EN160" s="19"/>
      <c r="EO160" s="19"/>
      <c r="EP160" s="19"/>
      <c r="EQ160" s="19"/>
      <c r="ER160" s="19"/>
      <c r="ES160" s="19"/>
      <c r="ET160" s="19"/>
      <c r="EU160" s="19"/>
      <c r="EV160" s="19"/>
      <c r="EW160" s="19"/>
      <c r="EX160" s="19"/>
      <c r="EY160" s="19"/>
      <c r="EZ160" s="19"/>
      <c r="FA160" s="19"/>
      <c r="FB160" s="19"/>
      <c r="FC160" s="19"/>
      <c r="FD160" s="19"/>
      <c r="FE160" s="19"/>
      <c r="FF160" s="19"/>
      <c r="FG160" s="19"/>
      <c r="FH160" s="19"/>
      <c r="FI160" s="19"/>
      <c r="FJ160" s="19"/>
      <c r="FK160" s="19"/>
      <c r="FL160" s="20" t="s">
        <v>434</v>
      </c>
      <c r="FM160" s="20" t="s">
        <v>278</v>
      </c>
      <c r="FN160" s="19"/>
      <c r="FO160" s="19"/>
      <c r="FP160" s="19"/>
      <c r="FQ160" s="19"/>
      <c r="FR160" s="19"/>
      <c r="FS160" s="19"/>
      <c r="FT160" s="19"/>
      <c r="FU160" s="19"/>
      <c r="FV160" s="19"/>
      <c r="FW160" s="19"/>
      <c r="FX160" s="19"/>
      <c r="FY160" s="19"/>
      <c r="FZ160" s="19"/>
      <c r="GA160" s="19"/>
      <c r="GB160" s="19"/>
      <c r="GC160" s="19"/>
      <c r="GD160" s="19"/>
      <c r="GE160" s="19"/>
      <c r="GF160" s="19"/>
      <c r="GG160" s="19"/>
      <c r="GH160" s="19"/>
      <c r="GI160" s="19"/>
      <c r="GJ160" s="19"/>
      <c r="GK160" s="19"/>
      <c r="GL160" s="19"/>
      <c r="GM160" s="19"/>
      <c r="GN160" s="19"/>
      <c r="GO160" s="19"/>
      <c r="GP160" s="19"/>
      <c r="GQ160" s="19"/>
      <c r="GR160" s="19"/>
      <c r="GS160" s="19"/>
      <c r="GT160" s="19"/>
      <c r="GU160" s="19"/>
      <c r="GV160" s="19"/>
      <c r="GW160" s="19"/>
      <c r="GX160" s="19"/>
      <c r="GY160" s="19"/>
      <c r="GZ160" s="19"/>
      <c r="HA160" s="19"/>
    </row>
    <row r="161" spans="1:209" ht="23.25" customHeight="1" x14ac:dyDescent="0.15">
      <c r="A161" s="26">
        <v>44659.439537754632</v>
      </c>
      <c r="B161" s="27" t="s">
        <v>6</v>
      </c>
      <c r="C161" s="27" t="s">
        <v>11</v>
      </c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  <c r="AX161" s="27" t="s">
        <v>428</v>
      </c>
      <c r="AY161" s="27" t="s">
        <v>429</v>
      </c>
      <c r="AZ161" s="27" t="s">
        <v>354</v>
      </c>
      <c r="BA161" s="27" t="s">
        <v>335</v>
      </c>
      <c r="BB161" s="27" t="s">
        <v>624</v>
      </c>
      <c r="BC161" s="29">
        <v>44287</v>
      </c>
      <c r="BD161" s="29">
        <v>44317</v>
      </c>
      <c r="BE161" s="29">
        <v>44317</v>
      </c>
      <c r="BF161" s="27">
        <v>94</v>
      </c>
      <c r="BG161" s="27" t="s">
        <v>337</v>
      </c>
      <c r="BH161" s="30" t="s">
        <v>686</v>
      </c>
      <c r="BI161" s="28"/>
      <c r="BJ161" s="28"/>
      <c r="BK161" s="28"/>
      <c r="BL161" s="28"/>
      <c r="BM161" s="28"/>
      <c r="BN161" s="28"/>
      <c r="BO161" s="28"/>
      <c r="BP161" s="28"/>
      <c r="BQ161" s="28"/>
      <c r="BR161" s="28"/>
      <c r="BS161" s="28"/>
      <c r="BT161" s="28"/>
      <c r="BU161" s="28"/>
      <c r="BV161" s="28"/>
      <c r="BW161" s="28"/>
      <c r="BX161" s="28"/>
      <c r="BY161" s="19"/>
      <c r="BZ161" s="19"/>
      <c r="CA161" s="19"/>
      <c r="CB161" s="19"/>
      <c r="CC161" s="19"/>
      <c r="CD161" s="19"/>
      <c r="CE161" s="19"/>
      <c r="CF161" s="19"/>
      <c r="CG161" s="19"/>
      <c r="CH161" s="19"/>
      <c r="CI161" s="19"/>
      <c r="CJ161" s="19"/>
      <c r="CK161" s="19"/>
      <c r="CL161" s="19"/>
      <c r="CM161" s="19"/>
      <c r="CN161" s="19"/>
      <c r="CO161" s="19"/>
      <c r="CP161" s="19"/>
      <c r="CQ161" s="19"/>
      <c r="CR161" s="19"/>
      <c r="CS161" s="19"/>
      <c r="CT161" s="19"/>
      <c r="CU161" s="19"/>
      <c r="CV161" s="19"/>
      <c r="CW161" s="19"/>
      <c r="CX161" s="19"/>
      <c r="CY161" s="19"/>
      <c r="CZ161" s="19"/>
      <c r="DA161" s="19"/>
      <c r="DB161" s="19"/>
      <c r="DC161" s="19"/>
      <c r="DD161" s="19"/>
      <c r="DE161" s="19"/>
      <c r="DF161" s="19"/>
      <c r="DG161" s="19"/>
      <c r="DH161" s="19"/>
      <c r="DI161" s="19"/>
      <c r="DJ161" s="19"/>
      <c r="DK161" s="19"/>
      <c r="DL161" s="19"/>
      <c r="DM161" s="19"/>
      <c r="DN161" s="19"/>
      <c r="DO161" s="19"/>
      <c r="DP161" s="19"/>
      <c r="DQ161" s="19"/>
      <c r="DR161" s="19"/>
      <c r="DS161" s="19"/>
      <c r="DT161" s="19"/>
      <c r="DU161" s="19"/>
      <c r="DV161" s="19"/>
      <c r="DW161" s="19"/>
      <c r="DX161" s="19"/>
      <c r="DY161" s="19"/>
      <c r="DZ161" s="19"/>
      <c r="EA161" s="19"/>
      <c r="EB161" s="19"/>
      <c r="EC161" s="19"/>
      <c r="ED161" s="19"/>
      <c r="EE161" s="19"/>
      <c r="EF161" s="19"/>
      <c r="EG161" s="19"/>
      <c r="EH161" s="19"/>
      <c r="EI161" s="19"/>
      <c r="EJ161" s="19"/>
      <c r="EK161" s="19"/>
      <c r="EL161" s="19"/>
      <c r="EM161" s="19"/>
      <c r="EN161" s="19"/>
      <c r="EO161" s="19"/>
      <c r="EP161" s="19"/>
      <c r="EQ161" s="19"/>
      <c r="ER161" s="19"/>
      <c r="ES161" s="19"/>
      <c r="ET161" s="19"/>
      <c r="EU161" s="19"/>
      <c r="EV161" s="19"/>
      <c r="EW161" s="19"/>
      <c r="EX161" s="19"/>
      <c r="EY161" s="19"/>
      <c r="EZ161" s="19"/>
      <c r="FA161" s="19"/>
      <c r="FB161" s="19"/>
      <c r="FC161" s="19"/>
      <c r="FD161" s="19"/>
      <c r="FE161" s="19"/>
      <c r="FF161" s="19"/>
      <c r="FG161" s="19"/>
      <c r="FH161" s="19"/>
      <c r="FI161" s="19"/>
      <c r="FJ161" s="19"/>
      <c r="FK161" s="19"/>
      <c r="FL161" s="20" t="s">
        <v>434</v>
      </c>
      <c r="FM161" s="20" t="s">
        <v>339</v>
      </c>
      <c r="FN161" s="19"/>
      <c r="FO161" s="19"/>
      <c r="FP161" s="19"/>
      <c r="FQ161" s="19"/>
      <c r="FR161" s="19"/>
      <c r="FS161" s="19"/>
      <c r="FT161" s="19"/>
      <c r="FU161" s="19"/>
      <c r="FV161" s="19"/>
      <c r="FW161" s="19"/>
      <c r="FX161" s="19"/>
      <c r="FY161" s="19"/>
      <c r="FZ161" s="19"/>
      <c r="GA161" s="19"/>
      <c r="GB161" s="19"/>
      <c r="GC161" s="19"/>
      <c r="GD161" s="19"/>
      <c r="GE161" s="19"/>
      <c r="GF161" s="19"/>
      <c r="GG161" s="19"/>
      <c r="GH161" s="19"/>
      <c r="GI161" s="19"/>
      <c r="GJ161" s="19"/>
      <c r="GK161" s="19"/>
      <c r="GL161" s="19"/>
      <c r="GM161" s="19"/>
      <c r="GN161" s="19"/>
      <c r="GO161" s="19"/>
      <c r="GP161" s="19"/>
      <c r="GQ161" s="19"/>
      <c r="GR161" s="19"/>
      <c r="GS161" s="19"/>
      <c r="GT161" s="19"/>
      <c r="GU161" s="19"/>
      <c r="GV161" s="19"/>
      <c r="GW161" s="19"/>
      <c r="GX161" s="19"/>
      <c r="GY161" s="19"/>
      <c r="GZ161" s="19"/>
      <c r="HA161" s="19"/>
    </row>
    <row r="162" spans="1:209" ht="23.25" customHeight="1" x14ac:dyDescent="0.15">
      <c r="A162" s="26">
        <v>44659.440857534719</v>
      </c>
      <c r="B162" s="27" t="s">
        <v>6</v>
      </c>
      <c r="C162" s="27" t="s">
        <v>11</v>
      </c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  <c r="AX162" s="27" t="s">
        <v>428</v>
      </c>
      <c r="AY162" s="27" t="s">
        <v>429</v>
      </c>
      <c r="AZ162" s="27" t="s">
        <v>687</v>
      </c>
      <c r="BA162" s="27" t="s">
        <v>335</v>
      </c>
      <c r="BB162" s="27" t="s">
        <v>624</v>
      </c>
      <c r="BC162" s="29">
        <v>44352</v>
      </c>
      <c r="BD162" s="29">
        <v>44382</v>
      </c>
      <c r="BE162" s="29">
        <v>44382</v>
      </c>
      <c r="BF162" s="27">
        <v>95</v>
      </c>
      <c r="BG162" s="27" t="s">
        <v>672</v>
      </c>
      <c r="BH162" s="30" t="s">
        <v>688</v>
      </c>
      <c r="BI162" s="28"/>
      <c r="BJ162" s="28"/>
      <c r="BK162" s="28"/>
      <c r="BL162" s="28"/>
      <c r="BM162" s="28"/>
      <c r="BN162" s="28"/>
      <c r="BO162" s="28"/>
      <c r="BP162" s="28"/>
      <c r="BQ162" s="28"/>
      <c r="BR162" s="28"/>
      <c r="BS162" s="28"/>
      <c r="BT162" s="28"/>
      <c r="BU162" s="28"/>
      <c r="BV162" s="28"/>
      <c r="BW162" s="28"/>
      <c r="BX162" s="28"/>
      <c r="BY162" s="19"/>
      <c r="BZ162" s="19"/>
      <c r="CA162" s="19"/>
      <c r="CB162" s="19"/>
      <c r="CC162" s="19"/>
      <c r="CD162" s="19"/>
      <c r="CE162" s="19"/>
      <c r="CF162" s="19"/>
      <c r="CG162" s="19"/>
      <c r="CH162" s="19"/>
      <c r="CI162" s="19"/>
      <c r="CJ162" s="19"/>
      <c r="CK162" s="19"/>
      <c r="CL162" s="19"/>
      <c r="CM162" s="19"/>
      <c r="CN162" s="19"/>
      <c r="CO162" s="19"/>
      <c r="CP162" s="19"/>
      <c r="CQ162" s="19"/>
      <c r="CR162" s="19"/>
      <c r="CS162" s="19"/>
      <c r="CT162" s="19"/>
      <c r="CU162" s="19"/>
      <c r="CV162" s="19"/>
      <c r="CW162" s="19"/>
      <c r="CX162" s="19"/>
      <c r="CY162" s="19"/>
      <c r="CZ162" s="19"/>
      <c r="DA162" s="19"/>
      <c r="DB162" s="19"/>
      <c r="DC162" s="19"/>
      <c r="DD162" s="19"/>
      <c r="DE162" s="19"/>
      <c r="DF162" s="19"/>
      <c r="DG162" s="19"/>
      <c r="DH162" s="19"/>
      <c r="DI162" s="19"/>
      <c r="DJ162" s="19"/>
      <c r="DK162" s="19"/>
      <c r="DL162" s="19"/>
      <c r="DM162" s="19"/>
      <c r="DN162" s="19"/>
      <c r="DO162" s="19"/>
      <c r="DP162" s="19"/>
      <c r="DQ162" s="19"/>
      <c r="DR162" s="19"/>
      <c r="DS162" s="19"/>
      <c r="DT162" s="19"/>
      <c r="DU162" s="19"/>
      <c r="DV162" s="19"/>
      <c r="DW162" s="19"/>
      <c r="DX162" s="19"/>
      <c r="DY162" s="19"/>
      <c r="DZ162" s="19"/>
      <c r="EA162" s="19"/>
      <c r="EB162" s="19"/>
      <c r="EC162" s="19"/>
      <c r="ED162" s="19"/>
      <c r="EE162" s="19"/>
      <c r="EF162" s="19"/>
      <c r="EG162" s="19"/>
      <c r="EH162" s="19"/>
      <c r="EI162" s="19"/>
      <c r="EJ162" s="19"/>
      <c r="EK162" s="19"/>
      <c r="EL162" s="19"/>
      <c r="EM162" s="19"/>
      <c r="EN162" s="19"/>
      <c r="EO162" s="19"/>
      <c r="EP162" s="19"/>
      <c r="EQ162" s="19"/>
      <c r="ER162" s="19"/>
      <c r="ES162" s="19"/>
      <c r="ET162" s="19"/>
      <c r="EU162" s="19"/>
      <c r="EV162" s="19"/>
      <c r="EW162" s="19"/>
      <c r="EX162" s="19"/>
      <c r="EY162" s="19"/>
      <c r="EZ162" s="19"/>
      <c r="FA162" s="19"/>
      <c r="FB162" s="19"/>
      <c r="FC162" s="19"/>
      <c r="FD162" s="19"/>
      <c r="FE162" s="19"/>
      <c r="FF162" s="19"/>
      <c r="FG162" s="19"/>
      <c r="FH162" s="19"/>
      <c r="FI162" s="19"/>
      <c r="FJ162" s="19"/>
      <c r="FK162" s="19"/>
      <c r="FL162" s="20" t="s">
        <v>434</v>
      </c>
      <c r="FM162" s="20" t="s">
        <v>278</v>
      </c>
      <c r="FN162" s="19"/>
      <c r="FO162" s="19"/>
      <c r="FP162" s="19"/>
      <c r="FQ162" s="19"/>
      <c r="FR162" s="19"/>
      <c r="FS162" s="19"/>
      <c r="FT162" s="19"/>
      <c r="FU162" s="19"/>
      <c r="FV162" s="19"/>
      <c r="FW162" s="19"/>
      <c r="FX162" s="19"/>
      <c r="FY162" s="19"/>
      <c r="FZ162" s="19"/>
      <c r="GA162" s="19"/>
      <c r="GB162" s="19"/>
      <c r="GC162" s="19"/>
      <c r="GD162" s="19"/>
      <c r="GE162" s="19"/>
      <c r="GF162" s="19"/>
      <c r="GG162" s="19"/>
      <c r="GH162" s="19"/>
      <c r="GI162" s="19"/>
      <c r="GJ162" s="19"/>
      <c r="GK162" s="19"/>
      <c r="GL162" s="19"/>
      <c r="GM162" s="19"/>
      <c r="GN162" s="19"/>
      <c r="GO162" s="19"/>
      <c r="GP162" s="19"/>
      <c r="GQ162" s="19"/>
      <c r="GR162" s="19"/>
      <c r="GS162" s="19"/>
      <c r="GT162" s="19"/>
      <c r="GU162" s="19"/>
      <c r="GV162" s="19"/>
      <c r="GW162" s="19"/>
      <c r="GX162" s="19"/>
      <c r="GY162" s="19"/>
      <c r="GZ162" s="19"/>
      <c r="HA162" s="19"/>
    </row>
    <row r="163" spans="1:209" ht="23.25" customHeight="1" x14ac:dyDescent="0.15">
      <c r="A163" s="26">
        <v>44659.445453564811</v>
      </c>
      <c r="B163" s="27" t="s">
        <v>6</v>
      </c>
      <c r="C163" s="27" t="s">
        <v>10</v>
      </c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7" t="s">
        <v>689</v>
      </c>
      <c r="AO163" s="27" t="s">
        <v>690</v>
      </c>
      <c r="AP163" s="27" t="s">
        <v>691</v>
      </c>
      <c r="AQ163" s="27" t="s">
        <v>415</v>
      </c>
      <c r="AR163" s="29">
        <v>44477</v>
      </c>
      <c r="AS163" s="29">
        <v>44561</v>
      </c>
      <c r="AT163" s="27" t="s">
        <v>252</v>
      </c>
      <c r="AU163" s="27" t="s">
        <v>252</v>
      </c>
      <c r="AV163" s="27">
        <v>0</v>
      </c>
      <c r="AW163" s="30" t="s">
        <v>692</v>
      </c>
      <c r="AX163" s="28"/>
      <c r="AY163" s="28"/>
      <c r="AZ163" s="28"/>
      <c r="BA163" s="28"/>
      <c r="BB163" s="28"/>
      <c r="BC163" s="28"/>
      <c r="BD163" s="28"/>
      <c r="BE163" s="28"/>
      <c r="BF163" s="28"/>
      <c r="BG163" s="28"/>
      <c r="BH163" s="28"/>
      <c r="BI163" s="28"/>
      <c r="BJ163" s="28"/>
      <c r="BK163" s="28"/>
      <c r="BL163" s="28"/>
      <c r="BM163" s="28"/>
      <c r="BN163" s="28"/>
      <c r="BO163" s="28"/>
      <c r="BP163" s="28"/>
      <c r="BQ163" s="28"/>
      <c r="BR163" s="28"/>
      <c r="BS163" s="28"/>
      <c r="BT163" s="28"/>
      <c r="BU163" s="28"/>
      <c r="BV163" s="28"/>
      <c r="BW163" s="28"/>
      <c r="BX163" s="28"/>
      <c r="BY163" s="19"/>
      <c r="BZ163" s="19"/>
      <c r="CA163" s="19"/>
      <c r="CB163" s="19"/>
      <c r="CC163" s="19"/>
      <c r="CD163" s="19"/>
      <c r="CE163" s="19"/>
      <c r="CF163" s="19"/>
      <c r="CG163" s="19"/>
      <c r="CH163" s="19"/>
      <c r="CI163" s="19"/>
      <c r="CJ163" s="19"/>
      <c r="CK163" s="19"/>
      <c r="CL163" s="19"/>
      <c r="CM163" s="19"/>
      <c r="CN163" s="19"/>
      <c r="CO163" s="19"/>
      <c r="CP163" s="19"/>
      <c r="CQ163" s="19"/>
      <c r="CR163" s="19"/>
      <c r="CS163" s="19"/>
      <c r="CT163" s="19"/>
      <c r="CU163" s="19"/>
      <c r="CV163" s="19"/>
      <c r="CW163" s="19"/>
      <c r="CX163" s="19"/>
      <c r="CY163" s="19"/>
      <c r="CZ163" s="19"/>
      <c r="DA163" s="19"/>
      <c r="DB163" s="19"/>
      <c r="DC163" s="19"/>
      <c r="DD163" s="19"/>
      <c r="DE163" s="19"/>
      <c r="DF163" s="19"/>
      <c r="DG163" s="19"/>
      <c r="DH163" s="19"/>
      <c r="DI163" s="19"/>
      <c r="DJ163" s="19"/>
      <c r="DK163" s="19"/>
      <c r="DL163" s="19"/>
      <c r="DM163" s="19"/>
      <c r="DN163" s="19"/>
      <c r="DO163" s="19"/>
      <c r="DP163" s="19"/>
      <c r="DQ163" s="19"/>
      <c r="DR163" s="19"/>
      <c r="DS163" s="19"/>
      <c r="DT163" s="19"/>
      <c r="DU163" s="19"/>
      <c r="DV163" s="19"/>
      <c r="DW163" s="19"/>
      <c r="DX163" s="19"/>
      <c r="DY163" s="19"/>
      <c r="DZ163" s="19"/>
      <c r="EA163" s="19"/>
      <c r="EB163" s="19"/>
      <c r="EC163" s="19"/>
      <c r="ED163" s="19"/>
      <c r="EE163" s="19"/>
      <c r="EF163" s="19"/>
      <c r="EG163" s="19"/>
      <c r="EH163" s="19"/>
      <c r="EI163" s="19"/>
      <c r="EJ163" s="19"/>
      <c r="EK163" s="19"/>
      <c r="EL163" s="19"/>
      <c r="EM163" s="19"/>
      <c r="EN163" s="19"/>
      <c r="EO163" s="19"/>
      <c r="EP163" s="19"/>
      <c r="EQ163" s="19"/>
      <c r="ER163" s="19"/>
      <c r="ES163" s="19"/>
      <c r="ET163" s="19"/>
      <c r="EU163" s="19"/>
      <c r="EV163" s="19"/>
      <c r="EW163" s="19"/>
      <c r="EX163" s="19"/>
      <c r="EY163" s="19"/>
      <c r="EZ163" s="19"/>
      <c r="FA163" s="19"/>
      <c r="FB163" s="19"/>
      <c r="FC163" s="19"/>
      <c r="FD163" s="19"/>
      <c r="FE163" s="19"/>
      <c r="FF163" s="19"/>
      <c r="FG163" s="19"/>
      <c r="FH163" s="19"/>
      <c r="FI163" s="19"/>
      <c r="FJ163" s="19"/>
      <c r="FK163" s="19"/>
      <c r="FL163" s="20" t="s">
        <v>693</v>
      </c>
      <c r="FM163" s="20" t="s">
        <v>273</v>
      </c>
      <c r="FN163" s="19"/>
      <c r="FO163" s="19"/>
      <c r="FP163" s="19"/>
      <c r="FQ163" s="19"/>
      <c r="FR163" s="19"/>
      <c r="FS163" s="19"/>
      <c r="FT163" s="19"/>
      <c r="FU163" s="19"/>
      <c r="FV163" s="19"/>
      <c r="FW163" s="19"/>
      <c r="FX163" s="19"/>
      <c r="FY163" s="19"/>
      <c r="FZ163" s="19"/>
      <c r="GA163" s="19"/>
      <c r="GB163" s="19"/>
      <c r="GC163" s="19"/>
      <c r="GD163" s="19"/>
      <c r="GE163" s="19"/>
      <c r="GF163" s="19"/>
      <c r="GG163" s="19"/>
      <c r="GH163" s="19"/>
      <c r="GI163" s="19"/>
      <c r="GJ163" s="19"/>
      <c r="GK163" s="19"/>
      <c r="GL163" s="19"/>
      <c r="GM163" s="19"/>
      <c r="GN163" s="19"/>
      <c r="GO163" s="19"/>
      <c r="GP163" s="19"/>
      <c r="GQ163" s="19"/>
      <c r="GR163" s="19"/>
      <c r="GS163" s="19"/>
      <c r="GT163" s="19"/>
      <c r="GU163" s="19"/>
      <c r="GV163" s="19"/>
      <c r="GW163" s="19"/>
      <c r="GX163" s="19"/>
      <c r="GY163" s="19"/>
      <c r="GZ163" s="19"/>
      <c r="HA163" s="19"/>
    </row>
    <row r="164" spans="1:209" ht="23.25" customHeight="1" x14ac:dyDescent="0.15">
      <c r="A164" s="26">
        <v>44659.451476458329</v>
      </c>
      <c r="B164" s="27" t="s">
        <v>6</v>
      </c>
      <c r="C164" s="27" t="s">
        <v>12</v>
      </c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  <c r="AX164" s="28"/>
      <c r="AY164" s="28"/>
      <c r="AZ164" s="28"/>
      <c r="BA164" s="28"/>
      <c r="BB164" s="28"/>
      <c r="BC164" s="28"/>
      <c r="BD164" s="28"/>
      <c r="BE164" s="28"/>
      <c r="BF164" s="28"/>
      <c r="BG164" s="28"/>
      <c r="BH164" s="28"/>
      <c r="BI164" s="27" t="s">
        <v>689</v>
      </c>
      <c r="BJ164" s="27" t="s">
        <v>690</v>
      </c>
      <c r="BK164" s="27" t="s">
        <v>311</v>
      </c>
      <c r="BL164" s="27" t="s">
        <v>167</v>
      </c>
      <c r="BM164" s="27" t="s">
        <v>694</v>
      </c>
      <c r="BN164" s="27">
        <v>1</v>
      </c>
      <c r="BO164" s="29">
        <v>44572</v>
      </c>
      <c r="BP164" s="29">
        <v>44572</v>
      </c>
      <c r="BQ164" s="27" t="s">
        <v>695</v>
      </c>
      <c r="BR164" s="27" t="s">
        <v>696</v>
      </c>
      <c r="BS164" s="27" t="s">
        <v>171</v>
      </c>
      <c r="BT164" s="27" t="s">
        <v>151</v>
      </c>
      <c r="BU164" s="28"/>
      <c r="BV164" s="30" t="s">
        <v>697</v>
      </c>
      <c r="BW164" s="28"/>
      <c r="BX164" s="28"/>
      <c r="BY164" s="19"/>
      <c r="BZ164" s="19"/>
      <c r="CA164" s="19"/>
      <c r="CB164" s="19"/>
      <c r="CC164" s="19"/>
      <c r="CD164" s="19"/>
      <c r="CE164" s="19"/>
      <c r="CF164" s="19"/>
      <c r="CG164" s="19"/>
      <c r="CH164" s="19"/>
      <c r="CI164" s="19"/>
      <c r="CJ164" s="19"/>
      <c r="CK164" s="19"/>
      <c r="CL164" s="19"/>
      <c r="CM164" s="19"/>
      <c r="CN164" s="19"/>
      <c r="CO164" s="19"/>
      <c r="CP164" s="19"/>
      <c r="CQ164" s="19"/>
      <c r="CR164" s="19"/>
      <c r="CS164" s="19"/>
      <c r="CT164" s="19"/>
      <c r="CU164" s="19"/>
      <c r="CV164" s="19"/>
      <c r="CW164" s="19"/>
      <c r="CX164" s="19"/>
      <c r="CY164" s="19"/>
      <c r="CZ164" s="19"/>
      <c r="DA164" s="19"/>
      <c r="DB164" s="19"/>
      <c r="DC164" s="19"/>
      <c r="DD164" s="19"/>
      <c r="DE164" s="19"/>
      <c r="DF164" s="19"/>
      <c r="DG164" s="19"/>
      <c r="DH164" s="19"/>
      <c r="DI164" s="19"/>
      <c r="DJ164" s="19"/>
      <c r="DK164" s="19"/>
      <c r="DL164" s="19"/>
      <c r="DM164" s="19"/>
      <c r="DN164" s="19"/>
      <c r="DO164" s="19"/>
      <c r="DP164" s="19"/>
      <c r="DQ164" s="19"/>
      <c r="DR164" s="19"/>
      <c r="DS164" s="19"/>
      <c r="DT164" s="19"/>
      <c r="DU164" s="19"/>
      <c r="DV164" s="19"/>
      <c r="DW164" s="19"/>
      <c r="DX164" s="19"/>
      <c r="DY164" s="19"/>
      <c r="DZ164" s="19"/>
      <c r="EA164" s="19"/>
      <c r="EB164" s="19"/>
      <c r="EC164" s="19"/>
      <c r="ED164" s="19"/>
      <c r="EE164" s="19"/>
      <c r="EF164" s="19"/>
      <c r="EG164" s="19"/>
      <c r="EH164" s="19"/>
      <c r="EI164" s="19"/>
      <c r="EJ164" s="19"/>
      <c r="EK164" s="19"/>
      <c r="EL164" s="19"/>
      <c r="EM164" s="19"/>
      <c r="EN164" s="19"/>
      <c r="EO164" s="19"/>
      <c r="EP164" s="19"/>
      <c r="EQ164" s="19"/>
      <c r="ER164" s="19"/>
      <c r="ES164" s="19"/>
      <c r="ET164" s="19"/>
      <c r="EU164" s="19"/>
      <c r="EV164" s="19"/>
      <c r="EW164" s="19"/>
      <c r="EX164" s="19"/>
      <c r="EY164" s="19"/>
      <c r="EZ164" s="19"/>
      <c r="FA164" s="19"/>
      <c r="FB164" s="19"/>
      <c r="FC164" s="19"/>
      <c r="FD164" s="19"/>
      <c r="FE164" s="19"/>
      <c r="FF164" s="19"/>
      <c r="FG164" s="19"/>
      <c r="FH164" s="19"/>
      <c r="FI164" s="19"/>
      <c r="FJ164" s="19"/>
      <c r="FK164" s="19"/>
      <c r="FL164" s="20" t="s">
        <v>693</v>
      </c>
      <c r="FM164" s="20" t="s">
        <v>273</v>
      </c>
      <c r="FN164" s="19"/>
      <c r="FO164" s="19"/>
      <c r="FP164" s="19"/>
      <c r="FQ164" s="19"/>
      <c r="FR164" s="19"/>
      <c r="FS164" s="19"/>
      <c r="FT164" s="19"/>
      <c r="FU164" s="19"/>
      <c r="FV164" s="19"/>
      <c r="FW164" s="19"/>
      <c r="FX164" s="19"/>
      <c r="FY164" s="19"/>
      <c r="FZ164" s="19"/>
      <c r="GA164" s="19"/>
      <c r="GB164" s="19"/>
      <c r="GC164" s="19"/>
      <c r="GD164" s="19"/>
      <c r="GE164" s="19"/>
      <c r="GF164" s="19"/>
      <c r="GG164" s="19"/>
      <c r="GH164" s="19"/>
      <c r="GI164" s="19"/>
      <c r="GJ164" s="19"/>
      <c r="GK164" s="19"/>
      <c r="GL164" s="19"/>
      <c r="GM164" s="19"/>
      <c r="GN164" s="19"/>
      <c r="GO164" s="19"/>
      <c r="GP164" s="19"/>
      <c r="GQ164" s="19"/>
      <c r="GR164" s="19"/>
      <c r="GS164" s="19"/>
      <c r="GT164" s="19"/>
      <c r="GU164" s="19"/>
      <c r="GV164" s="19"/>
      <c r="GW164" s="19"/>
      <c r="GX164" s="19"/>
      <c r="GY164" s="19"/>
      <c r="GZ164" s="19"/>
      <c r="HA164" s="19"/>
    </row>
    <row r="165" spans="1:209" ht="23.25" customHeight="1" x14ac:dyDescent="0.15">
      <c r="A165" s="26">
        <v>44659.464616608791</v>
      </c>
      <c r="B165" s="27" t="s">
        <v>6</v>
      </c>
      <c r="C165" s="27" t="s">
        <v>11</v>
      </c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  <c r="AX165" s="27" t="s">
        <v>485</v>
      </c>
      <c r="AY165" s="27" t="s">
        <v>486</v>
      </c>
      <c r="AZ165" s="27" t="s">
        <v>600</v>
      </c>
      <c r="BA165" s="27" t="s">
        <v>307</v>
      </c>
      <c r="BB165" s="27" t="s">
        <v>698</v>
      </c>
      <c r="BC165" s="29">
        <v>44652</v>
      </c>
      <c r="BD165" s="29">
        <v>44681</v>
      </c>
      <c r="BE165" s="29">
        <v>44681</v>
      </c>
      <c r="BF165" s="27">
        <v>100</v>
      </c>
      <c r="BG165" s="27" t="s">
        <v>337</v>
      </c>
      <c r="BH165" s="30" t="s">
        <v>699</v>
      </c>
      <c r="BI165" s="28"/>
      <c r="BJ165" s="28"/>
      <c r="BK165" s="28"/>
      <c r="BL165" s="28"/>
      <c r="BM165" s="28"/>
      <c r="BN165" s="28"/>
      <c r="BO165" s="28"/>
      <c r="BP165" s="28"/>
      <c r="BQ165" s="28"/>
      <c r="BR165" s="28"/>
      <c r="BS165" s="28"/>
      <c r="BT165" s="28"/>
      <c r="BU165" s="28"/>
      <c r="BV165" s="28"/>
      <c r="BW165" s="28"/>
      <c r="BX165" s="28"/>
      <c r="BY165" s="19"/>
      <c r="BZ165" s="19"/>
      <c r="CA165" s="19"/>
      <c r="CB165" s="19"/>
      <c r="CC165" s="19"/>
      <c r="CD165" s="19"/>
      <c r="CE165" s="19"/>
      <c r="CF165" s="19"/>
      <c r="CG165" s="19"/>
      <c r="CH165" s="19"/>
      <c r="CI165" s="19"/>
      <c r="CJ165" s="19"/>
      <c r="CK165" s="19"/>
      <c r="CL165" s="19"/>
      <c r="CM165" s="19"/>
      <c r="CN165" s="19"/>
      <c r="CO165" s="19"/>
      <c r="CP165" s="19"/>
      <c r="CQ165" s="19"/>
      <c r="CR165" s="19"/>
      <c r="CS165" s="19"/>
      <c r="CT165" s="19"/>
      <c r="CU165" s="19"/>
      <c r="CV165" s="19"/>
      <c r="CW165" s="19"/>
      <c r="CX165" s="19"/>
      <c r="CY165" s="19"/>
      <c r="CZ165" s="19"/>
      <c r="DA165" s="19"/>
      <c r="DB165" s="19"/>
      <c r="DC165" s="19"/>
      <c r="DD165" s="19"/>
      <c r="DE165" s="19"/>
      <c r="DF165" s="19"/>
      <c r="DG165" s="19"/>
      <c r="DH165" s="19"/>
      <c r="DI165" s="19"/>
      <c r="DJ165" s="19"/>
      <c r="DK165" s="19"/>
      <c r="DL165" s="19"/>
      <c r="DM165" s="19"/>
      <c r="DN165" s="19"/>
      <c r="DO165" s="19"/>
      <c r="DP165" s="19"/>
      <c r="DQ165" s="19"/>
      <c r="DR165" s="19"/>
      <c r="DS165" s="19"/>
      <c r="DT165" s="19"/>
      <c r="DU165" s="19"/>
      <c r="DV165" s="19"/>
      <c r="DW165" s="19"/>
      <c r="DX165" s="19"/>
      <c r="DY165" s="19"/>
      <c r="DZ165" s="19"/>
      <c r="EA165" s="19"/>
      <c r="EB165" s="19"/>
      <c r="EC165" s="19"/>
      <c r="ED165" s="19"/>
      <c r="EE165" s="19"/>
      <c r="EF165" s="19"/>
      <c r="EG165" s="19"/>
      <c r="EH165" s="19"/>
      <c r="EI165" s="19"/>
      <c r="EJ165" s="19"/>
      <c r="EK165" s="19"/>
      <c r="EL165" s="19"/>
      <c r="EM165" s="19"/>
      <c r="EN165" s="19"/>
      <c r="EO165" s="19"/>
      <c r="EP165" s="19"/>
      <c r="EQ165" s="19"/>
      <c r="ER165" s="19"/>
      <c r="ES165" s="19"/>
      <c r="ET165" s="19"/>
      <c r="EU165" s="19"/>
      <c r="EV165" s="19"/>
      <c r="EW165" s="19"/>
      <c r="EX165" s="19"/>
      <c r="EY165" s="19"/>
      <c r="EZ165" s="19"/>
      <c r="FA165" s="19"/>
      <c r="FB165" s="19"/>
      <c r="FC165" s="19"/>
      <c r="FD165" s="19"/>
      <c r="FE165" s="19"/>
      <c r="FF165" s="19"/>
      <c r="FG165" s="19"/>
      <c r="FH165" s="19"/>
      <c r="FI165" s="19"/>
      <c r="FJ165" s="19"/>
      <c r="FK165" s="19"/>
      <c r="FL165" s="20" t="s">
        <v>488</v>
      </c>
      <c r="FM165" s="20" t="s">
        <v>255</v>
      </c>
      <c r="FN165" s="19"/>
      <c r="FO165" s="19"/>
      <c r="FP165" s="19"/>
      <c r="FQ165" s="19"/>
      <c r="FR165" s="19"/>
      <c r="FS165" s="19"/>
      <c r="FT165" s="19"/>
      <c r="FU165" s="19"/>
      <c r="FV165" s="19"/>
      <c r="FW165" s="19"/>
      <c r="FX165" s="19"/>
      <c r="FY165" s="19"/>
      <c r="FZ165" s="19"/>
      <c r="GA165" s="19"/>
      <c r="GB165" s="19"/>
      <c r="GC165" s="19"/>
      <c r="GD165" s="19"/>
      <c r="GE165" s="19"/>
      <c r="GF165" s="19"/>
      <c r="GG165" s="19"/>
      <c r="GH165" s="19"/>
      <c r="GI165" s="19"/>
      <c r="GJ165" s="19"/>
      <c r="GK165" s="19"/>
      <c r="GL165" s="19"/>
      <c r="GM165" s="19"/>
      <c r="GN165" s="19"/>
      <c r="GO165" s="19"/>
      <c r="GP165" s="19"/>
      <c r="GQ165" s="19"/>
      <c r="GR165" s="19"/>
      <c r="GS165" s="19"/>
      <c r="GT165" s="19"/>
      <c r="GU165" s="19"/>
      <c r="GV165" s="19"/>
      <c r="GW165" s="19"/>
      <c r="GX165" s="19"/>
      <c r="GY165" s="19"/>
      <c r="GZ165" s="19"/>
      <c r="HA165" s="19"/>
    </row>
    <row r="166" spans="1:209" ht="23.25" customHeight="1" x14ac:dyDescent="0.15">
      <c r="A166" s="26">
        <v>44659.468256597218</v>
      </c>
      <c r="B166" s="27" t="s">
        <v>6</v>
      </c>
      <c r="C166" s="27" t="s">
        <v>11</v>
      </c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  <c r="AX166" s="27" t="s">
        <v>485</v>
      </c>
      <c r="AY166" s="27" t="s">
        <v>486</v>
      </c>
      <c r="AZ166" s="27" t="s">
        <v>354</v>
      </c>
      <c r="BA166" s="27" t="s">
        <v>335</v>
      </c>
      <c r="BB166" s="27" t="s">
        <v>507</v>
      </c>
      <c r="BC166" s="29">
        <v>44287</v>
      </c>
      <c r="BD166" s="29">
        <v>44331</v>
      </c>
      <c r="BE166" s="29">
        <v>44330</v>
      </c>
      <c r="BF166" s="27">
        <v>100</v>
      </c>
      <c r="BG166" s="27" t="s">
        <v>556</v>
      </c>
      <c r="BH166" s="30" t="s">
        <v>700</v>
      </c>
      <c r="BI166" s="28"/>
      <c r="BJ166" s="28"/>
      <c r="BK166" s="28"/>
      <c r="BL166" s="28"/>
      <c r="BM166" s="28"/>
      <c r="BN166" s="28"/>
      <c r="BO166" s="28"/>
      <c r="BP166" s="28"/>
      <c r="BQ166" s="28"/>
      <c r="BR166" s="28"/>
      <c r="BS166" s="28"/>
      <c r="BT166" s="28"/>
      <c r="BU166" s="28"/>
      <c r="BV166" s="28"/>
      <c r="BW166" s="28"/>
      <c r="BX166" s="28"/>
      <c r="BY166" s="19"/>
      <c r="BZ166" s="19"/>
      <c r="CA166" s="19"/>
      <c r="CB166" s="19"/>
      <c r="CC166" s="19"/>
      <c r="CD166" s="19"/>
      <c r="CE166" s="19"/>
      <c r="CF166" s="19"/>
      <c r="CG166" s="19"/>
      <c r="CH166" s="19"/>
      <c r="CI166" s="19"/>
      <c r="CJ166" s="19"/>
      <c r="CK166" s="19"/>
      <c r="CL166" s="19"/>
      <c r="CM166" s="19"/>
      <c r="CN166" s="19"/>
      <c r="CO166" s="19"/>
      <c r="CP166" s="19"/>
      <c r="CQ166" s="19"/>
      <c r="CR166" s="19"/>
      <c r="CS166" s="19"/>
      <c r="CT166" s="19"/>
      <c r="CU166" s="19"/>
      <c r="CV166" s="19"/>
      <c r="CW166" s="19"/>
      <c r="CX166" s="19"/>
      <c r="CY166" s="19"/>
      <c r="CZ166" s="19"/>
      <c r="DA166" s="19"/>
      <c r="DB166" s="19"/>
      <c r="DC166" s="19"/>
      <c r="DD166" s="19"/>
      <c r="DE166" s="19"/>
      <c r="DF166" s="19"/>
      <c r="DG166" s="19"/>
      <c r="DH166" s="19"/>
      <c r="DI166" s="19"/>
      <c r="DJ166" s="19"/>
      <c r="DK166" s="19"/>
      <c r="DL166" s="19"/>
      <c r="DM166" s="19"/>
      <c r="DN166" s="19"/>
      <c r="DO166" s="19"/>
      <c r="DP166" s="19"/>
      <c r="DQ166" s="19"/>
      <c r="DR166" s="19"/>
      <c r="DS166" s="19"/>
      <c r="DT166" s="19"/>
      <c r="DU166" s="19"/>
      <c r="DV166" s="19"/>
      <c r="DW166" s="19"/>
      <c r="DX166" s="19"/>
      <c r="DY166" s="19"/>
      <c r="DZ166" s="19"/>
      <c r="EA166" s="19"/>
      <c r="EB166" s="19"/>
      <c r="EC166" s="19"/>
      <c r="ED166" s="19"/>
      <c r="EE166" s="19"/>
      <c r="EF166" s="19"/>
      <c r="EG166" s="19"/>
      <c r="EH166" s="19"/>
      <c r="EI166" s="19"/>
      <c r="EJ166" s="19"/>
      <c r="EK166" s="19"/>
      <c r="EL166" s="19"/>
      <c r="EM166" s="19"/>
      <c r="EN166" s="19"/>
      <c r="EO166" s="19"/>
      <c r="EP166" s="19"/>
      <c r="EQ166" s="19"/>
      <c r="ER166" s="19"/>
      <c r="ES166" s="19"/>
      <c r="ET166" s="19"/>
      <c r="EU166" s="19"/>
      <c r="EV166" s="19"/>
      <c r="EW166" s="19"/>
      <c r="EX166" s="19"/>
      <c r="EY166" s="19"/>
      <c r="EZ166" s="19"/>
      <c r="FA166" s="19"/>
      <c r="FB166" s="19"/>
      <c r="FC166" s="19"/>
      <c r="FD166" s="19"/>
      <c r="FE166" s="19"/>
      <c r="FF166" s="19"/>
      <c r="FG166" s="19"/>
      <c r="FH166" s="19"/>
      <c r="FI166" s="19"/>
      <c r="FJ166" s="19"/>
      <c r="FK166" s="19"/>
      <c r="FL166" s="20" t="s">
        <v>488</v>
      </c>
      <c r="FM166" s="20" t="s">
        <v>339</v>
      </c>
      <c r="FN166" s="19"/>
      <c r="FO166" s="19"/>
      <c r="FP166" s="19"/>
      <c r="FQ166" s="19"/>
      <c r="FR166" s="19"/>
      <c r="FS166" s="19"/>
      <c r="FT166" s="19"/>
      <c r="FU166" s="19"/>
      <c r="FV166" s="19"/>
      <c r="FW166" s="19"/>
      <c r="FX166" s="19"/>
      <c r="FY166" s="19"/>
      <c r="FZ166" s="19"/>
      <c r="GA166" s="19"/>
      <c r="GB166" s="19"/>
      <c r="GC166" s="19"/>
      <c r="GD166" s="19"/>
      <c r="GE166" s="19"/>
      <c r="GF166" s="19"/>
      <c r="GG166" s="19"/>
      <c r="GH166" s="19"/>
      <c r="GI166" s="19"/>
      <c r="GJ166" s="19"/>
      <c r="GK166" s="19"/>
      <c r="GL166" s="19"/>
      <c r="GM166" s="19"/>
      <c r="GN166" s="19"/>
      <c r="GO166" s="19"/>
      <c r="GP166" s="19"/>
      <c r="GQ166" s="19"/>
      <c r="GR166" s="19"/>
      <c r="GS166" s="19"/>
      <c r="GT166" s="19"/>
      <c r="GU166" s="19"/>
      <c r="GV166" s="19"/>
      <c r="GW166" s="19"/>
      <c r="GX166" s="19"/>
      <c r="GY166" s="19"/>
      <c r="GZ166" s="19"/>
      <c r="HA166" s="19"/>
    </row>
    <row r="167" spans="1:209" ht="23.25" customHeight="1" x14ac:dyDescent="0.15">
      <c r="A167" s="26">
        <v>44659.470653206023</v>
      </c>
      <c r="B167" s="27" t="s">
        <v>6</v>
      </c>
      <c r="C167" s="27" t="s">
        <v>11</v>
      </c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  <c r="AX167" s="27" t="s">
        <v>485</v>
      </c>
      <c r="AY167" s="27" t="s">
        <v>486</v>
      </c>
      <c r="AZ167" s="27" t="s">
        <v>664</v>
      </c>
      <c r="BA167" s="27" t="s">
        <v>335</v>
      </c>
      <c r="BB167" s="27" t="s">
        <v>507</v>
      </c>
      <c r="BC167" s="29">
        <v>44394</v>
      </c>
      <c r="BD167" s="29">
        <v>44391</v>
      </c>
      <c r="BE167" s="29">
        <v>44390</v>
      </c>
      <c r="BF167" s="27">
        <v>100</v>
      </c>
      <c r="BG167" s="27" t="s">
        <v>556</v>
      </c>
      <c r="BH167" s="30" t="s">
        <v>701</v>
      </c>
      <c r="BI167" s="28"/>
      <c r="BJ167" s="28"/>
      <c r="BK167" s="28"/>
      <c r="BL167" s="28"/>
      <c r="BM167" s="28"/>
      <c r="BN167" s="28"/>
      <c r="BO167" s="28"/>
      <c r="BP167" s="28"/>
      <c r="BQ167" s="28"/>
      <c r="BR167" s="28"/>
      <c r="BS167" s="28"/>
      <c r="BT167" s="28"/>
      <c r="BU167" s="28"/>
      <c r="BV167" s="28"/>
      <c r="BW167" s="28"/>
      <c r="BX167" s="28"/>
      <c r="BY167" s="19"/>
      <c r="BZ167" s="19"/>
      <c r="CA167" s="19"/>
      <c r="CB167" s="19"/>
      <c r="CC167" s="19"/>
      <c r="CD167" s="19"/>
      <c r="CE167" s="19"/>
      <c r="CF167" s="19"/>
      <c r="CG167" s="19"/>
      <c r="CH167" s="19"/>
      <c r="CI167" s="19"/>
      <c r="CJ167" s="19"/>
      <c r="CK167" s="19"/>
      <c r="CL167" s="19"/>
      <c r="CM167" s="19"/>
      <c r="CN167" s="19"/>
      <c r="CO167" s="19"/>
      <c r="CP167" s="19"/>
      <c r="CQ167" s="19"/>
      <c r="CR167" s="19"/>
      <c r="CS167" s="19"/>
      <c r="CT167" s="19"/>
      <c r="CU167" s="19"/>
      <c r="CV167" s="19"/>
      <c r="CW167" s="19"/>
      <c r="CX167" s="19"/>
      <c r="CY167" s="19"/>
      <c r="CZ167" s="19"/>
      <c r="DA167" s="19"/>
      <c r="DB167" s="19"/>
      <c r="DC167" s="19"/>
      <c r="DD167" s="19"/>
      <c r="DE167" s="19"/>
      <c r="DF167" s="19"/>
      <c r="DG167" s="19"/>
      <c r="DH167" s="19"/>
      <c r="DI167" s="19"/>
      <c r="DJ167" s="19"/>
      <c r="DK167" s="19"/>
      <c r="DL167" s="19"/>
      <c r="DM167" s="19"/>
      <c r="DN167" s="19"/>
      <c r="DO167" s="19"/>
      <c r="DP167" s="19"/>
      <c r="DQ167" s="19"/>
      <c r="DR167" s="19"/>
      <c r="DS167" s="19"/>
      <c r="DT167" s="19"/>
      <c r="DU167" s="19"/>
      <c r="DV167" s="19"/>
      <c r="DW167" s="19"/>
      <c r="DX167" s="19"/>
      <c r="DY167" s="19"/>
      <c r="DZ167" s="19"/>
      <c r="EA167" s="19"/>
      <c r="EB167" s="19"/>
      <c r="EC167" s="19"/>
      <c r="ED167" s="19"/>
      <c r="EE167" s="19"/>
      <c r="EF167" s="19"/>
      <c r="EG167" s="19"/>
      <c r="EH167" s="19"/>
      <c r="EI167" s="19"/>
      <c r="EJ167" s="19"/>
      <c r="EK167" s="19"/>
      <c r="EL167" s="19"/>
      <c r="EM167" s="19"/>
      <c r="EN167" s="19"/>
      <c r="EO167" s="19"/>
      <c r="EP167" s="19"/>
      <c r="EQ167" s="19"/>
      <c r="ER167" s="19"/>
      <c r="ES167" s="19"/>
      <c r="ET167" s="19"/>
      <c r="EU167" s="19"/>
      <c r="EV167" s="19"/>
      <c r="EW167" s="19"/>
      <c r="EX167" s="19"/>
      <c r="EY167" s="19"/>
      <c r="EZ167" s="19"/>
      <c r="FA167" s="19"/>
      <c r="FB167" s="19"/>
      <c r="FC167" s="19"/>
      <c r="FD167" s="19"/>
      <c r="FE167" s="19"/>
      <c r="FF167" s="19"/>
      <c r="FG167" s="19"/>
      <c r="FH167" s="19"/>
      <c r="FI167" s="19"/>
      <c r="FJ167" s="19"/>
      <c r="FK167" s="19"/>
      <c r="FL167" s="20" t="s">
        <v>488</v>
      </c>
      <c r="FM167" s="20" t="s">
        <v>339</v>
      </c>
      <c r="FN167" s="19"/>
      <c r="FO167" s="19"/>
      <c r="FP167" s="19"/>
      <c r="FQ167" s="19"/>
      <c r="FR167" s="19"/>
      <c r="FS167" s="19"/>
      <c r="FT167" s="19"/>
      <c r="FU167" s="19"/>
      <c r="FV167" s="19"/>
      <c r="FW167" s="19"/>
      <c r="FX167" s="19"/>
      <c r="FY167" s="19"/>
      <c r="FZ167" s="19"/>
      <c r="GA167" s="19"/>
      <c r="GB167" s="19"/>
      <c r="GC167" s="19"/>
      <c r="GD167" s="19"/>
      <c r="GE167" s="19"/>
      <c r="GF167" s="19"/>
      <c r="GG167" s="19"/>
      <c r="GH167" s="19"/>
      <c r="GI167" s="19"/>
      <c r="GJ167" s="19"/>
      <c r="GK167" s="19"/>
      <c r="GL167" s="19"/>
      <c r="GM167" s="19"/>
      <c r="GN167" s="19"/>
      <c r="GO167" s="19"/>
      <c r="GP167" s="19"/>
      <c r="GQ167" s="19"/>
      <c r="GR167" s="19"/>
      <c r="GS167" s="19"/>
      <c r="GT167" s="19"/>
      <c r="GU167" s="19"/>
      <c r="GV167" s="19"/>
      <c r="GW167" s="19"/>
      <c r="GX167" s="19"/>
      <c r="GY167" s="19"/>
      <c r="GZ167" s="19"/>
      <c r="HA167" s="19"/>
    </row>
    <row r="168" spans="1:209" ht="23.25" customHeight="1" x14ac:dyDescent="0.15">
      <c r="A168" s="26">
        <v>44659.474803124998</v>
      </c>
      <c r="B168" s="27" t="s">
        <v>6</v>
      </c>
      <c r="C168" s="27" t="s">
        <v>11</v>
      </c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  <c r="AX168" s="27" t="s">
        <v>485</v>
      </c>
      <c r="AY168" s="27" t="s">
        <v>486</v>
      </c>
      <c r="AZ168" s="27" t="s">
        <v>684</v>
      </c>
      <c r="BA168" s="27" t="s">
        <v>335</v>
      </c>
      <c r="BB168" s="27" t="s">
        <v>698</v>
      </c>
      <c r="BC168" s="29">
        <v>44341</v>
      </c>
      <c r="BD168" s="29">
        <v>44351</v>
      </c>
      <c r="BE168" s="29">
        <v>44350</v>
      </c>
      <c r="BF168" s="27">
        <v>100</v>
      </c>
      <c r="BG168" s="27" t="s">
        <v>556</v>
      </c>
      <c r="BH168" s="30" t="s">
        <v>702</v>
      </c>
      <c r="BI168" s="28"/>
      <c r="BJ168" s="28"/>
      <c r="BK168" s="28"/>
      <c r="BL168" s="28"/>
      <c r="BM168" s="28"/>
      <c r="BN168" s="28"/>
      <c r="BO168" s="28"/>
      <c r="BP168" s="28"/>
      <c r="BQ168" s="28"/>
      <c r="BR168" s="28"/>
      <c r="BS168" s="28"/>
      <c r="BT168" s="28"/>
      <c r="BU168" s="28"/>
      <c r="BV168" s="28"/>
      <c r="BW168" s="28"/>
      <c r="BX168" s="28"/>
      <c r="BY168" s="19"/>
      <c r="BZ168" s="19"/>
      <c r="CA168" s="19"/>
      <c r="CB168" s="19"/>
      <c r="CC168" s="19"/>
      <c r="CD168" s="19"/>
      <c r="CE168" s="19"/>
      <c r="CF168" s="19"/>
      <c r="CG168" s="19"/>
      <c r="CH168" s="19"/>
      <c r="CI168" s="19"/>
      <c r="CJ168" s="19"/>
      <c r="CK168" s="19"/>
      <c r="CL168" s="19"/>
      <c r="CM168" s="19"/>
      <c r="CN168" s="19"/>
      <c r="CO168" s="19"/>
      <c r="CP168" s="19"/>
      <c r="CQ168" s="19"/>
      <c r="CR168" s="19"/>
      <c r="CS168" s="19"/>
      <c r="CT168" s="19"/>
      <c r="CU168" s="19"/>
      <c r="CV168" s="19"/>
      <c r="CW168" s="19"/>
      <c r="CX168" s="19"/>
      <c r="CY168" s="19"/>
      <c r="CZ168" s="19"/>
      <c r="DA168" s="19"/>
      <c r="DB168" s="19"/>
      <c r="DC168" s="19"/>
      <c r="DD168" s="19"/>
      <c r="DE168" s="19"/>
      <c r="DF168" s="19"/>
      <c r="DG168" s="19"/>
      <c r="DH168" s="19"/>
      <c r="DI168" s="19"/>
      <c r="DJ168" s="19"/>
      <c r="DK168" s="19"/>
      <c r="DL168" s="19"/>
      <c r="DM168" s="19"/>
      <c r="DN168" s="19"/>
      <c r="DO168" s="19"/>
      <c r="DP168" s="19"/>
      <c r="DQ168" s="19"/>
      <c r="DR168" s="19"/>
      <c r="DS168" s="19"/>
      <c r="DT168" s="19"/>
      <c r="DU168" s="19"/>
      <c r="DV168" s="19"/>
      <c r="DW168" s="19"/>
      <c r="DX168" s="19"/>
      <c r="DY168" s="19"/>
      <c r="DZ168" s="19"/>
      <c r="EA168" s="19"/>
      <c r="EB168" s="19"/>
      <c r="EC168" s="19"/>
      <c r="ED168" s="19"/>
      <c r="EE168" s="19"/>
      <c r="EF168" s="19"/>
      <c r="EG168" s="19"/>
      <c r="EH168" s="19"/>
      <c r="EI168" s="19"/>
      <c r="EJ168" s="19"/>
      <c r="EK168" s="19"/>
      <c r="EL168" s="19"/>
      <c r="EM168" s="19"/>
      <c r="EN168" s="19"/>
      <c r="EO168" s="19"/>
      <c r="EP168" s="19"/>
      <c r="EQ168" s="19"/>
      <c r="ER168" s="19"/>
      <c r="ES168" s="19"/>
      <c r="ET168" s="19"/>
      <c r="EU168" s="19"/>
      <c r="EV168" s="19"/>
      <c r="EW168" s="19"/>
      <c r="EX168" s="19"/>
      <c r="EY168" s="19"/>
      <c r="EZ168" s="19"/>
      <c r="FA168" s="19"/>
      <c r="FB168" s="19"/>
      <c r="FC168" s="19"/>
      <c r="FD168" s="19"/>
      <c r="FE168" s="19"/>
      <c r="FF168" s="19"/>
      <c r="FG168" s="19"/>
      <c r="FH168" s="19"/>
      <c r="FI168" s="19"/>
      <c r="FJ168" s="19"/>
      <c r="FK168" s="19"/>
      <c r="FL168" s="20" t="s">
        <v>488</v>
      </c>
      <c r="FM168" s="20" t="s">
        <v>339</v>
      </c>
      <c r="FN168" s="19"/>
      <c r="FO168" s="19"/>
      <c r="FP168" s="19"/>
      <c r="FQ168" s="19"/>
      <c r="FR168" s="19"/>
      <c r="FS168" s="19"/>
      <c r="FT168" s="19"/>
      <c r="FU168" s="19"/>
      <c r="FV168" s="19"/>
      <c r="FW168" s="19"/>
      <c r="FX168" s="19"/>
      <c r="FY168" s="19"/>
      <c r="FZ168" s="19"/>
      <c r="GA168" s="19"/>
      <c r="GB168" s="19"/>
      <c r="GC168" s="19"/>
      <c r="GD168" s="19"/>
      <c r="GE168" s="19"/>
      <c r="GF168" s="19"/>
      <c r="GG168" s="19"/>
      <c r="GH168" s="19"/>
      <c r="GI168" s="19"/>
      <c r="GJ168" s="19"/>
      <c r="GK168" s="19"/>
      <c r="GL168" s="19"/>
      <c r="GM168" s="19"/>
      <c r="GN168" s="19"/>
      <c r="GO168" s="19"/>
      <c r="GP168" s="19"/>
      <c r="GQ168" s="19"/>
      <c r="GR168" s="19"/>
      <c r="GS168" s="19"/>
      <c r="GT168" s="19"/>
      <c r="GU168" s="19"/>
      <c r="GV168" s="19"/>
      <c r="GW168" s="19"/>
      <c r="GX168" s="19"/>
      <c r="GY168" s="19"/>
      <c r="GZ168" s="19"/>
      <c r="HA168" s="19"/>
    </row>
    <row r="169" spans="1:209" ht="23.25" customHeight="1" x14ac:dyDescent="0.15">
      <c r="A169" s="26">
        <v>44659.477468564815</v>
      </c>
      <c r="B169" s="27" t="s">
        <v>6</v>
      </c>
      <c r="C169" s="27" t="s">
        <v>11</v>
      </c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  <c r="AX169" s="27" t="s">
        <v>485</v>
      </c>
      <c r="AY169" s="27" t="s">
        <v>486</v>
      </c>
      <c r="AZ169" s="27" t="s">
        <v>682</v>
      </c>
      <c r="BA169" s="27" t="s">
        <v>335</v>
      </c>
      <c r="BB169" s="27" t="s">
        <v>698</v>
      </c>
      <c r="BC169" s="29">
        <v>43912</v>
      </c>
      <c r="BD169" s="29">
        <v>43955</v>
      </c>
      <c r="BE169" s="29">
        <v>43954</v>
      </c>
      <c r="BF169" s="27">
        <v>100</v>
      </c>
      <c r="BG169" s="27" t="s">
        <v>556</v>
      </c>
      <c r="BH169" s="30" t="s">
        <v>703</v>
      </c>
      <c r="BI169" s="28"/>
      <c r="BJ169" s="28"/>
      <c r="BK169" s="28"/>
      <c r="BL169" s="28"/>
      <c r="BM169" s="28"/>
      <c r="BN169" s="28"/>
      <c r="BO169" s="28"/>
      <c r="BP169" s="28"/>
      <c r="BQ169" s="28"/>
      <c r="BR169" s="28"/>
      <c r="BS169" s="28"/>
      <c r="BT169" s="28"/>
      <c r="BU169" s="28"/>
      <c r="BV169" s="28"/>
      <c r="BW169" s="28"/>
      <c r="BX169" s="28"/>
      <c r="BY169" s="19"/>
      <c r="BZ169" s="19"/>
      <c r="CA169" s="19"/>
      <c r="CB169" s="19"/>
      <c r="CC169" s="19"/>
      <c r="CD169" s="19"/>
      <c r="CE169" s="19"/>
      <c r="CF169" s="19"/>
      <c r="CG169" s="19"/>
      <c r="CH169" s="19"/>
      <c r="CI169" s="19"/>
      <c r="CJ169" s="19"/>
      <c r="CK169" s="19"/>
      <c r="CL169" s="19"/>
      <c r="CM169" s="19"/>
      <c r="CN169" s="19"/>
      <c r="CO169" s="19"/>
      <c r="CP169" s="19"/>
      <c r="CQ169" s="19"/>
      <c r="CR169" s="19"/>
      <c r="CS169" s="19"/>
      <c r="CT169" s="19"/>
      <c r="CU169" s="19"/>
      <c r="CV169" s="19"/>
      <c r="CW169" s="19"/>
      <c r="CX169" s="19"/>
      <c r="CY169" s="19"/>
      <c r="CZ169" s="19"/>
      <c r="DA169" s="19"/>
      <c r="DB169" s="19"/>
      <c r="DC169" s="19"/>
      <c r="DD169" s="19"/>
      <c r="DE169" s="19"/>
      <c r="DF169" s="19"/>
      <c r="DG169" s="19"/>
      <c r="DH169" s="19"/>
      <c r="DI169" s="19"/>
      <c r="DJ169" s="19"/>
      <c r="DK169" s="19"/>
      <c r="DL169" s="19"/>
      <c r="DM169" s="19"/>
      <c r="DN169" s="19"/>
      <c r="DO169" s="19"/>
      <c r="DP169" s="19"/>
      <c r="DQ169" s="19"/>
      <c r="DR169" s="19"/>
      <c r="DS169" s="19"/>
      <c r="DT169" s="19"/>
      <c r="DU169" s="19"/>
      <c r="DV169" s="19"/>
      <c r="DW169" s="19"/>
      <c r="DX169" s="19"/>
      <c r="DY169" s="19"/>
      <c r="DZ169" s="19"/>
      <c r="EA169" s="19"/>
      <c r="EB169" s="19"/>
      <c r="EC169" s="19"/>
      <c r="ED169" s="19"/>
      <c r="EE169" s="19"/>
      <c r="EF169" s="19"/>
      <c r="EG169" s="19"/>
      <c r="EH169" s="19"/>
      <c r="EI169" s="19"/>
      <c r="EJ169" s="19"/>
      <c r="EK169" s="19"/>
      <c r="EL169" s="19"/>
      <c r="EM169" s="19"/>
      <c r="EN169" s="19"/>
      <c r="EO169" s="19"/>
      <c r="EP169" s="19"/>
      <c r="EQ169" s="19"/>
      <c r="ER169" s="19"/>
      <c r="ES169" s="19"/>
      <c r="ET169" s="19"/>
      <c r="EU169" s="19"/>
      <c r="EV169" s="19"/>
      <c r="EW169" s="19"/>
      <c r="EX169" s="19"/>
      <c r="EY169" s="19"/>
      <c r="EZ169" s="19"/>
      <c r="FA169" s="19"/>
      <c r="FB169" s="19"/>
      <c r="FC169" s="19"/>
      <c r="FD169" s="19"/>
      <c r="FE169" s="19"/>
      <c r="FF169" s="19"/>
      <c r="FG169" s="19"/>
      <c r="FH169" s="19"/>
      <c r="FI169" s="19"/>
      <c r="FJ169" s="19"/>
      <c r="FK169" s="19"/>
      <c r="FL169" s="20" t="s">
        <v>488</v>
      </c>
      <c r="FM169" s="20" t="s">
        <v>321</v>
      </c>
      <c r="FN169" s="19"/>
      <c r="FO169" s="19"/>
      <c r="FP169" s="19"/>
      <c r="FQ169" s="19"/>
      <c r="FR169" s="19"/>
      <c r="FS169" s="19"/>
      <c r="FT169" s="19"/>
      <c r="FU169" s="19"/>
      <c r="FV169" s="19"/>
      <c r="FW169" s="19"/>
      <c r="FX169" s="19"/>
      <c r="FY169" s="19"/>
      <c r="FZ169" s="19"/>
      <c r="GA169" s="19"/>
      <c r="GB169" s="19"/>
      <c r="GC169" s="19"/>
      <c r="GD169" s="19"/>
      <c r="GE169" s="19"/>
      <c r="GF169" s="19"/>
      <c r="GG169" s="19"/>
      <c r="GH169" s="19"/>
      <c r="GI169" s="19"/>
      <c r="GJ169" s="19"/>
      <c r="GK169" s="19"/>
      <c r="GL169" s="19"/>
      <c r="GM169" s="19"/>
      <c r="GN169" s="19"/>
      <c r="GO169" s="19"/>
      <c r="GP169" s="19"/>
      <c r="GQ169" s="19"/>
      <c r="GR169" s="19"/>
      <c r="GS169" s="19"/>
      <c r="GT169" s="19"/>
      <c r="GU169" s="19"/>
      <c r="GV169" s="19"/>
      <c r="GW169" s="19"/>
      <c r="GX169" s="19"/>
      <c r="GY169" s="19"/>
      <c r="GZ169" s="19"/>
      <c r="HA169" s="19"/>
    </row>
    <row r="170" spans="1:209" ht="23.25" customHeight="1" x14ac:dyDescent="0.15">
      <c r="A170" s="26">
        <v>44659.480566817132</v>
      </c>
      <c r="B170" s="27" t="s">
        <v>6</v>
      </c>
      <c r="C170" s="27" t="s">
        <v>11</v>
      </c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  <c r="AX170" s="27" t="s">
        <v>485</v>
      </c>
      <c r="AY170" s="27" t="s">
        <v>486</v>
      </c>
      <c r="AZ170" s="27" t="s">
        <v>639</v>
      </c>
      <c r="BA170" s="27" t="s">
        <v>640</v>
      </c>
      <c r="BB170" s="27" t="s">
        <v>698</v>
      </c>
      <c r="BC170" s="29">
        <v>44371</v>
      </c>
      <c r="BD170" s="29">
        <v>44401</v>
      </c>
      <c r="BE170" s="29">
        <v>44400</v>
      </c>
      <c r="BF170" s="27">
        <v>100</v>
      </c>
      <c r="BG170" s="27" t="s">
        <v>556</v>
      </c>
      <c r="BH170" s="30" t="s">
        <v>704</v>
      </c>
      <c r="BI170" s="28"/>
      <c r="BJ170" s="28"/>
      <c r="BK170" s="28"/>
      <c r="BL170" s="28"/>
      <c r="BM170" s="28"/>
      <c r="BN170" s="28"/>
      <c r="BO170" s="28"/>
      <c r="BP170" s="28"/>
      <c r="BQ170" s="28"/>
      <c r="BR170" s="28"/>
      <c r="BS170" s="28"/>
      <c r="BT170" s="28"/>
      <c r="BU170" s="28"/>
      <c r="BV170" s="28"/>
      <c r="BW170" s="28"/>
      <c r="BX170" s="28"/>
      <c r="BY170" s="19"/>
      <c r="BZ170" s="19"/>
      <c r="CA170" s="19"/>
      <c r="CB170" s="19"/>
      <c r="CC170" s="19"/>
      <c r="CD170" s="19"/>
      <c r="CE170" s="19"/>
      <c r="CF170" s="19"/>
      <c r="CG170" s="19"/>
      <c r="CH170" s="19"/>
      <c r="CI170" s="19"/>
      <c r="CJ170" s="19"/>
      <c r="CK170" s="19"/>
      <c r="CL170" s="19"/>
      <c r="CM170" s="19"/>
      <c r="CN170" s="19"/>
      <c r="CO170" s="19"/>
      <c r="CP170" s="19"/>
      <c r="CQ170" s="19"/>
      <c r="CR170" s="19"/>
      <c r="CS170" s="19"/>
      <c r="CT170" s="19"/>
      <c r="CU170" s="19"/>
      <c r="CV170" s="19"/>
      <c r="CW170" s="19"/>
      <c r="CX170" s="19"/>
      <c r="CY170" s="19"/>
      <c r="CZ170" s="19"/>
      <c r="DA170" s="19"/>
      <c r="DB170" s="19"/>
      <c r="DC170" s="19"/>
      <c r="DD170" s="19"/>
      <c r="DE170" s="19"/>
      <c r="DF170" s="19"/>
      <c r="DG170" s="19"/>
      <c r="DH170" s="19"/>
      <c r="DI170" s="19"/>
      <c r="DJ170" s="19"/>
      <c r="DK170" s="19"/>
      <c r="DL170" s="19"/>
      <c r="DM170" s="19"/>
      <c r="DN170" s="19"/>
      <c r="DO170" s="19"/>
      <c r="DP170" s="19"/>
      <c r="DQ170" s="19"/>
      <c r="DR170" s="19"/>
      <c r="DS170" s="19"/>
      <c r="DT170" s="19"/>
      <c r="DU170" s="19"/>
      <c r="DV170" s="19"/>
      <c r="DW170" s="19"/>
      <c r="DX170" s="19"/>
      <c r="DY170" s="19"/>
      <c r="DZ170" s="19"/>
      <c r="EA170" s="19"/>
      <c r="EB170" s="19"/>
      <c r="EC170" s="19"/>
      <c r="ED170" s="19"/>
      <c r="EE170" s="19"/>
      <c r="EF170" s="19"/>
      <c r="EG170" s="19"/>
      <c r="EH170" s="19"/>
      <c r="EI170" s="19"/>
      <c r="EJ170" s="19"/>
      <c r="EK170" s="19"/>
      <c r="EL170" s="19"/>
      <c r="EM170" s="19"/>
      <c r="EN170" s="19"/>
      <c r="EO170" s="19"/>
      <c r="EP170" s="19"/>
      <c r="EQ170" s="19"/>
      <c r="ER170" s="19"/>
      <c r="ES170" s="19"/>
      <c r="ET170" s="19"/>
      <c r="EU170" s="19"/>
      <c r="EV170" s="19"/>
      <c r="EW170" s="19"/>
      <c r="EX170" s="19"/>
      <c r="EY170" s="19"/>
      <c r="EZ170" s="19"/>
      <c r="FA170" s="19"/>
      <c r="FB170" s="19"/>
      <c r="FC170" s="19"/>
      <c r="FD170" s="19"/>
      <c r="FE170" s="19"/>
      <c r="FF170" s="19"/>
      <c r="FG170" s="19"/>
      <c r="FH170" s="19"/>
      <c r="FI170" s="19"/>
      <c r="FJ170" s="19"/>
      <c r="FK170" s="19"/>
      <c r="FL170" s="20" t="s">
        <v>488</v>
      </c>
      <c r="FM170" s="20" t="s">
        <v>278</v>
      </c>
      <c r="FN170" s="19"/>
      <c r="FO170" s="19"/>
      <c r="FP170" s="19"/>
      <c r="FQ170" s="19"/>
      <c r="FR170" s="19"/>
      <c r="FS170" s="19"/>
      <c r="FT170" s="19"/>
      <c r="FU170" s="19"/>
      <c r="FV170" s="19"/>
      <c r="FW170" s="19"/>
      <c r="FX170" s="19"/>
      <c r="FY170" s="19"/>
      <c r="FZ170" s="19"/>
      <c r="GA170" s="19"/>
      <c r="GB170" s="19"/>
      <c r="GC170" s="19"/>
      <c r="GD170" s="19"/>
      <c r="GE170" s="19"/>
      <c r="GF170" s="19"/>
      <c r="GG170" s="19"/>
      <c r="GH170" s="19"/>
      <c r="GI170" s="19"/>
      <c r="GJ170" s="19"/>
      <c r="GK170" s="19"/>
      <c r="GL170" s="19"/>
      <c r="GM170" s="19"/>
      <c r="GN170" s="19"/>
      <c r="GO170" s="19"/>
      <c r="GP170" s="19"/>
      <c r="GQ170" s="19"/>
      <c r="GR170" s="19"/>
      <c r="GS170" s="19"/>
      <c r="GT170" s="19"/>
      <c r="GU170" s="19"/>
      <c r="GV170" s="19"/>
      <c r="GW170" s="19"/>
      <c r="GX170" s="19"/>
      <c r="GY170" s="19"/>
      <c r="GZ170" s="19"/>
      <c r="HA170" s="19"/>
    </row>
    <row r="171" spans="1:209" ht="23.25" customHeight="1" x14ac:dyDescent="0.15">
      <c r="A171" s="26">
        <v>44659.499246481486</v>
      </c>
      <c r="B171" s="27" t="s">
        <v>6</v>
      </c>
      <c r="C171" s="27" t="s">
        <v>12</v>
      </c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  <c r="BD171" s="28"/>
      <c r="BE171" s="28"/>
      <c r="BF171" s="28"/>
      <c r="BG171" s="28"/>
      <c r="BH171" s="28"/>
      <c r="BI171" s="27" t="s">
        <v>689</v>
      </c>
      <c r="BJ171" s="27" t="s">
        <v>690</v>
      </c>
      <c r="BK171" s="27" t="s">
        <v>166</v>
      </c>
      <c r="BL171" s="27" t="s">
        <v>167</v>
      </c>
      <c r="BM171" s="27" t="s">
        <v>705</v>
      </c>
      <c r="BN171" s="27">
        <v>1</v>
      </c>
      <c r="BO171" s="29">
        <v>44375</v>
      </c>
      <c r="BP171" s="29">
        <v>44405</v>
      </c>
      <c r="BQ171" s="27" t="s">
        <v>706</v>
      </c>
      <c r="BR171" s="27" t="s">
        <v>707</v>
      </c>
      <c r="BS171" s="27" t="s">
        <v>271</v>
      </c>
      <c r="BT171" s="27" t="s">
        <v>151</v>
      </c>
      <c r="BU171" s="28"/>
      <c r="BV171" s="30" t="s">
        <v>708</v>
      </c>
      <c r="BW171" s="28"/>
      <c r="BX171" s="28"/>
      <c r="BY171" s="19"/>
      <c r="BZ171" s="19"/>
      <c r="CA171" s="19"/>
      <c r="CB171" s="19"/>
      <c r="CC171" s="19"/>
      <c r="CD171" s="19"/>
      <c r="CE171" s="19"/>
      <c r="CF171" s="19"/>
      <c r="CG171" s="19"/>
      <c r="CH171" s="19"/>
      <c r="CI171" s="19"/>
      <c r="CJ171" s="19"/>
      <c r="CK171" s="19"/>
      <c r="CL171" s="19"/>
      <c r="CM171" s="19"/>
      <c r="CN171" s="19"/>
      <c r="CO171" s="19"/>
      <c r="CP171" s="19"/>
      <c r="CQ171" s="19"/>
      <c r="CR171" s="19"/>
      <c r="CS171" s="19"/>
      <c r="CT171" s="19"/>
      <c r="CU171" s="19"/>
      <c r="CV171" s="19"/>
      <c r="CW171" s="19"/>
      <c r="CX171" s="19"/>
      <c r="CY171" s="19"/>
      <c r="CZ171" s="19"/>
      <c r="DA171" s="19"/>
      <c r="DB171" s="19"/>
      <c r="DC171" s="19"/>
      <c r="DD171" s="19"/>
      <c r="DE171" s="19"/>
      <c r="DF171" s="19"/>
      <c r="DG171" s="19"/>
      <c r="DH171" s="19"/>
      <c r="DI171" s="19"/>
      <c r="DJ171" s="19"/>
      <c r="DK171" s="19"/>
      <c r="DL171" s="19"/>
      <c r="DM171" s="19"/>
      <c r="DN171" s="19"/>
      <c r="DO171" s="19"/>
      <c r="DP171" s="19"/>
      <c r="DQ171" s="19"/>
      <c r="DR171" s="19"/>
      <c r="DS171" s="19"/>
      <c r="DT171" s="19"/>
      <c r="DU171" s="19"/>
      <c r="DV171" s="19"/>
      <c r="DW171" s="19"/>
      <c r="DX171" s="19"/>
      <c r="DY171" s="19"/>
      <c r="DZ171" s="19"/>
      <c r="EA171" s="19"/>
      <c r="EB171" s="19"/>
      <c r="EC171" s="19"/>
      <c r="ED171" s="19"/>
      <c r="EE171" s="19"/>
      <c r="EF171" s="19"/>
      <c r="EG171" s="19"/>
      <c r="EH171" s="19"/>
      <c r="EI171" s="19"/>
      <c r="EJ171" s="19"/>
      <c r="EK171" s="19"/>
      <c r="EL171" s="19"/>
      <c r="EM171" s="19"/>
      <c r="EN171" s="19"/>
      <c r="EO171" s="19"/>
      <c r="EP171" s="19"/>
      <c r="EQ171" s="19"/>
      <c r="ER171" s="19"/>
      <c r="ES171" s="19"/>
      <c r="ET171" s="19"/>
      <c r="EU171" s="19"/>
      <c r="EV171" s="19"/>
      <c r="EW171" s="19"/>
      <c r="EX171" s="19"/>
      <c r="EY171" s="19"/>
      <c r="EZ171" s="19"/>
      <c r="FA171" s="19"/>
      <c r="FB171" s="19"/>
      <c r="FC171" s="19"/>
      <c r="FD171" s="19"/>
      <c r="FE171" s="19"/>
      <c r="FF171" s="19"/>
      <c r="FG171" s="19"/>
      <c r="FH171" s="19"/>
      <c r="FI171" s="19"/>
      <c r="FJ171" s="19"/>
      <c r="FK171" s="19"/>
      <c r="FL171" s="20" t="s">
        <v>693</v>
      </c>
      <c r="FM171" s="20" t="s">
        <v>278</v>
      </c>
      <c r="FN171" s="19"/>
      <c r="FO171" s="19"/>
      <c r="FP171" s="19"/>
      <c r="FQ171" s="19"/>
      <c r="FR171" s="19"/>
      <c r="FS171" s="19"/>
      <c r="FT171" s="19"/>
      <c r="FU171" s="19"/>
      <c r="FV171" s="19"/>
      <c r="FW171" s="19"/>
      <c r="FX171" s="19"/>
      <c r="FY171" s="19"/>
      <c r="FZ171" s="19"/>
      <c r="GA171" s="19"/>
      <c r="GB171" s="19"/>
      <c r="GC171" s="19"/>
      <c r="GD171" s="19"/>
      <c r="GE171" s="19"/>
      <c r="GF171" s="19"/>
      <c r="GG171" s="19"/>
      <c r="GH171" s="19"/>
      <c r="GI171" s="19"/>
      <c r="GJ171" s="19"/>
      <c r="GK171" s="19"/>
      <c r="GL171" s="19"/>
      <c r="GM171" s="19"/>
      <c r="GN171" s="19"/>
      <c r="GO171" s="19"/>
      <c r="GP171" s="19"/>
      <c r="GQ171" s="19"/>
      <c r="GR171" s="19"/>
      <c r="GS171" s="19"/>
      <c r="GT171" s="19"/>
      <c r="GU171" s="19"/>
      <c r="GV171" s="19"/>
      <c r="GW171" s="19"/>
      <c r="GX171" s="19"/>
      <c r="GY171" s="19"/>
      <c r="GZ171" s="19"/>
      <c r="HA171" s="19"/>
    </row>
    <row r="172" spans="1:209" ht="23.25" customHeight="1" x14ac:dyDescent="0.15">
      <c r="A172" s="26">
        <v>44659.501663888892</v>
      </c>
      <c r="B172" s="27" t="s">
        <v>6</v>
      </c>
      <c r="C172" s="27" t="s">
        <v>11</v>
      </c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  <c r="AX172" s="27" t="s">
        <v>689</v>
      </c>
      <c r="AY172" s="27" t="s">
        <v>690</v>
      </c>
      <c r="AZ172" s="27" t="s">
        <v>709</v>
      </c>
      <c r="BA172" s="27" t="s">
        <v>710</v>
      </c>
      <c r="BB172" s="27" t="s">
        <v>711</v>
      </c>
      <c r="BC172" s="29">
        <v>44573</v>
      </c>
      <c r="BD172" s="29">
        <v>44573</v>
      </c>
      <c r="BE172" s="29">
        <v>44573</v>
      </c>
      <c r="BF172" s="27">
        <v>100</v>
      </c>
      <c r="BG172" s="27" t="s">
        <v>712</v>
      </c>
      <c r="BH172" s="30" t="s">
        <v>713</v>
      </c>
      <c r="BI172" s="28"/>
      <c r="BJ172" s="28"/>
      <c r="BK172" s="28"/>
      <c r="BL172" s="28"/>
      <c r="BM172" s="28"/>
      <c r="BN172" s="28"/>
      <c r="BO172" s="28"/>
      <c r="BP172" s="28"/>
      <c r="BQ172" s="28"/>
      <c r="BR172" s="28"/>
      <c r="BS172" s="28"/>
      <c r="BT172" s="28"/>
      <c r="BU172" s="28"/>
      <c r="BV172" s="28"/>
      <c r="BW172" s="28"/>
      <c r="BX172" s="28"/>
      <c r="BY172" s="19"/>
      <c r="BZ172" s="19"/>
      <c r="CA172" s="19"/>
      <c r="CB172" s="19"/>
      <c r="CC172" s="19"/>
      <c r="CD172" s="19"/>
      <c r="CE172" s="19"/>
      <c r="CF172" s="19"/>
      <c r="CG172" s="19"/>
      <c r="CH172" s="19"/>
      <c r="CI172" s="19"/>
      <c r="CJ172" s="19"/>
      <c r="CK172" s="19"/>
      <c r="CL172" s="19"/>
      <c r="CM172" s="19"/>
      <c r="CN172" s="19"/>
      <c r="CO172" s="19"/>
      <c r="CP172" s="19"/>
      <c r="CQ172" s="19"/>
      <c r="CR172" s="19"/>
      <c r="CS172" s="19"/>
      <c r="CT172" s="19"/>
      <c r="CU172" s="19"/>
      <c r="CV172" s="19"/>
      <c r="CW172" s="19"/>
      <c r="CX172" s="19"/>
      <c r="CY172" s="19"/>
      <c r="CZ172" s="19"/>
      <c r="DA172" s="19"/>
      <c r="DB172" s="19"/>
      <c r="DC172" s="19"/>
      <c r="DD172" s="19"/>
      <c r="DE172" s="19"/>
      <c r="DF172" s="19"/>
      <c r="DG172" s="19"/>
      <c r="DH172" s="19"/>
      <c r="DI172" s="19"/>
      <c r="DJ172" s="19"/>
      <c r="DK172" s="19"/>
      <c r="DL172" s="19"/>
      <c r="DM172" s="19"/>
      <c r="DN172" s="19"/>
      <c r="DO172" s="19"/>
      <c r="DP172" s="19"/>
      <c r="DQ172" s="19"/>
      <c r="DR172" s="19"/>
      <c r="DS172" s="19"/>
      <c r="DT172" s="19"/>
      <c r="DU172" s="19"/>
      <c r="DV172" s="19"/>
      <c r="DW172" s="19"/>
      <c r="DX172" s="19"/>
      <c r="DY172" s="19"/>
      <c r="DZ172" s="19"/>
      <c r="EA172" s="19"/>
      <c r="EB172" s="19"/>
      <c r="EC172" s="19"/>
      <c r="ED172" s="19"/>
      <c r="EE172" s="19"/>
      <c r="EF172" s="19"/>
      <c r="EG172" s="19"/>
      <c r="EH172" s="19"/>
      <c r="EI172" s="19"/>
      <c r="EJ172" s="19"/>
      <c r="EK172" s="19"/>
      <c r="EL172" s="19"/>
      <c r="EM172" s="19"/>
      <c r="EN172" s="19"/>
      <c r="EO172" s="19"/>
      <c r="EP172" s="19"/>
      <c r="EQ172" s="19"/>
      <c r="ER172" s="19"/>
      <c r="ES172" s="19"/>
      <c r="ET172" s="19"/>
      <c r="EU172" s="19"/>
      <c r="EV172" s="19"/>
      <c r="EW172" s="19"/>
      <c r="EX172" s="19"/>
      <c r="EY172" s="19"/>
      <c r="EZ172" s="19"/>
      <c r="FA172" s="19"/>
      <c r="FB172" s="19"/>
      <c r="FC172" s="19"/>
      <c r="FD172" s="19"/>
      <c r="FE172" s="19"/>
      <c r="FF172" s="19"/>
      <c r="FG172" s="19"/>
      <c r="FH172" s="19"/>
      <c r="FI172" s="19"/>
      <c r="FJ172" s="19"/>
      <c r="FK172" s="19"/>
      <c r="FL172" s="20" t="s">
        <v>693</v>
      </c>
      <c r="FM172" s="20" t="s">
        <v>273</v>
      </c>
      <c r="FN172" s="19"/>
      <c r="FO172" s="19"/>
      <c r="FP172" s="19"/>
      <c r="FQ172" s="19"/>
      <c r="FR172" s="19"/>
      <c r="FS172" s="19"/>
      <c r="FT172" s="19"/>
      <c r="FU172" s="19"/>
      <c r="FV172" s="19"/>
      <c r="FW172" s="19"/>
      <c r="FX172" s="19"/>
      <c r="FY172" s="19"/>
      <c r="FZ172" s="19"/>
      <c r="GA172" s="19"/>
      <c r="GB172" s="19"/>
      <c r="GC172" s="19"/>
      <c r="GD172" s="19"/>
      <c r="GE172" s="19"/>
      <c r="GF172" s="19"/>
      <c r="GG172" s="19"/>
      <c r="GH172" s="19"/>
      <c r="GI172" s="19"/>
      <c r="GJ172" s="19"/>
      <c r="GK172" s="19"/>
      <c r="GL172" s="19"/>
      <c r="GM172" s="19"/>
      <c r="GN172" s="19"/>
      <c r="GO172" s="19"/>
      <c r="GP172" s="19"/>
      <c r="GQ172" s="19"/>
      <c r="GR172" s="19"/>
      <c r="GS172" s="19"/>
      <c r="GT172" s="19"/>
      <c r="GU172" s="19"/>
      <c r="GV172" s="19"/>
      <c r="GW172" s="19"/>
      <c r="GX172" s="19"/>
      <c r="GY172" s="19"/>
      <c r="GZ172" s="19"/>
      <c r="HA172" s="19"/>
    </row>
    <row r="173" spans="1:209" ht="23.25" customHeight="1" x14ac:dyDescent="0.15">
      <c r="A173" s="26">
        <v>44659.521903564819</v>
      </c>
      <c r="B173" s="27" t="s">
        <v>6</v>
      </c>
      <c r="C173" s="27" t="s">
        <v>11</v>
      </c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  <c r="AX173" s="27" t="s">
        <v>714</v>
      </c>
      <c r="AY173" s="27" t="s">
        <v>715</v>
      </c>
      <c r="AZ173" s="27" t="s">
        <v>716</v>
      </c>
      <c r="BA173" s="27" t="s">
        <v>407</v>
      </c>
      <c r="BB173" s="27" t="s">
        <v>308</v>
      </c>
      <c r="BC173" s="29">
        <v>43563</v>
      </c>
      <c r="BD173" s="29">
        <v>43564</v>
      </c>
      <c r="BE173" s="29">
        <v>43618</v>
      </c>
      <c r="BF173" s="27">
        <v>90</v>
      </c>
      <c r="BG173" s="27" t="s">
        <v>409</v>
      </c>
      <c r="BH173" s="30" t="s">
        <v>717</v>
      </c>
      <c r="BI173" s="28"/>
      <c r="BJ173" s="28"/>
      <c r="BK173" s="28"/>
      <c r="BL173" s="28"/>
      <c r="BM173" s="28"/>
      <c r="BN173" s="28"/>
      <c r="BO173" s="28"/>
      <c r="BP173" s="28"/>
      <c r="BQ173" s="28"/>
      <c r="BR173" s="28"/>
      <c r="BS173" s="28"/>
      <c r="BT173" s="28"/>
      <c r="BU173" s="28"/>
      <c r="BV173" s="28"/>
      <c r="BW173" s="28"/>
      <c r="BX173" s="28"/>
      <c r="BY173" s="19"/>
      <c r="BZ173" s="19"/>
      <c r="CA173" s="19"/>
      <c r="CB173" s="19"/>
      <c r="CC173" s="19"/>
      <c r="CD173" s="19"/>
      <c r="CE173" s="19"/>
      <c r="CF173" s="19"/>
      <c r="CG173" s="19"/>
      <c r="CH173" s="19"/>
      <c r="CI173" s="19"/>
      <c r="CJ173" s="19"/>
      <c r="CK173" s="19"/>
      <c r="CL173" s="19"/>
      <c r="CM173" s="19"/>
      <c r="CN173" s="19"/>
      <c r="CO173" s="19"/>
      <c r="CP173" s="19"/>
      <c r="CQ173" s="19"/>
      <c r="CR173" s="19"/>
      <c r="CS173" s="19"/>
      <c r="CT173" s="19"/>
      <c r="CU173" s="19"/>
      <c r="CV173" s="19"/>
      <c r="CW173" s="19"/>
      <c r="CX173" s="19"/>
      <c r="CY173" s="19"/>
      <c r="CZ173" s="19"/>
      <c r="DA173" s="19"/>
      <c r="DB173" s="19"/>
      <c r="DC173" s="19"/>
      <c r="DD173" s="19"/>
      <c r="DE173" s="19"/>
      <c r="DF173" s="19"/>
      <c r="DG173" s="19"/>
      <c r="DH173" s="19"/>
      <c r="DI173" s="19"/>
      <c r="DJ173" s="19"/>
      <c r="DK173" s="19"/>
      <c r="DL173" s="19"/>
      <c r="DM173" s="19"/>
      <c r="DN173" s="19"/>
      <c r="DO173" s="19"/>
      <c r="DP173" s="19"/>
      <c r="DQ173" s="19"/>
      <c r="DR173" s="19"/>
      <c r="DS173" s="19"/>
      <c r="DT173" s="19"/>
      <c r="DU173" s="19"/>
      <c r="DV173" s="19"/>
      <c r="DW173" s="19"/>
      <c r="DX173" s="19"/>
      <c r="DY173" s="19"/>
      <c r="DZ173" s="19"/>
      <c r="EA173" s="19"/>
      <c r="EB173" s="19"/>
      <c r="EC173" s="19"/>
      <c r="ED173" s="19"/>
      <c r="EE173" s="19"/>
      <c r="EF173" s="19"/>
      <c r="EG173" s="19"/>
      <c r="EH173" s="19"/>
      <c r="EI173" s="19"/>
      <c r="EJ173" s="19"/>
      <c r="EK173" s="19"/>
      <c r="EL173" s="19"/>
      <c r="EM173" s="19"/>
      <c r="EN173" s="19"/>
      <c r="EO173" s="19"/>
      <c r="EP173" s="19"/>
      <c r="EQ173" s="19"/>
      <c r="ER173" s="19"/>
      <c r="ES173" s="19"/>
      <c r="ET173" s="19"/>
      <c r="EU173" s="19"/>
      <c r="EV173" s="19"/>
      <c r="EW173" s="19"/>
      <c r="EX173" s="19"/>
      <c r="EY173" s="19"/>
      <c r="EZ173" s="19"/>
      <c r="FA173" s="19"/>
      <c r="FB173" s="19"/>
      <c r="FC173" s="19"/>
      <c r="FD173" s="19"/>
      <c r="FE173" s="19"/>
      <c r="FF173" s="19"/>
      <c r="FG173" s="19"/>
      <c r="FH173" s="19"/>
      <c r="FI173" s="19"/>
      <c r="FJ173" s="19"/>
      <c r="FK173" s="19"/>
      <c r="FL173" s="20" t="s">
        <v>718</v>
      </c>
      <c r="FM173" s="20" t="s">
        <v>255</v>
      </c>
      <c r="FN173" s="19"/>
      <c r="FO173" s="19"/>
      <c r="FP173" s="19"/>
      <c r="FQ173" s="19"/>
      <c r="FR173" s="19"/>
      <c r="FS173" s="19"/>
      <c r="FT173" s="19"/>
      <c r="FU173" s="19"/>
      <c r="FV173" s="19"/>
      <c r="FW173" s="19"/>
      <c r="FX173" s="19"/>
      <c r="FY173" s="19"/>
      <c r="FZ173" s="19"/>
      <c r="GA173" s="19"/>
      <c r="GB173" s="19"/>
      <c r="GC173" s="19"/>
      <c r="GD173" s="19"/>
      <c r="GE173" s="19"/>
      <c r="GF173" s="19"/>
      <c r="GG173" s="19"/>
      <c r="GH173" s="19"/>
      <c r="GI173" s="19"/>
      <c r="GJ173" s="19"/>
      <c r="GK173" s="19"/>
      <c r="GL173" s="19"/>
      <c r="GM173" s="19"/>
      <c r="GN173" s="19"/>
      <c r="GO173" s="19"/>
      <c r="GP173" s="19"/>
      <c r="GQ173" s="19"/>
      <c r="GR173" s="19"/>
      <c r="GS173" s="19"/>
      <c r="GT173" s="19"/>
      <c r="GU173" s="19"/>
      <c r="GV173" s="19"/>
      <c r="GW173" s="19"/>
      <c r="GX173" s="19"/>
      <c r="GY173" s="19"/>
      <c r="GZ173" s="19"/>
      <c r="HA173" s="19"/>
    </row>
    <row r="174" spans="1:209" ht="23.25" customHeight="1" x14ac:dyDescent="0.15">
      <c r="A174" s="26">
        <v>44659.524168136573</v>
      </c>
      <c r="B174" s="27" t="s">
        <v>6</v>
      </c>
      <c r="C174" s="27" t="s">
        <v>11</v>
      </c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  <c r="AX174" s="27" t="s">
        <v>714</v>
      </c>
      <c r="AY174" s="27" t="s">
        <v>715</v>
      </c>
      <c r="AZ174" s="27" t="s">
        <v>349</v>
      </c>
      <c r="BA174" s="27" t="s">
        <v>407</v>
      </c>
      <c r="BB174" s="27" t="s">
        <v>308</v>
      </c>
      <c r="BC174" s="29">
        <v>43615</v>
      </c>
      <c r="BD174" s="29">
        <v>43676</v>
      </c>
      <c r="BE174" s="29">
        <v>43676</v>
      </c>
      <c r="BF174" s="27">
        <v>90</v>
      </c>
      <c r="BG174" s="27" t="s">
        <v>719</v>
      </c>
      <c r="BH174" s="30" t="s">
        <v>720</v>
      </c>
      <c r="BI174" s="28"/>
      <c r="BJ174" s="28"/>
      <c r="BK174" s="28"/>
      <c r="BL174" s="28"/>
      <c r="BM174" s="28"/>
      <c r="BN174" s="28"/>
      <c r="BO174" s="28"/>
      <c r="BP174" s="28"/>
      <c r="BQ174" s="28"/>
      <c r="BR174" s="28"/>
      <c r="BS174" s="28"/>
      <c r="BT174" s="28"/>
      <c r="BU174" s="28"/>
      <c r="BV174" s="28"/>
      <c r="BW174" s="28"/>
      <c r="BX174" s="28"/>
      <c r="BY174" s="19"/>
      <c r="BZ174" s="19"/>
      <c r="CA174" s="19"/>
      <c r="CB174" s="19"/>
      <c r="CC174" s="19"/>
      <c r="CD174" s="19"/>
      <c r="CE174" s="19"/>
      <c r="CF174" s="19"/>
      <c r="CG174" s="19"/>
      <c r="CH174" s="19"/>
      <c r="CI174" s="19"/>
      <c r="CJ174" s="19"/>
      <c r="CK174" s="19"/>
      <c r="CL174" s="19"/>
      <c r="CM174" s="19"/>
      <c r="CN174" s="19"/>
      <c r="CO174" s="19"/>
      <c r="CP174" s="19"/>
      <c r="CQ174" s="19"/>
      <c r="CR174" s="19"/>
      <c r="CS174" s="19"/>
      <c r="CT174" s="19"/>
      <c r="CU174" s="19"/>
      <c r="CV174" s="19"/>
      <c r="CW174" s="19"/>
      <c r="CX174" s="19"/>
      <c r="CY174" s="19"/>
      <c r="CZ174" s="19"/>
      <c r="DA174" s="19"/>
      <c r="DB174" s="19"/>
      <c r="DC174" s="19"/>
      <c r="DD174" s="19"/>
      <c r="DE174" s="19"/>
      <c r="DF174" s="19"/>
      <c r="DG174" s="19"/>
      <c r="DH174" s="19"/>
      <c r="DI174" s="19"/>
      <c r="DJ174" s="19"/>
      <c r="DK174" s="19"/>
      <c r="DL174" s="19"/>
      <c r="DM174" s="19"/>
      <c r="DN174" s="19"/>
      <c r="DO174" s="19"/>
      <c r="DP174" s="19"/>
      <c r="DQ174" s="19"/>
      <c r="DR174" s="19"/>
      <c r="DS174" s="19"/>
      <c r="DT174" s="19"/>
      <c r="DU174" s="19"/>
      <c r="DV174" s="19"/>
      <c r="DW174" s="19"/>
      <c r="DX174" s="19"/>
      <c r="DY174" s="19"/>
      <c r="DZ174" s="19"/>
      <c r="EA174" s="19"/>
      <c r="EB174" s="19"/>
      <c r="EC174" s="19"/>
      <c r="ED174" s="19"/>
      <c r="EE174" s="19"/>
      <c r="EF174" s="19"/>
      <c r="EG174" s="19"/>
      <c r="EH174" s="19"/>
      <c r="EI174" s="19"/>
      <c r="EJ174" s="19"/>
      <c r="EK174" s="19"/>
      <c r="EL174" s="19"/>
      <c r="EM174" s="19"/>
      <c r="EN174" s="19"/>
      <c r="EO174" s="19"/>
      <c r="EP174" s="19"/>
      <c r="EQ174" s="19"/>
      <c r="ER174" s="19"/>
      <c r="ES174" s="19"/>
      <c r="ET174" s="19"/>
      <c r="EU174" s="19"/>
      <c r="EV174" s="19"/>
      <c r="EW174" s="19"/>
      <c r="EX174" s="19"/>
      <c r="EY174" s="19"/>
      <c r="EZ174" s="19"/>
      <c r="FA174" s="19"/>
      <c r="FB174" s="19"/>
      <c r="FC174" s="19"/>
      <c r="FD174" s="19"/>
      <c r="FE174" s="19"/>
      <c r="FF174" s="19"/>
      <c r="FG174" s="19"/>
      <c r="FH174" s="19"/>
      <c r="FI174" s="19"/>
      <c r="FJ174" s="19"/>
      <c r="FK174" s="19"/>
      <c r="FL174" s="20" t="s">
        <v>718</v>
      </c>
      <c r="FM174" s="20" t="s">
        <v>255</v>
      </c>
      <c r="FN174" s="19"/>
      <c r="FO174" s="19"/>
      <c r="FP174" s="19"/>
      <c r="FQ174" s="19"/>
      <c r="FR174" s="19"/>
      <c r="FS174" s="19"/>
      <c r="FT174" s="19"/>
      <c r="FU174" s="19"/>
      <c r="FV174" s="19"/>
      <c r="FW174" s="19"/>
      <c r="FX174" s="19"/>
      <c r="FY174" s="19"/>
      <c r="FZ174" s="19"/>
      <c r="GA174" s="19"/>
      <c r="GB174" s="19"/>
      <c r="GC174" s="19"/>
      <c r="GD174" s="19"/>
      <c r="GE174" s="19"/>
      <c r="GF174" s="19"/>
      <c r="GG174" s="19"/>
      <c r="GH174" s="19"/>
      <c r="GI174" s="19"/>
      <c r="GJ174" s="19"/>
      <c r="GK174" s="19"/>
      <c r="GL174" s="19"/>
      <c r="GM174" s="19"/>
      <c r="GN174" s="19"/>
      <c r="GO174" s="19"/>
      <c r="GP174" s="19"/>
      <c r="GQ174" s="19"/>
      <c r="GR174" s="19"/>
      <c r="GS174" s="19"/>
      <c r="GT174" s="19"/>
      <c r="GU174" s="19"/>
      <c r="GV174" s="19"/>
      <c r="GW174" s="19"/>
      <c r="GX174" s="19"/>
      <c r="GY174" s="19"/>
      <c r="GZ174" s="19"/>
      <c r="HA174" s="19"/>
    </row>
    <row r="175" spans="1:209" ht="23.25" customHeight="1" x14ac:dyDescent="0.15">
      <c r="A175" s="26">
        <v>44659.526006643515</v>
      </c>
      <c r="B175" s="27" t="s">
        <v>6</v>
      </c>
      <c r="C175" s="27" t="s">
        <v>11</v>
      </c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  <c r="AX175" s="27" t="s">
        <v>714</v>
      </c>
      <c r="AY175" s="27" t="s">
        <v>715</v>
      </c>
      <c r="AZ175" s="27" t="s">
        <v>568</v>
      </c>
      <c r="BA175" s="27" t="s">
        <v>407</v>
      </c>
      <c r="BB175" s="27" t="s">
        <v>308</v>
      </c>
      <c r="BC175" s="29">
        <v>43920</v>
      </c>
      <c r="BD175" s="29">
        <v>43964</v>
      </c>
      <c r="BE175" s="29">
        <v>43981</v>
      </c>
      <c r="BF175" s="27">
        <v>90</v>
      </c>
      <c r="BG175" s="27" t="s">
        <v>719</v>
      </c>
      <c r="BH175" s="30" t="s">
        <v>721</v>
      </c>
      <c r="BI175" s="28"/>
      <c r="BJ175" s="28"/>
      <c r="BK175" s="28"/>
      <c r="BL175" s="28"/>
      <c r="BM175" s="28"/>
      <c r="BN175" s="28"/>
      <c r="BO175" s="28"/>
      <c r="BP175" s="28"/>
      <c r="BQ175" s="28"/>
      <c r="BR175" s="28"/>
      <c r="BS175" s="28"/>
      <c r="BT175" s="28"/>
      <c r="BU175" s="28"/>
      <c r="BV175" s="28"/>
      <c r="BW175" s="28"/>
      <c r="BX175" s="28"/>
      <c r="BY175" s="19"/>
      <c r="BZ175" s="19"/>
      <c r="CA175" s="19"/>
      <c r="CB175" s="19"/>
      <c r="CC175" s="19"/>
      <c r="CD175" s="19"/>
      <c r="CE175" s="19"/>
      <c r="CF175" s="19"/>
      <c r="CG175" s="19"/>
      <c r="CH175" s="19"/>
      <c r="CI175" s="19"/>
      <c r="CJ175" s="19"/>
      <c r="CK175" s="19"/>
      <c r="CL175" s="19"/>
      <c r="CM175" s="19"/>
      <c r="CN175" s="19"/>
      <c r="CO175" s="19"/>
      <c r="CP175" s="19"/>
      <c r="CQ175" s="19"/>
      <c r="CR175" s="19"/>
      <c r="CS175" s="19"/>
      <c r="CT175" s="19"/>
      <c r="CU175" s="19"/>
      <c r="CV175" s="19"/>
      <c r="CW175" s="19"/>
      <c r="CX175" s="19"/>
      <c r="CY175" s="19"/>
      <c r="CZ175" s="19"/>
      <c r="DA175" s="19"/>
      <c r="DB175" s="19"/>
      <c r="DC175" s="19"/>
      <c r="DD175" s="19"/>
      <c r="DE175" s="19"/>
      <c r="DF175" s="19"/>
      <c r="DG175" s="19"/>
      <c r="DH175" s="19"/>
      <c r="DI175" s="19"/>
      <c r="DJ175" s="19"/>
      <c r="DK175" s="19"/>
      <c r="DL175" s="19"/>
      <c r="DM175" s="19"/>
      <c r="DN175" s="19"/>
      <c r="DO175" s="19"/>
      <c r="DP175" s="19"/>
      <c r="DQ175" s="19"/>
      <c r="DR175" s="19"/>
      <c r="DS175" s="19"/>
      <c r="DT175" s="19"/>
      <c r="DU175" s="19"/>
      <c r="DV175" s="19"/>
      <c r="DW175" s="19"/>
      <c r="DX175" s="19"/>
      <c r="DY175" s="19"/>
      <c r="DZ175" s="19"/>
      <c r="EA175" s="19"/>
      <c r="EB175" s="19"/>
      <c r="EC175" s="19"/>
      <c r="ED175" s="19"/>
      <c r="EE175" s="19"/>
      <c r="EF175" s="19"/>
      <c r="EG175" s="19"/>
      <c r="EH175" s="19"/>
      <c r="EI175" s="19"/>
      <c r="EJ175" s="19"/>
      <c r="EK175" s="19"/>
      <c r="EL175" s="19"/>
      <c r="EM175" s="19"/>
      <c r="EN175" s="19"/>
      <c r="EO175" s="19"/>
      <c r="EP175" s="19"/>
      <c r="EQ175" s="19"/>
      <c r="ER175" s="19"/>
      <c r="ES175" s="19"/>
      <c r="ET175" s="19"/>
      <c r="EU175" s="19"/>
      <c r="EV175" s="19"/>
      <c r="EW175" s="19"/>
      <c r="EX175" s="19"/>
      <c r="EY175" s="19"/>
      <c r="EZ175" s="19"/>
      <c r="FA175" s="19"/>
      <c r="FB175" s="19"/>
      <c r="FC175" s="19"/>
      <c r="FD175" s="19"/>
      <c r="FE175" s="19"/>
      <c r="FF175" s="19"/>
      <c r="FG175" s="19"/>
      <c r="FH175" s="19"/>
      <c r="FI175" s="19"/>
      <c r="FJ175" s="19"/>
      <c r="FK175" s="19"/>
      <c r="FL175" s="20" t="s">
        <v>718</v>
      </c>
      <c r="FM175" s="20" t="s">
        <v>255</v>
      </c>
      <c r="FN175" s="19"/>
      <c r="FO175" s="19"/>
      <c r="FP175" s="19"/>
      <c r="FQ175" s="19"/>
      <c r="FR175" s="19"/>
      <c r="FS175" s="19"/>
      <c r="FT175" s="19"/>
      <c r="FU175" s="19"/>
      <c r="FV175" s="19"/>
      <c r="FW175" s="19"/>
      <c r="FX175" s="19"/>
      <c r="FY175" s="19"/>
      <c r="FZ175" s="19"/>
      <c r="GA175" s="19"/>
      <c r="GB175" s="19"/>
      <c r="GC175" s="19"/>
      <c r="GD175" s="19"/>
      <c r="GE175" s="19"/>
      <c r="GF175" s="19"/>
      <c r="GG175" s="19"/>
      <c r="GH175" s="19"/>
      <c r="GI175" s="19"/>
      <c r="GJ175" s="19"/>
      <c r="GK175" s="19"/>
      <c r="GL175" s="19"/>
      <c r="GM175" s="19"/>
      <c r="GN175" s="19"/>
      <c r="GO175" s="19"/>
      <c r="GP175" s="19"/>
      <c r="GQ175" s="19"/>
      <c r="GR175" s="19"/>
      <c r="GS175" s="19"/>
      <c r="GT175" s="19"/>
      <c r="GU175" s="19"/>
      <c r="GV175" s="19"/>
      <c r="GW175" s="19"/>
      <c r="GX175" s="19"/>
      <c r="GY175" s="19"/>
      <c r="GZ175" s="19"/>
      <c r="HA175" s="19"/>
    </row>
    <row r="176" spans="1:209" ht="23.25" customHeight="1" x14ac:dyDescent="0.15">
      <c r="A176" s="26">
        <v>44659.528226273149</v>
      </c>
      <c r="B176" s="27" t="s">
        <v>6</v>
      </c>
      <c r="C176" s="27" t="s">
        <v>11</v>
      </c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  <c r="AX176" s="27" t="s">
        <v>714</v>
      </c>
      <c r="AY176" s="27" t="s">
        <v>715</v>
      </c>
      <c r="AZ176" s="27" t="s">
        <v>664</v>
      </c>
      <c r="BA176" s="27" t="s">
        <v>407</v>
      </c>
      <c r="BB176" s="27" t="s">
        <v>308</v>
      </c>
      <c r="BC176" s="29">
        <v>43930</v>
      </c>
      <c r="BD176" s="29">
        <v>43991</v>
      </c>
      <c r="BE176" s="29">
        <v>43991</v>
      </c>
      <c r="BF176" s="27">
        <v>90</v>
      </c>
      <c r="BG176" s="27" t="s">
        <v>722</v>
      </c>
      <c r="BH176" s="30" t="s">
        <v>723</v>
      </c>
      <c r="BI176" s="28"/>
      <c r="BJ176" s="28"/>
      <c r="BK176" s="28"/>
      <c r="BL176" s="28"/>
      <c r="BM176" s="28"/>
      <c r="BN176" s="28"/>
      <c r="BO176" s="28"/>
      <c r="BP176" s="28"/>
      <c r="BQ176" s="28"/>
      <c r="BR176" s="28"/>
      <c r="BS176" s="28"/>
      <c r="BT176" s="28"/>
      <c r="BU176" s="28"/>
      <c r="BV176" s="28"/>
      <c r="BW176" s="28"/>
      <c r="BX176" s="28"/>
      <c r="BY176" s="19"/>
      <c r="BZ176" s="19"/>
      <c r="CA176" s="19"/>
      <c r="CB176" s="19"/>
      <c r="CC176" s="19"/>
      <c r="CD176" s="19"/>
      <c r="CE176" s="19"/>
      <c r="CF176" s="19"/>
      <c r="CG176" s="19"/>
      <c r="CH176" s="19"/>
      <c r="CI176" s="19"/>
      <c r="CJ176" s="19"/>
      <c r="CK176" s="19"/>
      <c r="CL176" s="19"/>
      <c r="CM176" s="19"/>
      <c r="CN176" s="19"/>
      <c r="CO176" s="19"/>
      <c r="CP176" s="19"/>
      <c r="CQ176" s="19"/>
      <c r="CR176" s="19"/>
      <c r="CS176" s="19"/>
      <c r="CT176" s="19"/>
      <c r="CU176" s="19"/>
      <c r="CV176" s="19"/>
      <c r="CW176" s="19"/>
      <c r="CX176" s="19"/>
      <c r="CY176" s="19"/>
      <c r="CZ176" s="19"/>
      <c r="DA176" s="19"/>
      <c r="DB176" s="19"/>
      <c r="DC176" s="19"/>
      <c r="DD176" s="19"/>
      <c r="DE176" s="19"/>
      <c r="DF176" s="19"/>
      <c r="DG176" s="19"/>
      <c r="DH176" s="19"/>
      <c r="DI176" s="19"/>
      <c r="DJ176" s="19"/>
      <c r="DK176" s="19"/>
      <c r="DL176" s="19"/>
      <c r="DM176" s="19"/>
      <c r="DN176" s="19"/>
      <c r="DO176" s="19"/>
      <c r="DP176" s="19"/>
      <c r="DQ176" s="19"/>
      <c r="DR176" s="19"/>
      <c r="DS176" s="19"/>
      <c r="DT176" s="19"/>
      <c r="DU176" s="19"/>
      <c r="DV176" s="19"/>
      <c r="DW176" s="19"/>
      <c r="DX176" s="19"/>
      <c r="DY176" s="19"/>
      <c r="DZ176" s="19"/>
      <c r="EA176" s="19"/>
      <c r="EB176" s="19"/>
      <c r="EC176" s="19"/>
      <c r="ED176" s="19"/>
      <c r="EE176" s="19"/>
      <c r="EF176" s="19"/>
      <c r="EG176" s="19"/>
      <c r="EH176" s="19"/>
      <c r="EI176" s="19"/>
      <c r="EJ176" s="19"/>
      <c r="EK176" s="19"/>
      <c r="EL176" s="19"/>
      <c r="EM176" s="19"/>
      <c r="EN176" s="19"/>
      <c r="EO176" s="19"/>
      <c r="EP176" s="19"/>
      <c r="EQ176" s="19"/>
      <c r="ER176" s="19"/>
      <c r="ES176" s="19"/>
      <c r="ET176" s="19"/>
      <c r="EU176" s="19"/>
      <c r="EV176" s="19"/>
      <c r="EW176" s="19"/>
      <c r="EX176" s="19"/>
      <c r="EY176" s="19"/>
      <c r="EZ176" s="19"/>
      <c r="FA176" s="19"/>
      <c r="FB176" s="19"/>
      <c r="FC176" s="19"/>
      <c r="FD176" s="19"/>
      <c r="FE176" s="19"/>
      <c r="FF176" s="19"/>
      <c r="FG176" s="19"/>
      <c r="FH176" s="19"/>
      <c r="FI176" s="19"/>
      <c r="FJ176" s="19"/>
      <c r="FK176" s="19"/>
      <c r="FL176" s="20" t="s">
        <v>718</v>
      </c>
      <c r="FM176" s="20" t="s">
        <v>255</v>
      </c>
      <c r="FN176" s="19"/>
      <c r="FO176" s="19"/>
      <c r="FP176" s="19"/>
      <c r="FQ176" s="19"/>
      <c r="FR176" s="19"/>
      <c r="FS176" s="19"/>
      <c r="FT176" s="19"/>
      <c r="FU176" s="19"/>
      <c r="FV176" s="19"/>
      <c r="FW176" s="19"/>
      <c r="FX176" s="19"/>
      <c r="FY176" s="19"/>
      <c r="FZ176" s="19"/>
      <c r="GA176" s="19"/>
      <c r="GB176" s="19"/>
      <c r="GC176" s="19"/>
      <c r="GD176" s="19"/>
      <c r="GE176" s="19"/>
      <c r="GF176" s="19"/>
      <c r="GG176" s="19"/>
      <c r="GH176" s="19"/>
      <c r="GI176" s="19"/>
      <c r="GJ176" s="19"/>
      <c r="GK176" s="19"/>
      <c r="GL176" s="19"/>
      <c r="GM176" s="19"/>
      <c r="GN176" s="19"/>
      <c r="GO176" s="19"/>
      <c r="GP176" s="19"/>
      <c r="GQ176" s="19"/>
      <c r="GR176" s="19"/>
      <c r="GS176" s="19"/>
      <c r="GT176" s="19"/>
      <c r="GU176" s="19"/>
      <c r="GV176" s="19"/>
      <c r="GW176" s="19"/>
      <c r="GX176" s="19"/>
      <c r="GY176" s="19"/>
      <c r="GZ176" s="19"/>
      <c r="HA176" s="19"/>
    </row>
    <row r="177" spans="1:209" ht="23.25" customHeight="1" x14ac:dyDescent="0.15">
      <c r="A177" s="26">
        <v>44659.529809525462</v>
      </c>
      <c r="B177" s="27" t="s">
        <v>6</v>
      </c>
      <c r="C177" s="27" t="s">
        <v>11</v>
      </c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  <c r="AX177" s="27" t="s">
        <v>714</v>
      </c>
      <c r="AY177" s="27" t="s">
        <v>715</v>
      </c>
      <c r="AZ177" s="27" t="s">
        <v>724</v>
      </c>
      <c r="BA177" s="27" t="s">
        <v>407</v>
      </c>
      <c r="BB177" s="27" t="s">
        <v>308</v>
      </c>
      <c r="BC177" s="29">
        <v>43981</v>
      </c>
      <c r="BD177" s="29">
        <v>44042</v>
      </c>
      <c r="BE177" s="29">
        <v>44042</v>
      </c>
      <c r="BF177" s="27">
        <v>82</v>
      </c>
      <c r="BG177" s="27" t="s">
        <v>722</v>
      </c>
      <c r="BH177" s="30" t="s">
        <v>725</v>
      </c>
      <c r="BI177" s="28"/>
      <c r="BJ177" s="28"/>
      <c r="BK177" s="28"/>
      <c r="BL177" s="28"/>
      <c r="BM177" s="28"/>
      <c r="BN177" s="28"/>
      <c r="BO177" s="28"/>
      <c r="BP177" s="28"/>
      <c r="BQ177" s="28"/>
      <c r="BR177" s="28"/>
      <c r="BS177" s="28"/>
      <c r="BT177" s="28"/>
      <c r="BU177" s="28"/>
      <c r="BV177" s="28"/>
      <c r="BW177" s="28"/>
      <c r="BX177" s="28"/>
      <c r="BY177" s="19"/>
      <c r="BZ177" s="19"/>
      <c r="CA177" s="19"/>
      <c r="CB177" s="19"/>
      <c r="CC177" s="19"/>
      <c r="CD177" s="19"/>
      <c r="CE177" s="19"/>
      <c r="CF177" s="19"/>
      <c r="CG177" s="19"/>
      <c r="CH177" s="19"/>
      <c r="CI177" s="19"/>
      <c r="CJ177" s="19"/>
      <c r="CK177" s="19"/>
      <c r="CL177" s="19"/>
      <c r="CM177" s="19"/>
      <c r="CN177" s="19"/>
      <c r="CO177" s="19"/>
      <c r="CP177" s="19"/>
      <c r="CQ177" s="19"/>
      <c r="CR177" s="19"/>
      <c r="CS177" s="19"/>
      <c r="CT177" s="19"/>
      <c r="CU177" s="19"/>
      <c r="CV177" s="19"/>
      <c r="CW177" s="19"/>
      <c r="CX177" s="19"/>
      <c r="CY177" s="19"/>
      <c r="CZ177" s="19"/>
      <c r="DA177" s="19"/>
      <c r="DB177" s="19"/>
      <c r="DC177" s="19"/>
      <c r="DD177" s="19"/>
      <c r="DE177" s="19"/>
      <c r="DF177" s="19"/>
      <c r="DG177" s="19"/>
      <c r="DH177" s="19"/>
      <c r="DI177" s="19"/>
      <c r="DJ177" s="19"/>
      <c r="DK177" s="19"/>
      <c r="DL177" s="19"/>
      <c r="DM177" s="19"/>
      <c r="DN177" s="19"/>
      <c r="DO177" s="19"/>
      <c r="DP177" s="19"/>
      <c r="DQ177" s="19"/>
      <c r="DR177" s="19"/>
      <c r="DS177" s="19"/>
      <c r="DT177" s="19"/>
      <c r="DU177" s="19"/>
      <c r="DV177" s="19"/>
      <c r="DW177" s="19"/>
      <c r="DX177" s="19"/>
      <c r="DY177" s="19"/>
      <c r="DZ177" s="19"/>
      <c r="EA177" s="19"/>
      <c r="EB177" s="19"/>
      <c r="EC177" s="19"/>
      <c r="ED177" s="19"/>
      <c r="EE177" s="19"/>
      <c r="EF177" s="19"/>
      <c r="EG177" s="19"/>
      <c r="EH177" s="19"/>
      <c r="EI177" s="19"/>
      <c r="EJ177" s="19"/>
      <c r="EK177" s="19"/>
      <c r="EL177" s="19"/>
      <c r="EM177" s="19"/>
      <c r="EN177" s="19"/>
      <c r="EO177" s="19"/>
      <c r="EP177" s="19"/>
      <c r="EQ177" s="19"/>
      <c r="ER177" s="19"/>
      <c r="ES177" s="19"/>
      <c r="ET177" s="19"/>
      <c r="EU177" s="19"/>
      <c r="EV177" s="19"/>
      <c r="EW177" s="19"/>
      <c r="EX177" s="19"/>
      <c r="EY177" s="19"/>
      <c r="EZ177" s="19"/>
      <c r="FA177" s="19"/>
      <c r="FB177" s="19"/>
      <c r="FC177" s="19"/>
      <c r="FD177" s="19"/>
      <c r="FE177" s="19"/>
      <c r="FF177" s="19"/>
      <c r="FG177" s="19"/>
      <c r="FH177" s="19"/>
      <c r="FI177" s="19"/>
      <c r="FJ177" s="19"/>
      <c r="FK177" s="19"/>
      <c r="FL177" s="20" t="s">
        <v>718</v>
      </c>
      <c r="FM177" s="20" t="s">
        <v>255</v>
      </c>
      <c r="FN177" s="19"/>
      <c r="FO177" s="19"/>
      <c r="FP177" s="19"/>
      <c r="FQ177" s="19"/>
      <c r="FR177" s="19"/>
      <c r="FS177" s="19"/>
      <c r="FT177" s="19"/>
      <c r="FU177" s="19"/>
      <c r="FV177" s="19"/>
      <c r="FW177" s="19"/>
      <c r="FX177" s="19"/>
      <c r="FY177" s="19"/>
      <c r="FZ177" s="19"/>
      <c r="GA177" s="19"/>
      <c r="GB177" s="19"/>
      <c r="GC177" s="19"/>
      <c r="GD177" s="19"/>
      <c r="GE177" s="19"/>
      <c r="GF177" s="19"/>
      <c r="GG177" s="19"/>
      <c r="GH177" s="19"/>
      <c r="GI177" s="19"/>
      <c r="GJ177" s="19"/>
      <c r="GK177" s="19"/>
      <c r="GL177" s="19"/>
      <c r="GM177" s="19"/>
      <c r="GN177" s="19"/>
      <c r="GO177" s="19"/>
      <c r="GP177" s="19"/>
      <c r="GQ177" s="19"/>
      <c r="GR177" s="19"/>
      <c r="GS177" s="19"/>
      <c r="GT177" s="19"/>
      <c r="GU177" s="19"/>
      <c r="GV177" s="19"/>
      <c r="GW177" s="19"/>
      <c r="GX177" s="19"/>
      <c r="GY177" s="19"/>
      <c r="GZ177" s="19"/>
      <c r="HA177" s="19"/>
    </row>
    <row r="178" spans="1:209" ht="23.25" customHeight="1" x14ac:dyDescent="0.15">
      <c r="A178" s="26">
        <v>44659.532359120371</v>
      </c>
      <c r="B178" s="27" t="s">
        <v>6</v>
      </c>
      <c r="C178" s="27" t="s">
        <v>11</v>
      </c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  <c r="AX178" s="27" t="s">
        <v>714</v>
      </c>
      <c r="AY178" s="27" t="s">
        <v>715</v>
      </c>
      <c r="AZ178" s="27" t="s">
        <v>684</v>
      </c>
      <c r="BA178" s="27" t="s">
        <v>407</v>
      </c>
      <c r="BB178" s="27" t="s">
        <v>308</v>
      </c>
      <c r="BC178" s="29">
        <v>44012</v>
      </c>
      <c r="BD178" s="29">
        <v>44047</v>
      </c>
      <c r="BE178" s="29">
        <v>44047</v>
      </c>
      <c r="BF178" s="27">
        <v>84</v>
      </c>
      <c r="BG178" s="27" t="s">
        <v>722</v>
      </c>
      <c r="BH178" s="30" t="s">
        <v>726</v>
      </c>
      <c r="BI178" s="28"/>
      <c r="BJ178" s="28"/>
      <c r="BK178" s="28"/>
      <c r="BL178" s="28"/>
      <c r="BM178" s="28"/>
      <c r="BN178" s="28"/>
      <c r="BO178" s="28"/>
      <c r="BP178" s="28"/>
      <c r="BQ178" s="28"/>
      <c r="BR178" s="28"/>
      <c r="BS178" s="28"/>
      <c r="BT178" s="28"/>
      <c r="BU178" s="28"/>
      <c r="BV178" s="28"/>
      <c r="BW178" s="28"/>
      <c r="BX178" s="28"/>
      <c r="BY178" s="19"/>
      <c r="BZ178" s="19"/>
      <c r="CA178" s="19"/>
      <c r="CB178" s="19"/>
      <c r="CC178" s="19"/>
      <c r="CD178" s="19"/>
      <c r="CE178" s="19"/>
      <c r="CF178" s="19"/>
      <c r="CG178" s="19"/>
      <c r="CH178" s="19"/>
      <c r="CI178" s="19"/>
      <c r="CJ178" s="19"/>
      <c r="CK178" s="19"/>
      <c r="CL178" s="19"/>
      <c r="CM178" s="19"/>
      <c r="CN178" s="19"/>
      <c r="CO178" s="19"/>
      <c r="CP178" s="19"/>
      <c r="CQ178" s="19"/>
      <c r="CR178" s="19"/>
      <c r="CS178" s="19"/>
      <c r="CT178" s="19"/>
      <c r="CU178" s="19"/>
      <c r="CV178" s="19"/>
      <c r="CW178" s="19"/>
      <c r="CX178" s="19"/>
      <c r="CY178" s="19"/>
      <c r="CZ178" s="19"/>
      <c r="DA178" s="19"/>
      <c r="DB178" s="19"/>
      <c r="DC178" s="19"/>
      <c r="DD178" s="19"/>
      <c r="DE178" s="19"/>
      <c r="DF178" s="19"/>
      <c r="DG178" s="19"/>
      <c r="DH178" s="19"/>
      <c r="DI178" s="19"/>
      <c r="DJ178" s="19"/>
      <c r="DK178" s="19"/>
      <c r="DL178" s="19"/>
      <c r="DM178" s="19"/>
      <c r="DN178" s="19"/>
      <c r="DO178" s="19"/>
      <c r="DP178" s="19"/>
      <c r="DQ178" s="19"/>
      <c r="DR178" s="19"/>
      <c r="DS178" s="19"/>
      <c r="DT178" s="19"/>
      <c r="DU178" s="19"/>
      <c r="DV178" s="19"/>
      <c r="DW178" s="19"/>
      <c r="DX178" s="19"/>
      <c r="DY178" s="19"/>
      <c r="DZ178" s="19"/>
      <c r="EA178" s="19"/>
      <c r="EB178" s="19"/>
      <c r="EC178" s="19"/>
      <c r="ED178" s="19"/>
      <c r="EE178" s="19"/>
      <c r="EF178" s="19"/>
      <c r="EG178" s="19"/>
      <c r="EH178" s="19"/>
      <c r="EI178" s="19"/>
      <c r="EJ178" s="19"/>
      <c r="EK178" s="19"/>
      <c r="EL178" s="19"/>
      <c r="EM178" s="19"/>
      <c r="EN178" s="19"/>
      <c r="EO178" s="19"/>
      <c r="EP178" s="19"/>
      <c r="EQ178" s="19"/>
      <c r="ER178" s="19"/>
      <c r="ES178" s="19"/>
      <c r="ET178" s="19"/>
      <c r="EU178" s="19"/>
      <c r="EV178" s="19"/>
      <c r="EW178" s="19"/>
      <c r="EX178" s="19"/>
      <c r="EY178" s="19"/>
      <c r="EZ178" s="19"/>
      <c r="FA178" s="19"/>
      <c r="FB178" s="19"/>
      <c r="FC178" s="19"/>
      <c r="FD178" s="19"/>
      <c r="FE178" s="19"/>
      <c r="FF178" s="19"/>
      <c r="FG178" s="19"/>
      <c r="FH178" s="19"/>
      <c r="FI178" s="19"/>
      <c r="FJ178" s="19"/>
      <c r="FK178" s="19"/>
      <c r="FL178" s="20" t="s">
        <v>718</v>
      </c>
      <c r="FM178" s="20" t="s">
        <v>255</v>
      </c>
      <c r="FN178" s="19"/>
      <c r="FO178" s="19"/>
      <c r="FP178" s="19"/>
      <c r="FQ178" s="19"/>
      <c r="FR178" s="19"/>
      <c r="FS178" s="19"/>
      <c r="FT178" s="19"/>
      <c r="FU178" s="19"/>
      <c r="FV178" s="19"/>
      <c r="FW178" s="19"/>
      <c r="FX178" s="19"/>
      <c r="FY178" s="19"/>
      <c r="FZ178" s="19"/>
      <c r="GA178" s="19"/>
      <c r="GB178" s="19"/>
      <c r="GC178" s="19"/>
      <c r="GD178" s="19"/>
      <c r="GE178" s="19"/>
      <c r="GF178" s="19"/>
      <c r="GG178" s="19"/>
      <c r="GH178" s="19"/>
      <c r="GI178" s="19"/>
      <c r="GJ178" s="19"/>
      <c r="GK178" s="19"/>
      <c r="GL178" s="19"/>
      <c r="GM178" s="19"/>
      <c r="GN178" s="19"/>
      <c r="GO178" s="19"/>
      <c r="GP178" s="19"/>
      <c r="GQ178" s="19"/>
      <c r="GR178" s="19"/>
      <c r="GS178" s="19"/>
      <c r="GT178" s="19"/>
      <c r="GU178" s="19"/>
      <c r="GV178" s="19"/>
      <c r="GW178" s="19"/>
      <c r="GX178" s="19"/>
      <c r="GY178" s="19"/>
      <c r="GZ178" s="19"/>
      <c r="HA178" s="19"/>
    </row>
    <row r="179" spans="1:209" ht="23.25" customHeight="1" x14ac:dyDescent="0.15">
      <c r="A179" s="26">
        <v>44659.534558206018</v>
      </c>
      <c r="B179" s="27" t="s">
        <v>6</v>
      </c>
      <c r="C179" s="27" t="s">
        <v>11</v>
      </c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  <c r="AX179" s="27" t="s">
        <v>714</v>
      </c>
      <c r="AY179" s="27" t="s">
        <v>715</v>
      </c>
      <c r="AZ179" s="27" t="s">
        <v>420</v>
      </c>
      <c r="BA179" s="27" t="s">
        <v>727</v>
      </c>
      <c r="BB179" s="27" t="s">
        <v>493</v>
      </c>
      <c r="BC179" s="29">
        <v>44512</v>
      </c>
      <c r="BD179" s="29">
        <v>44542</v>
      </c>
      <c r="BE179" s="29">
        <v>44542</v>
      </c>
      <c r="BF179" s="27">
        <v>90</v>
      </c>
      <c r="BG179" s="27" t="s">
        <v>722</v>
      </c>
      <c r="BH179" s="30" t="s">
        <v>728</v>
      </c>
      <c r="BI179" s="28"/>
      <c r="BJ179" s="28"/>
      <c r="BK179" s="28"/>
      <c r="BL179" s="28"/>
      <c r="BM179" s="28"/>
      <c r="BN179" s="28"/>
      <c r="BO179" s="28"/>
      <c r="BP179" s="28"/>
      <c r="BQ179" s="28"/>
      <c r="BR179" s="28"/>
      <c r="BS179" s="28"/>
      <c r="BT179" s="28"/>
      <c r="BU179" s="28"/>
      <c r="BV179" s="28"/>
      <c r="BW179" s="28"/>
      <c r="BX179" s="28"/>
      <c r="BY179" s="19"/>
      <c r="BZ179" s="19"/>
      <c r="CA179" s="19"/>
      <c r="CB179" s="19"/>
      <c r="CC179" s="19"/>
      <c r="CD179" s="19"/>
      <c r="CE179" s="19"/>
      <c r="CF179" s="19"/>
      <c r="CG179" s="19"/>
      <c r="CH179" s="19"/>
      <c r="CI179" s="19"/>
      <c r="CJ179" s="19"/>
      <c r="CK179" s="19"/>
      <c r="CL179" s="19"/>
      <c r="CM179" s="19"/>
      <c r="CN179" s="19"/>
      <c r="CO179" s="19"/>
      <c r="CP179" s="19"/>
      <c r="CQ179" s="19"/>
      <c r="CR179" s="19"/>
      <c r="CS179" s="19"/>
      <c r="CT179" s="19"/>
      <c r="CU179" s="19"/>
      <c r="CV179" s="19"/>
      <c r="CW179" s="19"/>
      <c r="CX179" s="19"/>
      <c r="CY179" s="19"/>
      <c r="CZ179" s="19"/>
      <c r="DA179" s="19"/>
      <c r="DB179" s="19"/>
      <c r="DC179" s="19"/>
      <c r="DD179" s="19"/>
      <c r="DE179" s="19"/>
      <c r="DF179" s="19"/>
      <c r="DG179" s="19"/>
      <c r="DH179" s="19"/>
      <c r="DI179" s="19"/>
      <c r="DJ179" s="19"/>
      <c r="DK179" s="19"/>
      <c r="DL179" s="19"/>
      <c r="DM179" s="19"/>
      <c r="DN179" s="19"/>
      <c r="DO179" s="19"/>
      <c r="DP179" s="19"/>
      <c r="DQ179" s="19"/>
      <c r="DR179" s="19"/>
      <c r="DS179" s="19"/>
      <c r="DT179" s="19"/>
      <c r="DU179" s="19"/>
      <c r="DV179" s="19"/>
      <c r="DW179" s="19"/>
      <c r="DX179" s="19"/>
      <c r="DY179" s="19"/>
      <c r="DZ179" s="19"/>
      <c r="EA179" s="19"/>
      <c r="EB179" s="19"/>
      <c r="EC179" s="19"/>
      <c r="ED179" s="19"/>
      <c r="EE179" s="19"/>
      <c r="EF179" s="19"/>
      <c r="EG179" s="19"/>
      <c r="EH179" s="19"/>
      <c r="EI179" s="19"/>
      <c r="EJ179" s="19"/>
      <c r="EK179" s="19"/>
      <c r="EL179" s="19"/>
      <c r="EM179" s="19"/>
      <c r="EN179" s="19"/>
      <c r="EO179" s="19"/>
      <c r="EP179" s="19"/>
      <c r="EQ179" s="19"/>
      <c r="ER179" s="19"/>
      <c r="ES179" s="19"/>
      <c r="ET179" s="19"/>
      <c r="EU179" s="19"/>
      <c r="EV179" s="19"/>
      <c r="EW179" s="19"/>
      <c r="EX179" s="19"/>
      <c r="EY179" s="19"/>
      <c r="EZ179" s="19"/>
      <c r="FA179" s="19"/>
      <c r="FB179" s="19"/>
      <c r="FC179" s="19"/>
      <c r="FD179" s="19"/>
      <c r="FE179" s="19"/>
      <c r="FF179" s="19"/>
      <c r="FG179" s="19"/>
      <c r="FH179" s="19"/>
      <c r="FI179" s="19"/>
      <c r="FJ179" s="19"/>
      <c r="FK179" s="19"/>
      <c r="FL179" s="20" t="s">
        <v>718</v>
      </c>
      <c r="FM179" s="20" t="s">
        <v>255</v>
      </c>
      <c r="FN179" s="19"/>
      <c r="FO179" s="19"/>
      <c r="FP179" s="19"/>
      <c r="FQ179" s="19"/>
      <c r="FR179" s="19"/>
      <c r="FS179" s="19"/>
      <c r="FT179" s="19"/>
      <c r="FU179" s="19"/>
      <c r="FV179" s="19"/>
      <c r="FW179" s="19"/>
      <c r="FX179" s="19"/>
      <c r="FY179" s="19"/>
      <c r="FZ179" s="19"/>
      <c r="GA179" s="19"/>
      <c r="GB179" s="19"/>
      <c r="GC179" s="19"/>
      <c r="GD179" s="19"/>
      <c r="GE179" s="19"/>
      <c r="GF179" s="19"/>
      <c r="GG179" s="19"/>
      <c r="GH179" s="19"/>
      <c r="GI179" s="19"/>
      <c r="GJ179" s="19"/>
      <c r="GK179" s="19"/>
      <c r="GL179" s="19"/>
      <c r="GM179" s="19"/>
      <c r="GN179" s="19"/>
      <c r="GO179" s="19"/>
      <c r="GP179" s="19"/>
      <c r="GQ179" s="19"/>
      <c r="GR179" s="19"/>
      <c r="GS179" s="19"/>
      <c r="GT179" s="19"/>
      <c r="GU179" s="19"/>
      <c r="GV179" s="19"/>
      <c r="GW179" s="19"/>
      <c r="GX179" s="19"/>
      <c r="GY179" s="19"/>
      <c r="GZ179" s="19"/>
      <c r="HA179" s="19"/>
    </row>
    <row r="180" spans="1:209" ht="23.25" customHeight="1" x14ac:dyDescent="0.15">
      <c r="A180" s="26">
        <v>44659.53695173611</v>
      </c>
      <c r="B180" s="27" t="s">
        <v>6</v>
      </c>
      <c r="C180" s="27" t="s">
        <v>10</v>
      </c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7" t="s">
        <v>714</v>
      </c>
      <c r="AO180" s="27" t="s">
        <v>715</v>
      </c>
      <c r="AP180" s="27" t="s">
        <v>729</v>
      </c>
      <c r="AQ180" s="27" t="s">
        <v>308</v>
      </c>
      <c r="AR180" s="29">
        <v>44490</v>
      </c>
      <c r="AS180" s="29">
        <v>44551</v>
      </c>
      <c r="AT180" s="27" t="s">
        <v>252</v>
      </c>
      <c r="AU180" s="27" t="s">
        <v>252</v>
      </c>
      <c r="AV180" s="27">
        <v>0</v>
      </c>
      <c r="AW180" s="30" t="s">
        <v>730</v>
      </c>
      <c r="AX180" s="28"/>
      <c r="AY180" s="28"/>
      <c r="AZ180" s="28"/>
      <c r="BA180" s="28"/>
      <c r="BB180" s="28"/>
      <c r="BC180" s="28"/>
      <c r="BD180" s="28"/>
      <c r="BE180" s="28"/>
      <c r="BF180" s="28"/>
      <c r="BG180" s="28"/>
      <c r="BH180" s="28"/>
      <c r="BI180" s="28"/>
      <c r="BJ180" s="28"/>
      <c r="BK180" s="28"/>
      <c r="BL180" s="28"/>
      <c r="BM180" s="28"/>
      <c r="BN180" s="28"/>
      <c r="BO180" s="28"/>
      <c r="BP180" s="28"/>
      <c r="BQ180" s="28"/>
      <c r="BR180" s="28"/>
      <c r="BS180" s="28"/>
      <c r="BT180" s="28"/>
      <c r="BU180" s="28"/>
      <c r="BV180" s="28"/>
      <c r="BW180" s="28"/>
      <c r="BX180" s="28"/>
      <c r="BY180" s="19"/>
      <c r="BZ180" s="19"/>
      <c r="CA180" s="19"/>
      <c r="CB180" s="19"/>
      <c r="CC180" s="19"/>
      <c r="CD180" s="19"/>
      <c r="CE180" s="19"/>
      <c r="CF180" s="19"/>
      <c r="CG180" s="19"/>
      <c r="CH180" s="19"/>
      <c r="CI180" s="19"/>
      <c r="CJ180" s="19"/>
      <c r="CK180" s="19"/>
      <c r="CL180" s="19"/>
      <c r="CM180" s="19"/>
      <c r="CN180" s="19"/>
      <c r="CO180" s="19"/>
      <c r="CP180" s="19"/>
      <c r="CQ180" s="19"/>
      <c r="CR180" s="19"/>
      <c r="CS180" s="19"/>
      <c r="CT180" s="19"/>
      <c r="CU180" s="19"/>
      <c r="CV180" s="19"/>
      <c r="CW180" s="19"/>
      <c r="CX180" s="19"/>
      <c r="CY180" s="19"/>
      <c r="CZ180" s="19"/>
      <c r="DA180" s="19"/>
      <c r="DB180" s="19"/>
      <c r="DC180" s="19"/>
      <c r="DD180" s="19"/>
      <c r="DE180" s="19"/>
      <c r="DF180" s="19"/>
      <c r="DG180" s="19"/>
      <c r="DH180" s="19"/>
      <c r="DI180" s="19"/>
      <c r="DJ180" s="19"/>
      <c r="DK180" s="19"/>
      <c r="DL180" s="19"/>
      <c r="DM180" s="19"/>
      <c r="DN180" s="19"/>
      <c r="DO180" s="19"/>
      <c r="DP180" s="19"/>
      <c r="DQ180" s="19"/>
      <c r="DR180" s="19"/>
      <c r="DS180" s="19"/>
      <c r="DT180" s="19"/>
      <c r="DU180" s="19"/>
      <c r="DV180" s="19"/>
      <c r="DW180" s="19"/>
      <c r="DX180" s="19"/>
      <c r="DY180" s="19"/>
      <c r="DZ180" s="19"/>
      <c r="EA180" s="19"/>
      <c r="EB180" s="19"/>
      <c r="EC180" s="19"/>
      <c r="ED180" s="19"/>
      <c r="EE180" s="19"/>
      <c r="EF180" s="19"/>
      <c r="EG180" s="19"/>
      <c r="EH180" s="19"/>
      <c r="EI180" s="19"/>
      <c r="EJ180" s="19"/>
      <c r="EK180" s="19"/>
      <c r="EL180" s="19"/>
      <c r="EM180" s="19"/>
      <c r="EN180" s="19"/>
      <c r="EO180" s="19"/>
      <c r="EP180" s="19"/>
      <c r="EQ180" s="19"/>
      <c r="ER180" s="19"/>
      <c r="ES180" s="19"/>
      <c r="ET180" s="19"/>
      <c r="EU180" s="19"/>
      <c r="EV180" s="19"/>
      <c r="EW180" s="19"/>
      <c r="EX180" s="19"/>
      <c r="EY180" s="19"/>
      <c r="EZ180" s="19"/>
      <c r="FA180" s="19"/>
      <c r="FB180" s="19"/>
      <c r="FC180" s="19"/>
      <c r="FD180" s="19"/>
      <c r="FE180" s="19"/>
      <c r="FF180" s="19"/>
      <c r="FG180" s="19"/>
      <c r="FH180" s="19"/>
      <c r="FI180" s="19"/>
      <c r="FJ180" s="19"/>
      <c r="FK180" s="19"/>
      <c r="FL180" s="20" t="s">
        <v>718</v>
      </c>
      <c r="FM180" s="20" t="s">
        <v>255</v>
      </c>
      <c r="FN180" s="19"/>
      <c r="FO180" s="19"/>
      <c r="FP180" s="19"/>
      <c r="FQ180" s="19"/>
      <c r="FR180" s="19"/>
      <c r="FS180" s="19"/>
      <c r="FT180" s="19"/>
      <c r="FU180" s="19"/>
      <c r="FV180" s="19"/>
      <c r="FW180" s="19"/>
      <c r="FX180" s="19"/>
      <c r="FY180" s="19"/>
      <c r="FZ180" s="19"/>
      <c r="GA180" s="19"/>
      <c r="GB180" s="19"/>
      <c r="GC180" s="19"/>
      <c r="GD180" s="19"/>
      <c r="GE180" s="19"/>
      <c r="GF180" s="19"/>
      <c r="GG180" s="19"/>
      <c r="GH180" s="19"/>
      <c r="GI180" s="19"/>
      <c r="GJ180" s="19"/>
      <c r="GK180" s="19"/>
      <c r="GL180" s="19"/>
      <c r="GM180" s="19"/>
      <c r="GN180" s="19"/>
      <c r="GO180" s="19"/>
      <c r="GP180" s="19"/>
      <c r="GQ180" s="19"/>
      <c r="GR180" s="19"/>
      <c r="GS180" s="19"/>
      <c r="GT180" s="19"/>
      <c r="GU180" s="19"/>
      <c r="GV180" s="19"/>
      <c r="GW180" s="19"/>
      <c r="GX180" s="19"/>
      <c r="GY180" s="19"/>
      <c r="GZ180" s="19"/>
      <c r="HA180" s="19"/>
    </row>
    <row r="181" spans="1:209" ht="23.25" customHeight="1" x14ac:dyDescent="0.15">
      <c r="A181" s="26">
        <v>44659.546067071758</v>
      </c>
      <c r="B181" s="27" t="s">
        <v>6</v>
      </c>
      <c r="C181" s="27" t="s">
        <v>12</v>
      </c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  <c r="BD181" s="28"/>
      <c r="BE181" s="28"/>
      <c r="BF181" s="28"/>
      <c r="BG181" s="28"/>
      <c r="BH181" s="28"/>
      <c r="BI181" s="27" t="s">
        <v>731</v>
      </c>
      <c r="BJ181" s="27" t="s">
        <v>715</v>
      </c>
      <c r="BK181" s="27" t="s">
        <v>154</v>
      </c>
      <c r="BL181" s="27" t="s">
        <v>732</v>
      </c>
      <c r="BM181" s="27" t="s">
        <v>733</v>
      </c>
      <c r="BN181" s="27">
        <v>2</v>
      </c>
      <c r="BO181" s="29">
        <v>43518</v>
      </c>
      <c r="BP181" s="29">
        <v>43520</v>
      </c>
      <c r="BQ181" s="27" t="s">
        <v>734</v>
      </c>
      <c r="BR181" s="27" t="s">
        <v>735</v>
      </c>
      <c r="BS181" s="27" t="s">
        <v>171</v>
      </c>
      <c r="BT181" s="27" t="s">
        <v>629</v>
      </c>
      <c r="BU181" s="27">
        <v>0</v>
      </c>
      <c r="BV181" s="30" t="s">
        <v>736</v>
      </c>
      <c r="BW181" s="28"/>
      <c r="BX181" s="28"/>
      <c r="BY181" s="19"/>
      <c r="BZ181" s="19"/>
      <c r="CA181" s="19"/>
      <c r="CB181" s="19"/>
      <c r="CC181" s="19"/>
      <c r="CD181" s="19"/>
      <c r="CE181" s="19"/>
      <c r="CF181" s="19"/>
      <c r="CG181" s="19"/>
      <c r="CH181" s="19"/>
      <c r="CI181" s="19"/>
      <c r="CJ181" s="19"/>
      <c r="CK181" s="19"/>
      <c r="CL181" s="19"/>
      <c r="CM181" s="19"/>
      <c r="CN181" s="19"/>
      <c r="CO181" s="19"/>
      <c r="CP181" s="19"/>
      <c r="CQ181" s="19"/>
      <c r="CR181" s="19"/>
      <c r="CS181" s="19"/>
      <c r="CT181" s="19"/>
      <c r="CU181" s="19"/>
      <c r="CV181" s="19"/>
      <c r="CW181" s="19"/>
      <c r="CX181" s="19"/>
      <c r="CY181" s="19"/>
      <c r="CZ181" s="19"/>
      <c r="DA181" s="19"/>
      <c r="DB181" s="19"/>
      <c r="DC181" s="19"/>
      <c r="DD181" s="19"/>
      <c r="DE181" s="19"/>
      <c r="DF181" s="19"/>
      <c r="DG181" s="19"/>
      <c r="DH181" s="19"/>
      <c r="DI181" s="19"/>
      <c r="DJ181" s="19"/>
      <c r="DK181" s="19"/>
      <c r="DL181" s="19"/>
      <c r="DM181" s="19"/>
      <c r="DN181" s="19"/>
      <c r="DO181" s="19"/>
      <c r="DP181" s="19"/>
      <c r="DQ181" s="19"/>
      <c r="DR181" s="19"/>
      <c r="DS181" s="19"/>
      <c r="DT181" s="19"/>
      <c r="DU181" s="19"/>
      <c r="DV181" s="19"/>
      <c r="DW181" s="19"/>
      <c r="DX181" s="19"/>
      <c r="DY181" s="19"/>
      <c r="DZ181" s="19"/>
      <c r="EA181" s="19"/>
      <c r="EB181" s="19"/>
      <c r="EC181" s="19"/>
      <c r="ED181" s="19"/>
      <c r="EE181" s="19"/>
      <c r="EF181" s="19"/>
      <c r="EG181" s="19"/>
      <c r="EH181" s="19"/>
      <c r="EI181" s="19"/>
      <c r="EJ181" s="19"/>
      <c r="EK181" s="19"/>
      <c r="EL181" s="19"/>
      <c r="EM181" s="19"/>
      <c r="EN181" s="19"/>
      <c r="EO181" s="19"/>
      <c r="EP181" s="19"/>
      <c r="EQ181" s="19"/>
      <c r="ER181" s="19"/>
      <c r="ES181" s="19"/>
      <c r="ET181" s="19"/>
      <c r="EU181" s="19"/>
      <c r="EV181" s="19"/>
      <c r="EW181" s="19"/>
      <c r="EX181" s="19"/>
      <c r="EY181" s="19"/>
      <c r="EZ181" s="19"/>
      <c r="FA181" s="19"/>
      <c r="FB181" s="19"/>
      <c r="FC181" s="19"/>
      <c r="FD181" s="19"/>
      <c r="FE181" s="19"/>
      <c r="FF181" s="19"/>
      <c r="FG181" s="19"/>
      <c r="FH181" s="19"/>
      <c r="FI181" s="19"/>
      <c r="FJ181" s="19"/>
      <c r="FK181" s="19"/>
      <c r="FL181" s="20" t="s">
        <v>718</v>
      </c>
      <c r="FM181" s="20" t="s">
        <v>255</v>
      </c>
      <c r="FN181" s="19"/>
      <c r="FO181" s="19"/>
      <c r="FP181" s="19"/>
      <c r="FQ181" s="19"/>
      <c r="FR181" s="19"/>
      <c r="FS181" s="19"/>
      <c r="FT181" s="19"/>
      <c r="FU181" s="19"/>
      <c r="FV181" s="19"/>
      <c r="FW181" s="19"/>
      <c r="FX181" s="19"/>
      <c r="FY181" s="19"/>
      <c r="FZ181" s="19"/>
      <c r="GA181" s="19"/>
      <c r="GB181" s="19"/>
      <c r="GC181" s="19"/>
      <c r="GD181" s="19"/>
      <c r="GE181" s="19"/>
      <c r="GF181" s="19"/>
      <c r="GG181" s="19"/>
      <c r="GH181" s="19"/>
      <c r="GI181" s="19"/>
      <c r="GJ181" s="19"/>
      <c r="GK181" s="19"/>
      <c r="GL181" s="19"/>
      <c r="GM181" s="19"/>
      <c r="GN181" s="19"/>
      <c r="GO181" s="19"/>
      <c r="GP181" s="19"/>
      <c r="GQ181" s="19"/>
      <c r="GR181" s="19"/>
      <c r="GS181" s="19"/>
      <c r="GT181" s="19"/>
      <c r="GU181" s="19"/>
      <c r="GV181" s="19"/>
      <c r="GW181" s="19"/>
      <c r="GX181" s="19"/>
      <c r="GY181" s="19"/>
      <c r="GZ181" s="19"/>
      <c r="HA181" s="19"/>
    </row>
    <row r="182" spans="1:209" ht="23.25" customHeight="1" x14ac:dyDescent="0.15">
      <c r="A182" s="26">
        <v>44659.613389120372</v>
      </c>
      <c r="B182" s="27" t="s">
        <v>6</v>
      </c>
      <c r="C182" s="27" t="s">
        <v>10</v>
      </c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7" t="s">
        <v>737</v>
      </c>
      <c r="AO182" s="27" t="s">
        <v>738</v>
      </c>
      <c r="AP182" s="27" t="s">
        <v>739</v>
      </c>
      <c r="AQ182" s="27" t="s">
        <v>300</v>
      </c>
      <c r="AR182" s="29">
        <v>44484</v>
      </c>
      <c r="AS182" s="29">
        <v>44554</v>
      </c>
      <c r="AT182" s="27" t="s">
        <v>252</v>
      </c>
      <c r="AU182" s="27" t="s">
        <v>252</v>
      </c>
      <c r="AV182" s="27">
        <v>0</v>
      </c>
      <c r="AW182" s="30" t="s">
        <v>740</v>
      </c>
      <c r="AX182" s="28"/>
      <c r="AY182" s="28"/>
      <c r="AZ182" s="28"/>
      <c r="BA182" s="28"/>
      <c r="BB182" s="28"/>
      <c r="BC182" s="28"/>
      <c r="BD182" s="28"/>
      <c r="BE182" s="28"/>
      <c r="BF182" s="28"/>
      <c r="BG182" s="28"/>
      <c r="BH182" s="28"/>
      <c r="BI182" s="28"/>
      <c r="BJ182" s="28"/>
      <c r="BK182" s="28"/>
      <c r="BL182" s="28"/>
      <c r="BM182" s="28"/>
      <c r="BN182" s="28"/>
      <c r="BO182" s="28"/>
      <c r="BP182" s="28"/>
      <c r="BQ182" s="28"/>
      <c r="BR182" s="28"/>
      <c r="BS182" s="28"/>
      <c r="BT182" s="28"/>
      <c r="BU182" s="28"/>
      <c r="BV182" s="28"/>
      <c r="BW182" s="28"/>
      <c r="BX182" s="28"/>
      <c r="BY182" s="19"/>
      <c r="BZ182" s="19"/>
      <c r="CA182" s="19"/>
      <c r="CB182" s="19"/>
      <c r="CC182" s="19"/>
      <c r="CD182" s="19"/>
      <c r="CE182" s="19"/>
      <c r="CF182" s="19"/>
      <c r="CG182" s="19"/>
      <c r="CH182" s="19"/>
      <c r="CI182" s="19"/>
      <c r="CJ182" s="19"/>
      <c r="CK182" s="19"/>
      <c r="CL182" s="19"/>
      <c r="CM182" s="19"/>
      <c r="CN182" s="19"/>
      <c r="CO182" s="19"/>
      <c r="CP182" s="19"/>
      <c r="CQ182" s="19"/>
      <c r="CR182" s="19"/>
      <c r="CS182" s="19"/>
      <c r="CT182" s="19"/>
      <c r="CU182" s="19"/>
      <c r="CV182" s="19"/>
      <c r="CW182" s="19"/>
      <c r="CX182" s="19"/>
      <c r="CY182" s="19"/>
      <c r="CZ182" s="19"/>
      <c r="DA182" s="19"/>
      <c r="DB182" s="19"/>
      <c r="DC182" s="19"/>
      <c r="DD182" s="19"/>
      <c r="DE182" s="19"/>
      <c r="DF182" s="19"/>
      <c r="DG182" s="19"/>
      <c r="DH182" s="19"/>
      <c r="DI182" s="19"/>
      <c r="DJ182" s="19"/>
      <c r="DK182" s="19"/>
      <c r="DL182" s="19"/>
      <c r="DM182" s="19"/>
      <c r="DN182" s="19"/>
      <c r="DO182" s="19"/>
      <c r="DP182" s="19"/>
      <c r="DQ182" s="19"/>
      <c r="DR182" s="19"/>
      <c r="DS182" s="19"/>
      <c r="DT182" s="19"/>
      <c r="DU182" s="19"/>
      <c r="DV182" s="19"/>
      <c r="DW182" s="19"/>
      <c r="DX182" s="19"/>
      <c r="DY182" s="19"/>
      <c r="DZ182" s="19"/>
      <c r="EA182" s="19"/>
      <c r="EB182" s="19"/>
      <c r="EC182" s="19"/>
      <c r="ED182" s="19"/>
      <c r="EE182" s="19"/>
      <c r="EF182" s="19"/>
      <c r="EG182" s="19"/>
      <c r="EH182" s="19"/>
      <c r="EI182" s="19"/>
      <c r="EJ182" s="19"/>
      <c r="EK182" s="19"/>
      <c r="EL182" s="19"/>
      <c r="EM182" s="19"/>
      <c r="EN182" s="19"/>
      <c r="EO182" s="19"/>
      <c r="EP182" s="19"/>
      <c r="EQ182" s="19"/>
      <c r="ER182" s="19"/>
      <c r="ES182" s="19"/>
      <c r="ET182" s="19"/>
      <c r="EU182" s="19"/>
      <c r="EV182" s="19"/>
      <c r="EW182" s="19"/>
      <c r="EX182" s="19"/>
      <c r="EY182" s="19"/>
      <c r="EZ182" s="19"/>
      <c r="FA182" s="19"/>
      <c r="FB182" s="19"/>
      <c r="FC182" s="19"/>
      <c r="FD182" s="19"/>
      <c r="FE182" s="19"/>
      <c r="FF182" s="19"/>
      <c r="FG182" s="19"/>
      <c r="FH182" s="19"/>
      <c r="FI182" s="19"/>
      <c r="FJ182" s="19"/>
      <c r="FK182" s="19"/>
      <c r="FL182" s="20" t="s">
        <v>741</v>
      </c>
      <c r="FM182" s="20" t="s">
        <v>255</v>
      </c>
      <c r="FN182" s="19"/>
      <c r="FO182" s="19"/>
      <c r="FP182" s="19"/>
      <c r="FQ182" s="19"/>
      <c r="FR182" s="19"/>
      <c r="FS182" s="19"/>
      <c r="FT182" s="19"/>
      <c r="FU182" s="19"/>
      <c r="FV182" s="19"/>
      <c r="FW182" s="19"/>
      <c r="FX182" s="19"/>
      <c r="FY182" s="19"/>
      <c r="FZ182" s="19"/>
      <c r="GA182" s="19"/>
      <c r="GB182" s="19"/>
      <c r="GC182" s="19"/>
      <c r="GD182" s="19"/>
      <c r="GE182" s="19"/>
      <c r="GF182" s="19"/>
      <c r="GG182" s="19"/>
      <c r="GH182" s="19"/>
      <c r="GI182" s="19"/>
      <c r="GJ182" s="19"/>
      <c r="GK182" s="19"/>
      <c r="GL182" s="19"/>
      <c r="GM182" s="19"/>
      <c r="GN182" s="19"/>
      <c r="GO182" s="19"/>
      <c r="GP182" s="19"/>
      <c r="GQ182" s="19"/>
      <c r="GR182" s="19"/>
      <c r="GS182" s="19"/>
      <c r="GT182" s="19"/>
      <c r="GU182" s="19"/>
      <c r="GV182" s="19"/>
      <c r="GW182" s="19"/>
      <c r="GX182" s="19"/>
      <c r="GY182" s="19"/>
      <c r="GZ182" s="19"/>
      <c r="HA182" s="19"/>
    </row>
    <row r="183" spans="1:209" ht="23.25" customHeight="1" x14ac:dyDescent="0.15">
      <c r="A183" s="26">
        <v>44659.618449236106</v>
      </c>
      <c r="B183" s="27" t="s">
        <v>6</v>
      </c>
      <c r="C183" s="27" t="s">
        <v>19</v>
      </c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  <c r="AX183" s="28"/>
      <c r="AY183" s="28"/>
      <c r="AZ183" s="28"/>
      <c r="BA183" s="28"/>
      <c r="BB183" s="28"/>
      <c r="BC183" s="28"/>
      <c r="BD183" s="28"/>
      <c r="BE183" s="28"/>
      <c r="BF183" s="28"/>
      <c r="BG183" s="28"/>
      <c r="BH183" s="28"/>
      <c r="BI183" s="28"/>
      <c r="BJ183" s="28"/>
      <c r="BK183" s="28"/>
      <c r="BL183" s="28"/>
      <c r="BM183" s="28"/>
      <c r="BN183" s="28"/>
      <c r="BO183" s="28"/>
      <c r="BP183" s="28"/>
      <c r="BQ183" s="28"/>
      <c r="BR183" s="28"/>
      <c r="BS183" s="28"/>
      <c r="BT183" s="28"/>
      <c r="BU183" s="28"/>
      <c r="BV183" s="28"/>
      <c r="BW183" s="28"/>
      <c r="BX183" s="28"/>
      <c r="BY183" s="19"/>
      <c r="BZ183" s="19"/>
      <c r="CA183" s="19"/>
      <c r="CB183" s="19"/>
      <c r="CC183" s="19"/>
      <c r="CD183" s="19"/>
      <c r="CE183" s="19"/>
      <c r="CF183" s="19"/>
      <c r="CG183" s="19"/>
      <c r="CH183" s="19"/>
      <c r="CI183" s="19"/>
      <c r="CJ183" s="19"/>
      <c r="CK183" s="19"/>
      <c r="CL183" s="19"/>
      <c r="CM183" s="19"/>
      <c r="CN183" s="19"/>
      <c r="CO183" s="19"/>
      <c r="CP183" s="19"/>
      <c r="CQ183" s="19"/>
      <c r="CR183" s="19"/>
      <c r="CS183" s="19"/>
      <c r="CT183" s="19"/>
      <c r="CU183" s="19"/>
      <c r="CV183" s="19"/>
      <c r="CW183" s="19"/>
      <c r="CX183" s="19"/>
      <c r="CY183" s="19"/>
      <c r="CZ183" s="19"/>
      <c r="DA183" s="19"/>
      <c r="DB183" s="19"/>
      <c r="DC183" s="19"/>
      <c r="DD183" s="19"/>
      <c r="DE183" s="19"/>
      <c r="DF183" s="19"/>
      <c r="DG183" s="19"/>
      <c r="DH183" s="19"/>
      <c r="DI183" s="19"/>
      <c r="DJ183" s="19"/>
      <c r="DK183" s="19"/>
      <c r="DL183" s="19"/>
      <c r="DM183" s="19"/>
      <c r="DN183" s="19"/>
      <c r="DO183" s="19"/>
      <c r="DP183" s="19"/>
      <c r="DQ183" s="19"/>
      <c r="DR183" s="19"/>
      <c r="DS183" s="19"/>
      <c r="DT183" s="19"/>
      <c r="DU183" s="19"/>
      <c r="DV183" s="19"/>
      <c r="DW183" s="19"/>
      <c r="DX183" s="19"/>
      <c r="DY183" s="19"/>
      <c r="DZ183" s="19"/>
      <c r="EA183" s="19"/>
      <c r="EB183" s="19"/>
      <c r="EC183" s="19"/>
      <c r="ED183" s="19"/>
      <c r="EE183" s="19"/>
      <c r="EF183" s="19"/>
      <c r="EG183" s="19"/>
      <c r="EH183" s="19"/>
      <c r="EI183" s="19"/>
      <c r="EJ183" s="19"/>
      <c r="EK183" s="19"/>
      <c r="EL183" s="19"/>
      <c r="EM183" s="19"/>
      <c r="EN183" s="19"/>
      <c r="EO183" s="19"/>
      <c r="EP183" s="19"/>
      <c r="EQ183" s="19"/>
      <c r="ER183" s="19"/>
      <c r="ES183" s="19"/>
      <c r="ET183" s="19"/>
      <c r="EU183" s="19"/>
      <c r="EV183" s="19"/>
      <c r="EW183" s="19"/>
      <c r="EX183" s="19"/>
      <c r="EY183" s="19"/>
      <c r="EZ183" s="19"/>
      <c r="FA183" s="19"/>
      <c r="FB183" s="19"/>
      <c r="FC183" s="19"/>
      <c r="FD183" s="19"/>
      <c r="FE183" s="19"/>
      <c r="FF183" s="19"/>
      <c r="FG183" s="20" t="s">
        <v>737</v>
      </c>
      <c r="FH183" s="20" t="s">
        <v>738</v>
      </c>
      <c r="FI183" s="20" t="s">
        <v>742</v>
      </c>
      <c r="FJ183" s="21">
        <v>44506</v>
      </c>
      <c r="FK183" s="22" t="s">
        <v>743</v>
      </c>
      <c r="FL183" s="20" t="s">
        <v>741</v>
      </c>
      <c r="FM183" s="20" t="s">
        <v>255</v>
      </c>
      <c r="FN183" s="19"/>
      <c r="FO183" s="19"/>
      <c r="FP183" s="19"/>
      <c r="FQ183" s="19"/>
      <c r="FR183" s="19"/>
      <c r="FS183" s="19"/>
      <c r="FT183" s="19"/>
      <c r="FU183" s="19"/>
      <c r="FV183" s="19"/>
      <c r="FW183" s="19"/>
      <c r="FX183" s="19"/>
      <c r="FY183" s="19"/>
      <c r="FZ183" s="19"/>
      <c r="GA183" s="19"/>
      <c r="GB183" s="19"/>
      <c r="GC183" s="19"/>
      <c r="GD183" s="19"/>
      <c r="GE183" s="19"/>
      <c r="GF183" s="19"/>
      <c r="GG183" s="19"/>
      <c r="GH183" s="19"/>
      <c r="GI183" s="19"/>
      <c r="GJ183" s="19"/>
      <c r="GK183" s="19"/>
      <c r="GL183" s="19"/>
      <c r="GM183" s="19"/>
      <c r="GN183" s="19"/>
      <c r="GO183" s="19"/>
      <c r="GP183" s="19"/>
      <c r="GQ183" s="19"/>
      <c r="GR183" s="19"/>
      <c r="GS183" s="19"/>
      <c r="GT183" s="19"/>
      <c r="GU183" s="19"/>
      <c r="GV183" s="19"/>
      <c r="GW183" s="19"/>
      <c r="GX183" s="19"/>
      <c r="GY183" s="19"/>
      <c r="GZ183" s="19"/>
      <c r="HA183" s="19"/>
    </row>
    <row r="184" spans="1:209" ht="23.25" customHeight="1" x14ac:dyDescent="0.15">
      <c r="A184" s="26">
        <v>44659.620837650466</v>
      </c>
      <c r="B184" s="27" t="s">
        <v>6</v>
      </c>
      <c r="C184" s="27" t="s">
        <v>10</v>
      </c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7" t="s">
        <v>744</v>
      </c>
      <c r="AO184" s="27" t="s">
        <v>745</v>
      </c>
      <c r="AP184" s="27" t="s">
        <v>498</v>
      </c>
      <c r="AQ184" s="27" t="s">
        <v>746</v>
      </c>
      <c r="AR184" s="29">
        <v>44481</v>
      </c>
      <c r="AS184" s="29">
        <v>44542</v>
      </c>
      <c r="AT184" s="27" t="s">
        <v>252</v>
      </c>
      <c r="AU184" s="27" t="s">
        <v>252</v>
      </c>
      <c r="AV184" s="27">
        <v>0</v>
      </c>
      <c r="AW184" s="30" t="s">
        <v>747</v>
      </c>
      <c r="AX184" s="28"/>
      <c r="AY184" s="28"/>
      <c r="AZ184" s="28"/>
      <c r="BA184" s="28"/>
      <c r="BB184" s="28"/>
      <c r="BC184" s="28"/>
      <c r="BD184" s="28"/>
      <c r="BE184" s="28"/>
      <c r="BF184" s="28"/>
      <c r="BG184" s="28"/>
      <c r="BH184" s="28"/>
      <c r="BI184" s="28"/>
      <c r="BJ184" s="28"/>
      <c r="BK184" s="28"/>
      <c r="BL184" s="28"/>
      <c r="BM184" s="28"/>
      <c r="BN184" s="28"/>
      <c r="BO184" s="28"/>
      <c r="BP184" s="28"/>
      <c r="BQ184" s="28"/>
      <c r="BR184" s="28"/>
      <c r="BS184" s="28"/>
      <c r="BT184" s="28"/>
      <c r="BU184" s="28"/>
      <c r="BV184" s="28"/>
      <c r="BW184" s="28"/>
      <c r="BX184" s="28"/>
      <c r="BY184" s="19"/>
      <c r="BZ184" s="19"/>
      <c r="CA184" s="19"/>
      <c r="CB184" s="19"/>
      <c r="CC184" s="19"/>
      <c r="CD184" s="19"/>
      <c r="CE184" s="19"/>
      <c r="CF184" s="19"/>
      <c r="CG184" s="19"/>
      <c r="CH184" s="19"/>
      <c r="CI184" s="19"/>
      <c r="CJ184" s="19"/>
      <c r="CK184" s="19"/>
      <c r="CL184" s="19"/>
      <c r="CM184" s="19"/>
      <c r="CN184" s="19"/>
      <c r="CO184" s="19"/>
      <c r="CP184" s="19"/>
      <c r="CQ184" s="19"/>
      <c r="CR184" s="19"/>
      <c r="CS184" s="19"/>
      <c r="CT184" s="19"/>
      <c r="CU184" s="19"/>
      <c r="CV184" s="19"/>
      <c r="CW184" s="19"/>
      <c r="CX184" s="19"/>
      <c r="CY184" s="19"/>
      <c r="CZ184" s="19"/>
      <c r="DA184" s="19"/>
      <c r="DB184" s="19"/>
      <c r="DC184" s="19"/>
      <c r="DD184" s="19"/>
      <c r="DE184" s="19"/>
      <c r="DF184" s="19"/>
      <c r="DG184" s="19"/>
      <c r="DH184" s="19"/>
      <c r="DI184" s="19"/>
      <c r="DJ184" s="19"/>
      <c r="DK184" s="19"/>
      <c r="DL184" s="19"/>
      <c r="DM184" s="19"/>
      <c r="DN184" s="19"/>
      <c r="DO184" s="19"/>
      <c r="DP184" s="19"/>
      <c r="DQ184" s="19"/>
      <c r="DR184" s="19"/>
      <c r="DS184" s="19"/>
      <c r="DT184" s="19"/>
      <c r="DU184" s="19"/>
      <c r="DV184" s="19"/>
      <c r="DW184" s="19"/>
      <c r="DX184" s="19"/>
      <c r="DY184" s="19"/>
      <c r="DZ184" s="19"/>
      <c r="EA184" s="19"/>
      <c r="EB184" s="19"/>
      <c r="EC184" s="19"/>
      <c r="ED184" s="19"/>
      <c r="EE184" s="19"/>
      <c r="EF184" s="19"/>
      <c r="EG184" s="19"/>
      <c r="EH184" s="19"/>
      <c r="EI184" s="19"/>
      <c r="EJ184" s="19"/>
      <c r="EK184" s="19"/>
      <c r="EL184" s="19"/>
      <c r="EM184" s="19"/>
      <c r="EN184" s="19"/>
      <c r="EO184" s="19"/>
      <c r="EP184" s="19"/>
      <c r="EQ184" s="19"/>
      <c r="ER184" s="19"/>
      <c r="ES184" s="19"/>
      <c r="ET184" s="19"/>
      <c r="EU184" s="19"/>
      <c r="EV184" s="19"/>
      <c r="EW184" s="19"/>
      <c r="EX184" s="19"/>
      <c r="EY184" s="19"/>
      <c r="EZ184" s="19"/>
      <c r="FA184" s="19"/>
      <c r="FB184" s="19"/>
      <c r="FC184" s="19"/>
      <c r="FD184" s="19"/>
      <c r="FE184" s="19"/>
      <c r="FF184" s="19"/>
      <c r="FG184" s="19"/>
      <c r="FH184" s="19"/>
      <c r="FI184" s="19"/>
      <c r="FJ184" s="19"/>
      <c r="FK184" s="19"/>
      <c r="FL184" s="20" t="s">
        <v>748</v>
      </c>
      <c r="FM184" s="20" t="s">
        <v>255</v>
      </c>
      <c r="FN184" s="19"/>
      <c r="FO184" s="19"/>
      <c r="FP184" s="19"/>
      <c r="FQ184" s="19"/>
      <c r="FR184" s="19"/>
      <c r="FS184" s="19"/>
      <c r="FT184" s="19"/>
      <c r="FU184" s="19"/>
      <c r="FV184" s="19"/>
      <c r="FW184" s="19"/>
      <c r="FX184" s="19"/>
      <c r="FY184" s="19"/>
      <c r="FZ184" s="19"/>
      <c r="GA184" s="19"/>
      <c r="GB184" s="19"/>
      <c r="GC184" s="19"/>
      <c r="GD184" s="19"/>
      <c r="GE184" s="19"/>
      <c r="GF184" s="19"/>
      <c r="GG184" s="19"/>
      <c r="GH184" s="19"/>
      <c r="GI184" s="19"/>
      <c r="GJ184" s="19"/>
      <c r="GK184" s="19"/>
      <c r="GL184" s="19"/>
      <c r="GM184" s="19"/>
      <c r="GN184" s="19"/>
      <c r="GO184" s="19"/>
      <c r="GP184" s="19"/>
      <c r="GQ184" s="19"/>
      <c r="GR184" s="19"/>
      <c r="GS184" s="19"/>
      <c r="GT184" s="19"/>
      <c r="GU184" s="19"/>
      <c r="GV184" s="19"/>
      <c r="GW184" s="19"/>
      <c r="GX184" s="19"/>
      <c r="GY184" s="19"/>
      <c r="GZ184" s="19"/>
      <c r="HA184" s="19"/>
    </row>
    <row r="185" spans="1:209" ht="23.25" customHeight="1" x14ac:dyDescent="0.15">
      <c r="A185" s="26">
        <v>44659.622071076388</v>
      </c>
      <c r="B185" s="27" t="s">
        <v>6</v>
      </c>
      <c r="C185" s="27" t="s">
        <v>10</v>
      </c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7" t="s">
        <v>749</v>
      </c>
      <c r="AO185" s="27" t="s">
        <v>750</v>
      </c>
      <c r="AP185" s="27" t="s">
        <v>751</v>
      </c>
      <c r="AQ185" s="27" t="s">
        <v>308</v>
      </c>
      <c r="AR185" s="29">
        <v>44477</v>
      </c>
      <c r="AS185" s="29">
        <v>44544</v>
      </c>
      <c r="AT185" s="27" t="s">
        <v>252</v>
      </c>
      <c r="AU185" s="27" t="s">
        <v>252</v>
      </c>
      <c r="AV185" s="27">
        <v>0</v>
      </c>
      <c r="AW185" s="30" t="s">
        <v>752</v>
      </c>
      <c r="AX185" s="28"/>
      <c r="AY185" s="28"/>
      <c r="AZ185" s="28"/>
      <c r="BA185" s="28"/>
      <c r="BB185" s="28"/>
      <c r="BC185" s="28"/>
      <c r="BD185" s="28"/>
      <c r="BE185" s="28"/>
      <c r="BF185" s="28"/>
      <c r="BG185" s="28"/>
      <c r="BH185" s="28"/>
      <c r="BI185" s="28"/>
      <c r="BJ185" s="28"/>
      <c r="BK185" s="28"/>
      <c r="BL185" s="28"/>
      <c r="BM185" s="28"/>
      <c r="BN185" s="28"/>
      <c r="BO185" s="28"/>
      <c r="BP185" s="28"/>
      <c r="BQ185" s="28"/>
      <c r="BR185" s="28"/>
      <c r="BS185" s="28"/>
      <c r="BT185" s="28"/>
      <c r="BU185" s="28"/>
      <c r="BV185" s="28"/>
      <c r="BW185" s="28"/>
      <c r="BX185" s="28"/>
      <c r="BY185" s="19"/>
      <c r="BZ185" s="19"/>
      <c r="CA185" s="19"/>
      <c r="CB185" s="19"/>
      <c r="CC185" s="19"/>
      <c r="CD185" s="19"/>
      <c r="CE185" s="19"/>
      <c r="CF185" s="19"/>
      <c r="CG185" s="19"/>
      <c r="CH185" s="19"/>
      <c r="CI185" s="19"/>
      <c r="CJ185" s="19"/>
      <c r="CK185" s="19"/>
      <c r="CL185" s="19"/>
      <c r="CM185" s="19"/>
      <c r="CN185" s="19"/>
      <c r="CO185" s="19"/>
      <c r="CP185" s="19"/>
      <c r="CQ185" s="19"/>
      <c r="CR185" s="19"/>
      <c r="CS185" s="19"/>
      <c r="CT185" s="19"/>
      <c r="CU185" s="19"/>
      <c r="CV185" s="19"/>
      <c r="CW185" s="19"/>
      <c r="CX185" s="19"/>
      <c r="CY185" s="19"/>
      <c r="CZ185" s="19"/>
      <c r="DA185" s="19"/>
      <c r="DB185" s="19"/>
      <c r="DC185" s="19"/>
      <c r="DD185" s="19"/>
      <c r="DE185" s="19"/>
      <c r="DF185" s="19"/>
      <c r="DG185" s="19"/>
      <c r="DH185" s="19"/>
      <c r="DI185" s="19"/>
      <c r="DJ185" s="19"/>
      <c r="DK185" s="19"/>
      <c r="DL185" s="19"/>
      <c r="DM185" s="19"/>
      <c r="DN185" s="19"/>
      <c r="DO185" s="19"/>
      <c r="DP185" s="19"/>
      <c r="DQ185" s="19"/>
      <c r="DR185" s="19"/>
      <c r="DS185" s="19"/>
      <c r="DT185" s="19"/>
      <c r="DU185" s="19"/>
      <c r="DV185" s="19"/>
      <c r="DW185" s="19"/>
      <c r="DX185" s="19"/>
      <c r="DY185" s="19"/>
      <c r="DZ185" s="19"/>
      <c r="EA185" s="19"/>
      <c r="EB185" s="19"/>
      <c r="EC185" s="19"/>
      <c r="ED185" s="19"/>
      <c r="EE185" s="19"/>
      <c r="EF185" s="19"/>
      <c r="EG185" s="19"/>
      <c r="EH185" s="19"/>
      <c r="EI185" s="19"/>
      <c r="EJ185" s="19"/>
      <c r="EK185" s="19"/>
      <c r="EL185" s="19"/>
      <c r="EM185" s="19"/>
      <c r="EN185" s="19"/>
      <c r="EO185" s="19"/>
      <c r="EP185" s="19"/>
      <c r="EQ185" s="19"/>
      <c r="ER185" s="19"/>
      <c r="ES185" s="19"/>
      <c r="ET185" s="19"/>
      <c r="EU185" s="19"/>
      <c r="EV185" s="19"/>
      <c r="EW185" s="19"/>
      <c r="EX185" s="19"/>
      <c r="EY185" s="19"/>
      <c r="EZ185" s="19"/>
      <c r="FA185" s="19"/>
      <c r="FB185" s="19"/>
      <c r="FC185" s="19"/>
      <c r="FD185" s="19"/>
      <c r="FE185" s="19"/>
      <c r="FF185" s="19"/>
      <c r="FG185" s="19"/>
      <c r="FH185" s="19"/>
      <c r="FI185" s="19"/>
      <c r="FJ185" s="19"/>
      <c r="FK185" s="19"/>
      <c r="FL185" s="20" t="s">
        <v>753</v>
      </c>
      <c r="FM185" s="20" t="s">
        <v>255</v>
      </c>
      <c r="FN185" s="19"/>
      <c r="FO185" s="19"/>
      <c r="FP185" s="19"/>
      <c r="FQ185" s="19"/>
      <c r="FR185" s="19"/>
      <c r="FS185" s="19"/>
      <c r="FT185" s="19"/>
      <c r="FU185" s="19"/>
      <c r="FV185" s="19"/>
      <c r="FW185" s="19"/>
      <c r="FX185" s="19"/>
      <c r="FY185" s="19"/>
      <c r="FZ185" s="19"/>
      <c r="GA185" s="19"/>
      <c r="GB185" s="19"/>
      <c r="GC185" s="19"/>
      <c r="GD185" s="19"/>
      <c r="GE185" s="19"/>
      <c r="GF185" s="19"/>
      <c r="GG185" s="19"/>
      <c r="GH185" s="19"/>
      <c r="GI185" s="19"/>
      <c r="GJ185" s="19"/>
      <c r="GK185" s="19"/>
      <c r="GL185" s="19"/>
      <c r="GM185" s="19"/>
      <c r="GN185" s="19"/>
      <c r="GO185" s="19"/>
      <c r="GP185" s="19"/>
      <c r="GQ185" s="19"/>
      <c r="GR185" s="19"/>
      <c r="GS185" s="19"/>
      <c r="GT185" s="19"/>
      <c r="GU185" s="19"/>
      <c r="GV185" s="19"/>
      <c r="GW185" s="19"/>
      <c r="GX185" s="19"/>
      <c r="GY185" s="19"/>
      <c r="GZ185" s="19"/>
      <c r="HA185" s="19"/>
    </row>
    <row r="186" spans="1:209" ht="23.25" customHeight="1" x14ac:dyDescent="0.15">
      <c r="A186" s="26">
        <v>44659.635262986107</v>
      </c>
      <c r="B186" s="27" t="s">
        <v>6</v>
      </c>
      <c r="C186" s="27" t="s">
        <v>12</v>
      </c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  <c r="AX186" s="28"/>
      <c r="AY186" s="28"/>
      <c r="AZ186" s="28"/>
      <c r="BA186" s="28"/>
      <c r="BB186" s="28"/>
      <c r="BC186" s="28"/>
      <c r="BD186" s="28"/>
      <c r="BE186" s="28"/>
      <c r="BF186" s="28"/>
      <c r="BG186" s="28"/>
      <c r="BH186" s="28"/>
      <c r="BI186" s="27" t="s">
        <v>754</v>
      </c>
      <c r="BJ186" s="27" t="s">
        <v>745</v>
      </c>
      <c r="BK186" s="27" t="s">
        <v>145</v>
      </c>
      <c r="BL186" s="27" t="s">
        <v>732</v>
      </c>
      <c r="BM186" s="27" t="s">
        <v>755</v>
      </c>
      <c r="BN186" s="27">
        <v>2</v>
      </c>
      <c r="BO186" s="29">
        <v>43694</v>
      </c>
      <c r="BP186" s="29">
        <v>43695</v>
      </c>
      <c r="BQ186" s="27" t="s">
        <v>756</v>
      </c>
      <c r="BR186" s="27" t="s">
        <v>757</v>
      </c>
      <c r="BS186" s="27" t="s">
        <v>171</v>
      </c>
      <c r="BT186" s="27" t="s">
        <v>629</v>
      </c>
      <c r="BU186" s="27">
        <v>0</v>
      </c>
      <c r="BV186" s="30" t="s">
        <v>758</v>
      </c>
      <c r="BW186" s="28"/>
      <c r="BX186" s="28"/>
      <c r="BY186" s="19"/>
      <c r="BZ186" s="19"/>
      <c r="CA186" s="19"/>
      <c r="CB186" s="19"/>
      <c r="CC186" s="19"/>
      <c r="CD186" s="19"/>
      <c r="CE186" s="19"/>
      <c r="CF186" s="19"/>
      <c r="CG186" s="19"/>
      <c r="CH186" s="19"/>
      <c r="CI186" s="19"/>
      <c r="CJ186" s="19"/>
      <c r="CK186" s="19"/>
      <c r="CL186" s="19"/>
      <c r="CM186" s="19"/>
      <c r="CN186" s="19"/>
      <c r="CO186" s="19"/>
      <c r="CP186" s="19"/>
      <c r="CQ186" s="19"/>
      <c r="CR186" s="19"/>
      <c r="CS186" s="19"/>
      <c r="CT186" s="19"/>
      <c r="CU186" s="19"/>
      <c r="CV186" s="19"/>
      <c r="CW186" s="19"/>
      <c r="CX186" s="19"/>
      <c r="CY186" s="19"/>
      <c r="CZ186" s="19"/>
      <c r="DA186" s="19"/>
      <c r="DB186" s="19"/>
      <c r="DC186" s="19"/>
      <c r="DD186" s="19"/>
      <c r="DE186" s="19"/>
      <c r="DF186" s="19"/>
      <c r="DG186" s="19"/>
      <c r="DH186" s="19"/>
      <c r="DI186" s="19"/>
      <c r="DJ186" s="19"/>
      <c r="DK186" s="19"/>
      <c r="DL186" s="19"/>
      <c r="DM186" s="19"/>
      <c r="DN186" s="19"/>
      <c r="DO186" s="19"/>
      <c r="DP186" s="19"/>
      <c r="DQ186" s="19"/>
      <c r="DR186" s="19"/>
      <c r="DS186" s="19"/>
      <c r="DT186" s="19"/>
      <c r="DU186" s="19"/>
      <c r="DV186" s="19"/>
      <c r="DW186" s="19"/>
      <c r="DX186" s="19"/>
      <c r="DY186" s="19"/>
      <c r="DZ186" s="19"/>
      <c r="EA186" s="19"/>
      <c r="EB186" s="19"/>
      <c r="EC186" s="19"/>
      <c r="ED186" s="19"/>
      <c r="EE186" s="19"/>
      <c r="EF186" s="19"/>
      <c r="EG186" s="19"/>
      <c r="EH186" s="19"/>
      <c r="EI186" s="19"/>
      <c r="EJ186" s="19"/>
      <c r="EK186" s="19"/>
      <c r="EL186" s="19"/>
      <c r="EM186" s="19"/>
      <c r="EN186" s="19"/>
      <c r="EO186" s="19"/>
      <c r="EP186" s="19"/>
      <c r="EQ186" s="19"/>
      <c r="ER186" s="19"/>
      <c r="ES186" s="19"/>
      <c r="ET186" s="19"/>
      <c r="EU186" s="19"/>
      <c r="EV186" s="19"/>
      <c r="EW186" s="19"/>
      <c r="EX186" s="19"/>
      <c r="EY186" s="19"/>
      <c r="EZ186" s="19"/>
      <c r="FA186" s="19"/>
      <c r="FB186" s="19"/>
      <c r="FC186" s="19"/>
      <c r="FD186" s="19"/>
      <c r="FE186" s="19"/>
      <c r="FF186" s="19"/>
      <c r="FG186" s="19"/>
      <c r="FH186" s="19"/>
      <c r="FI186" s="19"/>
      <c r="FJ186" s="19"/>
      <c r="FK186" s="19"/>
      <c r="FL186" s="20" t="s">
        <v>748</v>
      </c>
      <c r="FM186" s="20" t="s">
        <v>255</v>
      </c>
      <c r="FN186" s="19"/>
      <c r="FO186" s="19"/>
      <c r="FP186" s="19"/>
      <c r="FQ186" s="19"/>
      <c r="FR186" s="19"/>
      <c r="FS186" s="19"/>
      <c r="FT186" s="19"/>
      <c r="FU186" s="19"/>
      <c r="FV186" s="19"/>
      <c r="FW186" s="19"/>
      <c r="FX186" s="19"/>
      <c r="FY186" s="19"/>
      <c r="FZ186" s="19"/>
      <c r="GA186" s="19"/>
      <c r="GB186" s="19"/>
      <c r="GC186" s="19"/>
      <c r="GD186" s="19"/>
      <c r="GE186" s="19"/>
      <c r="GF186" s="19"/>
      <c r="GG186" s="19"/>
      <c r="GH186" s="19"/>
      <c r="GI186" s="19"/>
      <c r="GJ186" s="19"/>
      <c r="GK186" s="19"/>
      <c r="GL186" s="19"/>
      <c r="GM186" s="19"/>
      <c r="GN186" s="19"/>
      <c r="GO186" s="19"/>
      <c r="GP186" s="19"/>
      <c r="GQ186" s="19"/>
      <c r="GR186" s="19"/>
      <c r="GS186" s="19"/>
      <c r="GT186" s="19"/>
      <c r="GU186" s="19"/>
      <c r="GV186" s="19"/>
      <c r="GW186" s="19"/>
      <c r="GX186" s="19"/>
      <c r="GY186" s="19"/>
      <c r="GZ186" s="19"/>
      <c r="HA186" s="19"/>
    </row>
    <row r="187" spans="1:209" ht="23.25" customHeight="1" x14ac:dyDescent="0.15">
      <c r="A187" s="26">
        <v>44659.63824266204</v>
      </c>
      <c r="B187" s="27" t="s">
        <v>6</v>
      </c>
      <c r="C187" s="27" t="s">
        <v>12</v>
      </c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  <c r="AX187" s="28"/>
      <c r="AY187" s="28"/>
      <c r="AZ187" s="28"/>
      <c r="BA187" s="28"/>
      <c r="BB187" s="28"/>
      <c r="BC187" s="28"/>
      <c r="BD187" s="28"/>
      <c r="BE187" s="28"/>
      <c r="BF187" s="28"/>
      <c r="BG187" s="28"/>
      <c r="BH187" s="28"/>
      <c r="BI187" s="27" t="s">
        <v>744</v>
      </c>
      <c r="BJ187" s="27" t="s">
        <v>745</v>
      </c>
      <c r="BK187" s="27" t="s">
        <v>154</v>
      </c>
      <c r="BL187" s="27" t="s">
        <v>732</v>
      </c>
      <c r="BM187" s="27" t="s">
        <v>759</v>
      </c>
      <c r="BN187" s="27">
        <v>2</v>
      </c>
      <c r="BO187" s="29">
        <v>43505</v>
      </c>
      <c r="BP187" s="29">
        <v>43506</v>
      </c>
      <c r="BQ187" s="27" t="s">
        <v>627</v>
      </c>
      <c r="BR187" s="27" t="s">
        <v>760</v>
      </c>
      <c r="BS187" s="27" t="s">
        <v>271</v>
      </c>
      <c r="BT187" s="27" t="s">
        <v>151</v>
      </c>
      <c r="BU187" s="28"/>
      <c r="BV187" s="30" t="s">
        <v>761</v>
      </c>
      <c r="BW187" s="28"/>
      <c r="BX187" s="28"/>
      <c r="BY187" s="19"/>
      <c r="BZ187" s="19"/>
      <c r="CA187" s="19"/>
      <c r="CB187" s="19"/>
      <c r="CC187" s="19"/>
      <c r="CD187" s="19"/>
      <c r="CE187" s="19"/>
      <c r="CF187" s="19"/>
      <c r="CG187" s="19"/>
      <c r="CH187" s="19"/>
      <c r="CI187" s="19"/>
      <c r="CJ187" s="19"/>
      <c r="CK187" s="19"/>
      <c r="CL187" s="19"/>
      <c r="CM187" s="19"/>
      <c r="CN187" s="19"/>
      <c r="CO187" s="19"/>
      <c r="CP187" s="19"/>
      <c r="CQ187" s="19"/>
      <c r="CR187" s="19"/>
      <c r="CS187" s="19"/>
      <c r="CT187" s="19"/>
      <c r="CU187" s="19"/>
      <c r="CV187" s="19"/>
      <c r="CW187" s="19"/>
      <c r="CX187" s="19"/>
      <c r="CY187" s="19"/>
      <c r="CZ187" s="19"/>
      <c r="DA187" s="19"/>
      <c r="DB187" s="19"/>
      <c r="DC187" s="19"/>
      <c r="DD187" s="19"/>
      <c r="DE187" s="19"/>
      <c r="DF187" s="19"/>
      <c r="DG187" s="19"/>
      <c r="DH187" s="19"/>
      <c r="DI187" s="19"/>
      <c r="DJ187" s="19"/>
      <c r="DK187" s="19"/>
      <c r="DL187" s="19"/>
      <c r="DM187" s="19"/>
      <c r="DN187" s="19"/>
      <c r="DO187" s="19"/>
      <c r="DP187" s="19"/>
      <c r="DQ187" s="19"/>
      <c r="DR187" s="19"/>
      <c r="DS187" s="19"/>
      <c r="DT187" s="19"/>
      <c r="DU187" s="19"/>
      <c r="DV187" s="19"/>
      <c r="DW187" s="19"/>
      <c r="DX187" s="19"/>
      <c r="DY187" s="19"/>
      <c r="DZ187" s="19"/>
      <c r="EA187" s="19"/>
      <c r="EB187" s="19"/>
      <c r="EC187" s="19"/>
      <c r="ED187" s="19"/>
      <c r="EE187" s="19"/>
      <c r="EF187" s="19"/>
      <c r="EG187" s="19"/>
      <c r="EH187" s="19"/>
      <c r="EI187" s="19"/>
      <c r="EJ187" s="19"/>
      <c r="EK187" s="19"/>
      <c r="EL187" s="19"/>
      <c r="EM187" s="19"/>
      <c r="EN187" s="19"/>
      <c r="EO187" s="19"/>
      <c r="EP187" s="19"/>
      <c r="EQ187" s="19"/>
      <c r="ER187" s="19"/>
      <c r="ES187" s="19"/>
      <c r="ET187" s="19"/>
      <c r="EU187" s="19"/>
      <c r="EV187" s="19"/>
      <c r="EW187" s="19"/>
      <c r="EX187" s="19"/>
      <c r="EY187" s="19"/>
      <c r="EZ187" s="19"/>
      <c r="FA187" s="19"/>
      <c r="FB187" s="19"/>
      <c r="FC187" s="19"/>
      <c r="FD187" s="19"/>
      <c r="FE187" s="19"/>
      <c r="FF187" s="19"/>
      <c r="FG187" s="19"/>
      <c r="FH187" s="19"/>
      <c r="FI187" s="19"/>
      <c r="FJ187" s="19"/>
      <c r="FK187" s="19"/>
      <c r="FL187" s="20" t="s">
        <v>748</v>
      </c>
      <c r="FM187" s="20" t="s">
        <v>380</v>
      </c>
      <c r="FN187" s="19"/>
      <c r="FO187" s="19"/>
      <c r="FP187" s="19"/>
      <c r="FQ187" s="19"/>
      <c r="FR187" s="19"/>
      <c r="FS187" s="19"/>
      <c r="FT187" s="19"/>
      <c r="FU187" s="19"/>
      <c r="FV187" s="19"/>
      <c r="FW187" s="19"/>
      <c r="FX187" s="19"/>
      <c r="FY187" s="19"/>
      <c r="FZ187" s="19"/>
      <c r="GA187" s="19"/>
      <c r="GB187" s="19"/>
      <c r="GC187" s="19"/>
      <c r="GD187" s="19"/>
      <c r="GE187" s="19"/>
      <c r="GF187" s="19"/>
      <c r="GG187" s="19"/>
      <c r="GH187" s="19"/>
      <c r="GI187" s="19"/>
      <c r="GJ187" s="19"/>
      <c r="GK187" s="19"/>
      <c r="GL187" s="19"/>
      <c r="GM187" s="19"/>
      <c r="GN187" s="19"/>
      <c r="GO187" s="19"/>
      <c r="GP187" s="19"/>
      <c r="GQ187" s="19"/>
      <c r="GR187" s="19"/>
      <c r="GS187" s="19"/>
      <c r="GT187" s="19"/>
      <c r="GU187" s="19"/>
      <c r="GV187" s="19"/>
      <c r="GW187" s="19"/>
      <c r="GX187" s="19"/>
      <c r="GY187" s="19"/>
      <c r="GZ187" s="19"/>
      <c r="HA187" s="19"/>
    </row>
    <row r="188" spans="1:209" ht="23.25" customHeight="1" x14ac:dyDescent="0.15">
      <c r="A188" s="26">
        <v>44659.641262245372</v>
      </c>
      <c r="B188" s="27" t="s">
        <v>6</v>
      </c>
      <c r="C188" s="27" t="s">
        <v>11</v>
      </c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  <c r="AX188" s="27" t="s">
        <v>762</v>
      </c>
      <c r="AY188" s="27" t="s">
        <v>763</v>
      </c>
      <c r="AZ188" s="27" t="s">
        <v>764</v>
      </c>
      <c r="BA188" s="27" t="s">
        <v>375</v>
      </c>
      <c r="BB188" s="27" t="s">
        <v>470</v>
      </c>
      <c r="BC188" s="29">
        <v>43818</v>
      </c>
      <c r="BD188" s="29">
        <v>43837</v>
      </c>
      <c r="BE188" s="29">
        <v>43837</v>
      </c>
      <c r="BF188" s="27">
        <v>85</v>
      </c>
      <c r="BG188" s="27" t="s">
        <v>765</v>
      </c>
      <c r="BH188" s="30" t="s">
        <v>766</v>
      </c>
      <c r="BI188" s="28"/>
      <c r="BJ188" s="28"/>
      <c r="BK188" s="28"/>
      <c r="BL188" s="28"/>
      <c r="BM188" s="28"/>
      <c r="BN188" s="28"/>
      <c r="BO188" s="28"/>
      <c r="BP188" s="28"/>
      <c r="BQ188" s="28"/>
      <c r="BR188" s="28"/>
      <c r="BS188" s="28"/>
      <c r="BT188" s="28"/>
      <c r="BU188" s="28"/>
      <c r="BV188" s="28"/>
      <c r="BW188" s="28"/>
      <c r="BX188" s="28"/>
      <c r="BY188" s="19"/>
      <c r="BZ188" s="19"/>
      <c r="CA188" s="19"/>
      <c r="CB188" s="19"/>
      <c r="CC188" s="19"/>
      <c r="CD188" s="19"/>
      <c r="CE188" s="19"/>
      <c r="CF188" s="19"/>
      <c r="CG188" s="19"/>
      <c r="CH188" s="19"/>
      <c r="CI188" s="19"/>
      <c r="CJ188" s="19"/>
      <c r="CK188" s="19"/>
      <c r="CL188" s="19"/>
      <c r="CM188" s="19"/>
      <c r="CN188" s="19"/>
      <c r="CO188" s="19"/>
      <c r="CP188" s="19"/>
      <c r="CQ188" s="19"/>
      <c r="CR188" s="19"/>
      <c r="CS188" s="19"/>
      <c r="CT188" s="19"/>
      <c r="CU188" s="19"/>
      <c r="CV188" s="19"/>
      <c r="CW188" s="19"/>
      <c r="CX188" s="19"/>
      <c r="CY188" s="19"/>
      <c r="CZ188" s="19"/>
      <c r="DA188" s="19"/>
      <c r="DB188" s="19"/>
      <c r="DC188" s="19"/>
      <c r="DD188" s="19"/>
      <c r="DE188" s="19"/>
      <c r="DF188" s="19"/>
      <c r="DG188" s="19"/>
      <c r="DH188" s="19"/>
      <c r="DI188" s="19"/>
      <c r="DJ188" s="19"/>
      <c r="DK188" s="19"/>
      <c r="DL188" s="19"/>
      <c r="DM188" s="19"/>
      <c r="DN188" s="19"/>
      <c r="DO188" s="19"/>
      <c r="DP188" s="19"/>
      <c r="DQ188" s="19"/>
      <c r="DR188" s="19"/>
      <c r="DS188" s="19"/>
      <c r="DT188" s="19"/>
      <c r="DU188" s="19"/>
      <c r="DV188" s="19"/>
      <c r="DW188" s="19"/>
      <c r="DX188" s="19"/>
      <c r="DY188" s="19"/>
      <c r="DZ188" s="19"/>
      <c r="EA188" s="19"/>
      <c r="EB188" s="19"/>
      <c r="EC188" s="19"/>
      <c r="ED188" s="19"/>
      <c r="EE188" s="19"/>
      <c r="EF188" s="19"/>
      <c r="EG188" s="19"/>
      <c r="EH188" s="19"/>
      <c r="EI188" s="19"/>
      <c r="EJ188" s="19"/>
      <c r="EK188" s="19"/>
      <c r="EL188" s="19"/>
      <c r="EM188" s="19"/>
      <c r="EN188" s="19"/>
      <c r="EO188" s="19"/>
      <c r="EP188" s="19"/>
      <c r="EQ188" s="19"/>
      <c r="ER188" s="19"/>
      <c r="ES188" s="19"/>
      <c r="ET188" s="19"/>
      <c r="EU188" s="19"/>
      <c r="EV188" s="19"/>
      <c r="EW188" s="19"/>
      <c r="EX188" s="19"/>
      <c r="EY188" s="19"/>
      <c r="EZ188" s="19"/>
      <c r="FA188" s="19"/>
      <c r="FB188" s="19"/>
      <c r="FC188" s="19"/>
      <c r="FD188" s="19"/>
      <c r="FE188" s="19"/>
      <c r="FF188" s="19"/>
      <c r="FG188" s="19"/>
      <c r="FH188" s="19"/>
      <c r="FI188" s="19"/>
      <c r="FJ188" s="19"/>
      <c r="FK188" s="19"/>
      <c r="FL188" s="20" t="s">
        <v>767</v>
      </c>
      <c r="FM188" s="20" t="s">
        <v>255</v>
      </c>
      <c r="FN188" s="19"/>
      <c r="FO188" s="19"/>
      <c r="FP188" s="19"/>
      <c r="FQ188" s="19"/>
      <c r="FR188" s="19"/>
      <c r="FS188" s="19"/>
      <c r="FT188" s="19"/>
      <c r="FU188" s="19"/>
      <c r="FV188" s="19"/>
      <c r="FW188" s="19"/>
      <c r="FX188" s="19"/>
      <c r="FY188" s="19"/>
      <c r="FZ188" s="19"/>
      <c r="GA188" s="19"/>
      <c r="GB188" s="19"/>
      <c r="GC188" s="19"/>
      <c r="GD188" s="19"/>
      <c r="GE188" s="19"/>
      <c r="GF188" s="19"/>
      <c r="GG188" s="19"/>
      <c r="GH188" s="19"/>
      <c r="GI188" s="19"/>
      <c r="GJ188" s="19"/>
      <c r="GK188" s="19"/>
      <c r="GL188" s="19"/>
      <c r="GM188" s="19"/>
      <c r="GN188" s="19"/>
      <c r="GO188" s="19"/>
      <c r="GP188" s="19"/>
      <c r="GQ188" s="19"/>
      <c r="GR188" s="19"/>
      <c r="GS188" s="19"/>
      <c r="GT188" s="19"/>
      <c r="GU188" s="19"/>
      <c r="GV188" s="19"/>
      <c r="GW188" s="19"/>
      <c r="GX188" s="19"/>
      <c r="GY188" s="19"/>
      <c r="GZ188" s="19"/>
      <c r="HA188" s="19"/>
    </row>
    <row r="189" spans="1:209" ht="23.25" customHeight="1" x14ac:dyDescent="0.15">
      <c r="A189" s="26">
        <v>44659.64171084491</v>
      </c>
      <c r="B189" s="27" t="s">
        <v>6</v>
      </c>
      <c r="C189" s="27" t="s">
        <v>17</v>
      </c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  <c r="BD189" s="28"/>
      <c r="BE189" s="28"/>
      <c r="BF189" s="28"/>
      <c r="BG189" s="28"/>
      <c r="BH189" s="28"/>
      <c r="BI189" s="28"/>
      <c r="BJ189" s="28"/>
      <c r="BK189" s="28"/>
      <c r="BL189" s="28"/>
      <c r="BM189" s="28"/>
      <c r="BN189" s="28"/>
      <c r="BO189" s="28"/>
      <c r="BP189" s="28"/>
      <c r="BQ189" s="28"/>
      <c r="BR189" s="28"/>
      <c r="BS189" s="28"/>
      <c r="BT189" s="28"/>
      <c r="BU189" s="28"/>
      <c r="BV189" s="28"/>
      <c r="BW189" s="28"/>
      <c r="BX189" s="28"/>
      <c r="BY189" s="19"/>
      <c r="BZ189" s="19"/>
      <c r="CA189" s="19"/>
      <c r="CB189" s="19"/>
      <c r="CC189" s="19"/>
      <c r="CD189" s="19"/>
      <c r="CE189" s="19"/>
      <c r="CF189" s="19"/>
      <c r="CG189" s="19"/>
      <c r="CH189" s="19"/>
      <c r="CI189" s="19"/>
      <c r="CJ189" s="19"/>
      <c r="CK189" s="19"/>
      <c r="CL189" s="19"/>
      <c r="CM189" s="19"/>
      <c r="CN189" s="19"/>
      <c r="CO189" s="19"/>
      <c r="CP189" s="19"/>
      <c r="CQ189" s="19"/>
      <c r="CR189" s="19"/>
      <c r="CS189" s="19"/>
      <c r="CT189" s="19"/>
      <c r="CU189" s="19"/>
      <c r="CV189" s="19"/>
      <c r="CW189" s="19"/>
      <c r="CX189" s="19"/>
      <c r="CY189" s="19"/>
      <c r="CZ189" s="19"/>
      <c r="DA189" s="19"/>
      <c r="DB189" s="19"/>
      <c r="DC189" s="19"/>
      <c r="DD189" s="19"/>
      <c r="DE189" s="19"/>
      <c r="DF189" s="19"/>
      <c r="DG189" s="19"/>
      <c r="DH189" s="19"/>
      <c r="DI189" s="19"/>
      <c r="DJ189" s="19"/>
      <c r="DK189" s="19"/>
      <c r="DL189" s="19"/>
      <c r="DM189" s="19"/>
      <c r="DN189" s="19"/>
      <c r="DO189" s="19"/>
      <c r="DP189" s="19"/>
      <c r="DQ189" s="19"/>
      <c r="DR189" s="19"/>
      <c r="DS189" s="19"/>
      <c r="DT189" s="19"/>
      <c r="DU189" s="19"/>
      <c r="DV189" s="19"/>
      <c r="DW189" s="19"/>
      <c r="DX189" s="20" t="s">
        <v>744</v>
      </c>
      <c r="DY189" s="20" t="s">
        <v>745</v>
      </c>
      <c r="DZ189" s="20" t="s">
        <v>145</v>
      </c>
      <c r="EA189" s="20" t="s">
        <v>768</v>
      </c>
      <c r="EB189" s="21">
        <v>43358</v>
      </c>
      <c r="EC189" s="20" t="s">
        <v>769</v>
      </c>
      <c r="ED189" s="22" t="s">
        <v>770</v>
      </c>
      <c r="EE189" s="19"/>
      <c r="EF189" s="19"/>
      <c r="EG189" s="19"/>
      <c r="EH189" s="19"/>
      <c r="EI189" s="19"/>
      <c r="EJ189" s="19"/>
      <c r="EK189" s="19"/>
      <c r="EL189" s="19"/>
      <c r="EM189" s="19"/>
      <c r="EN189" s="19"/>
      <c r="EO189" s="19"/>
      <c r="EP189" s="19"/>
      <c r="EQ189" s="19"/>
      <c r="ER189" s="19"/>
      <c r="ES189" s="19"/>
      <c r="ET189" s="19"/>
      <c r="EU189" s="19"/>
      <c r="EV189" s="19"/>
      <c r="EW189" s="19"/>
      <c r="EX189" s="19"/>
      <c r="EY189" s="19"/>
      <c r="EZ189" s="19"/>
      <c r="FA189" s="19"/>
      <c r="FB189" s="19"/>
      <c r="FC189" s="19"/>
      <c r="FD189" s="19"/>
      <c r="FE189" s="19"/>
      <c r="FF189" s="19"/>
      <c r="FG189" s="19"/>
      <c r="FH189" s="19"/>
      <c r="FI189" s="19"/>
      <c r="FJ189" s="19"/>
      <c r="FK189" s="19"/>
      <c r="FL189" s="20" t="s">
        <v>748</v>
      </c>
      <c r="FM189" s="20" t="s">
        <v>255</v>
      </c>
      <c r="FN189" s="19"/>
      <c r="FO189" s="19"/>
      <c r="FP189" s="19"/>
      <c r="FQ189" s="19"/>
      <c r="FR189" s="19"/>
      <c r="FS189" s="19"/>
      <c r="FT189" s="19"/>
      <c r="FU189" s="19"/>
      <c r="FV189" s="19"/>
      <c r="FW189" s="19"/>
      <c r="FX189" s="19"/>
      <c r="FY189" s="19"/>
      <c r="FZ189" s="19"/>
      <c r="GA189" s="19"/>
      <c r="GB189" s="19"/>
      <c r="GC189" s="19"/>
      <c r="GD189" s="19"/>
      <c r="GE189" s="19"/>
      <c r="GF189" s="19"/>
      <c r="GG189" s="19"/>
      <c r="GH189" s="19"/>
      <c r="GI189" s="19"/>
      <c r="GJ189" s="19"/>
      <c r="GK189" s="19"/>
      <c r="GL189" s="19"/>
      <c r="GM189" s="19"/>
      <c r="GN189" s="19"/>
      <c r="GO189" s="19"/>
      <c r="GP189" s="19"/>
      <c r="GQ189" s="19"/>
      <c r="GR189" s="19"/>
      <c r="GS189" s="19"/>
      <c r="GT189" s="19"/>
      <c r="GU189" s="19"/>
      <c r="GV189" s="19"/>
      <c r="GW189" s="19"/>
      <c r="GX189" s="19"/>
      <c r="GY189" s="19"/>
      <c r="GZ189" s="19"/>
      <c r="HA189" s="19"/>
    </row>
    <row r="190" spans="1:209" ht="23.25" customHeight="1" x14ac:dyDescent="0.15">
      <c r="A190" s="26">
        <v>44659.642905486107</v>
      </c>
      <c r="B190" s="27" t="s">
        <v>6</v>
      </c>
      <c r="C190" s="27" t="s">
        <v>11</v>
      </c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  <c r="AX190" s="27" t="s">
        <v>771</v>
      </c>
      <c r="AY190" s="27" t="s">
        <v>763</v>
      </c>
      <c r="AZ190" s="27" t="s">
        <v>772</v>
      </c>
      <c r="BA190" s="27" t="s">
        <v>375</v>
      </c>
      <c r="BB190" s="27" t="s">
        <v>470</v>
      </c>
      <c r="BC190" s="29">
        <v>43818</v>
      </c>
      <c r="BD190" s="29">
        <v>44013</v>
      </c>
      <c r="BE190" s="29">
        <v>44013</v>
      </c>
      <c r="BF190" s="27">
        <v>85</v>
      </c>
      <c r="BG190" s="27" t="s">
        <v>765</v>
      </c>
      <c r="BH190" s="30" t="s">
        <v>773</v>
      </c>
      <c r="BI190" s="28"/>
      <c r="BJ190" s="28"/>
      <c r="BK190" s="28"/>
      <c r="BL190" s="28"/>
      <c r="BM190" s="28"/>
      <c r="BN190" s="28"/>
      <c r="BO190" s="28"/>
      <c r="BP190" s="28"/>
      <c r="BQ190" s="28"/>
      <c r="BR190" s="28"/>
      <c r="BS190" s="28"/>
      <c r="BT190" s="28"/>
      <c r="BU190" s="28"/>
      <c r="BV190" s="28"/>
      <c r="BW190" s="28"/>
      <c r="BX190" s="28"/>
      <c r="BY190" s="19"/>
      <c r="BZ190" s="19"/>
      <c r="CA190" s="19"/>
      <c r="CB190" s="19"/>
      <c r="CC190" s="19"/>
      <c r="CD190" s="19"/>
      <c r="CE190" s="19"/>
      <c r="CF190" s="19"/>
      <c r="CG190" s="19"/>
      <c r="CH190" s="19"/>
      <c r="CI190" s="19"/>
      <c r="CJ190" s="19"/>
      <c r="CK190" s="19"/>
      <c r="CL190" s="19"/>
      <c r="CM190" s="19"/>
      <c r="CN190" s="19"/>
      <c r="CO190" s="19"/>
      <c r="CP190" s="19"/>
      <c r="CQ190" s="19"/>
      <c r="CR190" s="19"/>
      <c r="CS190" s="19"/>
      <c r="CT190" s="19"/>
      <c r="CU190" s="19"/>
      <c r="CV190" s="19"/>
      <c r="CW190" s="19"/>
      <c r="CX190" s="19"/>
      <c r="CY190" s="19"/>
      <c r="CZ190" s="19"/>
      <c r="DA190" s="19"/>
      <c r="DB190" s="19"/>
      <c r="DC190" s="19"/>
      <c r="DD190" s="19"/>
      <c r="DE190" s="19"/>
      <c r="DF190" s="19"/>
      <c r="DG190" s="19"/>
      <c r="DH190" s="19"/>
      <c r="DI190" s="19"/>
      <c r="DJ190" s="19"/>
      <c r="DK190" s="19"/>
      <c r="DL190" s="19"/>
      <c r="DM190" s="19"/>
      <c r="DN190" s="19"/>
      <c r="DO190" s="19"/>
      <c r="DP190" s="19"/>
      <c r="DQ190" s="19"/>
      <c r="DR190" s="19"/>
      <c r="DS190" s="19"/>
      <c r="DT190" s="19"/>
      <c r="DU190" s="19"/>
      <c r="DV190" s="19"/>
      <c r="DW190" s="19"/>
      <c r="DX190" s="19"/>
      <c r="DY190" s="19"/>
      <c r="DZ190" s="19"/>
      <c r="EA190" s="19"/>
      <c r="EB190" s="19"/>
      <c r="EC190" s="19"/>
      <c r="ED190" s="19"/>
      <c r="EE190" s="19"/>
      <c r="EF190" s="19"/>
      <c r="EG190" s="19"/>
      <c r="EH190" s="19"/>
      <c r="EI190" s="19"/>
      <c r="EJ190" s="19"/>
      <c r="EK190" s="19"/>
      <c r="EL190" s="19"/>
      <c r="EM190" s="19"/>
      <c r="EN190" s="19"/>
      <c r="EO190" s="19"/>
      <c r="EP190" s="19"/>
      <c r="EQ190" s="19"/>
      <c r="ER190" s="19"/>
      <c r="ES190" s="19"/>
      <c r="ET190" s="19"/>
      <c r="EU190" s="19"/>
      <c r="EV190" s="19"/>
      <c r="EW190" s="19"/>
      <c r="EX190" s="19"/>
      <c r="EY190" s="19"/>
      <c r="EZ190" s="19"/>
      <c r="FA190" s="19"/>
      <c r="FB190" s="19"/>
      <c r="FC190" s="19"/>
      <c r="FD190" s="19"/>
      <c r="FE190" s="19"/>
      <c r="FF190" s="19"/>
      <c r="FG190" s="19"/>
      <c r="FH190" s="19"/>
      <c r="FI190" s="19"/>
      <c r="FJ190" s="19"/>
      <c r="FK190" s="19"/>
      <c r="FL190" s="20" t="s">
        <v>767</v>
      </c>
      <c r="FM190" s="20" t="s">
        <v>255</v>
      </c>
      <c r="FN190" s="19"/>
      <c r="FO190" s="19"/>
      <c r="FP190" s="19"/>
      <c r="FQ190" s="19"/>
      <c r="FR190" s="19"/>
      <c r="FS190" s="19"/>
      <c r="FT190" s="19"/>
      <c r="FU190" s="19"/>
      <c r="FV190" s="19"/>
      <c r="FW190" s="19"/>
      <c r="FX190" s="19"/>
      <c r="FY190" s="19"/>
      <c r="FZ190" s="19"/>
      <c r="GA190" s="19"/>
      <c r="GB190" s="19"/>
      <c r="GC190" s="19"/>
      <c r="GD190" s="19"/>
      <c r="GE190" s="19"/>
      <c r="GF190" s="19"/>
      <c r="GG190" s="19"/>
      <c r="GH190" s="19"/>
      <c r="GI190" s="19"/>
      <c r="GJ190" s="19"/>
      <c r="GK190" s="19"/>
      <c r="GL190" s="19"/>
      <c r="GM190" s="19"/>
      <c r="GN190" s="19"/>
      <c r="GO190" s="19"/>
      <c r="GP190" s="19"/>
      <c r="GQ190" s="19"/>
      <c r="GR190" s="19"/>
      <c r="GS190" s="19"/>
      <c r="GT190" s="19"/>
      <c r="GU190" s="19"/>
      <c r="GV190" s="19"/>
      <c r="GW190" s="19"/>
      <c r="GX190" s="19"/>
      <c r="GY190" s="19"/>
      <c r="GZ190" s="19"/>
      <c r="HA190" s="19"/>
    </row>
    <row r="191" spans="1:209" ht="23.25" customHeight="1" x14ac:dyDescent="0.15">
      <c r="A191" s="26">
        <v>44659.645293819442</v>
      </c>
      <c r="B191" s="27" t="s">
        <v>6</v>
      </c>
      <c r="C191" s="27" t="s">
        <v>10</v>
      </c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7" t="s">
        <v>428</v>
      </c>
      <c r="AO191" s="27" t="s">
        <v>429</v>
      </c>
      <c r="AP191" s="27" t="s">
        <v>751</v>
      </c>
      <c r="AQ191" s="27" t="s">
        <v>318</v>
      </c>
      <c r="AR191" s="29">
        <v>44477</v>
      </c>
      <c r="AS191" s="29">
        <v>44544</v>
      </c>
      <c r="AT191" s="27" t="s">
        <v>252</v>
      </c>
      <c r="AU191" s="27" t="s">
        <v>252</v>
      </c>
      <c r="AV191" s="27">
        <v>0</v>
      </c>
      <c r="AW191" s="30" t="s">
        <v>774</v>
      </c>
      <c r="AX191" s="28"/>
      <c r="AY191" s="28"/>
      <c r="AZ191" s="28"/>
      <c r="BA191" s="28"/>
      <c r="BB191" s="28"/>
      <c r="BC191" s="28"/>
      <c r="BD191" s="28"/>
      <c r="BE191" s="28"/>
      <c r="BF191" s="28"/>
      <c r="BG191" s="28"/>
      <c r="BH191" s="28"/>
      <c r="BI191" s="28"/>
      <c r="BJ191" s="28"/>
      <c r="BK191" s="28"/>
      <c r="BL191" s="28"/>
      <c r="BM191" s="28"/>
      <c r="BN191" s="28"/>
      <c r="BO191" s="28"/>
      <c r="BP191" s="28"/>
      <c r="BQ191" s="28"/>
      <c r="BR191" s="28"/>
      <c r="BS191" s="28"/>
      <c r="BT191" s="28"/>
      <c r="BU191" s="28"/>
      <c r="BV191" s="28"/>
      <c r="BW191" s="28"/>
      <c r="BX191" s="28"/>
      <c r="BY191" s="19"/>
      <c r="BZ191" s="19"/>
      <c r="CA191" s="19"/>
      <c r="CB191" s="19"/>
      <c r="CC191" s="19"/>
      <c r="CD191" s="19"/>
      <c r="CE191" s="19"/>
      <c r="CF191" s="19"/>
      <c r="CG191" s="19"/>
      <c r="CH191" s="19"/>
      <c r="CI191" s="19"/>
      <c r="CJ191" s="19"/>
      <c r="CK191" s="19"/>
      <c r="CL191" s="19"/>
      <c r="CM191" s="19"/>
      <c r="CN191" s="19"/>
      <c r="CO191" s="19"/>
      <c r="CP191" s="19"/>
      <c r="CQ191" s="19"/>
      <c r="CR191" s="19"/>
      <c r="CS191" s="19"/>
      <c r="CT191" s="19"/>
      <c r="CU191" s="19"/>
      <c r="CV191" s="19"/>
      <c r="CW191" s="19"/>
      <c r="CX191" s="19"/>
      <c r="CY191" s="19"/>
      <c r="CZ191" s="19"/>
      <c r="DA191" s="19"/>
      <c r="DB191" s="19"/>
      <c r="DC191" s="19"/>
      <c r="DD191" s="19"/>
      <c r="DE191" s="19"/>
      <c r="DF191" s="19"/>
      <c r="DG191" s="19"/>
      <c r="DH191" s="19"/>
      <c r="DI191" s="19"/>
      <c r="DJ191" s="19"/>
      <c r="DK191" s="19"/>
      <c r="DL191" s="19"/>
      <c r="DM191" s="19"/>
      <c r="DN191" s="19"/>
      <c r="DO191" s="19"/>
      <c r="DP191" s="19"/>
      <c r="DQ191" s="19"/>
      <c r="DR191" s="19"/>
      <c r="DS191" s="19"/>
      <c r="DT191" s="19"/>
      <c r="DU191" s="19"/>
      <c r="DV191" s="19"/>
      <c r="DW191" s="19"/>
      <c r="DX191" s="19"/>
      <c r="DY191" s="19"/>
      <c r="DZ191" s="19"/>
      <c r="EA191" s="19"/>
      <c r="EB191" s="19"/>
      <c r="EC191" s="19"/>
      <c r="ED191" s="19"/>
      <c r="EE191" s="19"/>
      <c r="EF191" s="19"/>
      <c r="EG191" s="19"/>
      <c r="EH191" s="19"/>
      <c r="EI191" s="19"/>
      <c r="EJ191" s="19"/>
      <c r="EK191" s="19"/>
      <c r="EL191" s="19"/>
      <c r="EM191" s="19"/>
      <c r="EN191" s="19"/>
      <c r="EO191" s="19"/>
      <c r="EP191" s="19"/>
      <c r="EQ191" s="19"/>
      <c r="ER191" s="19"/>
      <c r="ES191" s="19"/>
      <c r="ET191" s="19"/>
      <c r="EU191" s="19"/>
      <c r="EV191" s="19"/>
      <c r="EW191" s="19"/>
      <c r="EX191" s="19"/>
      <c r="EY191" s="19"/>
      <c r="EZ191" s="19"/>
      <c r="FA191" s="19"/>
      <c r="FB191" s="19"/>
      <c r="FC191" s="19"/>
      <c r="FD191" s="19"/>
      <c r="FE191" s="19"/>
      <c r="FF191" s="19"/>
      <c r="FG191" s="19"/>
      <c r="FH191" s="19"/>
      <c r="FI191" s="19"/>
      <c r="FJ191" s="19"/>
      <c r="FK191" s="19"/>
      <c r="FL191" s="20" t="s">
        <v>434</v>
      </c>
      <c r="FM191" s="20" t="s">
        <v>273</v>
      </c>
      <c r="FN191" s="19"/>
      <c r="FO191" s="19"/>
      <c r="FP191" s="19"/>
      <c r="FQ191" s="19"/>
      <c r="FR191" s="19"/>
      <c r="FS191" s="19"/>
      <c r="FT191" s="19"/>
      <c r="FU191" s="19"/>
      <c r="FV191" s="19"/>
      <c r="FW191" s="19"/>
      <c r="FX191" s="19"/>
      <c r="FY191" s="19"/>
      <c r="FZ191" s="19"/>
      <c r="GA191" s="19"/>
      <c r="GB191" s="19"/>
      <c r="GC191" s="19"/>
      <c r="GD191" s="19"/>
      <c r="GE191" s="19"/>
      <c r="GF191" s="19"/>
      <c r="GG191" s="19"/>
      <c r="GH191" s="19"/>
      <c r="GI191" s="19"/>
      <c r="GJ191" s="19"/>
      <c r="GK191" s="19"/>
      <c r="GL191" s="19"/>
      <c r="GM191" s="19"/>
      <c r="GN191" s="19"/>
      <c r="GO191" s="19"/>
      <c r="GP191" s="19"/>
      <c r="GQ191" s="19"/>
      <c r="GR191" s="19"/>
      <c r="GS191" s="19"/>
      <c r="GT191" s="19"/>
      <c r="GU191" s="19"/>
      <c r="GV191" s="19"/>
      <c r="GW191" s="19"/>
      <c r="GX191" s="19"/>
      <c r="GY191" s="19"/>
      <c r="GZ191" s="19"/>
      <c r="HA191" s="19"/>
    </row>
    <row r="192" spans="1:209" ht="23.25" customHeight="1" x14ac:dyDescent="0.15">
      <c r="A192" s="26">
        <v>44659.645822951388</v>
      </c>
      <c r="B192" s="27" t="s">
        <v>6</v>
      </c>
      <c r="C192" s="27" t="s">
        <v>11</v>
      </c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  <c r="AX192" s="27" t="s">
        <v>762</v>
      </c>
      <c r="AY192" s="27" t="s">
        <v>763</v>
      </c>
      <c r="AZ192" s="27" t="s">
        <v>775</v>
      </c>
      <c r="BA192" s="27" t="s">
        <v>375</v>
      </c>
      <c r="BB192" s="27" t="s">
        <v>470</v>
      </c>
      <c r="BC192" s="29">
        <v>43818</v>
      </c>
      <c r="BD192" s="29">
        <v>44013</v>
      </c>
      <c r="BE192" s="29">
        <v>44013</v>
      </c>
      <c r="BF192" s="27">
        <v>85</v>
      </c>
      <c r="BG192" s="27" t="s">
        <v>765</v>
      </c>
      <c r="BH192" s="30" t="s">
        <v>776</v>
      </c>
      <c r="BI192" s="28"/>
      <c r="BJ192" s="28"/>
      <c r="BK192" s="28"/>
      <c r="BL192" s="28"/>
      <c r="BM192" s="28"/>
      <c r="BN192" s="28"/>
      <c r="BO192" s="28"/>
      <c r="BP192" s="28"/>
      <c r="BQ192" s="28"/>
      <c r="BR192" s="28"/>
      <c r="BS192" s="28"/>
      <c r="BT192" s="28"/>
      <c r="BU192" s="28"/>
      <c r="BV192" s="28"/>
      <c r="BW192" s="28"/>
      <c r="BX192" s="28"/>
      <c r="BY192" s="19"/>
      <c r="BZ192" s="19"/>
      <c r="CA192" s="19"/>
      <c r="CB192" s="19"/>
      <c r="CC192" s="19"/>
      <c r="CD192" s="19"/>
      <c r="CE192" s="19"/>
      <c r="CF192" s="19"/>
      <c r="CG192" s="19"/>
      <c r="CH192" s="19"/>
      <c r="CI192" s="19"/>
      <c r="CJ192" s="19"/>
      <c r="CK192" s="19"/>
      <c r="CL192" s="19"/>
      <c r="CM192" s="19"/>
      <c r="CN192" s="19"/>
      <c r="CO192" s="19"/>
      <c r="CP192" s="19"/>
      <c r="CQ192" s="19"/>
      <c r="CR192" s="19"/>
      <c r="CS192" s="19"/>
      <c r="CT192" s="19"/>
      <c r="CU192" s="19"/>
      <c r="CV192" s="19"/>
      <c r="CW192" s="19"/>
      <c r="CX192" s="19"/>
      <c r="CY192" s="19"/>
      <c r="CZ192" s="19"/>
      <c r="DA192" s="19"/>
      <c r="DB192" s="19"/>
      <c r="DC192" s="19"/>
      <c r="DD192" s="19"/>
      <c r="DE192" s="19"/>
      <c r="DF192" s="19"/>
      <c r="DG192" s="19"/>
      <c r="DH192" s="19"/>
      <c r="DI192" s="19"/>
      <c r="DJ192" s="19"/>
      <c r="DK192" s="19"/>
      <c r="DL192" s="19"/>
      <c r="DM192" s="19"/>
      <c r="DN192" s="19"/>
      <c r="DO192" s="19"/>
      <c r="DP192" s="19"/>
      <c r="DQ192" s="19"/>
      <c r="DR192" s="19"/>
      <c r="DS192" s="19"/>
      <c r="DT192" s="19"/>
      <c r="DU192" s="19"/>
      <c r="DV192" s="19"/>
      <c r="DW192" s="19"/>
      <c r="DX192" s="19"/>
      <c r="DY192" s="19"/>
      <c r="DZ192" s="19"/>
      <c r="EA192" s="19"/>
      <c r="EB192" s="19"/>
      <c r="EC192" s="19"/>
      <c r="ED192" s="19"/>
      <c r="EE192" s="19"/>
      <c r="EF192" s="19"/>
      <c r="EG192" s="19"/>
      <c r="EH192" s="19"/>
      <c r="EI192" s="19"/>
      <c r="EJ192" s="19"/>
      <c r="EK192" s="19"/>
      <c r="EL192" s="19"/>
      <c r="EM192" s="19"/>
      <c r="EN192" s="19"/>
      <c r="EO192" s="19"/>
      <c r="EP192" s="19"/>
      <c r="EQ192" s="19"/>
      <c r="ER192" s="19"/>
      <c r="ES192" s="19"/>
      <c r="ET192" s="19"/>
      <c r="EU192" s="19"/>
      <c r="EV192" s="19"/>
      <c r="EW192" s="19"/>
      <c r="EX192" s="19"/>
      <c r="EY192" s="19"/>
      <c r="EZ192" s="19"/>
      <c r="FA192" s="19"/>
      <c r="FB192" s="19"/>
      <c r="FC192" s="19"/>
      <c r="FD192" s="19"/>
      <c r="FE192" s="19"/>
      <c r="FF192" s="19"/>
      <c r="FG192" s="19"/>
      <c r="FH192" s="19"/>
      <c r="FI192" s="19"/>
      <c r="FJ192" s="19"/>
      <c r="FK192" s="19"/>
      <c r="FL192" s="20" t="s">
        <v>767</v>
      </c>
      <c r="FM192" s="20" t="s">
        <v>255</v>
      </c>
      <c r="FN192" s="19"/>
      <c r="FO192" s="19"/>
      <c r="FP192" s="19"/>
      <c r="FQ192" s="19"/>
      <c r="FR192" s="19"/>
      <c r="FS192" s="19"/>
      <c r="FT192" s="19"/>
      <c r="FU192" s="19"/>
      <c r="FV192" s="19"/>
      <c r="FW192" s="19"/>
      <c r="FX192" s="19"/>
      <c r="FY192" s="19"/>
      <c r="FZ192" s="19"/>
      <c r="GA192" s="19"/>
      <c r="GB192" s="19"/>
      <c r="GC192" s="19"/>
      <c r="GD192" s="19"/>
      <c r="GE192" s="19"/>
      <c r="GF192" s="19"/>
      <c r="GG192" s="19"/>
      <c r="GH192" s="19"/>
      <c r="GI192" s="19"/>
      <c r="GJ192" s="19"/>
      <c r="GK192" s="19"/>
      <c r="GL192" s="19"/>
      <c r="GM192" s="19"/>
      <c r="GN192" s="19"/>
      <c r="GO192" s="19"/>
      <c r="GP192" s="19"/>
      <c r="GQ192" s="19"/>
      <c r="GR192" s="19"/>
      <c r="GS192" s="19"/>
      <c r="GT192" s="19"/>
      <c r="GU192" s="19"/>
      <c r="GV192" s="19"/>
      <c r="GW192" s="19"/>
      <c r="GX192" s="19"/>
      <c r="GY192" s="19"/>
      <c r="GZ192" s="19"/>
      <c r="HA192" s="19"/>
    </row>
    <row r="193" spans="1:209" ht="23.25" customHeight="1" x14ac:dyDescent="0.15">
      <c r="A193" s="26">
        <v>44659.646632951393</v>
      </c>
      <c r="B193" s="27" t="s">
        <v>6</v>
      </c>
      <c r="C193" s="27" t="s">
        <v>10</v>
      </c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7" t="s">
        <v>777</v>
      </c>
      <c r="AO193" s="27" t="s">
        <v>745</v>
      </c>
      <c r="AP193" s="27" t="s">
        <v>778</v>
      </c>
      <c r="AQ193" s="27" t="s">
        <v>779</v>
      </c>
      <c r="AR193" s="29">
        <v>44112</v>
      </c>
      <c r="AS193" s="29">
        <v>44170</v>
      </c>
      <c r="AT193" s="27" t="s">
        <v>252</v>
      </c>
      <c r="AU193" s="27" t="s">
        <v>252</v>
      </c>
      <c r="AV193" s="27">
        <v>0</v>
      </c>
      <c r="AW193" s="30" t="s">
        <v>780</v>
      </c>
      <c r="AX193" s="28"/>
      <c r="AY193" s="28"/>
      <c r="AZ193" s="28"/>
      <c r="BA193" s="28"/>
      <c r="BB193" s="28"/>
      <c r="BC193" s="28"/>
      <c r="BD193" s="28"/>
      <c r="BE193" s="28"/>
      <c r="BF193" s="28"/>
      <c r="BG193" s="28"/>
      <c r="BH193" s="28"/>
      <c r="BI193" s="28"/>
      <c r="BJ193" s="28"/>
      <c r="BK193" s="28"/>
      <c r="BL193" s="28"/>
      <c r="BM193" s="28"/>
      <c r="BN193" s="28"/>
      <c r="BO193" s="28"/>
      <c r="BP193" s="28"/>
      <c r="BQ193" s="28"/>
      <c r="BR193" s="28"/>
      <c r="BS193" s="28"/>
      <c r="BT193" s="28"/>
      <c r="BU193" s="28"/>
      <c r="BV193" s="28"/>
      <c r="BW193" s="28"/>
      <c r="BX193" s="28"/>
      <c r="BY193" s="19"/>
      <c r="BZ193" s="19"/>
      <c r="CA193" s="19"/>
      <c r="CB193" s="19"/>
      <c r="CC193" s="19"/>
      <c r="CD193" s="19"/>
      <c r="CE193" s="19"/>
      <c r="CF193" s="19"/>
      <c r="CG193" s="19"/>
      <c r="CH193" s="19"/>
      <c r="CI193" s="19"/>
      <c r="CJ193" s="19"/>
      <c r="CK193" s="19"/>
      <c r="CL193" s="19"/>
      <c r="CM193" s="19"/>
      <c r="CN193" s="19"/>
      <c r="CO193" s="19"/>
      <c r="CP193" s="19"/>
      <c r="CQ193" s="19"/>
      <c r="CR193" s="19"/>
      <c r="CS193" s="19"/>
      <c r="CT193" s="19"/>
      <c r="CU193" s="19"/>
      <c r="CV193" s="19"/>
      <c r="CW193" s="19"/>
      <c r="CX193" s="19"/>
      <c r="CY193" s="19"/>
      <c r="CZ193" s="19"/>
      <c r="DA193" s="19"/>
      <c r="DB193" s="19"/>
      <c r="DC193" s="19"/>
      <c r="DD193" s="19"/>
      <c r="DE193" s="19"/>
      <c r="DF193" s="19"/>
      <c r="DG193" s="19"/>
      <c r="DH193" s="19"/>
      <c r="DI193" s="19"/>
      <c r="DJ193" s="19"/>
      <c r="DK193" s="19"/>
      <c r="DL193" s="19"/>
      <c r="DM193" s="19"/>
      <c r="DN193" s="19"/>
      <c r="DO193" s="19"/>
      <c r="DP193" s="19"/>
      <c r="DQ193" s="19"/>
      <c r="DR193" s="19"/>
      <c r="DS193" s="19"/>
      <c r="DT193" s="19"/>
      <c r="DU193" s="19"/>
      <c r="DV193" s="19"/>
      <c r="DW193" s="19"/>
      <c r="DX193" s="19"/>
      <c r="DY193" s="19"/>
      <c r="DZ193" s="19"/>
      <c r="EA193" s="19"/>
      <c r="EB193" s="19"/>
      <c r="EC193" s="19"/>
      <c r="ED193" s="19"/>
      <c r="EE193" s="19"/>
      <c r="EF193" s="19"/>
      <c r="EG193" s="19"/>
      <c r="EH193" s="19"/>
      <c r="EI193" s="19"/>
      <c r="EJ193" s="19"/>
      <c r="EK193" s="19"/>
      <c r="EL193" s="19"/>
      <c r="EM193" s="19"/>
      <c r="EN193" s="19"/>
      <c r="EO193" s="19"/>
      <c r="EP193" s="19"/>
      <c r="EQ193" s="19"/>
      <c r="ER193" s="19"/>
      <c r="ES193" s="19"/>
      <c r="ET193" s="19"/>
      <c r="EU193" s="19"/>
      <c r="EV193" s="19"/>
      <c r="EW193" s="19"/>
      <c r="EX193" s="19"/>
      <c r="EY193" s="19"/>
      <c r="EZ193" s="19"/>
      <c r="FA193" s="19"/>
      <c r="FB193" s="19"/>
      <c r="FC193" s="19"/>
      <c r="FD193" s="19"/>
      <c r="FE193" s="19"/>
      <c r="FF193" s="19"/>
      <c r="FG193" s="19"/>
      <c r="FH193" s="19"/>
      <c r="FI193" s="19"/>
      <c r="FJ193" s="19"/>
      <c r="FK193" s="19"/>
      <c r="FL193" s="20" t="s">
        <v>748</v>
      </c>
      <c r="FM193" s="20" t="s">
        <v>255</v>
      </c>
      <c r="FN193" s="19"/>
      <c r="FO193" s="19"/>
      <c r="FP193" s="19"/>
      <c r="FQ193" s="19"/>
      <c r="FR193" s="19"/>
      <c r="FS193" s="19"/>
      <c r="FT193" s="19"/>
      <c r="FU193" s="19"/>
      <c r="FV193" s="19"/>
      <c r="FW193" s="19"/>
      <c r="FX193" s="19"/>
      <c r="FY193" s="19"/>
      <c r="FZ193" s="19"/>
      <c r="GA193" s="19"/>
      <c r="GB193" s="19"/>
      <c r="GC193" s="19"/>
      <c r="GD193" s="19"/>
      <c r="GE193" s="19"/>
      <c r="GF193" s="19"/>
      <c r="GG193" s="19"/>
      <c r="GH193" s="19"/>
      <c r="GI193" s="19"/>
      <c r="GJ193" s="19"/>
      <c r="GK193" s="19"/>
      <c r="GL193" s="19"/>
      <c r="GM193" s="19"/>
      <c r="GN193" s="19"/>
      <c r="GO193" s="19"/>
      <c r="GP193" s="19"/>
      <c r="GQ193" s="19"/>
      <c r="GR193" s="19"/>
      <c r="GS193" s="19"/>
      <c r="GT193" s="19"/>
      <c r="GU193" s="19"/>
      <c r="GV193" s="19"/>
      <c r="GW193" s="19"/>
      <c r="GX193" s="19"/>
      <c r="GY193" s="19"/>
      <c r="GZ193" s="19"/>
      <c r="HA193" s="19"/>
    </row>
    <row r="194" spans="1:209" ht="23.25" customHeight="1" x14ac:dyDescent="0.15">
      <c r="A194" s="26">
        <v>44659.647095567125</v>
      </c>
      <c r="B194" s="27" t="s">
        <v>6</v>
      </c>
      <c r="C194" s="27" t="s">
        <v>11</v>
      </c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  <c r="AX194" s="27" t="s">
        <v>762</v>
      </c>
      <c r="AY194" s="27" t="s">
        <v>763</v>
      </c>
      <c r="AZ194" s="27" t="s">
        <v>781</v>
      </c>
      <c r="BA194" s="27" t="s">
        <v>375</v>
      </c>
      <c r="BB194" s="27" t="s">
        <v>470</v>
      </c>
      <c r="BC194" s="29">
        <v>43818</v>
      </c>
      <c r="BD194" s="29">
        <v>44013</v>
      </c>
      <c r="BE194" s="29">
        <v>44013</v>
      </c>
      <c r="BF194" s="27">
        <v>85</v>
      </c>
      <c r="BG194" s="27" t="s">
        <v>765</v>
      </c>
      <c r="BH194" s="30" t="s">
        <v>782</v>
      </c>
      <c r="BI194" s="28"/>
      <c r="BJ194" s="28"/>
      <c r="BK194" s="28"/>
      <c r="BL194" s="28"/>
      <c r="BM194" s="28"/>
      <c r="BN194" s="28"/>
      <c r="BO194" s="28"/>
      <c r="BP194" s="28"/>
      <c r="BQ194" s="28"/>
      <c r="BR194" s="28"/>
      <c r="BS194" s="28"/>
      <c r="BT194" s="28"/>
      <c r="BU194" s="28"/>
      <c r="BV194" s="28"/>
      <c r="BW194" s="28"/>
      <c r="BX194" s="28"/>
      <c r="BY194" s="19"/>
      <c r="BZ194" s="19"/>
      <c r="CA194" s="19"/>
      <c r="CB194" s="19"/>
      <c r="CC194" s="19"/>
      <c r="CD194" s="19"/>
      <c r="CE194" s="19"/>
      <c r="CF194" s="19"/>
      <c r="CG194" s="19"/>
      <c r="CH194" s="19"/>
      <c r="CI194" s="19"/>
      <c r="CJ194" s="19"/>
      <c r="CK194" s="19"/>
      <c r="CL194" s="19"/>
      <c r="CM194" s="19"/>
      <c r="CN194" s="19"/>
      <c r="CO194" s="19"/>
      <c r="CP194" s="19"/>
      <c r="CQ194" s="19"/>
      <c r="CR194" s="19"/>
      <c r="CS194" s="19"/>
      <c r="CT194" s="19"/>
      <c r="CU194" s="19"/>
      <c r="CV194" s="19"/>
      <c r="CW194" s="19"/>
      <c r="CX194" s="19"/>
      <c r="CY194" s="19"/>
      <c r="CZ194" s="19"/>
      <c r="DA194" s="19"/>
      <c r="DB194" s="19"/>
      <c r="DC194" s="19"/>
      <c r="DD194" s="19"/>
      <c r="DE194" s="19"/>
      <c r="DF194" s="19"/>
      <c r="DG194" s="19"/>
      <c r="DH194" s="19"/>
      <c r="DI194" s="19"/>
      <c r="DJ194" s="19"/>
      <c r="DK194" s="19"/>
      <c r="DL194" s="19"/>
      <c r="DM194" s="19"/>
      <c r="DN194" s="19"/>
      <c r="DO194" s="19"/>
      <c r="DP194" s="19"/>
      <c r="DQ194" s="19"/>
      <c r="DR194" s="19"/>
      <c r="DS194" s="19"/>
      <c r="DT194" s="19"/>
      <c r="DU194" s="19"/>
      <c r="DV194" s="19"/>
      <c r="DW194" s="19"/>
      <c r="DX194" s="19"/>
      <c r="DY194" s="19"/>
      <c r="DZ194" s="19"/>
      <c r="EA194" s="19"/>
      <c r="EB194" s="19"/>
      <c r="EC194" s="19"/>
      <c r="ED194" s="19"/>
      <c r="EE194" s="19"/>
      <c r="EF194" s="19"/>
      <c r="EG194" s="19"/>
      <c r="EH194" s="19"/>
      <c r="EI194" s="19"/>
      <c r="EJ194" s="19"/>
      <c r="EK194" s="19"/>
      <c r="EL194" s="19"/>
      <c r="EM194" s="19"/>
      <c r="EN194" s="19"/>
      <c r="EO194" s="19"/>
      <c r="EP194" s="19"/>
      <c r="EQ194" s="19"/>
      <c r="ER194" s="19"/>
      <c r="ES194" s="19"/>
      <c r="ET194" s="19"/>
      <c r="EU194" s="19"/>
      <c r="EV194" s="19"/>
      <c r="EW194" s="19"/>
      <c r="EX194" s="19"/>
      <c r="EY194" s="19"/>
      <c r="EZ194" s="19"/>
      <c r="FA194" s="19"/>
      <c r="FB194" s="19"/>
      <c r="FC194" s="19"/>
      <c r="FD194" s="19"/>
      <c r="FE194" s="19"/>
      <c r="FF194" s="19"/>
      <c r="FG194" s="19"/>
      <c r="FH194" s="19"/>
      <c r="FI194" s="19"/>
      <c r="FJ194" s="19"/>
      <c r="FK194" s="19"/>
      <c r="FL194" s="20" t="s">
        <v>767</v>
      </c>
      <c r="FM194" s="20" t="s">
        <v>255</v>
      </c>
      <c r="FN194" s="19"/>
      <c r="FO194" s="19"/>
      <c r="FP194" s="19"/>
      <c r="FQ194" s="19"/>
      <c r="FR194" s="19"/>
      <c r="FS194" s="19"/>
      <c r="FT194" s="19"/>
      <c r="FU194" s="19"/>
      <c r="FV194" s="19"/>
      <c r="FW194" s="19"/>
      <c r="FX194" s="19"/>
      <c r="FY194" s="19"/>
      <c r="FZ194" s="19"/>
      <c r="GA194" s="19"/>
      <c r="GB194" s="19"/>
      <c r="GC194" s="19"/>
      <c r="GD194" s="19"/>
      <c r="GE194" s="19"/>
      <c r="GF194" s="19"/>
      <c r="GG194" s="19"/>
      <c r="GH194" s="19"/>
      <c r="GI194" s="19"/>
      <c r="GJ194" s="19"/>
      <c r="GK194" s="19"/>
      <c r="GL194" s="19"/>
      <c r="GM194" s="19"/>
      <c r="GN194" s="19"/>
      <c r="GO194" s="19"/>
      <c r="GP194" s="19"/>
      <c r="GQ194" s="19"/>
      <c r="GR194" s="19"/>
      <c r="GS194" s="19"/>
      <c r="GT194" s="19"/>
      <c r="GU194" s="19"/>
      <c r="GV194" s="19"/>
      <c r="GW194" s="19"/>
      <c r="GX194" s="19"/>
      <c r="GY194" s="19"/>
      <c r="GZ194" s="19"/>
      <c r="HA194" s="19"/>
    </row>
    <row r="195" spans="1:209" ht="23.25" customHeight="1" x14ac:dyDescent="0.15">
      <c r="A195" s="26">
        <v>44659.647991944439</v>
      </c>
      <c r="B195" s="27" t="s">
        <v>6</v>
      </c>
      <c r="C195" s="27" t="s">
        <v>11</v>
      </c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  <c r="AX195" s="27" t="s">
        <v>762</v>
      </c>
      <c r="AY195" s="27" t="s">
        <v>763</v>
      </c>
      <c r="AZ195" s="27" t="s">
        <v>783</v>
      </c>
      <c r="BA195" s="27" t="s">
        <v>375</v>
      </c>
      <c r="BB195" s="27" t="s">
        <v>470</v>
      </c>
      <c r="BC195" s="29">
        <v>43818</v>
      </c>
      <c r="BD195" s="29">
        <v>44013</v>
      </c>
      <c r="BE195" s="29">
        <v>44013</v>
      </c>
      <c r="BF195" s="27">
        <v>85</v>
      </c>
      <c r="BG195" s="27" t="s">
        <v>765</v>
      </c>
      <c r="BH195" s="30" t="s">
        <v>784</v>
      </c>
      <c r="BI195" s="28"/>
      <c r="BJ195" s="28"/>
      <c r="BK195" s="28"/>
      <c r="BL195" s="28"/>
      <c r="BM195" s="28"/>
      <c r="BN195" s="28"/>
      <c r="BO195" s="28"/>
      <c r="BP195" s="28"/>
      <c r="BQ195" s="28"/>
      <c r="BR195" s="28"/>
      <c r="BS195" s="28"/>
      <c r="BT195" s="28"/>
      <c r="BU195" s="28"/>
      <c r="BV195" s="28"/>
      <c r="BW195" s="28"/>
      <c r="BX195" s="28"/>
      <c r="BY195" s="19"/>
      <c r="BZ195" s="19"/>
      <c r="CA195" s="19"/>
      <c r="CB195" s="19"/>
      <c r="CC195" s="19"/>
      <c r="CD195" s="19"/>
      <c r="CE195" s="19"/>
      <c r="CF195" s="19"/>
      <c r="CG195" s="19"/>
      <c r="CH195" s="19"/>
      <c r="CI195" s="19"/>
      <c r="CJ195" s="19"/>
      <c r="CK195" s="19"/>
      <c r="CL195" s="19"/>
      <c r="CM195" s="19"/>
      <c r="CN195" s="19"/>
      <c r="CO195" s="19"/>
      <c r="CP195" s="19"/>
      <c r="CQ195" s="19"/>
      <c r="CR195" s="19"/>
      <c r="CS195" s="19"/>
      <c r="CT195" s="19"/>
      <c r="CU195" s="19"/>
      <c r="CV195" s="19"/>
      <c r="CW195" s="19"/>
      <c r="CX195" s="19"/>
      <c r="CY195" s="19"/>
      <c r="CZ195" s="19"/>
      <c r="DA195" s="19"/>
      <c r="DB195" s="19"/>
      <c r="DC195" s="19"/>
      <c r="DD195" s="19"/>
      <c r="DE195" s="19"/>
      <c r="DF195" s="19"/>
      <c r="DG195" s="19"/>
      <c r="DH195" s="19"/>
      <c r="DI195" s="19"/>
      <c r="DJ195" s="19"/>
      <c r="DK195" s="19"/>
      <c r="DL195" s="19"/>
      <c r="DM195" s="19"/>
      <c r="DN195" s="19"/>
      <c r="DO195" s="19"/>
      <c r="DP195" s="19"/>
      <c r="DQ195" s="19"/>
      <c r="DR195" s="19"/>
      <c r="DS195" s="19"/>
      <c r="DT195" s="19"/>
      <c r="DU195" s="19"/>
      <c r="DV195" s="19"/>
      <c r="DW195" s="19"/>
      <c r="DX195" s="19"/>
      <c r="DY195" s="19"/>
      <c r="DZ195" s="19"/>
      <c r="EA195" s="19"/>
      <c r="EB195" s="19"/>
      <c r="EC195" s="19"/>
      <c r="ED195" s="19"/>
      <c r="EE195" s="19"/>
      <c r="EF195" s="19"/>
      <c r="EG195" s="19"/>
      <c r="EH195" s="19"/>
      <c r="EI195" s="19"/>
      <c r="EJ195" s="19"/>
      <c r="EK195" s="19"/>
      <c r="EL195" s="19"/>
      <c r="EM195" s="19"/>
      <c r="EN195" s="19"/>
      <c r="EO195" s="19"/>
      <c r="EP195" s="19"/>
      <c r="EQ195" s="19"/>
      <c r="ER195" s="19"/>
      <c r="ES195" s="19"/>
      <c r="ET195" s="19"/>
      <c r="EU195" s="19"/>
      <c r="EV195" s="19"/>
      <c r="EW195" s="19"/>
      <c r="EX195" s="19"/>
      <c r="EY195" s="19"/>
      <c r="EZ195" s="19"/>
      <c r="FA195" s="19"/>
      <c r="FB195" s="19"/>
      <c r="FC195" s="19"/>
      <c r="FD195" s="19"/>
      <c r="FE195" s="19"/>
      <c r="FF195" s="19"/>
      <c r="FG195" s="19"/>
      <c r="FH195" s="19"/>
      <c r="FI195" s="19"/>
      <c r="FJ195" s="19"/>
      <c r="FK195" s="19"/>
      <c r="FL195" s="20" t="s">
        <v>767</v>
      </c>
      <c r="FM195" s="20" t="s">
        <v>255</v>
      </c>
      <c r="FN195" s="19"/>
      <c r="FO195" s="19"/>
      <c r="FP195" s="19"/>
      <c r="FQ195" s="19"/>
      <c r="FR195" s="19"/>
      <c r="FS195" s="19"/>
      <c r="FT195" s="19"/>
      <c r="FU195" s="19"/>
      <c r="FV195" s="19"/>
      <c r="FW195" s="19"/>
      <c r="FX195" s="19"/>
      <c r="FY195" s="19"/>
      <c r="FZ195" s="19"/>
      <c r="GA195" s="19"/>
      <c r="GB195" s="19"/>
      <c r="GC195" s="19"/>
      <c r="GD195" s="19"/>
      <c r="GE195" s="19"/>
      <c r="GF195" s="19"/>
      <c r="GG195" s="19"/>
      <c r="GH195" s="19"/>
      <c r="GI195" s="19"/>
      <c r="GJ195" s="19"/>
      <c r="GK195" s="19"/>
      <c r="GL195" s="19"/>
      <c r="GM195" s="19"/>
      <c r="GN195" s="19"/>
      <c r="GO195" s="19"/>
      <c r="GP195" s="19"/>
      <c r="GQ195" s="19"/>
      <c r="GR195" s="19"/>
      <c r="GS195" s="19"/>
      <c r="GT195" s="19"/>
      <c r="GU195" s="19"/>
      <c r="GV195" s="19"/>
      <c r="GW195" s="19"/>
      <c r="GX195" s="19"/>
      <c r="GY195" s="19"/>
      <c r="GZ195" s="19"/>
      <c r="HA195" s="19"/>
    </row>
    <row r="196" spans="1:209" ht="23.25" customHeight="1" x14ac:dyDescent="0.15">
      <c r="A196" s="26">
        <v>44659.649979918977</v>
      </c>
      <c r="B196" s="27" t="s">
        <v>6</v>
      </c>
      <c r="C196" s="27" t="s">
        <v>11</v>
      </c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  <c r="AX196" s="27" t="s">
        <v>762</v>
      </c>
      <c r="AY196" s="27" t="s">
        <v>763</v>
      </c>
      <c r="AZ196" s="27" t="s">
        <v>785</v>
      </c>
      <c r="BA196" s="27" t="s">
        <v>375</v>
      </c>
      <c r="BB196" s="27" t="s">
        <v>470</v>
      </c>
      <c r="BC196" s="29">
        <v>43475</v>
      </c>
      <c r="BD196" s="29">
        <v>43617</v>
      </c>
      <c r="BE196" s="29">
        <v>43617</v>
      </c>
      <c r="BF196" s="27">
        <v>85</v>
      </c>
      <c r="BG196" s="27" t="s">
        <v>765</v>
      </c>
      <c r="BH196" s="30" t="s">
        <v>786</v>
      </c>
      <c r="BI196" s="28"/>
      <c r="BJ196" s="28"/>
      <c r="BK196" s="28"/>
      <c r="BL196" s="28"/>
      <c r="BM196" s="28"/>
      <c r="BN196" s="28"/>
      <c r="BO196" s="28"/>
      <c r="BP196" s="28"/>
      <c r="BQ196" s="28"/>
      <c r="BR196" s="28"/>
      <c r="BS196" s="28"/>
      <c r="BT196" s="28"/>
      <c r="BU196" s="28"/>
      <c r="BV196" s="28"/>
      <c r="BW196" s="28"/>
      <c r="BX196" s="28"/>
      <c r="BY196" s="19"/>
      <c r="BZ196" s="19"/>
      <c r="CA196" s="19"/>
      <c r="CB196" s="19"/>
      <c r="CC196" s="19"/>
      <c r="CD196" s="19"/>
      <c r="CE196" s="19"/>
      <c r="CF196" s="19"/>
      <c r="CG196" s="19"/>
      <c r="CH196" s="19"/>
      <c r="CI196" s="19"/>
      <c r="CJ196" s="19"/>
      <c r="CK196" s="19"/>
      <c r="CL196" s="19"/>
      <c r="CM196" s="19"/>
      <c r="CN196" s="19"/>
      <c r="CO196" s="19"/>
      <c r="CP196" s="19"/>
      <c r="CQ196" s="19"/>
      <c r="CR196" s="19"/>
      <c r="CS196" s="19"/>
      <c r="CT196" s="19"/>
      <c r="CU196" s="19"/>
      <c r="CV196" s="19"/>
      <c r="CW196" s="19"/>
      <c r="CX196" s="19"/>
      <c r="CY196" s="19"/>
      <c r="CZ196" s="19"/>
      <c r="DA196" s="19"/>
      <c r="DB196" s="19"/>
      <c r="DC196" s="19"/>
      <c r="DD196" s="19"/>
      <c r="DE196" s="19"/>
      <c r="DF196" s="19"/>
      <c r="DG196" s="19"/>
      <c r="DH196" s="19"/>
      <c r="DI196" s="19"/>
      <c r="DJ196" s="19"/>
      <c r="DK196" s="19"/>
      <c r="DL196" s="19"/>
      <c r="DM196" s="19"/>
      <c r="DN196" s="19"/>
      <c r="DO196" s="19"/>
      <c r="DP196" s="19"/>
      <c r="DQ196" s="19"/>
      <c r="DR196" s="19"/>
      <c r="DS196" s="19"/>
      <c r="DT196" s="19"/>
      <c r="DU196" s="19"/>
      <c r="DV196" s="19"/>
      <c r="DW196" s="19"/>
      <c r="DX196" s="19"/>
      <c r="DY196" s="19"/>
      <c r="DZ196" s="19"/>
      <c r="EA196" s="19"/>
      <c r="EB196" s="19"/>
      <c r="EC196" s="19"/>
      <c r="ED196" s="19"/>
      <c r="EE196" s="19"/>
      <c r="EF196" s="19"/>
      <c r="EG196" s="19"/>
      <c r="EH196" s="19"/>
      <c r="EI196" s="19"/>
      <c r="EJ196" s="19"/>
      <c r="EK196" s="19"/>
      <c r="EL196" s="19"/>
      <c r="EM196" s="19"/>
      <c r="EN196" s="19"/>
      <c r="EO196" s="19"/>
      <c r="EP196" s="19"/>
      <c r="EQ196" s="19"/>
      <c r="ER196" s="19"/>
      <c r="ES196" s="19"/>
      <c r="ET196" s="19"/>
      <c r="EU196" s="19"/>
      <c r="EV196" s="19"/>
      <c r="EW196" s="19"/>
      <c r="EX196" s="19"/>
      <c r="EY196" s="19"/>
      <c r="EZ196" s="19"/>
      <c r="FA196" s="19"/>
      <c r="FB196" s="19"/>
      <c r="FC196" s="19"/>
      <c r="FD196" s="19"/>
      <c r="FE196" s="19"/>
      <c r="FF196" s="19"/>
      <c r="FG196" s="19"/>
      <c r="FH196" s="19"/>
      <c r="FI196" s="19"/>
      <c r="FJ196" s="19"/>
      <c r="FK196" s="19"/>
      <c r="FL196" s="20" t="s">
        <v>767</v>
      </c>
      <c r="FM196" s="20" t="s">
        <v>255</v>
      </c>
      <c r="FN196" s="19"/>
      <c r="FO196" s="19"/>
      <c r="FP196" s="19"/>
      <c r="FQ196" s="19"/>
      <c r="FR196" s="19"/>
      <c r="FS196" s="19"/>
      <c r="FT196" s="19"/>
      <c r="FU196" s="19"/>
      <c r="FV196" s="19"/>
      <c r="FW196" s="19"/>
      <c r="FX196" s="19"/>
      <c r="FY196" s="19"/>
      <c r="FZ196" s="19"/>
      <c r="GA196" s="19"/>
      <c r="GB196" s="19"/>
      <c r="GC196" s="19"/>
      <c r="GD196" s="19"/>
      <c r="GE196" s="19"/>
      <c r="GF196" s="19"/>
      <c r="GG196" s="19"/>
      <c r="GH196" s="19"/>
      <c r="GI196" s="19"/>
      <c r="GJ196" s="19"/>
      <c r="GK196" s="19"/>
      <c r="GL196" s="19"/>
      <c r="GM196" s="19"/>
      <c r="GN196" s="19"/>
      <c r="GO196" s="19"/>
      <c r="GP196" s="19"/>
      <c r="GQ196" s="19"/>
      <c r="GR196" s="19"/>
      <c r="GS196" s="19"/>
      <c r="GT196" s="19"/>
      <c r="GU196" s="19"/>
      <c r="GV196" s="19"/>
      <c r="GW196" s="19"/>
      <c r="GX196" s="19"/>
      <c r="GY196" s="19"/>
      <c r="GZ196" s="19"/>
      <c r="HA196" s="19"/>
    </row>
    <row r="197" spans="1:209" ht="23.25" customHeight="1" x14ac:dyDescent="0.15">
      <c r="A197" s="26">
        <v>44659.651126990742</v>
      </c>
      <c r="B197" s="27" t="s">
        <v>6</v>
      </c>
      <c r="C197" s="27" t="s">
        <v>11</v>
      </c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  <c r="AX197" s="27" t="s">
        <v>762</v>
      </c>
      <c r="AY197" s="27" t="s">
        <v>763</v>
      </c>
      <c r="AZ197" s="27" t="s">
        <v>787</v>
      </c>
      <c r="BA197" s="27" t="s">
        <v>375</v>
      </c>
      <c r="BB197" s="27" t="s">
        <v>470</v>
      </c>
      <c r="BC197" s="29">
        <v>43475</v>
      </c>
      <c r="BD197" s="29">
        <v>43617</v>
      </c>
      <c r="BE197" s="29">
        <v>43617</v>
      </c>
      <c r="BF197" s="27">
        <v>85</v>
      </c>
      <c r="BG197" s="27" t="s">
        <v>765</v>
      </c>
      <c r="BH197" s="30" t="s">
        <v>788</v>
      </c>
      <c r="BI197" s="28"/>
      <c r="BJ197" s="28"/>
      <c r="BK197" s="28"/>
      <c r="BL197" s="28"/>
      <c r="BM197" s="28"/>
      <c r="BN197" s="28"/>
      <c r="BO197" s="28"/>
      <c r="BP197" s="28"/>
      <c r="BQ197" s="28"/>
      <c r="BR197" s="28"/>
      <c r="BS197" s="28"/>
      <c r="BT197" s="28"/>
      <c r="BU197" s="28"/>
      <c r="BV197" s="28"/>
      <c r="BW197" s="28"/>
      <c r="BX197" s="28"/>
      <c r="BY197" s="19"/>
      <c r="BZ197" s="19"/>
      <c r="CA197" s="19"/>
      <c r="CB197" s="19"/>
      <c r="CC197" s="19"/>
      <c r="CD197" s="19"/>
      <c r="CE197" s="19"/>
      <c r="CF197" s="19"/>
      <c r="CG197" s="19"/>
      <c r="CH197" s="19"/>
      <c r="CI197" s="19"/>
      <c r="CJ197" s="19"/>
      <c r="CK197" s="19"/>
      <c r="CL197" s="19"/>
      <c r="CM197" s="19"/>
      <c r="CN197" s="19"/>
      <c r="CO197" s="19"/>
      <c r="CP197" s="19"/>
      <c r="CQ197" s="19"/>
      <c r="CR197" s="19"/>
      <c r="CS197" s="19"/>
      <c r="CT197" s="19"/>
      <c r="CU197" s="19"/>
      <c r="CV197" s="19"/>
      <c r="CW197" s="19"/>
      <c r="CX197" s="19"/>
      <c r="CY197" s="19"/>
      <c r="CZ197" s="19"/>
      <c r="DA197" s="19"/>
      <c r="DB197" s="19"/>
      <c r="DC197" s="19"/>
      <c r="DD197" s="19"/>
      <c r="DE197" s="19"/>
      <c r="DF197" s="19"/>
      <c r="DG197" s="19"/>
      <c r="DH197" s="19"/>
      <c r="DI197" s="19"/>
      <c r="DJ197" s="19"/>
      <c r="DK197" s="19"/>
      <c r="DL197" s="19"/>
      <c r="DM197" s="19"/>
      <c r="DN197" s="19"/>
      <c r="DO197" s="19"/>
      <c r="DP197" s="19"/>
      <c r="DQ197" s="19"/>
      <c r="DR197" s="19"/>
      <c r="DS197" s="19"/>
      <c r="DT197" s="19"/>
      <c r="DU197" s="19"/>
      <c r="DV197" s="19"/>
      <c r="DW197" s="19"/>
      <c r="DX197" s="19"/>
      <c r="DY197" s="19"/>
      <c r="DZ197" s="19"/>
      <c r="EA197" s="19"/>
      <c r="EB197" s="19"/>
      <c r="EC197" s="19"/>
      <c r="ED197" s="19"/>
      <c r="EE197" s="19"/>
      <c r="EF197" s="19"/>
      <c r="EG197" s="19"/>
      <c r="EH197" s="19"/>
      <c r="EI197" s="19"/>
      <c r="EJ197" s="19"/>
      <c r="EK197" s="19"/>
      <c r="EL197" s="19"/>
      <c r="EM197" s="19"/>
      <c r="EN197" s="19"/>
      <c r="EO197" s="19"/>
      <c r="EP197" s="19"/>
      <c r="EQ197" s="19"/>
      <c r="ER197" s="19"/>
      <c r="ES197" s="19"/>
      <c r="ET197" s="19"/>
      <c r="EU197" s="19"/>
      <c r="EV197" s="19"/>
      <c r="EW197" s="19"/>
      <c r="EX197" s="19"/>
      <c r="EY197" s="19"/>
      <c r="EZ197" s="19"/>
      <c r="FA197" s="19"/>
      <c r="FB197" s="19"/>
      <c r="FC197" s="19"/>
      <c r="FD197" s="19"/>
      <c r="FE197" s="19"/>
      <c r="FF197" s="19"/>
      <c r="FG197" s="19"/>
      <c r="FH197" s="19"/>
      <c r="FI197" s="19"/>
      <c r="FJ197" s="19"/>
      <c r="FK197" s="19"/>
      <c r="FL197" s="20" t="s">
        <v>767</v>
      </c>
      <c r="FM197" s="20" t="s">
        <v>255</v>
      </c>
      <c r="FN197" s="19"/>
      <c r="FO197" s="19"/>
      <c r="FP197" s="19"/>
      <c r="FQ197" s="19"/>
      <c r="FR197" s="19"/>
      <c r="FS197" s="19"/>
      <c r="FT197" s="19"/>
      <c r="FU197" s="19"/>
      <c r="FV197" s="19"/>
      <c r="FW197" s="19"/>
      <c r="FX197" s="19"/>
      <c r="FY197" s="19"/>
      <c r="FZ197" s="19"/>
      <c r="GA197" s="19"/>
      <c r="GB197" s="19"/>
      <c r="GC197" s="19"/>
      <c r="GD197" s="19"/>
      <c r="GE197" s="19"/>
      <c r="GF197" s="19"/>
      <c r="GG197" s="19"/>
      <c r="GH197" s="19"/>
      <c r="GI197" s="19"/>
      <c r="GJ197" s="19"/>
      <c r="GK197" s="19"/>
      <c r="GL197" s="19"/>
      <c r="GM197" s="19"/>
      <c r="GN197" s="19"/>
      <c r="GO197" s="19"/>
      <c r="GP197" s="19"/>
      <c r="GQ197" s="19"/>
      <c r="GR197" s="19"/>
      <c r="GS197" s="19"/>
      <c r="GT197" s="19"/>
      <c r="GU197" s="19"/>
      <c r="GV197" s="19"/>
      <c r="GW197" s="19"/>
      <c r="GX197" s="19"/>
      <c r="GY197" s="19"/>
      <c r="GZ197" s="19"/>
      <c r="HA197" s="19"/>
    </row>
    <row r="198" spans="1:209" ht="23.25" customHeight="1" x14ac:dyDescent="0.15">
      <c r="A198" s="26">
        <v>44659.652282858791</v>
      </c>
      <c r="B198" s="27" t="s">
        <v>6</v>
      </c>
      <c r="C198" s="27" t="s">
        <v>11</v>
      </c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  <c r="AX198" s="27" t="s">
        <v>762</v>
      </c>
      <c r="AY198" s="27" t="s">
        <v>763</v>
      </c>
      <c r="AZ198" s="27" t="s">
        <v>789</v>
      </c>
      <c r="BA198" s="27" t="s">
        <v>375</v>
      </c>
      <c r="BB198" s="27" t="s">
        <v>470</v>
      </c>
      <c r="BC198" s="29">
        <v>43818</v>
      </c>
      <c r="BD198" s="29">
        <v>43983</v>
      </c>
      <c r="BE198" s="29">
        <v>43983</v>
      </c>
      <c r="BF198" s="27">
        <v>85</v>
      </c>
      <c r="BG198" s="27" t="s">
        <v>765</v>
      </c>
      <c r="BH198" s="30" t="s">
        <v>790</v>
      </c>
      <c r="BI198" s="28"/>
      <c r="BJ198" s="28"/>
      <c r="BK198" s="28"/>
      <c r="BL198" s="28"/>
      <c r="BM198" s="28"/>
      <c r="BN198" s="28"/>
      <c r="BO198" s="28"/>
      <c r="BP198" s="28"/>
      <c r="BQ198" s="28"/>
      <c r="BR198" s="28"/>
      <c r="BS198" s="28"/>
      <c r="BT198" s="28"/>
      <c r="BU198" s="28"/>
      <c r="BV198" s="28"/>
      <c r="BW198" s="28"/>
      <c r="BX198" s="28"/>
      <c r="BY198" s="19"/>
      <c r="BZ198" s="19"/>
      <c r="CA198" s="19"/>
      <c r="CB198" s="19"/>
      <c r="CC198" s="19"/>
      <c r="CD198" s="19"/>
      <c r="CE198" s="19"/>
      <c r="CF198" s="19"/>
      <c r="CG198" s="19"/>
      <c r="CH198" s="19"/>
      <c r="CI198" s="19"/>
      <c r="CJ198" s="19"/>
      <c r="CK198" s="19"/>
      <c r="CL198" s="19"/>
      <c r="CM198" s="19"/>
      <c r="CN198" s="19"/>
      <c r="CO198" s="19"/>
      <c r="CP198" s="19"/>
      <c r="CQ198" s="19"/>
      <c r="CR198" s="19"/>
      <c r="CS198" s="19"/>
      <c r="CT198" s="19"/>
      <c r="CU198" s="19"/>
      <c r="CV198" s="19"/>
      <c r="CW198" s="19"/>
      <c r="CX198" s="19"/>
      <c r="CY198" s="19"/>
      <c r="CZ198" s="19"/>
      <c r="DA198" s="19"/>
      <c r="DB198" s="19"/>
      <c r="DC198" s="19"/>
      <c r="DD198" s="19"/>
      <c r="DE198" s="19"/>
      <c r="DF198" s="19"/>
      <c r="DG198" s="19"/>
      <c r="DH198" s="19"/>
      <c r="DI198" s="19"/>
      <c r="DJ198" s="19"/>
      <c r="DK198" s="19"/>
      <c r="DL198" s="19"/>
      <c r="DM198" s="19"/>
      <c r="DN198" s="19"/>
      <c r="DO198" s="19"/>
      <c r="DP198" s="19"/>
      <c r="DQ198" s="19"/>
      <c r="DR198" s="19"/>
      <c r="DS198" s="19"/>
      <c r="DT198" s="19"/>
      <c r="DU198" s="19"/>
      <c r="DV198" s="19"/>
      <c r="DW198" s="19"/>
      <c r="DX198" s="19"/>
      <c r="DY198" s="19"/>
      <c r="DZ198" s="19"/>
      <c r="EA198" s="19"/>
      <c r="EB198" s="19"/>
      <c r="EC198" s="19"/>
      <c r="ED198" s="19"/>
      <c r="EE198" s="19"/>
      <c r="EF198" s="19"/>
      <c r="EG198" s="19"/>
      <c r="EH198" s="19"/>
      <c r="EI198" s="19"/>
      <c r="EJ198" s="19"/>
      <c r="EK198" s="19"/>
      <c r="EL198" s="19"/>
      <c r="EM198" s="19"/>
      <c r="EN198" s="19"/>
      <c r="EO198" s="19"/>
      <c r="EP198" s="19"/>
      <c r="EQ198" s="19"/>
      <c r="ER198" s="19"/>
      <c r="ES198" s="19"/>
      <c r="ET198" s="19"/>
      <c r="EU198" s="19"/>
      <c r="EV198" s="19"/>
      <c r="EW198" s="19"/>
      <c r="EX198" s="19"/>
      <c r="EY198" s="19"/>
      <c r="EZ198" s="19"/>
      <c r="FA198" s="19"/>
      <c r="FB198" s="19"/>
      <c r="FC198" s="19"/>
      <c r="FD198" s="19"/>
      <c r="FE198" s="19"/>
      <c r="FF198" s="19"/>
      <c r="FG198" s="19"/>
      <c r="FH198" s="19"/>
      <c r="FI198" s="19"/>
      <c r="FJ198" s="19"/>
      <c r="FK198" s="19"/>
      <c r="FL198" s="20" t="s">
        <v>767</v>
      </c>
      <c r="FM198" s="20" t="s">
        <v>255</v>
      </c>
      <c r="FN198" s="19"/>
      <c r="FO198" s="19"/>
      <c r="FP198" s="19"/>
      <c r="FQ198" s="19"/>
      <c r="FR198" s="19"/>
      <c r="FS198" s="19"/>
      <c r="FT198" s="19"/>
      <c r="FU198" s="19"/>
      <c r="FV198" s="19"/>
      <c r="FW198" s="19"/>
      <c r="FX198" s="19"/>
      <c r="FY198" s="19"/>
      <c r="FZ198" s="19"/>
      <c r="GA198" s="19"/>
      <c r="GB198" s="19"/>
      <c r="GC198" s="19"/>
      <c r="GD198" s="19"/>
      <c r="GE198" s="19"/>
      <c r="GF198" s="19"/>
      <c r="GG198" s="19"/>
      <c r="GH198" s="19"/>
      <c r="GI198" s="19"/>
      <c r="GJ198" s="19"/>
      <c r="GK198" s="19"/>
      <c r="GL198" s="19"/>
      <c r="GM198" s="19"/>
      <c r="GN198" s="19"/>
      <c r="GO198" s="19"/>
      <c r="GP198" s="19"/>
      <c r="GQ198" s="19"/>
      <c r="GR198" s="19"/>
      <c r="GS198" s="19"/>
      <c r="GT198" s="19"/>
      <c r="GU198" s="19"/>
      <c r="GV198" s="19"/>
      <c r="GW198" s="19"/>
      <c r="GX198" s="19"/>
      <c r="GY198" s="19"/>
      <c r="GZ198" s="19"/>
      <c r="HA198" s="19"/>
    </row>
    <row r="199" spans="1:209" ht="23.25" customHeight="1" x14ac:dyDescent="0.15">
      <c r="A199" s="26">
        <v>44659.652396863428</v>
      </c>
      <c r="B199" s="27" t="s">
        <v>6</v>
      </c>
      <c r="C199" s="27" t="s">
        <v>17</v>
      </c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28"/>
      <c r="BD199" s="28"/>
      <c r="BE199" s="28"/>
      <c r="BF199" s="28"/>
      <c r="BG199" s="28"/>
      <c r="BH199" s="28"/>
      <c r="BI199" s="28"/>
      <c r="BJ199" s="28"/>
      <c r="BK199" s="28"/>
      <c r="BL199" s="28"/>
      <c r="BM199" s="28"/>
      <c r="BN199" s="28"/>
      <c r="BO199" s="28"/>
      <c r="BP199" s="28"/>
      <c r="BQ199" s="28"/>
      <c r="BR199" s="28"/>
      <c r="BS199" s="28"/>
      <c r="BT199" s="28"/>
      <c r="BU199" s="28"/>
      <c r="BV199" s="28"/>
      <c r="BW199" s="28"/>
      <c r="BX199" s="28"/>
      <c r="BY199" s="19"/>
      <c r="BZ199" s="19"/>
      <c r="CA199" s="19"/>
      <c r="CB199" s="19"/>
      <c r="CC199" s="19"/>
      <c r="CD199" s="19"/>
      <c r="CE199" s="19"/>
      <c r="CF199" s="19"/>
      <c r="CG199" s="19"/>
      <c r="CH199" s="19"/>
      <c r="CI199" s="19"/>
      <c r="CJ199" s="19"/>
      <c r="CK199" s="19"/>
      <c r="CL199" s="19"/>
      <c r="CM199" s="19"/>
      <c r="CN199" s="19"/>
      <c r="CO199" s="19"/>
      <c r="CP199" s="19"/>
      <c r="CQ199" s="19"/>
      <c r="CR199" s="19"/>
      <c r="CS199" s="19"/>
      <c r="CT199" s="19"/>
      <c r="CU199" s="19"/>
      <c r="CV199" s="19"/>
      <c r="CW199" s="19"/>
      <c r="CX199" s="19"/>
      <c r="CY199" s="19"/>
      <c r="CZ199" s="19"/>
      <c r="DA199" s="19"/>
      <c r="DB199" s="19"/>
      <c r="DC199" s="19"/>
      <c r="DD199" s="19"/>
      <c r="DE199" s="19"/>
      <c r="DF199" s="19"/>
      <c r="DG199" s="19"/>
      <c r="DH199" s="19"/>
      <c r="DI199" s="19"/>
      <c r="DJ199" s="19"/>
      <c r="DK199" s="19"/>
      <c r="DL199" s="19"/>
      <c r="DM199" s="19"/>
      <c r="DN199" s="19"/>
      <c r="DO199" s="19"/>
      <c r="DP199" s="19"/>
      <c r="DQ199" s="19"/>
      <c r="DR199" s="19"/>
      <c r="DS199" s="19"/>
      <c r="DT199" s="19"/>
      <c r="DU199" s="19"/>
      <c r="DV199" s="19"/>
      <c r="DW199" s="19"/>
      <c r="DX199" s="20" t="s">
        <v>744</v>
      </c>
      <c r="DY199" s="20" t="s">
        <v>745</v>
      </c>
      <c r="DZ199" s="20" t="s">
        <v>154</v>
      </c>
      <c r="EA199" s="20" t="s">
        <v>791</v>
      </c>
      <c r="EB199" s="21">
        <v>44194</v>
      </c>
      <c r="EC199" s="20" t="s">
        <v>792</v>
      </c>
      <c r="ED199" s="22" t="s">
        <v>793</v>
      </c>
      <c r="EE199" s="19"/>
      <c r="EF199" s="19"/>
      <c r="EG199" s="19"/>
      <c r="EH199" s="19"/>
      <c r="EI199" s="19"/>
      <c r="EJ199" s="19"/>
      <c r="EK199" s="19"/>
      <c r="EL199" s="19"/>
      <c r="EM199" s="19"/>
      <c r="EN199" s="19"/>
      <c r="EO199" s="19"/>
      <c r="EP199" s="19"/>
      <c r="EQ199" s="19"/>
      <c r="ER199" s="19"/>
      <c r="ES199" s="19"/>
      <c r="ET199" s="19"/>
      <c r="EU199" s="19"/>
      <c r="EV199" s="19"/>
      <c r="EW199" s="19"/>
      <c r="EX199" s="19"/>
      <c r="EY199" s="19"/>
      <c r="EZ199" s="19"/>
      <c r="FA199" s="19"/>
      <c r="FB199" s="19"/>
      <c r="FC199" s="19"/>
      <c r="FD199" s="19"/>
      <c r="FE199" s="19"/>
      <c r="FF199" s="19"/>
      <c r="FG199" s="19"/>
      <c r="FH199" s="19"/>
      <c r="FI199" s="19"/>
      <c r="FJ199" s="19"/>
      <c r="FK199" s="19"/>
      <c r="FL199" s="20" t="s">
        <v>748</v>
      </c>
      <c r="FM199" s="20" t="s">
        <v>255</v>
      </c>
      <c r="FN199" s="19"/>
      <c r="FO199" s="19"/>
      <c r="FP199" s="19"/>
      <c r="FQ199" s="19"/>
      <c r="FR199" s="19"/>
      <c r="FS199" s="19"/>
      <c r="FT199" s="19"/>
      <c r="FU199" s="19"/>
      <c r="FV199" s="19"/>
      <c r="FW199" s="19"/>
      <c r="FX199" s="19"/>
      <c r="FY199" s="19"/>
      <c r="FZ199" s="19"/>
      <c r="GA199" s="19"/>
      <c r="GB199" s="19"/>
      <c r="GC199" s="19"/>
      <c r="GD199" s="19"/>
      <c r="GE199" s="19"/>
      <c r="GF199" s="19"/>
      <c r="GG199" s="19"/>
      <c r="GH199" s="19"/>
      <c r="GI199" s="19"/>
      <c r="GJ199" s="19"/>
      <c r="GK199" s="19"/>
      <c r="GL199" s="19"/>
      <c r="GM199" s="19"/>
      <c r="GN199" s="19"/>
      <c r="GO199" s="19"/>
      <c r="GP199" s="19"/>
      <c r="GQ199" s="19"/>
      <c r="GR199" s="19"/>
      <c r="GS199" s="19"/>
      <c r="GT199" s="19"/>
      <c r="GU199" s="19"/>
      <c r="GV199" s="19"/>
      <c r="GW199" s="19"/>
      <c r="GX199" s="19"/>
      <c r="GY199" s="19"/>
      <c r="GZ199" s="19"/>
      <c r="HA199" s="19"/>
    </row>
    <row r="200" spans="1:209" ht="23.25" customHeight="1" x14ac:dyDescent="0.15">
      <c r="A200" s="26">
        <v>44659.653443750001</v>
      </c>
      <c r="B200" s="27" t="s">
        <v>6</v>
      </c>
      <c r="C200" s="27" t="s">
        <v>10</v>
      </c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7" t="s">
        <v>485</v>
      </c>
      <c r="AO200" s="27" t="s">
        <v>486</v>
      </c>
      <c r="AP200" s="27" t="s">
        <v>594</v>
      </c>
      <c r="AQ200" s="27" t="s">
        <v>794</v>
      </c>
      <c r="AR200" s="29">
        <v>44470</v>
      </c>
      <c r="AS200" s="29">
        <v>44560</v>
      </c>
      <c r="AT200" s="27" t="s">
        <v>252</v>
      </c>
      <c r="AU200" s="27" t="s">
        <v>252</v>
      </c>
      <c r="AV200" s="27">
        <v>0</v>
      </c>
      <c r="AW200" s="30" t="s">
        <v>795</v>
      </c>
      <c r="AX200" s="28"/>
      <c r="AY200" s="28"/>
      <c r="AZ200" s="28"/>
      <c r="BA200" s="28"/>
      <c r="BB200" s="28"/>
      <c r="BC200" s="28"/>
      <c r="BD200" s="28"/>
      <c r="BE200" s="28"/>
      <c r="BF200" s="28"/>
      <c r="BG200" s="28"/>
      <c r="BH200" s="28"/>
      <c r="BI200" s="28"/>
      <c r="BJ200" s="28"/>
      <c r="BK200" s="28"/>
      <c r="BL200" s="28"/>
      <c r="BM200" s="28"/>
      <c r="BN200" s="28"/>
      <c r="BO200" s="28"/>
      <c r="BP200" s="28"/>
      <c r="BQ200" s="28"/>
      <c r="BR200" s="28"/>
      <c r="BS200" s="28"/>
      <c r="BT200" s="28"/>
      <c r="BU200" s="28"/>
      <c r="BV200" s="28"/>
      <c r="BW200" s="28"/>
      <c r="BX200" s="28"/>
      <c r="BY200" s="19"/>
      <c r="BZ200" s="19"/>
      <c r="CA200" s="19"/>
      <c r="CB200" s="19"/>
      <c r="CC200" s="19"/>
      <c r="CD200" s="19"/>
      <c r="CE200" s="19"/>
      <c r="CF200" s="19"/>
      <c r="CG200" s="19"/>
      <c r="CH200" s="19"/>
      <c r="CI200" s="19"/>
      <c r="CJ200" s="19"/>
      <c r="CK200" s="19"/>
      <c r="CL200" s="19"/>
      <c r="CM200" s="19"/>
      <c r="CN200" s="19"/>
      <c r="CO200" s="19"/>
      <c r="CP200" s="19"/>
      <c r="CQ200" s="19"/>
      <c r="CR200" s="19"/>
      <c r="CS200" s="19"/>
      <c r="CT200" s="19"/>
      <c r="CU200" s="19"/>
      <c r="CV200" s="19"/>
      <c r="CW200" s="19"/>
      <c r="CX200" s="19"/>
      <c r="CY200" s="19"/>
      <c r="CZ200" s="19"/>
      <c r="DA200" s="19"/>
      <c r="DB200" s="19"/>
      <c r="DC200" s="19"/>
      <c r="DD200" s="19"/>
      <c r="DE200" s="19"/>
      <c r="DF200" s="19"/>
      <c r="DG200" s="19"/>
      <c r="DH200" s="19"/>
      <c r="DI200" s="19"/>
      <c r="DJ200" s="19"/>
      <c r="DK200" s="19"/>
      <c r="DL200" s="19"/>
      <c r="DM200" s="19"/>
      <c r="DN200" s="19"/>
      <c r="DO200" s="19"/>
      <c r="DP200" s="19"/>
      <c r="DQ200" s="19"/>
      <c r="DR200" s="19"/>
      <c r="DS200" s="19"/>
      <c r="DT200" s="19"/>
      <c r="DU200" s="19"/>
      <c r="DV200" s="19"/>
      <c r="DW200" s="19"/>
      <c r="DX200" s="19"/>
      <c r="DY200" s="19"/>
      <c r="DZ200" s="19"/>
      <c r="EA200" s="19"/>
      <c r="EB200" s="19"/>
      <c r="EC200" s="19"/>
      <c r="ED200" s="19"/>
      <c r="EE200" s="19"/>
      <c r="EF200" s="19"/>
      <c r="EG200" s="19"/>
      <c r="EH200" s="19"/>
      <c r="EI200" s="19"/>
      <c r="EJ200" s="19"/>
      <c r="EK200" s="19"/>
      <c r="EL200" s="19"/>
      <c r="EM200" s="19"/>
      <c r="EN200" s="19"/>
      <c r="EO200" s="19"/>
      <c r="EP200" s="19"/>
      <c r="EQ200" s="19"/>
      <c r="ER200" s="19"/>
      <c r="ES200" s="19"/>
      <c r="ET200" s="19"/>
      <c r="EU200" s="19"/>
      <c r="EV200" s="19"/>
      <c r="EW200" s="19"/>
      <c r="EX200" s="19"/>
      <c r="EY200" s="19"/>
      <c r="EZ200" s="19"/>
      <c r="FA200" s="19"/>
      <c r="FB200" s="19"/>
      <c r="FC200" s="19"/>
      <c r="FD200" s="19"/>
      <c r="FE200" s="19"/>
      <c r="FF200" s="19"/>
      <c r="FG200" s="19"/>
      <c r="FH200" s="19"/>
      <c r="FI200" s="19"/>
      <c r="FJ200" s="19"/>
      <c r="FK200" s="19"/>
      <c r="FL200" s="20" t="s">
        <v>796</v>
      </c>
      <c r="FM200" s="20" t="s">
        <v>273</v>
      </c>
      <c r="FN200" s="19"/>
      <c r="FO200" s="19"/>
      <c r="FP200" s="19"/>
      <c r="FQ200" s="19"/>
      <c r="FR200" s="19"/>
      <c r="FS200" s="19"/>
      <c r="FT200" s="19"/>
      <c r="FU200" s="19"/>
      <c r="FV200" s="19"/>
      <c r="FW200" s="19"/>
      <c r="FX200" s="19"/>
      <c r="FY200" s="19"/>
      <c r="FZ200" s="19"/>
      <c r="GA200" s="19"/>
      <c r="GB200" s="19"/>
      <c r="GC200" s="19"/>
      <c r="GD200" s="19"/>
      <c r="GE200" s="19"/>
      <c r="GF200" s="19"/>
      <c r="GG200" s="19"/>
      <c r="GH200" s="19"/>
      <c r="GI200" s="19"/>
      <c r="GJ200" s="19"/>
      <c r="GK200" s="19"/>
      <c r="GL200" s="19"/>
      <c r="GM200" s="19"/>
      <c r="GN200" s="19"/>
      <c r="GO200" s="19"/>
      <c r="GP200" s="19"/>
      <c r="GQ200" s="19"/>
      <c r="GR200" s="19"/>
      <c r="GS200" s="19"/>
      <c r="GT200" s="19"/>
      <c r="GU200" s="19"/>
      <c r="GV200" s="19"/>
      <c r="GW200" s="19"/>
      <c r="GX200" s="19"/>
      <c r="GY200" s="19"/>
      <c r="GZ200" s="19"/>
      <c r="HA200" s="19"/>
    </row>
    <row r="201" spans="1:209" ht="23.25" customHeight="1" x14ac:dyDescent="0.15">
      <c r="A201" s="26">
        <v>44659.653581006947</v>
      </c>
      <c r="B201" s="27" t="s">
        <v>6</v>
      </c>
      <c r="C201" s="27" t="s">
        <v>11</v>
      </c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  <c r="AX201" s="27" t="s">
        <v>797</v>
      </c>
      <c r="AY201" s="27" t="s">
        <v>763</v>
      </c>
      <c r="AZ201" s="27" t="s">
        <v>798</v>
      </c>
      <c r="BA201" s="27" t="s">
        <v>375</v>
      </c>
      <c r="BB201" s="27" t="s">
        <v>470</v>
      </c>
      <c r="BC201" s="29">
        <v>43818</v>
      </c>
      <c r="BD201" s="29">
        <v>43983</v>
      </c>
      <c r="BE201" s="29">
        <v>43983</v>
      </c>
      <c r="BF201" s="27">
        <v>85</v>
      </c>
      <c r="BG201" s="27" t="s">
        <v>765</v>
      </c>
      <c r="BH201" s="30" t="s">
        <v>799</v>
      </c>
      <c r="BI201" s="28"/>
      <c r="BJ201" s="28"/>
      <c r="BK201" s="28"/>
      <c r="BL201" s="28"/>
      <c r="BM201" s="28"/>
      <c r="BN201" s="28"/>
      <c r="BO201" s="28"/>
      <c r="BP201" s="28"/>
      <c r="BQ201" s="28"/>
      <c r="BR201" s="28"/>
      <c r="BS201" s="28"/>
      <c r="BT201" s="28"/>
      <c r="BU201" s="28"/>
      <c r="BV201" s="28"/>
      <c r="BW201" s="28"/>
      <c r="BX201" s="28"/>
      <c r="BY201" s="19"/>
      <c r="BZ201" s="19"/>
      <c r="CA201" s="19"/>
      <c r="CB201" s="19"/>
      <c r="CC201" s="19"/>
      <c r="CD201" s="19"/>
      <c r="CE201" s="19"/>
      <c r="CF201" s="19"/>
      <c r="CG201" s="19"/>
      <c r="CH201" s="19"/>
      <c r="CI201" s="19"/>
      <c r="CJ201" s="19"/>
      <c r="CK201" s="19"/>
      <c r="CL201" s="19"/>
      <c r="CM201" s="19"/>
      <c r="CN201" s="19"/>
      <c r="CO201" s="19"/>
      <c r="CP201" s="19"/>
      <c r="CQ201" s="19"/>
      <c r="CR201" s="19"/>
      <c r="CS201" s="19"/>
      <c r="CT201" s="19"/>
      <c r="CU201" s="19"/>
      <c r="CV201" s="19"/>
      <c r="CW201" s="19"/>
      <c r="CX201" s="19"/>
      <c r="CY201" s="19"/>
      <c r="CZ201" s="19"/>
      <c r="DA201" s="19"/>
      <c r="DB201" s="19"/>
      <c r="DC201" s="19"/>
      <c r="DD201" s="19"/>
      <c r="DE201" s="19"/>
      <c r="DF201" s="19"/>
      <c r="DG201" s="19"/>
      <c r="DH201" s="19"/>
      <c r="DI201" s="19"/>
      <c r="DJ201" s="19"/>
      <c r="DK201" s="19"/>
      <c r="DL201" s="19"/>
      <c r="DM201" s="19"/>
      <c r="DN201" s="19"/>
      <c r="DO201" s="19"/>
      <c r="DP201" s="19"/>
      <c r="DQ201" s="19"/>
      <c r="DR201" s="19"/>
      <c r="DS201" s="19"/>
      <c r="DT201" s="19"/>
      <c r="DU201" s="19"/>
      <c r="DV201" s="19"/>
      <c r="DW201" s="19"/>
      <c r="DX201" s="19"/>
      <c r="DY201" s="19"/>
      <c r="DZ201" s="19"/>
      <c r="EA201" s="19"/>
      <c r="EB201" s="19"/>
      <c r="EC201" s="19"/>
      <c r="ED201" s="19"/>
      <c r="EE201" s="19"/>
      <c r="EF201" s="19"/>
      <c r="EG201" s="19"/>
      <c r="EH201" s="19"/>
      <c r="EI201" s="19"/>
      <c r="EJ201" s="19"/>
      <c r="EK201" s="19"/>
      <c r="EL201" s="19"/>
      <c r="EM201" s="19"/>
      <c r="EN201" s="19"/>
      <c r="EO201" s="19"/>
      <c r="EP201" s="19"/>
      <c r="EQ201" s="19"/>
      <c r="ER201" s="19"/>
      <c r="ES201" s="19"/>
      <c r="ET201" s="19"/>
      <c r="EU201" s="19"/>
      <c r="EV201" s="19"/>
      <c r="EW201" s="19"/>
      <c r="EX201" s="19"/>
      <c r="EY201" s="19"/>
      <c r="EZ201" s="19"/>
      <c r="FA201" s="19"/>
      <c r="FB201" s="19"/>
      <c r="FC201" s="19"/>
      <c r="FD201" s="19"/>
      <c r="FE201" s="19"/>
      <c r="FF201" s="19"/>
      <c r="FG201" s="19"/>
      <c r="FH201" s="19"/>
      <c r="FI201" s="19"/>
      <c r="FJ201" s="19"/>
      <c r="FK201" s="19"/>
      <c r="FL201" s="20" t="s">
        <v>767</v>
      </c>
      <c r="FM201" s="20" t="s">
        <v>255</v>
      </c>
      <c r="FN201" s="19"/>
      <c r="FO201" s="19"/>
      <c r="FP201" s="19"/>
      <c r="FQ201" s="19"/>
      <c r="FR201" s="19"/>
      <c r="FS201" s="19"/>
      <c r="FT201" s="19"/>
      <c r="FU201" s="19"/>
      <c r="FV201" s="19"/>
      <c r="FW201" s="19"/>
      <c r="FX201" s="19"/>
      <c r="FY201" s="19"/>
      <c r="FZ201" s="19"/>
      <c r="GA201" s="19"/>
      <c r="GB201" s="19"/>
      <c r="GC201" s="19"/>
      <c r="GD201" s="19"/>
      <c r="GE201" s="19"/>
      <c r="GF201" s="19"/>
      <c r="GG201" s="19"/>
      <c r="GH201" s="19"/>
      <c r="GI201" s="19"/>
      <c r="GJ201" s="19"/>
      <c r="GK201" s="19"/>
      <c r="GL201" s="19"/>
      <c r="GM201" s="19"/>
      <c r="GN201" s="19"/>
      <c r="GO201" s="19"/>
      <c r="GP201" s="19"/>
      <c r="GQ201" s="19"/>
      <c r="GR201" s="19"/>
      <c r="GS201" s="19"/>
      <c r="GT201" s="19"/>
      <c r="GU201" s="19"/>
      <c r="GV201" s="19"/>
      <c r="GW201" s="19"/>
      <c r="GX201" s="19"/>
      <c r="GY201" s="19"/>
      <c r="GZ201" s="19"/>
      <c r="HA201" s="19"/>
    </row>
    <row r="202" spans="1:209" ht="23.25" customHeight="1" x14ac:dyDescent="0.15">
      <c r="A202" s="26">
        <v>44659.654571747684</v>
      </c>
      <c r="B202" s="27" t="s">
        <v>6</v>
      </c>
      <c r="C202" s="27" t="s">
        <v>11</v>
      </c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  <c r="AX202" s="27" t="s">
        <v>762</v>
      </c>
      <c r="AY202" s="27" t="s">
        <v>763</v>
      </c>
      <c r="AZ202" s="27" t="s">
        <v>800</v>
      </c>
      <c r="BA202" s="27" t="s">
        <v>375</v>
      </c>
      <c r="BB202" s="27" t="s">
        <v>470</v>
      </c>
      <c r="BC202" s="29">
        <v>43818</v>
      </c>
      <c r="BD202" s="29">
        <v>43983</v>
      </c>
      <c r="BE202" s="29">
        <v>43983</v>
      </c>
      <c r="BF202" s="27">
        <v>85</v>
      </c>
      <c r="BG202" s="27" t="s">
        <v>765</v>
      </c>
      <c r="BH202" s="30" t="s">
        <v>801</v>
      </c>
      <c r="BI202" s="28"/>
      <c r="BJ202" s="28"/>
      <c r="BK202" s="28"/>
      <c r="BL202" s="28"/>
      <c r="BM202" s="28"/>
      <c r="BN202" s="28"/>
      <c r="BO202" s="28"/>
      <c r="BP202" s="28"/>
      <c r="BQ202" s="28"/>
      <c r="BR202" s="28"/>
      <c r="BS202" s="28"/>
      <c r="BT202" s="28"/>
      <c r="BU202" s="28"/>
      <c r="BV202" s="28"/>
      <c r="BW202" s="28"/>
      <c r="BX202" s="28"/>
      <c r="BY202" s="19"/>
      <c r="BZ202" s="19"/>
      <c r="CA202" s="19"/>
      <c r="CB202" s="19"/>
      <c r="CC202" s="19"/>
      <c r="CD202" s="19"/>
      <c r="CE202" s="19"/>
      <c r="CF202" s="19"/>
      <c r="CG202" s="19"/>
      <c r="CH202" s="19"/>
      <c r="CI202" s="19"/>
      <c r="CJ202" s="19"/>
      <c r="CK202" s="19"/>
      <c r="CL202" s="19"/>
      <c r="CM202" s="19"/>
      <c r="CN202" s="19"/>
      <c r="CO202" s="19"/>
      <c r="CP202" s="19"/>
      <c r="CQ202" s="19"/>
      <c r="CR202" s="19"/>
      <c r="CS202" s="19"/>
      <c r="CT202" s="19"/>
      <c r="CU202" s="19"/>
      <c r="CV202" s="19"/>
      <c r="CW202" s="19"/>
      <c r="CX202" s="19"/>
      <c r="CY202" s="19"/>
      <c r="CZ202" s="19"/>
      <c r="DA202" s="19"/>
      <c r="DB202" s="19"/>
      <c r="DC202" s="19"/>
      <c r="DD202" s="19"/>
      <c r="DE202" s="19"/>
      <c r="DF202" s="19"/>
      <c r="DG202" s="19"/>
      <c r="DH202" s="19"/>
      <c r="DI202" s="19"/>
      <c r="DJ202" s="19"/>
      <c r="DK202" s="19"/>
      <c r="DL202" s="19"/>
      <c r="DM202" s="19"/>
      <c r="DN202" s="19"/>
      <c r="DO202" s="19"/>
      <c r="DP202" s="19"/>
      <c r="DQ202" s="19"/>
      <c r="DR202" s="19"/>
      <c r="DS202" s="19"/>
      <c r="DT202" s="19"/>
      <c r="DU202" s="19"/>
      <c r="DV202" s="19"/>
      <c r="DW202" s="19"/>
      <c r="DX202" s="19"/>
      <c r="DY202" s="19"/>
      <c r="DZ202" s="19"/>
      <c r="EA202" s="19"/>
      <c r="EB202" s="19"/>
      <c r="EC202" s="19"/>
      <c r="ED202" s="19"/>
      <c r="EE202" s="19"/>
      <c r="EF202" s="19"/>
      <c r="EG202" s="19"/>
      <c r="EH202" s="19"/>
      <c r="EI202" s="19"/>
      <c r="EJ202" s="19"/>
      <c r="EK202" s="19"/>
      <c r="EL202" s="19"/>
      <c r="EM202" s="19"/>
      <c r="EN202" s="19"/>
      <c r="EO202" s="19"/>
      <c r="EP202" s="19"/>
      <c r="EQ202" s="19"/>
      <c r="ER202" s="19"/>
      <c r="ES202" s="19"/>
      <c r="ET202" s="19"/>
      <c r="EU202" s="19"/>
      <c r="EV202" s="19"/>
      <c r="EW202" s="19"/>
      <c r="EX202" s="19"/>
      <c r="EY202" s="19"/>
      <c r="EZ202" s="19"/>
      <c r="FA202" s="19"/>
      <c r="FB202" s="19"/>
      <c r="FC202" s="19"/>
      <c r="FD202" s="19"/>
      <c r="FE202" s="19"/>
      <c r="FF202" s="19"/>
      <c r="FG202" s="19"/>
      <c r="FH202" s="19"/>
      <c r="FI202" s="19"/>
      <c r="FJ202" s="19"/>
      <c r="FK202" s="19"/>
      <c r="FL202" s="20" t="s">
        <v>767</v>
      </c>
      <c r="FM202" s="20" t="s">
        <v>255</v>
      </c>
      <c r="FN202" s="19"/>
      <c r="FO202" s="19"/>
      <c r="FP202" s="19"/>
      <c r="FQ202" s="19"/>
      <c r="FR202" s="19"/>
      <c r="FS202" s="19"/>
      <c r="FT202" s="19"/>
      <c r="FU202" s="19"/>
      <c r="FV202" s="19"/>
      <c r="FW202" s="19"/>
      <c r="FX202" s="19"/>
      <c r="FY202" s="19"/>
      <c r="FZ202" s="19"/>
      <c r="GA202" s="19"/>
      <c r="GB202" s="19"/>
      <c r="GC202" s="19"/>
      <c r="GD202" s="19"/>
      <c r="GE202" s="19"/>
      <c r="GF202" s="19"/>
      <c r="GG202" s="19"/>
      <c r="GH202" s="19"/>
      <c r="GI202" s="19"/>
      <c r="GJ202" s="19"/>
      <c r="GK202" s="19"/>
      <c r="GL202" s="19"/>
      <c r="GM202" s="19"/>
      <c r="GN202" s="19"/>
      <c r="GO202" s="19"/>
      <c r="GP202" s="19"/>
      <c r="GQ202" s="19"/>
      <c r="GR202" s="19"/>
      <c r="GS202" s="19"/>
      <c r="GT202" s="19"/>
      <c r="GU202" s="19"/>
      <c r="GV202" s="19"/>
      <c r="GW202" s="19"/>
      <c r="GX202" s="19"/>
      <c r="GY202" s="19"/>
      <c r="GZ202" s="19"/>
      <c r="HA202" s="19"/>
    </row>
    <row r="203" spans="1:209" ht="23.25" customHeight="1" x14ac:dyDescent="0.15">
      <c r="A203" s="26">
        <v>44659.658416099541</v>
      </c>
      <c r="B203" s="27" t="s">
        <v>6</v>
      </c>
      <c r="C203" s="27" t="s">
        <v>21</v>
      </c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  <c r="AX203" s="28"/>
      <c r="AY203" s="28"/>
      <c r="AZ203" s="28"/>
      <c r="BA203" s="28"/>
      <c r="BB203" s="28"/>
      <c r="BC203" s="28"/>
      <c r="BD203" s="28"/>
      <c r="BE203" s="28"/>
      <c r="BF203" s="28"/>
      <c r="BG203" s="28"/>
      <c r="BH203" s="28"/>
      <c r="BI203" s="28"/>
      <c r="BJ203" s="28"/>
      <c r="BK203" s="28"/>
      <c r="BL203" s="28"/>
      <c r="BM203" s="28"/>
      <c r="BN203" s="28"/>
      <c r="BO203" s="28"/>
      <c r="BP203" s="28"/>
      <c r="BQ203" s="28"/>
      <c r="BR203" s="28"/>
      <c r="BS203" s="28"/>
      <c r="BT203" s="28"/>
      <c r="BU203" s="28"/>
      <c r="BV203" s="28"/>
      <c r="BW203" s="28"/>
      <c r="BX203" s="28"/>
      <c r="BY203" s="19"/>
      <c r="BZ203" s="19"/>
      <c r="CA203" s="19"/>
      <c r="CB203" s="19"/>
      <c r="CC203" s="19"/>
      <c r="CD203" s="19"/>
      <c r="CE203" s="19"/>
      <c r="CF203" s="19"/>
      <c r="CG203" s="19"/>
      <c r="CH203" s="19"/>
      <c r="CI203" s="19"/>
      <c r="CJ203" s="19"/>
      <c r="CK203" s="19"/>
      <c r="CL203" s="19"/>
      <c r="CM203" s="19"/>
      <c r="CN203" s="19"/>
      <c r="CO203" s="19"/>
      <c r="CP203" s="19"/>
      <c r="CQ203" s="19"/>
      <c r="CR203" s="19"/>
      <c r="CS203" s="19"/>
      <c r="CT203" s="19"/>
      <c r="CU203" s="19"/>
      <c r="CV203" s="19"/>
      <c r="CW203" s="19"/>
      <c r="CX203" s="19"/>
      <c r="CY203" s="19"/>
      <c r="CZ203" s="19"/>
      <c r="DA203" s="19"/>
      <c r="DB203" s="19"/>
      <c r="DC203" s="19"/>
      <c r="DD203" s="19"/>
      <c r="DE203" s="19"/>
      <c r="DF203" s="19"/>
      <c r="DG203" s="19"/>
      <c r="DH203" s="19"/>
      <c r="DI203" s="19"/>
      <c r="DJ203" s="19"/>
      <c r="DK203" s="19"/>
      <c r="DL203" s="19"/>
      <c r="DM203" s="19"/>
      <c r="DN203" s="19"/>
      <c r="DO203" s="19"/>
      <c r="DP203" s="19"/>
      <c r="DQ203" s="19"/>
      <c r="DR203" s="19"/>
      <c r="DS203" s="19"/>
      <c r="DT203" s="19"/>
      <c r="DU203" s="19"/>
      <c r="DV203" s="19"/>
      <c r="DW203" s="19"/>
      <c r="DX203" s="19"/>
      <c r="DY203" s="19"/>
      <c r="DZ203" s="19"/>
      <c r="EA203" s="19"/>
      <c r="EB203" s="19"/>
      <c r="EC203" s="19"/>
      <c r="ED203" s="19"/>
      <c r="EE203" s="19"/>
      <c r="EF203" s="19"/>
      <c r="EG203" s="19"/>
      <c r="EH203" s="19"/>
      <c r="EI203" s="19"/>
      <c r="EJ203" s="19"/>
      <c r="EK203" s="19"/>
      <c r="EL203" s="19"/>
      <c r="EM203" s="19"/>
      <c r="EN203" s="19"/>
      <c r="EO203" s="19"/>
      <c r="EP203" s="19"/>
      <c r="EQ203" s="19"/>
      <c r="ER203" s="19"/>
      <c r="ES203" s="19"/>
      <c r="ET203" s="19"/>
      <c r="EU203" s="19"/>
      <c r="EV203" s="19"/>
      <c r="EW203" s="19"/>
      <c r="EX203" s="19"/>
      <c r="EY203" s="19"/>
      <c r="EZ203" s="19"/>
      <c r="FA203" s="19"/>
      <c r="FB203" s="19"/>
      <c r="FC203" s="19"/>
      <c r="FD203" s="19"/>
      <c r="FE203" s="19"/>
      <c r="FF203" s="19"/>
      <c r="FG203" s="19"/>
      <c r="FH203" s="19"/>
      <c r="FI203" s="19"/>
      <c r="FJ203" s="19"/>
      <c r="FK203" s="19"/>
      <c r="FL203" s="20" t="s">
        <v>767</v>
      </c>
      <c r="FM203" s="20" t="s">
        <v>255</v>
      </c>
      <c r="FN203" s="19"/>
      <c r="FO203" s="19"/>
      <c r="FP203" s="19"/>
      <c r="FQ203" s="19"/>
      <c r="FR203" s="19"/>
      <c r="FS203" s="19"/>
      <c r="FT203" s="19"/>
      <c r="FU203" s="19"/>
      <c r="FV203" s="19"/>
      <c r="FW203" s="19"/>
      <c r="FX203" s="19"/>
      <c r="FY203" s="19"/>
      <c r="FZ203" s="20" t="s">
        <v>762</v>
      </c>
      <c r="GA203" s="20" t="s">
        <v>763</v>
      </c>
      <c r="GB203" s="20" t="s">
        <v>802</v>
      </c>
      <c r="GC203" s="21">
        <v>43881</v>
      </c>
      <c r="GD203" s="22" t="s">
        <v>803</v>
      </c>
      <c r="GE203" s="21">
        <v>43883</v>
      </c>
      <c r="GF203" s="19"/>
      <c r="GG203" s="19"/>
      <c r="GH203" s="19"/>
      <c r="GI203" s="19"/>
      <c r="GJ203" s="19"/>
      <c r="GK203" s="19"/>
      <c r="GL203" s="19"/>
      <c r="GM203" s="19"/>
      <c r="GN203" s="19"/>
      <c r="GO203" s="19"/>
      <c r="GP203" s="19"/>
      <c r="GQ203" s="19"/>
      <c r="GR203" s="19"/>
      <c r="GS203" s="19"/>
      <c r="GT203" s="19"/>
      <c r="GU203" s="19"/>
      <c r="GV203" s="19"/>
      <c r="GW203" s="19"/>
      <c r="GX203" s="19"/>
      <c r="GY203" s="19"/>
      <c r="GZ203" s="19"/>
      <c r="HA203" s="19"/>
    </row>
    <row r="204" spans="1:209" ht="23.25" customHeight="1" x14ac:dyDescent="0.15">
      <c r="A204" s="26">
        <v>44659.659137268522</v>
      </c>
      <c r="B204" s="27" t="s">
        <v>6</v>
      </c>
      <c r="C204" s="27" t="s">
        <v>10</v>
      </c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7" t="s">
        <v>804</v>
      </c>
      <c r="AO204" s="27" t="s">
        <v>805</v>
      </c>
      <c r="AP204" s="27" t="s">
        <v>806</v>
      </c>
      <c r="AQ204" s="27" t="s">
        <v>807</v>
      </c>
      <c r="AR204" s="29">
        <v>44470</v>
      </c>
      <c r="AS204" s="29">
        <v>44531</v>
      </c>
      <c r="AT204" s="27" t="s">
        <v>252</v>
      </c>
      <c r="AU204" s="27" t="s">
        <v>252</v>
      </c>
      <c r="AV204" s="27">
        <v>0</v>
      </c>
      <c r="AW204" s="30" t="s">
        <v>808</v>
      </c>
      <c r="AX204" s="28"/>
      <c r="AY204" s="28"/>
      <c r="AZ204" s="28"/>
      <c r="BA204" s="28"/>
      <c r="BB204" s="28"/>
      <c r="BC204" s="28"/>
      <c r="BD204" s="28"/>
      <c r="BE204" s="28"/>
      <c r="BF204" s="28"/>
      <c r="BG204" s="28"/>
      <c r="BH204" s="28"/>
      <c r="BI204" s="28"/>
      <c r="BJ204" s="28"/>
      <c r="BK204" s="28"/>
      <c r="BL204" s="28"/>
      <c r="BM204" s="28"/>
      <c r="BN204" s="28"/>
      <c r="BO204" s="28"/>
      <c r="BP204" s="28"/>
      <c r="BQ204" s="28"/>
      <c r="BR204" s="28"/>
      <c r="BS204" s="28"/>
      <c r="BT204" s="28"/>
      <c r="BU204" s="28"/>
      <c r="BV204" s="28"/>
      <c r="BW204" s="28"/>
      <c r="BX204" s="28"/>
      <c r="BY204" s="19"/>
      <c r="BZ204" s="19"/>
      <c r="CA204" s="19"/>
      <c r="CB204" s="19"/>
      <c r="CC204" s="19"/>
      <c r="CD204" s="19"/>
      <c r="CE204" s="19"/>
      <c r="CF204" s="19"/>
      <c r="CG204" s="19"/>
      <c r="CH204" s="19"/>
      <c r="CI204" s="19"/>
      <c r="CJ204" s="19"/>
      <c r="CK204" s="19"/>
      <c r="CL204" s="19"/>
      <c r="CM204" s="19"/>
      <c r="CN204" s="19"/>
      <c r="CO204" s="19"/>
      <c r="CP204" s="19"/>
      <c r="CQ204" s="19"/>
      <c r="CR204" s="19"/>
      <c r="CS204" s="19"/>
      <c r="CT204" s="19"/>
      <c r="CU204" s="19"/>
      <c r="CV204" s="19"/>
      <c r="CW204" s="19"/>
      <c r="CX204" s="19"/>
      <c r="CY204" s="19"/>
      <c r="CZ204" s="19"/>
      <c r="DA204" s="19"/>
      <c r="DB204" s="19"/>
      <c r="DC204" s="19"/>
      <c r="DD204" s="19"/>
      <c r="DE204" s="19"/>
      <c r="DF204" s="19"/>
      <c r="DG204" s="19"/>
      <c r="DH204" s="19"/>
      <c r="DI204" s="19"/>
      <c r="DJ204" s="19"/>
      <c r="DK204" s="19"/>
      <c r="DL204" s="19"/>
      <c r="DM204" s="19"/>
      <c r="DN204" s="19"/>
      <c r="DO204" s="19"/>
      <c r="DP204" s="19"/>
      <c r="DQ204" s="19"/>
      <c r="DR204" s="19"/>
      <c r="DS204" s="19"/>
      <c r="DT204" s="19"/>
      <c r="DU204" s="19"/>
      <c r="DV204" s="19"/>
      <c r="DW204" s="19"/>
      <c r="DX204" s="19"/>
      <c r="DY204" s="19"/>
      <c r="DZ204" s="19"/>
      <c r="EA204" s="19"/>
      <c r="EB204" s="19"/>
      <c r="EC204" s="19"/>
      <c r="ED204" s="19"/>
      <c r="EE204" s="19"/>
      <c r="EF204" s="19"/>
      <c r="EG204" s="19"/>
      <c r="EH204" s="19"/>
      <c r="EI204" s="19"/>
      <c r="EJ204" s="19"/>
      <c r="EK204" s="19"/>
      <c r="EL204" s="19"/>
      <c r="EM204" s="19"/>
      <c r="EN204" s="19"/>
      <c r="EO204" s="19"/>
      <c r="EP204" s="19"/>
      <c r="EQ204" s="19"/>
      <c r="ER204" s="19"/>
      <c r="ES204" s="19"/>
      <c r="ET204" s="19"/>
      <c r="EU204" s="19"/>
      <c r="EV204" s="19"/>
      <c r="EW204" s="19"/>
      <c r="EX204" s="19"/>
      <c r="EY204" s="19"/>
      <c r="EZ204" s="19"/>
      <c r="FA204" s="19"/>
      <c r="FB204" s="19"/>
      <c r="FC204" s="19"/>
      <c r="FD204" s="19"/>
      <c r="FE204" s="19"/>
      <c r="FF204" s="19"/>
      <c r="FG204" s="19"/>
      <c r="FH204" s="19"/>
      <c r="FI204" s="19"/>
      <c r="FJ204" s="19"/>
      <c r="FK204" s="19"/>
      <c r="FL204" s="20" t="s">
        <v>809</v>
      </c>
      <c r="FM204" s="20" t="s">
        <v>255</v>
      </c>
      <c r="FN204" s="19"/>
      <c r="FO204" s="19"/>
      <c r="FP204" s="19"/>
      <c r="FQ204" s="19"/>
      <c r="FR204" s="19"/>
      <c r="FS204" s="19"/>
      <c r="FT204" s="19"/>
      <c r="FU204" s="19"/>
      <c r="FV204" s="19"/>
      <c r="FW204" s="19"/>
      <c r="FX204" s="19"/>
      <c r="FY204" s="19"/>
      <c r="FZ204" s="19"/>
      <c r="GA204" s="19"/>
      <c r="GB204" s="19"/>
      <c r="GC204" s="19"/>
      <c r="GD204" s="19"/>
      <c r="GE204" s="19"/>
      <c r="GF204" s="19"/>
      <c r="GG204" s="19"/>
      <c r="GH204" s="19"/>
      <c r="GI204" s="19"/>
      <c r="GJ204" s="19"/>
      <c r="GK204" s="19"/>
      <c r="GL204" s="19"/>
      <c r="GM204" s="19"/>
      <c r="GN204" s="19"/>
      <c r="GO204" s="19"/>
      <c r="GP204" s="19"/>
      <c r="GQ204" s="19"/>
      <c r="GR204" s="19"/>
      <c r="GS204" s="19"/>
      <c r="GT204" s="19"/>
      <c r="GU204" s="19"/>
      <c r="GV204" s="19"/>
      <c r="GW204" s="19"/>
      <c r="GX204" s="19"/>
      <c r="GY204" s="19"/>
      <c r="GZ204" s="19"/>
      <c r="HA204" s="19"/>
    </row>
    <row r="205" spans="1:209" ht="23.25" customHeight="1" x14ac:dyDescent="0.15">
      <c r="A205" s="26">
        <v>44659.661673159717</v>
      </c>
      <c r="B205" s="27" t="s">
        <v>6</v>
      </c>
      <c r="C205" s="27" t="s">
        <v>12</v>
      </c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  <c r="AX205" s="28"/>
      <c r="AY205" s="28"/>
      <c r="AZ205" s="28"/>
      <c r="BA205" s="28"/>
      <c r="BB205" s="28"/>
      <c r="BC205" s="28"/>
      <c r="BD205" s="28"/>
      <c r="BE205" s="28"/>
      <c r="BF205" s="28"/>
      <c r="BG205" s="28"/>
      <c r="BH205" s="28"/>
      <c r="BI205" s="27" t="s">
        <v>762</v>
      </c>
      <c r="BJ205" s="27" t="s">
        <v>763</v>
      </c>
      <c r="BK205" s="27" t="s">
        <v>145</v>
      </c>
      <c r="BL205" s="27" t="s">
        <v>146</v>
      </c>
      <c r="BM205" s="27" t="s">
        <v>810</v>
      </c>
      <c r="BN205" s="27">
        <v>2</v>
      </c>
      <c r="BO205" s="29">
        <v>43505</v>
      </c>
      <c r="BP205" s="29">
        <v>43506</v>
      </c>
      <c r="BQ205" s="27" t="s">
        <v>811</v>
      </c>
      <c r="BR205" s="27" t="s">
        <v>812</v>
      </c>
      <c r="BS205" s="27" t="s">
        <v>271</v>
      </c>
      <c r="BT205" s="27" t="s">
        <v>629</v>
      </c>
      <c r="BU205" s="28"/>
      <c r="BV205" s="30" t="s">
        <v>813</v>
      </c>
      <c r="BW205" s="28"/>
      <c r="BX205" s="28"/>
      <c r="BY205" s="19"/>
      <c r="BZ205" s="19"/>
      <c r="CA205" s="19"/>
      <c r="CB205" s="19"/>
      <c r="CC205" s="19"/>
      <c r="CD205" s="19"/>
      <c r="CE205" s="19"/>
      <c r="CF205" s="19"/>
      <c r="CG205" s="19"/>
      <c r="CH205" s="19"/>
      <c r="CI205" s="19"/>
      <c r="CJ205" s="19"/>
      <c r="CK205" s="19"/>
      <c r="CL205" s="19"/>
      <c r="CM205" s="19"/>
      <c r="CN205" s="19"/>
      <c r="CO205" s="19"/>
      <c r="CP205" s="19"/>
      <c r="CQ205" s="19"/>
      <c r="CR205" s="19"/>
      <c r="CS205" s="19"/>
      <c r="CT205" s="19"/>
      <c r="CU205" s="19"/>
      <c r="CV205" s="19"/>
      <c r="CW205" s="19"/>
      <c r="CX205" s="19"/>
      <c r="CY205" s="19"/>
      <c r="CZ205" s="19"/>
      <c r="DA205" s="19"/>
      <c r="DB205" s="19"/>
      <c r="DC205" s="19"/>
      <c r="DD205" s="19"/>
      <c r="DE205" s="19"/>
      <c r="DF205" s="19"/>
      <c r="DG205" s="19"/>
      <c r="DH205" s="19"/>
      <c r="DI205" s="19"/>
      <c r="DJ205" s="19"/>
      <c r="DK205" s="19"/>
      <c r="DL205" s="19"/>
      <c r="DM205" s="19"/>
      <c r="DN205" s="19"/>
      <c r="DO205" s="19"/>
      <c r="DP205" s="19"/>
      <c r="DQ205" s="19"/>
      <c r="DR205" s="19"/>
      <c r="DS205" s="19"/>
      <c r="DT205" s="19"/>
      <c r="DU205" s="19"/>
      <c r="DV205" s="19"/>
      <c r="DW205" s="19"/>
      <c r="DX205" s="19"/>
      <c r="DY205" s="19"/>
      <c r="DZ205" s="19"/>
      <c r="EA205" s="19"/>
      <c r="EB205" s="19"/>
      <c r="EC205" s="19"/>
      <c r="ED205" s="19"/>
      <c r="EE205" s="19"/>
      <c r="EF205" s="19"/>
      <c r="EG205" s="19"/>
      <c r="EH205" s="19"/>
      <c r="EI205" s="19"/>
      <c r="EJ205" s="19"/>
      <c r="EK205" s="19"/>
      <c r="EL205" s="19"/>
      <c r="EM205" s="19"/>
      <c r="EN205" s="19"/>
      <c r="EO205" s="19"/>
      <c r="EP205" s="19"/>
      <c r="EQ205" s="19"/>
      <c r="ER205" s="19"/>
      <c r="ES205" s="19"/>
      <c r="ET205" s="19"/>
      <c r="EU205" s="19"/>
      <c r="EV205" s="19"/>
      <c r="EW205" s="19"/>
      <c r="EX205" s="19"/>
      <c r="EY205" s="19"/>
      <c r="EZ205" s="19"/>
      <c r="FA205" s="19"/>
      <c r="FB205" s="19"/>
      <c r="FC205" s="19"/>
      <c r="FD205" s="19"/>
      <c r="FE205" s="19"/>
      <c r="FF205" s="19"/>
      <c r="FG205" s="19"/>
      <c r="FH205" s="19"/>
      <c r="FI205" s="19"/>
      <c r="FJ205" s="19"/>
      <c r="FK205" s="19"/>
      <c r="FL205" s="20" t="s">
        <v>767</v>
      </c>
      <c r="FM205" s="20" t="s">
        <v>255</v>
      </c>
      <c r="FN205" s="19"/>
      <c r="FO205" s="19"/>
      <c r="FP205" s="19"/>
      <c r="FQ205" s="19"/>
      <c r="FR205" s="19"/>
      <c r="FS205" s="19"/>
      <c r="FT205" s="19"/>
      <c r="FU205" s="19"/>
      <c r="FV205" s="19"/>
      <c r="FW205" s="19"/>
      <c r="FX205" s="19"/>
      <c r="FY205" s="19"/>
      <c r="FZ205" s="19"/>
      <c r="GA205" s="19"/>
      <c r="GB205" s="19"/>
      <c r="GC205" s="19"/>
      <c r="GD205" s="19"/>
      <c r="GE205" s="19"/>
      <c r="GF205" s="19"/>
      <c r="GG205" s="19"/>
      <c r="GH205" s="19"/>
      <c r="GI205" s="19"/>
      <c r="GJ205" s="19"/>
      <c r="GK205" s="19"/>
      <c r="GL205" s="19"/>
      <c r="GM205" s="19"/>
      <c r="GN205" s="19"/>
      <c r="GO205" s="19"/>
      <c r="GP205" s="19"/>
      <c r="GQ205" s="19"/>
      <c r="GR205" s="19"/>
      <c r="GS205" s="19"/>
      <c r="GT205" s="19"/>
      <c r="GU205" s="19"/>
      <c r="GV205" s="19"/>
      <c r="GW205" s="19"/>
      <c r="GX205" s="19"/>
      <c r="GY205" s="19"/>
      <c r="GZ205" s="19"/>
      <c r="HA205" s="19"/>
    </row>
    <row r="206" spans="1:209" ht="23.25" customHeight="1" x14ac:dyDescent="0.15">
      <c r="A206" s="26">
        <v>44659.66205885417</v>
      </c>
      <c r="B206" s="27" t="s">
        <v>6</v>
      </c>
      <c r="C206" s="27" t="s">
        <v>12</v>
      </c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  <c r="AX206" s="28"/>
      <c r="AY206" s="28"/>
      <c r="AZ206" s="28"/>
      <c r="BA206" s="28"/>
      <c r="BB206" s="28"/>
      <c r="BC206" s="28"/>
      <c r="BD206" s="28"/>
      <c r="BE206" s="28"/>
      <c r="BF206" s="28"/>
      <c r="BG206" s="28"/>
      <c r="BH206" s="28"/>
      <c r="BI206" s="27" t="s">
        <v>814</v>
      </c>
      <c r="BJ206" s="27" t="s">
        <v>815</v>
      </c>
      <c r="BK206" s="27" t="s">
        <v>311</v>
      </c>
      <c r="BL206" s="27" t="s">
        <v>732</v>
      </c>
      <c r="BM206" s="27" t="s">
        <v>196</v>
      </c>
      <c r="BN206" s="27">
        <v>1</v>
      </c>
      <c r="BO206" s="29">
        <v>44567</v>
      </c>
      <c r="BP206" s="29">
        <v>44567</v>
      </c>
      <c r="BQ206" s="27" t="s">
        <v>816</v>
      </c>
      <c r="BR206" s="27" t="s">
        <v>276</v>
      </c>
      <c r="BS206" s="27" t="s">
        <v>171</v>
      </c>
      <c r="BT206" s="27" t="s">
        <v>151</v>
      </c>
      <c r="BU206" s="28"/>
      <c r="BV206" s="30" t="s">
        <v>817</v>
      </c>
      <c r="BW206" s="28"/>
      <c r="BX206" s="28"/>
      <c r="BY206" s="19"/>
      <c r="BZ206" s="19"/>
      <c r="CA206" s="19"/>
      <c r="CB206" s="19"/>
      <c r="CC206" s="19"/>
      <c r="CD206" s="19"/>
      <c r="CE206" s="19"/>
      <c r="CF206" s="19"/>
      <c r="CG206" s="19"/>
      <c r="CH206" s="19"/>
      <c r="CI206" s="19"/>
      <c r="CJ206" s="19"/>
      <c r="CK206" s="19"/>
      <c r="CL206" s="19"/>
      <c r="CM206" s="19"/>
      <c r="CN206" s="19"/>
      <c r="CO206" s="19"/>
      <c r="CP206" s="19"/>
      <c r="CQ206" s="19"/>
      <c r="CR206" s="19"/>
      <c r="CS206" s="19"/>
      <c r="CT206" s="19"/>
      <c r="CU206" s="19"/>
      <c r="CV206" s="19"/>
      <c r="CW206" s="19"/>
      <c r="CX206" s="19"/>
      <c r="CY206" s="19"/>
      <c r="CZ206" s="19"/>
      <c r="DA206" s="19"/>
      <c r="DB206" s="19"/>
      <c r="DC206" s="19"/>
      <c r="DD206" s="19"/>
      <c r="DE206" s="19"/>
      <c r="DF206" s="19"/>
      <c r="DG206" s="19"/>
      <c r="DH206" s="19"/>
      <c r="DI206" s="19"/>
      <c r="DJ206" s="19"/>
      <c r="DK206" s="19"/>
      <c r="DL206" s="19"/>
      <c r="DM206" s="19"/>
      <c r="DN206" s="19"/>
      <c r="DO206" s="19"/>
      <c r="DP206" s="19"/>
      <c r="DQ206" s="19"/>
      <c r="DR206" s="19"/>
      <c r="DS206" s="19"/>
      <c r="DT206" s="19"/>
      <c r="DU206" s="19"/>
      <c r="DV206" s="19"/>
      <c r="DW206" s="19"/>
      <c r="DX206" s="19"/>
      <c r="DY206" s="19"/>
      <c r="DZ206" s="19"/>
      <c r="EA206" s="19"/>
      <c r="EB206" s="19"/>
      <c r="EC206" s="19"/>
      <c r="ED206" s="19"/>
      <c r="EE206" s="19"/>
      <c r="EF206" s="19"/>
      <c r="EG206" s="19"/>
      <c r="EH206" s="19"/>
      <c r="EI206" s="19"/>
      <c r="EJ206" s="19"/>
      <c r="EK206" s="19"/>
      <c r="EL206" s="19"/>
      <c r="EM206" s="19"/>
      <c r="EN206" s="19"/>
      <c r="EO206" s="19"/>
      <c r="EP206" s="19"/>
      <c r="EQ206" s="19"/>
      <c r="ER206" s="19"/>
      <c r="ES206" s="19"/>
      <c r="ET206" s="19"/>
      <c r="EU206" s="19"/>
      <c r="EV206" s="19"/>
      <c r="EW206" s="19"/>
      <c r="EX206" s="19"/>
      <c r="EY206" s="19"/>
      <c r="EZ206" s="19"/>
      <c r="FA206" s="19"/>
      <c r="FB206" s="19"/>
      <c r="FC206" s="19"/>
      <c r="FD206" s="19"/>
      <c r="FE206" s="19"/>
      <c r="FF206" s="19"/>
      <c r="FG206" s="19"/>
      <c r="FH206" s="19"/>
      <c r="FI206" s="19"/>
      <c r="FJ206" s="19"/>
      <c r="FK206" s="19"/>
      <c r="FL206" s="20" t="s">
        <v>818</v>
      </c>
      <c r="FM206" s="20" t="s">
        <v>273</v>
      </c>
      <c r="FN206" s="19"/>
      <c r="FO206" s="19"/>
      <c r="FP206" s="19"/>
      <c r="FQ206" s="19"/>
      <c r="FR206" s="19"/>
      <c r="FS206" s="19"/>
      <c r="FT206" s="19"/>
      <c r="FU206" s="19"/>
      <c r="FV206" s="19"/>
      <c r="FW206" s="19"/>
      <c r="FX206" s="19"/>
      <c r="FY206" s="19"/>
      <c r="FZ206" s="19"/>
      <c r="GA206" s="19"/>
      <c r="GB206" s="19"/>
      <c r="GC206" s="19"/>
      <c r="GD206" s="19"/>
      <c r="GE206" s="19"/>
      <c r="GF206" s="19"/>
      <c r="GG206" s="19"/>
      <c r="GH206" s="19"/>
      <c r="GI206" s="19"/>
      <c r="GJ206" s="19"/>
      <c r="GK206" s="19"/>
      <c r="GL206" s="19"/>
      <c r="GM206" s="19"/>
      <c r="GN206" s="19"/>
      <c r="GO206" s="19"/>
      <c r="GP206" s="19"/>
      <c r="GQ206" s="19"/>
      <c r="GR206" s="19"/>
      <c r="GS206" s="19"/>
      <c r="GT206" s="19"/>
      <c r="GU206" s="19"/>
      <c r="GV206" s="19"/>
      <c r="GW206" s="19"/>
      <c r="GX206" s="19"/>
      <c r="GY206" s="19"/>
      <c r="GZ206" s="19"/>
      <c r="HA206" s="19"/>
    </row>
    <row r="207" spans="1:209" ht="23.25" customHeight="1" x14ac:dyDescent="0.15">
      <c r="A207" s="26">
        <v>44659.663770115745</v>
      </c>
      <c r="B207" s="27" t="s">
        <v>6</v>
      </c>
      <c r="C207" s="27" t="s">
        <v>12</v>
      </c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  <c r="AX207" s="28"/>
      <c r="AY207" s="28"/>
      <c r="AZ207" s="28"/>
      <c r="BA207" s="28"/>
      <c r="BB207" s="28"/>
      <c r="BC207" s="28"/>
      <c r="BD207" s="28"/>
      <c r="BE207" s="28"/>
      <c r="BF207" s="28"/>
      <c r="BG207" s="28"/>
      <c r="BH207" s="28"/>
      <c r="BI207" s="27" t="s">
        <v>762</v>
      </c>
      <c r="BJ207" s="27" t="s">
        <v>763</v>
      </c>
      <c r="BK207" s="27" t="s">
        <v>145</v>
      </c>
      <c r="BL207" s="27" t="s">
        <v>146</v>
      </c>
      <c r="BM207" s="27" t="s">
        <v>819</v>
      </c>
      <c r="BN207" s="27">
        <v>15</v>
      </c>
      <c r="BO207" s="29">
        <v>43598</v>
      </c>
      <c r="BP207" s="29">
        <v>43612</v>
      </c>
      <c r="BQ207" s="27" t="s">
        <v>820</v>
      </c>
      <c r="BR207" s="27" t="s">
        <v>821</v>
      </c>
      <c r="BS207" s="27" t="s">
        <v>271</v>
      </c>
      <c r="BT207" s="27" t="s">
        <v>629</v>
      </c>
      <c r="BU207" s="28"/>
      <c r="BV207" s="30" t="s">
        <v>822</v>
      </c>
      <c r="BW207" s="28"/>
      <c r="BX207" s="28"/>
      <c r="BY207" s="19"/>
      <c r="BZ207" s="19"/>
      <c r="CA207" s="19"/>
      <c r="CB207" s="19"/>
      <c r="CC207" s="19"/>
      <c r="CD207" s="19"/>
      <c r="CE207" s="19"/>
      <c r="CF207" s="19"/>
      <c r="CG207" s="19"/>
      <c r="CH207" s="19"/>
      <c r="CI207" s="19"/>
      <c r="CJ207" s="19"/>
      <c r="CK207" s="19"/>
      <c r="CL207" s="19"/>
      <c r="CM207" s="19"/>
      <c r="CN207" s="19"/>
      <c r="CO207" s="19"/>
      <c r="CP207" s="19"/>
      <c r="CQ207" s="19"/>
      <c r="CR207" s="19"/>
      <c r="CS207" s="19"/>
      <c r="CT207" s="19"/>
      <c r="CU207" s="19"/>
      <c r="CV207" s="19"/>
      <c r="CW207" s="19"/>
      <c r="CX207" s="19"/>
      <c r="CY207" s="19"/>
      <c r="CZ207" s="19"/>
      <c r="DA207" s="19"/>
      <c r="DB207" s="19"/>
      <c r="DC207" s="19"/>
      <c r="DD207" s="19"/>
      <c r="DE207" s="19"/>
      <c r="DF207" s="19"/>
      <c r="DG207" s="19"/>
      <c r="DH207" s="19"/>
      <c r="DI207" s="19"/>
      <c r="DJ207" s="19"/>
      <c r="DK207" s="19"/>
      <c r="DL207" s="19"/>
      <c r="DM207" s="19"/>
      <c r="DN207" s="19"/>
      <c r="DO207" s="19"/>
      <c r="DP207" s="19"/>
      <c r="DQ207" s="19"/>
      <c r="DR207" s="19"/>
      <c r="DS207" s="19"/>
      <c r="DT207" s="19"/>
      <c r="DU207" s="19"/>
      <c r="DV207" s="19"/>
      <c r="DW207" s="19"/>
      <c r="DX207" s="19"/>
      <c r="DY207" s="19"/>
      <c r="DZ207" s="19"/>
      <c r="EA207" s="19"/>
      <c r="EB207" s="19"/>
      <c r="EC207" s="19"/>
      <c r="ED207" s="19"/>
      <c r="EE207" s="19"/>
      <c r="EF207" s="19"/>
      <c r="EG207" s="19"/>
      <c r="EH207" s="19"/>
      <c r="EI207" s="19"/>
      <c r="EJ207" s="19"/>
      <c r="EK207" s="19"/>
      <c r="EL207" s="19"/>
      <c r="EM207" s="19"/>
      <c r="EN207" s="19"/>
      <c r="EO207" s="19"/>
      <c r="EP207" s="19"/>
      <c r="EQ207" s="19"/>
      <c r="ER207" s="19"/>
      <c r="ES207" s="19"/>
      <c r="ET207" s="19"/>
      <c r="EU207" s="19"/>
      <c r="EV207" s="19"/>
      <c r="EW207" s="19"/>
      <c r="EX207" s="19"/>
      <c r="EY207" s="19"/>
      <c r="EZ207" s="19"/>
      <c r="FA207" s="19"/>
      <c r="FB207" s="19"/>
      <c r="FC207" s="19"/>
      <c r="FD207" s="19"/>
      <c r="FE207" s="19"/>
      <c r="FF207" s="19"/>
      <c r="FG207" s="19"/>
      <c r="FH207" s="19"/>
      <c r="FI207" s="19"/>
      <c r="FJ207" s="19"/>
      <c r="FK207" s="19"/>
      <c r="FL207" s="20" t="s">
        <v>767</v>
      </c>
      <c r="FM207" s="20" t="s">
        <v>255</v>
      </c>
      <c r="FN207" s="19"/>
      <c r="FO207" s="19"/>
      <c r="FP207" s="19"/>
      <c r="FQ207" s="19"/>
      <c r="FR207" s="19"/>
      <c r="FS207" s="19"/>
      <c r="FT207" s="19"/>
      <c r="FU207" s="19"/>
      <c r="FV207" s="19"/>
      <c r="FW207" s="19"/>
      <c r="FX207" s="19"/>
      <c r="FY207" s="19"/>
      <c r="FZ207" s="19"/>
      <c r="GA207" s="19"/>
      <c r="GB207" s="19"/>
      <c r="GC207" s="19"/>
      <c r="GD207" s="19"/>
      <c r="GE207" s="19"/>
      <c r="GF207" s="19"/>
      <c r="GG207" s="19"/>
      <c r="GH207" s="19"/>
      <c r="GI207" s="19"/>
      <c r="GJ207" s="19"/>
      <c r="GK207" s="19"/>
      <c r="GL207" s="19"/>
      <c r="GM207" s="19"/>
      <c r="GN207" s="19"/>
      <c r="GO207" s="19"/>
      <c r="GP207" s="19"/>
      <c r="GQ207" s="19"/>
      <c r="GR207" s="19"/>
      <c r="GS207" s="19"/>
      <c r="GT207" s="19"/>
      <c r="GU207" s="19"/>
      <c r="GV207" s="19"/>
      <c r="GW207" s="19"/>
      <c r="GX207" s="19"/>
      <c r="GY207" s="19"/>
      <c r="GZ207" s="19"/>
      <c r="HA207" s="19"/>
    </row>
    <row r="208" spans="1:209" ht="23.25" customHeight="1" x14ac:dyDescent="0.15">
      <c r="A208" s="26">
        <v>44659.667424363426</v>
      </c>
      <c r="B208" s="27" t="s">
        <v>6</v>
      </c>
      <c r="C208" s="27" t="s">
        <v>12</v>
      </c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  <c r="AX208" s="28"/>
      <c r="AY208" s="28"/>
      <c r="AZ208" s="28"/>
      <c r="BA208" s="28"/>
      <c r="BB208" s="28"/>
      <c r="BC208" s="28"/>
      <c r="BD208" s="28"/>
      <c r="BE208" s="28"/>
      <c r="BF208" s="28"/>
      <c r="BG208" s="28"/>
      <c r="BH208" s="28"/>
      <c r="BI208" s="27" t="s">
        <v>762</v>
      </c>
      <c r="BJ208" s="27" t="s">
        <v>823</v>
      </c>
      <c r="BK208" s="27" t="s">
        <v>154</v>
      </c>
      <c r="BL208" s="27" t="s">
        <v>732</v>
      </c>
      <c r="BM208" s="27" t="s">
        <v>824</v>
      </c>
      <c r="BN208" s="27">
        <v>2</v>
      </c>
      <c r="BO208" s="29">
        <v>43817</v>
      </c>
      <c r="BP208" s="29">
        <v>43819</v>
      </c>
      <c r="BQ208" s="27" t="s">
        <v>825</v>
      </c>
      <c r="BR208" s="27" t="s">
        <v>826</v>
      </c>
      <c r="BS208" s="27" t="s">
        <v>271</v>
      </c>
      <c r="BT208" s="27" t="s">
        <v>151</v>
      </c>
      <c r="BU208" s="28"/>
      <c r="BV208" s="30" t="s">
        <v>827</v>
      </c>
      <c r="BW208" s="28"/>
      <c r="BX208" s="28"/>
      <c r="BY208" s="19"/>
      <c r="BZ208" s="19"/>
      <c r="CA208" s="19"/>
      <c r="CB208" s="19"/>
      <c r="CC208" s="19"/>
      <c r="CD208" s="19"/>
      <c r="CE208" s="19"/>
      <c r="CF208" s="19"/>
      <c r="CG208" s="19"/>
      <c r="CH208" s="19"/>
      <c r="CI208" s="19"/>
      <c r="CJ208" s="19"/>
      <c r="CK208" s="19"/>
      <c r="CL208" s="19"/>
      <c r="CM208" s="19"/>
      <c r="CN208" s="19"/>
      <c r="CO208" s="19"/>
      <c r="CP208" s="19"/>
      <c r="CQ208" s="19"/>
      <c r="CR208" s="19"/>
      <c r="CS208" s="19"/>
      <c r="CT208" s="19"/>
      <c r="CU208" s="19"/>
      <c r="CV208" s="19"/>
      <c r="CW208" s="19"/>
      <c r="CX208" s="19"/>
      <c r="CY208" s="19"/>
      <c r="CZ208" s="19"/>
      <c r="DA208" s="19"/>
      <c r="DB208" s="19"/>
      <c r="DC208" s="19"/>
      <c r="DD208" s="19"/>
      <c r="DE208" s="19"/>
      <c r="DF208" s="19"/>
      <c r="DG208" s="19"/>
      <c r="DH208" s="19"/>
      <c r="DI208" s="19"/>
      <c r="DJ208" s="19"/>
      <c r="DK208" s="19"/>
      <c r="DL208" s="19"/>
      <c r="DM208" s="19"/>
      <c r="DN208" s="19"/>
      <c r="DO208" s="19"/>
      <c r="DP208" s="19"/>
      <c r="DQ208" s="19"/>
      <c r="DR208" s="19"/>
      <c r="DS208" s="19"/>
      <c r="DT208" s="19"/>
      <c r="DU208" s="19"/>
      <c r="DV208" s="19"/>
      <c r="DW208" s="19"/>
      <c r="DX208" s="19"/>
      <c r="DY208" s="19"/>
      <c r="DZ208" s="19"/>
      <c r="EA208" s="19"/>
      <c r="EB208" s="19"/>
      <c r="EC208" s="19"/>
      <c r="ED208" s="19"/>
      <c r="EE208" s="19"/>
      <c r="EF208" s="19"/>
      <c r="EG208" s="19"/>
      <c r="EH208" s="19"/>
      <c r="EI208" s="19"/>
      <c r="EJ208" s="19"/>
      <c r="EK208" s="19"/>
      <c r="EL208" s="19"/>
      <c r="EM208" s="19"/>
      <c r="EN208" s="19"/>
      <c r="EO208" s="19"/>
      <c r="EP208" s="19"/>
      <c r="EQ208" s="19"/>
      <c r="ER208" s="19"/>
      <c r="ES208" s="19"/>
      <c r="ET208" s="19"/>
      <c r="EU208" s="19"/>
      <c r="EV208" s="19"/>
      <c r="EW208" s="19"/>
      <c r="EX208" s="19"/>
      <c r="EY208" s="19"/>
      <c r="EZ208" s="19"/>
      <c r="FA208" s="19"/>
      <c r="FB208" s="19"/>
      <c r="FC208" s="19"/>
      <c r="FD208" s="19"/>
      <c r="FE208" s="19"/>
      <c r="FF208" s="19"/>
      <c r="FG208" s="19"/>
      <c r="FH208" s="19"/>
      <c r="FI208" s="19"/>
      <c r="FJ208" s="19"/>
      <c r="FK208" s="19"/>
      <c r="FL208" s="20" t="s">
        <v>767</v>
      </c>
      <c r="FM208" s="20" t="s">
        <v>255</v>
      </c>
      <c r="FN208" s="19"/>
      <c r="FO208" s="19"/>
      <c r="FP208" s="19"/>
      <c r="FQ208" s="19"/>
      <c r="FR208" s="19"/>
      <c r="FS208" s="19"/>
      <c r="FT208" s="19"/>
      <c r="FU208" s="19"/>
      <c r="FV208" s="19"/>
      <c r="FW208" s="19"/>
      <c r="FX208" s="19"/>
      <c r="FY208" s="19"/>
      <c r="FZ208" s="19"/>
      <c r="GA208" s="19"/>
      <c r="GB208" s="19"/>
      <c r="GC208" s="19"/>
      <c r="GD208" s="19"/>
      <c r="GE208" s="19"/>
      <c r="GF208" s="19"/>
      <c r="GG208" s="19"/>
      <c r="GH208" s="19"/>
      <c r="GI208" s="19"/>
      <c r="GJ208" s="19"/>
      <c r="GK208" s="19"/>
      <c r="GL208" s="19"/>
      <c r="GM208" s="19"/>
      <c r="GN208" s="19"/>
      <c r="GO208" s="19"/>
      <c r="GP208" s="19"/>
      <c r="GQ208" s="19"/>
      <c r="GR208" s="19"/>
      <c r="GS208" s="19"/>
      <c r="GT208" s="19"/>
      <c r="GU208" s="19"/>
      <c r="GV208" s="19"/>
      <c r="GW208" s="19"/>
      <c r="GX208" s="19"/>
      <c r="GY208" s="19"/>
      <c r="GZ208" s="19"/>
      <c r="HA208" s="19"/>
    </row>
    <row r="209" spans="1:209" ht="23.25" customHeight="1" x14ac:dyDescent="0.15">
      <c r="A209" s="26">
        <v>44659.669027372685</v>
      </c>
      <c r="B209" s="27" t="s">
        <v>6</v>
      </c>
      <c r="C209" s="27" t="s">
        <v>11</v>
      </c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  <c r="AX209" s="27" t="s">
        <v>814</v>
      </c>
      <c r="AY209" s="27" t="s">
        <v>815</v>
      </c>
      <c r="AZ209" s="27" t="s">
        <v>828</v>
      </c>
      <c r="BA209" s="27" t="s">
        <v>343</v>
      </c>
      <c r="BB209" s="27" t="s">
        <v>308</v>
      </c>
      <c r="BC209" s="29">
        <v>43908</v>
      </c>
      <c r="BD209" s="29">
        <v>43969</v>
      </c>
      <c r="BE209" s="29">
        <v>43969</v>
      </c>
      <c r="BF209" s="27">
        <v>100</v>
      </c>
      <c r="BG209" s="27" t="s">
        <v>395</v>
      </c>
      <c r="BH209" s="30" t="s">
        <v>829</v>
      </c>
      <c r="BI209" s="28"/>
      <c r="BJ209" s="28"/>
      <c r="BK209" s="28"/>
      <c r="BL209" s="28"/>
      <c r="BM209" s="28"/>
      <c r="BN209" s="28"/>
      <c r="BO209" s="28"/>
      <c r="BP209" s="28"/>
      <c r="BQ209" s="28"/>
      <c r="BR209" s="28"/>
      <c r="BS209" s="28"/>
      <c r="BT209" s="28"/>
      <c r="BU209" s="28"/>
      <c r="BV209" s="28"/>
      <c r="BW209" s="28"/>
      <c r="BX209" s="28"/>
      <c r="BY209" s="19"/>
      <c r="BZ209" s="19"/>
      <c r="CA209" s="19"/>
      <c r="CB209" s="19"/>
      <c r="CC209" s="19"/>
      <c r="CD209" s="19"/>
      <c r="CE209" s="19"/>
      <c r="CF209" s="19"/>
      <c r="CG209" s="19"/>
      <c r="CH209" s="19"/>
      <c r="CI209" s="19"/>
      <c r="CJ209" s="19"/>
      <c r="CK209" s="19"/>
      <c r="CL209" s="19"/>
      <c r="CM209" s="19"/>
      <c r="CN209" s="19"/>
      <c r="CO209" s="19"/>
      <c r="CP209" s="19"/>
      <c r="CQ209" s="19"/>
      <c r="CR209" s="19"/>
      <c r="CS209" s="19"/>
      <c r="CT209" s="19"/>
      <c r="CU209" s="19"/>
      <c r="CV209" s="19"/>
      <c r="CW209" s="19"/>
      <c r="CX209" s="19"/>
      <c r="CY209" s="19"/>
      <c r="CZ209" s="19"/>
      <c r="DA209" s="19"/>
      <c r="DB209" s="19"/>
      <c r="DC209" s="19"/>
      <c r="DD209" s="19"/>
      <c r="DE209" s="19"/>
      <c r="DF209" s="19"/>
      <c r="DG209" s="19"/>
      <c r="DH209" s="19"/>
      <c r="DI209" s="19"/>
      <c r="DJ209" s="19"/>
      <c r="DK209" s="19"/>
      <c r="DL209" s="19"/>
      <c r="DM209" s="19"/>
      <c r="DN209" s="19"/>
      <c r="DO209" s="19"/>
      <c r="DP209" s="19"/>
      <c r="DQ209" s="19"/>
      <c r="DR209" s="19"/>
      <c r="DS209" s="19"/>
      <c r="DT209" s="19"/>
      <c r="DU209" s="19"/>
      <c r="DV209" s="19"/>
      <c r="DW209" s="19"/>
      <c r="DX209" s="19"/>
      <c r="DY209" s="19"/>
      <c r="DZ209" s="19"/>
      <c r="EA209" s="19"/>
      <c r="EB209" s="19"/>
      <c r="EC209" s="19"/>
      <c r="ED209" s="19"/>
      <c r="EE209" s="19"/>
      <c r="EF209" s="19"/>
      <c r="EG209" s="19"/>
      <c r="EH209" s="19"/>
      <c r="EI209" s="19"/>
      <c r="EJ209" s="19"/>
      <c r="EK209" s="19"/>
      <c r="EL209" s="19"/>
      <c r="EM209" s="19"/>
      <c r="EN209" s="19"/>
      <c r="EO209" s="19"/>
      <c r="EP209" s="19"/>
      <c r="EQ209" s="19"/>
      <c r="ER209" s="19"/>
      <c r="ES209" s="19"/>
      <c r="ET209" s="19"/>
      <c r="EU209" s="19"/>
      <c r="EV209" s="19"/>
      <c r="EW209" s="19"/>
      <c r="EX209" s="19"/>
      <c r="EY209" s="19"/>
      <c r="EZ209" s="19"/>
      <c r="FA209" s="19"/>
      <c r="FB209" s="19"/>
      <c r="FC209" s="19"/>
      <c r="FD209" s="19"/>
      <c r="FE209" s="19"/>
      <c r="FF209" s="19"/>
      <c r="FG209" s="19"/>
      <c r="FH209" s="19"/>
      <c r="FI209" s="19"/>
      <c r="FJ209" s="19"/>
      <c r="FK209" s="19"/>
      <c r="FL209" s="20" t="s">
        <v>818</v>
      </c>
      <c r="FM209" s="20" t="s">
        <v>321</v>
      </c>
      <c r="FN209" s="19"/>
      <c r="FO209" s="19"/>
      <c r="FP209" s="19"/>
      <c r="FQ209" s="19"/>
      <c r="FR209" s="19"/>
      <c r="FS209" s="19"/>
      <c r="FT209" s="19"/>
      <c r="FU209" s="19"/>
      <c r="FV209" s="19"/>
      <c r="FW209" s="19"/>
      <c r="FX209" s="19"/>
      <c r="FY209" s="19"/>
      <c r="FZ209" s="19"/>
      <c r="GA209" s="19"/>
      <c r="GB209" s="19"/>
      <c r="GC209" s="19"/>
      <c r="GD209" s="19"/>
      <c r="GE209" s="19"/>
      <c r="GF209" s="19"/>
      <c r="GG209" s="19"/>
      <c r="GH209" s="19"/>
      <c r="GI209" s="19"/>
      <c r="GJ209" s="19"/>
      <c r="GK209" s="19"/>
      <c r="GL209" s="19"/>
      <c r="GM209" s="19"/>
      <c r="GN209" s="19"/>
      <c r="GO209" s="19"/>
      <c r="GP209" s="19"/>
      <c r="GQ209" s="19"/>
      <c r="GR209" s="19"/>
      <c r="GS209" s="19"/>
      <c r="GT209" s="19"/>
      <c r="GU209" s="19"/>
      <c r="GV209" s="19"/>
      <c r="GW209" s="19"/>
      <c r="GX209" s="19"/>
      <c r="GY209" s="19"/>
      <c r="GZ209" s="19"/>
      <c r="HA209" s="19"/>
    </row>
    <row r="210" spans="1:209" ht="23.25" customHeight="1" x14ac:dyDescent="0.15">
      <c r="A210" s="26">
        <v>44659.669884247684</v>
      </c>
      <c r="B210" s="27" t="s">
        <v>6</v>
      </c>
      <c r="C210" s="27" t="s">
        <v>10</v>
      </c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7" t="s">
        <v>830</v>
      </c>
      <c r="AO210" s="27" t="s">
        <v>831</v>
      </c>
      <c r="AP210" s="27" t="s">
        <v>832</v>
      </c>
      <c r="AQ210" s="27" t="s">
        <v>308</v>
      </c>
      <c r="AR210" s="29">
        <v>44470</v>
      </c>
      <c r="AS210" s="29">
        <v>44561</v>
      </c>
      <c r="AT210" s="27" t="s">
        <v>252</v>
      </c>
      <c r="AU210" s="27" t="s">
        <v>252</v>
      </c>
      <c r="AV210" s="27">
        <v>0</v>
      </c>
      <c r="AW210" s="30" t="s">
        <v>833</v>
      </c>
      <c r="AX210" s="28"/>
      <c r="AY210" s="28"/>
      <c r="AZ210" s="28"/>
      <c r="BA210" s="28"/>
      <c r="BB210" s="28"/>
      <c r="BC210" s="28"/>
      <c r="BD210" s="28"/>
      <c r="BE210" s="28"/>
      <c r="BF210" s="28"/>
      <c r="BG210" s="28"/>
      <c r="BH210" s="28"/>
      <c r="BI210" s="28"/>
      <c r="BJ210" s="28"/>
      <c r="BK210" s="28"/>
      <c r="BL210" s="28"/>
      <c r="BM210" s="28"/>
      <c r="BN210" s="28"/>
      <c r="BO210" s="28"/>
      <c r="BP210" s="28"/>
      <c r="BQ210" s="28"/>
      <c r="BR210" s="28"/>
      <c r="BS210" s="28"/>
      <c r="BT210" s="28"/>
      <c r="BU210" s="28"/>
      <c r="BV210" s="28"/>
      <c r="BW210" s="28"/>
      <c r="BX210" s="28"/>
      <c r="BY210" s="19"/>
      <c r="BZ210" s="19"/>
      <c r="CA210" s="19"/>
      <c r="CB210" s="19"/>
      <c r="CC210" s="19"/>
      <c r="CD210" s="19"/>
      <c r="CE210" s="19"/>
      <c r="CF210" s="19"/>
      <c r="CG210" s="19"/>
      <c r="CH210" s="19"/>
      <c r="CI210" s="19"/>
      <c r="CJ210" s="19"/>
      <c r="CK210" s="19"/>
      <c r="CL210" s="19"/>
      <c r="CM210" s="19"/>
      <c r="CN210" s="19"/>
      <c r="CO210" s="19"/>
      <c r="CP210" s="19"/>
      <c r="CQ210" s="19"/>
      <c r="CR210" s="19"/>
      <c r="CS210" s="19"/>
      <c r="CT210" s="19"/>
      <c r="CU210" s="19"/>
      <c r="CV210" s="19"/>
      <c r="CW210" s="19"/>
      <c r="CX210" s="19"/>
      <c r="CY210" s="19"/>
      <c r="CZ210" s="19"/>
      <c r="DA210" s="19"/>
      <c r="DB210" s="19"/>
      <c r="DC210" s="19"/>
      <c r="DD210" s="19"/>
      <c r="DE210" s="19"/>
      <c r="DF210" s="19"/>
      <c r="DG210" s="19"/>
      <c r="DH210" s="19"/>
      <c r="DI210" s="19"/>
      <c r="DJ210" s="19"/>
      <c r="DK210" s="19"/>
      <c r="DL210" s="19"/>
      <c r="DM210" s="19"/>
      <c r="DN210" s="19"/>
      <c r="DO210" s="19"/>
      <c r="DP210" s="19"/>
      <c r="DQ210" s="19"/>
      <c r="DR210" s="19"/>
      <c r="DS210" s="19"/>
      <c r="DT210" s="19"/>
      <c r="DU210" s="19"/>
      <c r="DV210" s="19"/>
      <c r="DW210" s="19"/>
      <c r="DX210" s="19"/>
      <c r="DY210" s="19"/>
      <c r="DZ210" s="19"/>
      <c r="EA210" s="19"/>
      <c r="EB210" s="19"/>
      <c r="EC210" s="19"/>
      <c r="ED210" s="19"/>
      <c r="EE210" s="19"/>
      <c r="EF210" s="19"/>
      <c r="EG210" s="19"/>
      <c r="EH210" s="19"/>
      <c r="EI210" s="19"/>
      <c r="EJ210" s="19"/>
      <c r="EK210" s="19"/>
      <c r="EL210" s="19"/>
      <c r="EM210" s="19"/>
      <c r="EN210" s="19"/>
      <c r="EO210" s="19"/>
      <c r="EP210" s="19"/>
      <c r="EQ210" s="19"/>
      <c r="ER210" s="19"/>
      <c r="ES210" s="19"/>
      <c r="ET210" s="19"/>
      <c r="EU210" s="19"/>
      <c r="EV210" s="19"/>
      <c r="EW210" s="19"/>
      <c r="EX210" s="19"/>
      <c r="EY210" s="19"/>
      <c r="EZ210" s="19"/>
      <c r="FA210" s="19"/>
      <c r="FB210" s="19"/>
      <c r="FC210" s="19"/>
      <c r="FD210" s="19"/>
      <c r="FE210" s="19"/>
      <c r="FF210" s="19"/>
      <c r="FG210" s="19"/>
      <c r="FH210" s="19"/>
      <c r="FI210" s="19"/>
      <c r="FJ210" s="19"/>
      <c r="FK210" s="19"/>
      <c r="FL210" s="20" t="s">
        <v>834</v>
      </c>
      <c r="FM210" s="20" t="s">
        <v>255</v>
      </c>
      <c r="FN210" s="19"/>
      <c r="FO210" s="19"/>
      <c r="FP210" s="19"/>
      <c r="FQ210" s="19"/>
      <c r="FR210" s="19"/>
      <c r="FS210" s="19"/>
      <c r="FT210" s="19"/>
      <c r="FU210" s="19"/>
      <c r="FV210" s="19"/>
      <c r="FW210" s="19"/>
      <c r="FX210" s="19"/>
      <c r="FY210" s="19"/>
      <c r="FZ210" s="19"/>
      <c r="GA210" s="19"/>
      <c r="GB210" s="19"/>
      <c r="GC210" s="19"/>
      <c r="GD210" s="19"/>
      <c r="GE210" s="19"/>
      <c r="GF210" s="19"/>
      <c r="GG210" s="19"/>
      <c r="GH210" s="19"/>
      <c r="GI210" s="19"/>
      <c r="GJ210" s="19"/>
      <c r="GK210" s="19"/>
      <c r="GL210" s="19"/>
      <c r="GM210" s="19"/>
      <c r="GN210" s="19"/>
      <c r="GO210" s="19"/>
      <c r="GP210" s="19"/>
      <c r="GQ210" s="19"/>
      <c r="GR210" s="19"/>
      <c r="GS210" s="19"/>
      <c r="GT210" s="19"/>
      <c r="GU210" s="19"/>
      <c r="GV210" s="19"/>
      <c r="GW210" s="19"/>
      <c r="GX210" s="19"/>
      <c r="GY210" s="19"/>
      <c r="GZ210" s="19"/>
      <c r="HA210" s="19"/>
    </row>
    <row r="211" spans="1:209" ht="23.25" customHeight="1" x14ac:dyDescent="0.15">
      <c r="A211" s="26">
        <v>44659.672459976849</v>
      </c>
      <c r="B211" s="27" t="s">
        <v>6</v>
      </c>
      <c r="C211" s="27" t="s">
        <v>11</v>
      </c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  <c r="AX211" s="27" t="s">
        <v>814</v>
      </c>
      <c r="AY211" s="27" t="s">
        <v>815</v>
      </c>
      <c r="AZ211" s="27" t="s">
        <v>835</v>
      </c>
      <c r="BA211" s="27" t="s">
        <v>343</v>
      </c>
      <c r="BB211" s="27" t="s">
        <v>308</v>
      </c>
      <c r="BC211" s="29">
        <v>43881</v>
      </c>
      <c r="BD211" s="29">
        <v>43941</v>
      </c>
      <c r="BE211" s="29">
        <v>43941</v>
      </c>
      <c r="BF211" s="27">
        <v>100</v>
      </c>
      <c r="BG211" s="27" t="s">
        <v>836</v>
      </c>
      <c r="BH211" s="30" t="s">
        <v>837</v>
      </c>
      <c r="BI211" s="28"/>
      <c r="BJ211" s="28"/>
      <c r="BK211" s="28"/>
      <c r="BL211" s="28"/>
      <c r="BM211" s="28"/>
      <c r="BN211" s="28"/>
      <c r="BO211" s="28"/>
      <c r="BP211" s="28"/>
      <c r="BQ211" s="28"/>
      <c r="BR211" s="28"/>
      <c r="BS211" s="28"/>
      <c r="BT211" s="28"/>
      <c r="BU211" s="28"/>
      <c r="BV211" s="28"/>
      <c r="BW211" s="28"/>
      <c r="BX211" s="28"/>
      <c r="BY211" s="19"/>
      <c r="BZ211" s="19"/>
      <c r="CA211" s="19"/>
      <c r="CB211" s="19"/>
      <c r="CC211" s="19"/>
      <c r="CD211" s="19"/>
      <c r="CE211" s="19"/>
      <c r="CF211" s="19"/>
      <c r="CG211" s="19"/>
      <c r="CH211" s="19"/>
      <c r="CI211" s="19"/>
      <c r="CJ211" s="19"/>
      <c r="CK211" s="19"/>
      <c r="CL211" s="19"/>
      <c r="CM211" s="19"/>
      <c r="CN211" s="19"/>
      <c r="CO211" s="19"/>
      <c r="CP211" s="19"/>
      <c r="CQ211" s="19"/>
      <c r="CR211" s="19"/>
      <c r="CS211" s="19"/>
      <c r="CT211" s="19"/>
      <c r="CU211" s="19"/>
      <c r="CV211" s="19"/>
      <c r="CW211" s="19"/>
      <c r="CX211" s="19"/>
      <c r="CY211" s="19"/>
      <c r="CZ211" s="19"/>
      <c r="DA211" s="19"/>
      <c r="DB211" s="19"/>
      <c r="DC211" s="19"/>
      <c r="DD211" s="19"/>
      <c r="DE211" s="19"/>
      <c r="DF211" s="19"/>
      <c r="DG211" s="19"/>
      <c r="DH211" s="19"/>
      <c r="DI211" s="19"/>
      <c r="DJ211" s="19"/>
      <c r="DK211" s="19"/>
      <c r="DL211" s="19"/>
      <c r="DM211" s="19"/>
      <c r="DN211" s="19"/>
      <c r="DO211" s="19"/>
      <c r="DP211" s="19"/>
      <c r="DQ211" s="19"/>
      <c r="DR211" s="19"/>
      <c r="DS211" s="19"/>
      <c r="DT211" s="19"/>
      <c r="DU211" s="19"/>
      <c r="DV211" s="19"/>
      <c r="DW211" s="19"/>
      <c r="DX211" s="19"/>
      <c r="DY211" s="19"/>
      <c r="DZ211" s="19"/>
      <c r="EA211" s="19"/>
      <c r="EB211" s="19"/>
      <c r="EC211" s="19"/>
      <c r="ED211" s="19"/>
      <c r="EE211" s="19"/>
      <c r="EF211" s="19"/>
      <c r="EG211" s="19"/>
      <c r="EH211" s="19"/>
      <c r="EI211" s="19"/>
      <c r="EJ211" s="19"/>
      <c r="EK211" s="19"/>
      <c r="EL211" s="19"/>
      <c r="EM211" s="19"/>
      <c r="EN211" s="19"/>
      <c r="EO211" s="19"/>
      <c r="EP211" s="19"/>
      <c r="EQ211" s="19"/>
      <c r="ER211" s="19"/>
      <c r="ES211" s="19"/>
      <c r="ET211" s="19"/>
      <c r="EU211" s="19"/>
      <c r="EV211" s="19"/>
      <c r="EW211" s="19"/>
      <c r="EX211" s="19"/>
      <c r="EY211" s="19"/>
      <c r="EZ211" s="19"/>
      <c r="FA211" s="19"/>
      <c r="FB211" s="19"/>
      <c r="FC211" s="19"/>
      <c r="FD211" s="19"/>
      <c r="FE211" s="19"/>
      <c r="FF211" s="19"/>
      <c r="FG211" s="19"/>
      <c r="FH211" s="19"/>
      <c r="FI211" s="19"/>
      <c r="FJ211" s="19"/>
      <c r="FK211" s="19"/>
      <c r="FL211" s="20" t="s">
        <v>818</v>
      </c>
      <c r="FM211" s="20" t="s">
        <v>321</v>
      </c>
      <c r="FN211" s="19"/>
      <c r="FO211" s="19"/>
      <c r="FP211" s="19"/>
      <c r="FQ211" s="19"/>
      <c r="FR211" s="19"/>
      <c r="FS211" s="19"/>
      <c r="FT211" s="19"/>
      <c r="FU211" s="19"/>
      <c r="FV211" s="19"/>
      <c r="FW211" s="19"/>
      <c r="FX211" s="19"/>
      <c r="FY211" s="19"/>
      <c r="FZ211" s="19"/>
      <c r="GA211" s="19"/>
      <c r="GB211" s="19"/>
      <c r="GC211" s="19"/>
      <c r="GD211" s="19"/>
      <c r="GE211" s="19"/>
      <c r="GF211" s="19"/>
      <c r="GG211" s="19"/>
      <c r="GH211" s="19"/>
      <c r="GI211" s="19"/>
      <c r="GJ211" s="19"/>
      <c r="GK211" s="19"/>
      <c r="GL211" s="19"/>
      <c r="GM211" s="19"/>
      <c r="GN211" s="19"/>
      <c r="GO211" s="19"/>
      <c r="GP211" s="19"/>
      <c r="GQ211" s="19"/>
      <c r="GR211" s="19"/>
      <c r="GS211" s="19"/>
      <c r="GT211" s="19"/>
      <c r="GU211" s="19"/>
      <c r="GV211" s="19"/>
      <c r="GW211" s="19"/>
      <c r="GX211" s="19"/>
      <c r="GY211" s="19"/>
      <c r="GZ211" s="19"/>
      <c r="HA211" s="19"/>
    </row>
    <row r="212" spans="1:209" ht="23.25" customHeight="1" x14ac:dyDescent="0.15">
      <c r="A212" s="26">
        <v>44659.674495763888</v>
      </c>
      <c r="B212" s="27" t="s">
        <v>6</v>
      </c>
      <c r="C212" s="27" t="s">
        <v>11</v>
      </c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  <c r="AX212" s="27" t="s">
        <v>830</v>
      </c>
      <c r="AY212" s="27" t="s">
        <v>831</v>
      </c>
      <c r="AZ212" s="27" t="s">
        <v>838</v>
      </c>
      <c r="BA212" s="27" t="s">
        <v>375</v>
      </c>
      <c r="BB212" s="27" t="s">
        <v>308</v>
      </c>
      <c r="BC212" s="29">
        <v>43586</v>
      </c>
      <c r="BD212" s="29">
        <v>43646</v>
      </c>
      <c r="BE212" s="29">
        <v>43652</v>
      </c>
      <c r="BF212" s="27">
        <v>100</v>
      </c>
      <c r="BG212" s="27" t="s">
        <v>839</v>
      </c>
      <c r="BH212" s="30" t="s">
        <v>840</v>
      </c>
      <c r="BI212" s="28"/>
      <c r="BJ212" s="28"/>
      <c r="BK212" s="28"/>
      <c r="BL212" s="28"/>
      <c r="BM212" s="28"/>
      <c r="BN212" s="28"/>
      <c r="BO212" s="28"/>
      <c r="BP212" s="28"/>
      <c r="BQ212" s="28"/>
      <c r="BR212" s="28"/>
      <c r="BS212" s="28"/>
      <c r="BT212" s="28"/>
      <c r="BU212" s="28"/>
      <c r="BV212" s="28"/>
      <c r="BW212" s="28"/>
      <c r="BX212" s="28"/>
      <c r="BY212" s="19"/>
      <c r="BZ212" s="19"/>
      <c r="CA212" s="19"/>
      <c r="CB212" s="19"/>
      <c r="CC212" s="19"/>
      <c r="CD212" s="19"/>
      <c r="CE212" s="19"/>
      <c r="CF212" s="19"/>
      <c r="CG212" s="19"/>
      <c r="CH212" s="19"/>
      <c r="CI212" s="19"/>
      <c r="CJ212" s="19"/>
      <c r="CK212" s="19"/>
      <c r="CL212" s="19"/>
      <c r="CM212" s="19"/>
      <c r="CN212" s="19"/>
      <c r="CO212" s="19"/>
      <c r="CP212" s="19"/>
      <c r="CQ212" s="19"/>
      <c r="CR212" s="19"/>
      <c r="CS212" s="19"/>
      <c r="CT212" s="19"/>
      <c r="CU212" s="19"/>
      <c r="CV212" s="19"/>
      <c r="CW212" s="19"/>
      <c r="CX212" s="19"/>
      <c r="CY212" s="19"/>
      <c r="CZ212" s="19"/>
      <c r="DA212" s="19"/>
      <c r="DB212" s="19"/>
      <c r="DC212" s="19"/>
      <c r="DD212" s="19"/>
      <c r="DE212" s="19"/>
      <c r="DF212" s="19"/>
      <c r="DG212" s="19"/>
      <c r="DH212" s="19"/>
      <c r="DI212" s="19"/>
      <c r="DJ212" s="19"/>
      <c r="DK212" s="19"/>
      <c r="DL212" s="19"/>
      <c r="DM212" s="19"/>
      <c r="DN212" s="19"/>
      <c r="DO212" s="19"/>
      <c r="DP212" s="19"/>
      <c r="DQ212" s="19"/>
      <c r="DR212" s="19"/>
      <c r="DS212" s="19"/>
      <c r="DT212" s="19"/>
      <c r="DU212" s="19"/>
      <c r="DV212" s="19"/>
      <c r="DW212" s="19"/>
      <c r="DX212" s="19"/>
      <c r="DY212" s="19"/>
      <c r="DZ212" s="19"/>
      <c r="EA212" s="19"/>
      <c r="EB212" s="19"/>
      <c r="EC212" s="19"/>
      <c r="ED212" s="19"/>
      <c r="EE212" s="19"/>
      <c r="EF212" s="19"/>
      <c r="EG212" s="19"/>
      <c r="EH212" s="19"/>
      <c r="EI212" s="19"/>
      <c r="EJ212" s="19"/>
      <c r="EK212" s="19"/>
      <c r="EL212" s="19"/>
      <c r="EM212" s="19"/>
      <c r="EN212" s="19"/>
      <c r="EO212" s="19"/>
      <c r="EP212" s="19"/>
      <c r="EQ212" s="19"/>
      <c r="ER212" s="19"/>
      <c r="ES212" s="19"/>
      <c r="ET212" s="19"/>
      <c r="EU212" s="19"/>
      <c r="EV212" s="19"/>
      <c r="EW212" s="19"/>
      <c r="EX212" s="19"/>
      <c r="EY212" s="19"/>
      <c r="EZ212" s="19"/>
      <c r="FA212" s="19"/>
      <c r="FB212" s="19"/>
      <c r="FC212" s="19"/>
      <c r="FD212" s="19"/>
      <c r="FE212" s="19"/>
      <c r="FF212" s="19"/>
      <c r="FG212" s="19"/>
      <c r="FH212" s="19"/>
      <c r="FI212" s="19"/>
      <c r="FJ212" s="19"/>
      <c r="FK212" s="19"/>
      <c r="FL212" s="20" t="s">
        <v>834</v>
      </c>
      <c r="FM212" s="20" t="s">
        <v>255</v>
      </c>
      <c r="FN212" s="19"/>
      <c r="FO212" s="19"/>
      <c r="FP212" s="19"/>
      <c r="FQ212" s="19"/>
      <c r="FR212" s="19"/>
      <c r="FS212" s="19"/>
      <c r="FT212" s="19"/>
      <c r="FU212" s="19"/>
      <c r="FV212" s="19"/>
      <c r="FW212" s="19"/>
      <c r="FX212" s="19"/>
      <c r="FY212" s="19"/>
      <c r="FZ212" s="19"/>
      <c r="GA212" s="19"/>
      <c r="GB212" s="19"/>
      <c r="GC212" s="19"/>
      <c r="GD212" s="19"/>
      <c r="GE212" s="19"/>
      <c r="GF212" s="19"/>
      <c r="GG212" s="19"/>
      <c r="GH212" s="19"/>
      <c r="GI212" s="19"/>
      <c r="GJ212" s="19"/>
      <c r="GK212" s="19"/>
      <c r="GL212" s="19"/>
      <c r="GM212" s="19"/>
      <c r="GN212" s="19"/>
      <c r="GO212" s="19"/>
      <c r="GP212" s="19"/>
      <c r="GQ212" s="19"/>
      <c r="GR212" s="19"/>
      <c r="GS212" s="19"/>
      <c r="GT212" s="19"/>
      <c r="GU212" s="19"/>
      <c r="GV212" s="19"/>
      <c r="GW212" s="19"/>
      <c r="GX212" s="19"/>
      <c r="GY212" s="19"/>
      <c r="GZ212" s="19"/>
      <c r="HA212" s="19"/>
    </row>
    <row r="213" spans="1:209" ht="23.25" customHeight="1" x14ac:dyDescent="0.15">
      <c r="A213" s="26">
        <v>44659.677607199075</v>
      </c>
      <c r="B213" s="27" t="s">
        <v>6</v>
      </c>
      <c r="C213" s="27" t="s">
        <v>11</v>
      </c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  <c r="AX213" s="27" t="s">
        <v>830</v>
      </c>
      <c r="AY213" s="27" t="s">
        <v>831</v>
      </c>
      <c r="AZ213" s="27" t="s">
        <v>349</v>
      </c>
      <c r="BA213" s="27" t="s">
        <v>375</v>
      </c>
      <c r="BB213" s="27" t="s">
        <v>308</v>
      </c>
      <c r="BC213" s="29">
        <v>43586</v>
      </c>
      <c r="BD213" s="29">
        <v>43646</v>
      </c>
      <c r="BE213" s="29">
        <v>43672</v>
      </c>
      <c r="BF213" s="27">
        <v>100</v>
      </c>
      <c r="BG213" s="27" t="s">
        <v>337</v>
      </c>
      <c r="BH213" s="30" t="s">
        <v>841</v>
      </c>
      <c r="BI213" s="28"/>
      <c r="BJ213" s="28"/>
      <c r="BK213" s="28"/>
      <c r="BL213" s="28"/>
      <c r="BM213" s="28"/>
      <c r="BN213" s="28"/>
      <c r="BO213" s="28"/>
      <c r="BP213" s="28"/>
      <c r="BQ213" s="28"/>
      <c r="BR213" s="28"/>
      <c r="BS213" s="28"/>
      <c r="BT213" s="28"/>
      <c r="BU213" s="28"/>
      <c r="BV213" s="28"/>
      <c r="BW213" s="28"/>
      <c r="BX213" s="28"/>
      <c r="BY213" s="19"/>
      <c r="BZ213" s="19"/>
      <c r="CA213" s="19"/>
      <c r="CB213" s="19"/>
      <c r="CC213" s="19"/>
      <c r="CD213" s="19"/>
      <c r="CE213" s="19"/>
      <c r="CF213" s="19"/>
      <c r="CG213" s="19"/>
      <c r="CH213" s="19"/>
      <c r="CI213" s="19"/>
      <c r="CJ213" s="19"/>
      <c r="CK213" s="19"/>
      <c r="CL213" s="19"/>
      <c r="CM213" s="19"/>
      <c r="CN213" s="19"/>
      <c r="CO213" s="19"/>
      <c r="CP213" s="19"/>
      <c r="CQ213" s="19"/>
      <c r="CR213" s="19"/>
      <c r="CS213" s="19"/>
      <c r="CT213" s="19"/>
      <c r="CU213" s="19"/>
      <c r="CV213" s="19"/>
      <c r="CW213" s="19"/>
      <c r="CX213" s="19"/>
      <c r="CY213" s="19"/>
      <c r="CZ213" s="19"/>
      <c r="DA213" s="19"/>
      <c r="DB213" s="19"/>
      <c r="DC213" s="19"/>
      <c r="DD213" s="19"/>
      <c r="DE213" s="19"/>
      <c r="DF213" s="19"/>
      <c r="DG213" s="19"/>
      <c r="DH213" s="19"/>
      <c r="DI213" s="19"/>
      <c r="DJ213" s="19"/>
      <c r="DK213" s="19"/>
      <c r="DL213" s="19"/>
      <c r="DM213" s="19"/>
      <c r="DN213" s="19"/>
      <c r="DO213" s="19"/>
      <c r="DP213" s="19"/>
      <c r="DQ213" s="19"/>
      <c r="DR213" s="19"/>
      <c r="DS213" s="19"/>
      <c r="DT213" s="19"/>
      <c r="DU213" s="19"/>
      <c r="DV213" s="19"/>
      <c r="DW213" s="19"/>
      <c r="DX213" s="19"/>
      <c r="DY213" s="19"/>
      <c r="DZ213" s="19"/>
      <c r="EA213" s="19"/>
      <c r="EB213" s="19"/>
      <c r="EC213" s="19"/>
      <c r="ED213" s="19"/>
      <c r="EE213" s="19"/>
      <c r="EF213" s="19"/>
      <c r="EG213" s="19"/>
      <c r="EH213" s="19"/>
      <c r="EI213" s="19"/>
      <c r="EJ213" s="19"/>
      <c r="EK213" s="19"/>
      <c r="EL213" s="19"/>
      <c r="EM213" s="19"/>
      <c r="EN213" s="19"/>
      <c r="EO213" s="19"/>
      <c r="EP213" s="19"/>
      <c r="EQ213" s="19"/>
      <c r="ER213" s="19"/>
      <c r="ES213" s="19"/>
      <c r="ET213" s="19"/>
      <c r="EU213" s="19"/>
      <c r="EV213" s="19"/>
      <c r="EW213" s="19"/>
      <c r="EX213" s="19"/>
      <c r="EY213" s="19"/>
      <c r="EZ213" s="19"/>
      <c r="FA213" s="19"/>
      <c r="FB213" s="19"/>
      <c r="FC213" s="19"/>
      <c r="FD213" s="19"/>
      <c r="FE213" s="19"/>
      <c r="FF213" s="19"/>
      <c r="FG213" s="19"/>
      <c r="FH213" s="19"/>
      <c r="FI213" s="19"/>
      <c r="FJ213" s="19"/>
      <c r="FK213" s="19"/>
      <c r="FL213" s="20" t="s">
        <v>834</v>
      </c>
      <c r="FM213" s="20" t="s">
        <v>255</v>
      </c>
      <c r="FN213" s="19"/>
      <c r="FO213" s="19"/>
      <c r="FP213" s="19"/>
      <c r="FQ213" s="19"/>
      <c r="FR213" s="19"/>
      <c r="FS213" s="19"/>
      <c r="FT213" s="19"/>
      <c r="FU213" s="19"/>
      <c r="FV213" s="19"/>
      <c r="FW213" s="19"/>
      <c r="FX213" s="19"/>
      <c r="FY213" s="19"/>
      <c r="FZ213" s="19"/>
      <c r="GA213" s="19"/>
      <c r="GB213" s="19"/>
      <c r="GC213" s="19"/>
      <c r="GD213" s="19"/>
      <c r="GE213" s="19"/>
      <c r="GF213" s="19"/>
      <c r="GG213" s="19"/>
      <c r="GH213" s="19"/>
      <c r="GI213" s="19"/>
      <c r="GJ213" s="19"/>
      <c r="GK213" s="19"/>
      <c r="GL213" s="19"/>
      <c r="GM213" s="19"/>
      <c r="GN213" s="19"/>
      <c r="GO213" s="19"/>
      <c r="GP213" s="19"/>
      <c r="GQ213" s="19"/>
      <c r="GR213" s="19"/>
      <c r="GS213" s="19"/>
      <c r="GT213" s="19"/>
      <c r="GU213" s="19"/>
      <c r="GV213" s="19"/>
      <c r="GW213" s="19"/>
      <c r="GX213" s="19"/>
      <c r="GY213" s="19"/>
      <c r="GZ213" s="19"/>
      <c r="HA213" s="19"/>
    </row>
    <row r="214" spans="1:209" ht="23.25" customHeight="1" x14ac:dyDescent="0.15">
      <c r="A214" s="26">
        <v>44659.678764699071</v>
      </c>
      <c r="B214" s="27" t="s">
        <v>7</v>
      </c>
      <c r="C214" s="27" t="s">
        <v>10</v>
      </c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7" t="s">
        <v>842</v>
      </c>
      <c r="AO214" s="27" t="s">
        <v>843</v>
      </c>
      <c r="AP214" s="27" t="s">
        <v>307</v>
      </c>
      <c r="AQ214" s="27" t="s">
        <v>300</v>
      </c>
      <c r="AR214" s="29">
        <v>44479</v>
      </c>
      <c r="AS214" s="29">
        <v>44540</v>
      </c>
      <c r="AT214" s="27" t="s">
        <v>252</v>
      </c>
      <c r="AU214" s="27" t="s">
        <v>252</v>
      </c>
      <c r="AV214" s="27">
        <v>0</v>
      </c>
      <c r="AW214" s="30" t="s">
        <v>844</v>
      </c>
      <c r="AX214" s="28"/>
      <c r="AY214" s="28"/>
      <c r="AZ214" s="28"/>
      <c r="BA214" s="28"/>
      <c r="BB214" s="28"/>
      <c r="BC214" s="28"/>
      <c r="BD214" s="28"/>
      <c r="BE214" s="28"/>
      <c r="BF214" s="28"/>
      <c r="BG214" s="28"/>
      <c r="BH214" s="28"/>
      <c r="BI214" s="28"/>
      <c r="BJ214" s="28"/>
      <c r="BK214" s="28"/>
      <c r="BL214" s="28"/>
      <c r="BM214" s="28"/>
      <c r="BN214" s="28"/>
      <c r="BO214" s="28"/>
      <c r="BP214" s="28"/>
      <c r="BQ214" s="28"/>
      <c r="BR214" s="28"/>
      <c r="BS214" s="28"/>
      <c r="BT214" s="28"/>
      <c r="BU214" s="28"/>
      <c r="BV214" s="28"/>
      <c r="BW214" s="28"/>
      <c r="BX214" s="28"/>
      <c r="BY214" s="19"/>
      <c r="BZ214" s="19"/>
      <c r="CA214" s="19"/>
      <c r="CB214" s="19"/>
      <c r="CC214" s="19"/>
      <c r="CD214" s="19"/>
      <c r="CE214" s="19"/>
      <c r="CF214" s="19"/>
      <c r="CG214" s="19"/>
      <c r="CH214" s="19"/>
      <c r="CI214" s="19"/>
      <c r="CJ214" s="19"/>
      <c r="CK214" s="19"/>
      <c r="CL214" s="19"/>
      <c r="CM214" s="19"/>
      <c r="CN214" s="19"/>
      <c r="CO214" s="19"/>
      <c r="CP214" s="19"/>
      <c r="CQ214" s="19"/>
      <c r="CR214" s="19"/>
      <c r="CS214" s="19"/>
      <c r="CT214" s="19"/>
      <c r="CU214" s="19"/>
      <c r="CV214" s="19"/>
      <c r="CW214" s="19"/>
      <c r="CX214" s="19"/>
      <c r="CY214" s="19"/>
      <c r="CZ214" s="19"/>
      <c r="DA214" s="19"/>
      <c r="DB214" s="19"/>
      <c r="DC214" s="19"/>
      <c r="DD214" s="19"/>
      <c r="DE214" s="19"/>
      <c r="DF214" s="19"/>
      <c r="DG214" s="19"/>
      <c r="DH214" s="19"/>
      <c r="DI214" s="19"/>
      <c r="DJ214" s="19"/>
      <c r="DK214" s="19"/>
      <c r="DL214" s="19"/>
      <c r="DM214" s="19"/>
      <c r="DN214" s="19"/>
      <c r="DO214" s="19"/>
      <c r="DP214" s="19"/>
      <c r="DQ214" s="19"/>
      <c r="DR214" s="19"/>
      <c r="DS214" s="19"/>
      <c r="DT214" s="19"/>
      <c r="DU214" s="19"/>
      <c r="DV214" s="19"/>
      <c r="DW214" s="19"/>
      <c r="DX214" s="19"/>
      <c r="DY214" s="19"/>
      <c r="DZ214" s="19"/>
      <c r="EA214" s="19"/>
      <c r="EB214" s="19"/>
      <c r="EC214" s="19"/>
      <c r="ED214" s="19"/>
      <c r="EE214" s="19"/>
      <c r="EF214" s="19"/>
      <c r="EG214" s="19"/>
      <c r="EH214" s="19"/>
      <c r="EI214" s="19"/>
      <c r="EJ214" s="19"/>
      <c r="EK214" s="19"/>
      <c r="EL214" s="19"/>
      <c r="EM214" s="19"/>
      <c r="EN214" s="19"/>
      <c r="EO214" s="19"/>
      <c r="EP214" s="19"/>
      <c r="EQ214" s="19"/>
      <c r="ER214" s="19"/>
      <c r="ES214" s="19"/>
      <c r="ET214" s="19"/>
      <c r="EU214" s="19"/>
      <c r="EV214" s="19"/>
      <c r="EW214" s="19"/>
      <c r="EX214" s="19"/>
      <c r="EY214" s="19"/>
      <c r="EZ214" s="19"/>
      <c r="FA214" s="19"/>
      <c r="FB214" s="19"/>
      <c r="FC214" s="19"/>
      <c r="FD214" s="19"/>
      <c r="FE214" s="19"/>
      <c r="FF214" s="19"/>
      <c r="FG214" s="19"/>
      <c r="FH214" s="19"/>
      <c r="FI214" s="19"/>
      <c r="FJ214" s="19"/>
      <c r="FK214" s="19"/>
      <c r="FL214" s="20" t="s">
        <v>845</v>
      </c>
      <c r="FM214" s="20" t="s">
        <v>278</v>
      </c>
      <c r="FN214" s="19"/>
      <c r="FO214" s="19"/>
      <c r="FP214" s="19"/>
      <c r="FQ214" s="19"/>
      <c r="FR214" s="19"/>
      <c r="FS214" s="19"/>
      <c r="FT214" s="19"/>
      <c r="FU214" s="19"/>
      <c r="FV214" s="19"/>
      <c r="FW214" s="19"/>
      <c r="FX214" s="19"/>
      <c r="FY214" s="19"/>
      <c r="FZ214" s="19"/>
      <c r="GA214" s="19"/>
      <c r="GB214" s="19"/>
      <c r="GC214" s="19"/>
      <c r="GD214" s="19"/>
      <c r="GE214" s="19"/>
      <c r="GF214" s="19"/>
      <c r="GG214" s="19"/>
      <c r="GH214" s="19"/>
      <c r="GI214" s="19"/>
      <c r="GJ214" s="19"/>
      <c r="GK214" s="19"/>
      <c r="GL214" s="19"/>
      <c r="GM214" s="19"/>
      <c r="GN214" s="19"/>
      <c r="GO214" s="19"/>
      <c r="GP214" s="19"/>
      <c r="GQ214" s="19"/>
      <c r="GR214" s="19"/>
      <c r="GS214" s="19"/>
      <c r="GT214" s="19"/>
      <c r="GU214" s="19"/>
      <c r="GV214" s="19"/>
      <c r="GW214" s="19"/>
      <c r="GX214" s="19"/>
      <c r="GY214" s="19"/>
      <c r="GZ214" s="19"/>
      <c r="HA214" s="19"/>
    </row>
    <row r="215" spans="1:209" ht="23.25" customHeight="1" x14ac:dyDescent="0.15">
      <c r="A215" s="26">
        <v>44659.679525798609</v>
      </c>
      <c r="B215" s="27" t="s">
        <v>6</v>
      </c>
      <c r="C215" s="27" t="s">
        <v>11</v>
      </c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  <c r="AX215" s="27" t="s">
        <v>830</v>
      </c>
      <c r="AY215" s="27" t="s">
        <v>831</v>
      </c>
      <c r="AZ215" s="27" t="s">
        <v>500</v>
      </c>
      <c r="BA215" s="27" t="s">
        <v>375</v>
      </c>
      <c r="BB215" s="27" t="s">
        <v>308</v>
      </c>
      <c r="BC215" s="29">
        <v>44287</v>
      </c>
      <c r="BD215" s="29">
        <v>44346</v>
      </c>
      <c r="BE215" s="29">
        <v>44374</v>
      </c>
      <c r="BF215" s="27">
        <v>100</v>
      </c>
      <c r="BG215" s="27" t="s">
        <v>337</v>
      </c>
      <c r="BH215" s="30" t="s">
        <v>846</v>
      </c>
      <c r="BI215" s="28"/>
      <c r="BJ215" s="28"/>
      <c r="BK215" s="28"/>
      <c r="BL215" s="28"/>
      <c r="BM215" s="28"/>
      <c r="BN215" s="28"/>
      <c r="BO215" s="28"/>
      <c r="BP215" s="28"/>
      <c r="BQ215" s="28"/>
      <c r="BR215" s="28"/>
      <c r="BS215" s="28"/>
      <c r="BT215" s="28"/>
      <c r="BU215" s="28"/>
      <c r="BV215" s="28"/>
      <c r="BW215" s="28"/>
      <c r="BX215" s="28"/>
      <c r="BY215" s="19"/>
      <c r="BZ215" s="19"/>
      <c r="CA215" s="19"/>
      <c r="CB215" s="19"/>
      <c r="CC215" s="19"/>
      <c r="CD215" s="19"/>
      <c r="CE215" s="19"/>
      <c r="CF215" s="19"/>
      <c r="CG215" s="19"/>
      <c r="CH215" s="19"/>
      <c r="CI215" s="19"/>
      <c r="CJ215" s="19"/>
      <c r="CK215" s="19"/>
      <c r="CL215" s="19"/>
      <c r="CM215" s="19"/>
      <c r="CN215" s="19"/>
      <c r="CO215" s="19"/>
      <c r="CP215" s="19"/>
      <c r="CQ215" s="19"/>
      <c r="CR215" s="19"/>
      <c r="CS215" s="19"/>
      <c r="CT215" s="19"/>
      <c r="CU215" s="19"/>
      <c r="CV215" s="19"/>
      <c r="CW215" s="19"/>
      <c r="CX215" s="19"/>
      <c r="CY215" s="19"/>
      <c r="CZ215" s="19"/>
      <c r="DA215" s="19"/>
      <c r="DB215" s="19"/>
      <c r="DC215" s="19"/>
      <c r="DD215" s="19"/>
      <c r="DE215" s="19"/>
      <c r="DF215" s="19"/>
      <c r="DG215" s="19"/>
      <c r="DH215" s="19"/>
      <c r="DI215" s="19"/>
      <c r="DJ215" s="19"/>
      <c r="DK215" s="19"/>
      <c r="DL215" s="19"/>
      <c r="DM215" s="19"/>
      <c r="DN215" s="19"/>
      <c r="DO215" s="19"/>
      <c r="DP215" s="19"/>
      <c r="DQ215" s="19"/>
      <c r="DR215" s="19"/>
      <c r="DS215" s="19"/>
      <c r="DT215" s="19"/>
      <c r="DU215" s="19"/>
      <c r="DV215" s="19"/>
      <c r="DW215" s="19"/>
      <c r="DX215" s="19"/>
      <c r="DY215" s="19"/>
      <c r="DZ215" s="19"/>
      <c r="EA215" s="19"/>
      <c r="EB215" s="19"/>
      <c r="EC215" s="19"/>
      <c r="ED215" s="19"/>
      <c r="EE215" s="19"/>
      <c r="EF215" s="19"/>
      <c r="EG215" s="19"/>
      <c r="EH215" s="19"/>
      <c r="EI215" s="19"/>
      <c r="EJ215" s="19"/>
      <c r="EK215" s="19"/>
      <c r="EL215" s="19"/>
      <c r="EM215" s="19"/>
      <c r="EN215" s="19"/>
      <c r="EO215" s="19"/>
      <c r="EP215" s="19"/>
      <c r="EQ215" s="19"/>
      <c r="ER215" s="19"/>
      <c r="ES215" s="19"/>
      <c r="ET215" s="19"/>
      <c r="EU215" s="19"/>
      <c r="EV215" s="19"/>
      <c r="EW215" s="19"/>
      <c r="EX215" s="19"/>
      <c r="EY215" s="19"/>
      <c r="EZ215" s="19"/>
      <c r="FA215" s="19"/>
      <c r="FB215" s="19"/>
      <c r="FC215" s="19"/>
      <c r="FD215" s="19"/>
      <c r="FE215" s="19"/>
      <c r="FF215" s="19"/>
      <c r="FG215" s="19"/>
      <c r="FH215" s="19"/>
      <c r="FI215" s="19"/>
      <c r="FJ215" s="19"/>
      <c r="FK215" s="19"/>
      <c r="FL215" s="20" t="s">
        <v>834</v>
      </c>
      <c r="FM215" s="20" t="s">
        <v>255</v>
      </c>
      <c r="FN215" s="19"/>
      <c r="FO215" s="19"/>
      <c r="FP215" s="19"/>
      <c r="FQ215" s="19"/>
      <c r="FR215" s="19"/>
      <c r="FS215" s="19"/>
      <c r="FT215" s="19"/>
      <c r="FU215" s="19"/>
      <c r="FV215" s="19"/>
      <c r="FW215" s="19"/>
      <c r="FX215" s="19"/>
      <c r="FY215" s="19"/>
      <c r="FZ215" s="19"/>
      <c r="GA215" s="19"/>
      <c r="GB215" s="19"/>
      <c r="GC215" s="19"/>
      <c r="GD215" s="19"/>
      <c r="GE215" s="19"/>
      <c r="GF215" s="19"/>
      <c r="GG215" s="19"/>
      <c r="GH215" s="19"/>
      <c r="GI215" s="19"/>
      <c r="GJ215" s="19"/>
      <c r="GK215" s="19"/>
      <c r="GL215" s="19"/>
      <c r="GM215" s="19"/>
      <c r="GN215" s="19"/>
      <c r="GO215" s="19"/>
      <c r="GP215" s="19"/>
      <c r="GQ215" s="19"/>
      <c r="GR215" s="19"/>
      <c r="GS215" s="19"/>
      <c r="GT215" s="19"/>
      <c r="GU215" s="19"/>
      <c r="GV215" s="19"/>
      <c r="GW215" s="19"/>
      <c r="GX215" s="19"/>
      <c r="GY215" s="19"/>
      <c r="GZ215" s="19"/>
      <c r="HA215" s="19"/>
    </row>
    <row r="216" spans="1:209" ht="23.25" customHeight="1" x14ac:dyDescent="0.15">
      <c r="A216" s="26">
        <v>44659.680489351857</v>
      </c>
      <c r="B216" s="27" t="s">
        <v>6</v>
      </c>
      <c r="C216" s="27" t="s">
        <v>11</v>
      </c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  <c r="AX216" s="27" t="s">
        <v>814</v>
      </c>
      <c r="AY216" s="27" t="s">
        <v>815</v>
      </c>
      <c r="AZ216" s="27" t="s">
        <v>847</v>
      </c>
      <c r="BA216" s="27" t="s">
        <v>848</v>
      </c>
      <c r="BB216" s="27" t="s">
        <v>308</v>
      </c>
      <c r="BC216" s="29">
        <v>43881</v>
      </c>
      <c r="BD216" s="29">
        <v>43941</v>
      </c>
      <c r="BE216" s="29">
        <v>43941</v>
      </c>
      <c r="BF216" s="27">
        <v>100</v>
      </c>
      <c r="BG216" s="27" t="s">
        <v>836</v>
      </c>
      <c r="BH216" s="30" t="s">
        <v>849</v>
      </c>
      <c r="BI216" s="28"/>
      <c r="BJ216" s="28"/>
      <c r="BK216" s="28"/>
      <c r="BL216" s="28"/>
      <c r="BM216" s="28"/>
      <c r="BN216" s="28"/>
      <c r="BO216" s="28"/>
      <c r="BP216" s="28"/>
      <c r="BQ216" s="28"/>
      <c r="BR216" s="28"/>
      <c r="BS216" s="28"/>
      <c r="BT216" s="28"/>
      <c r="BU216" s="28"/>
      <c r="BV216" s="28"/>
      <c r="BW216" s="28"/>
      <c r="BX216" s="28"/>
      <c r="BY216" s="19"/>
      <c r="BZ216" s="19"/>
      <c r="CA216" s="19"/>
      <c r="CB216" s="19"/>
      <c r="CC216" s="19"/>
      <c r="CD216" s="19"/>
      <c r="CE216" s="19"/>
      <c r="CF216" s="19"/>
      <c r="CG216" s="19"/>
      <c r="CH216" s="19"/>
      <c r="CI216" s="19"/>
      <c r="CJ216" s="19"/>
      <c r="CK216" s="19"/>
      <c r="CL216" s="19"/>
      <c r="CM216" s="19"/>
      <c r="CN216" s="19"/>
      <c r="CO216" s="19"/>
      <c r="CP216" s="19"/>
      <c r="CQ216" s="19"/>
      <c r="CR216" s="19"/>
      <c r="CS216" s="19"/>
      <c r="CT216" s="19"/>
      <c r="CU216" s="19"/>
      <c r="CV216" s="19"/>
      <c r="CW216" s="19"/>
      <c r="CX216" s="19"/>
      <c r="CY216" s="19"/>
      <c r="CZ216" s="19"/>
      <c r="DA216" s="19"/>
      <c r="DB216" s="19"/>
      <c r="DC216" s="19"/>
      <c r="DD216" s="19"/>
      <c r="DE216" s="19"/>
      <c r="DF216" s="19"/>
      <c r="DG216" s="19"/>
      <c r="DH216" s="19"/>
      <c r="DI216" s="19"/>
      <c r="DJ216" s="19"/>
      <c r="DK216" s="19"/>
      <c r="DL216" s="19"/>
      <c r="DM216" s="19"/>
      <c r="DN216" s="19"/>
      <c r="DO216" s="19"/>
      <c r="DP216" s="19"/>
      <c r="DQ216" s="19"/>
      <c r="DR216" s="19"/>
      <c r="DS216" s="19"/>
      <c r="DT216" s="19"/>
      <c r="DU216" s="19"/>
      <c r="DV216" s="19"/>
      <c r="DW216" s="19"/>
      <c r="DX216" s="19"/>
      <c r="DY216" s="19"/>
      <c r="DZ216" s="19"/>
      <c r="EA216" s="19"/>
      <c r="EB216" s="19"/>
      <c r="EC216" s="19"/>
      <c r="ED216" s="19"/>
      <c r="EE216" s="19"/>
      <c r="EF216" s="19"/>
      <c r="EG216" s="19"/>
      <c r="EH216" s="19"/>
      <c r="EI216" s="19"/>
      <c r="EJ216" s="19"/>
      <c r="EK216" s="19"/>
      <c r="EL216" s="19"/>
      <c r="EM216" s="19"/>
      <c r="EN216" s="19"/>
      <c r="EO216" s="19"/>
      <c r="EP216" s="19"/>
      <c r="EQ216" s="19"/>
      <c r="ER216" s="19"/>
      <c r="ES216" s="19"/>
      <c r="ET216" s="19"/>
      <c r="EU216" s="19"/>
      <c r="EV216" s="19"/>
      <c r="EW216" s="19"/>
      <c r="EX216" s="19"/>
      <c r="EY216" s="19"/>
      <c r="EZ216" s="19"/>
      <c r="FA216" s="19"/>
      <c r="FB216" s="19"/>
      <c r="FC216" s="19"/>
      <c r="FD216" s="19"/>
      <c r="FE216" s="19"/>
      <c r="FF216" s="19"/>
      <c r="FG216" s="19"/>
      <c r="FH216" s="19"/>
      <c r="FI216" s="19"/>
      <c r="FJ216" s="19"/>
      <c r="FK216" s="19"/>
      <c r="FL216" s="20" t="s">
        <v>818</v>
      </c>
      <c r="FM216" s="20" t="s">
        <v>321</v>
      </c>
      <c r="FN216" s="19"/>
      <c r="FO216" s="19"/>
      <c r="FP216" s="19"/>
      <c r="FQ216" s="19"/>
      <c r="FR216" s="19"/>
      <c r="FS216" s="19"/>
      <c r="FT216" s="19"/>
      <c r="FU216" s="19"/>
      <c r="FV216" s="19"/>
      <c r="FW216" s="19"/>
      <c r="FX216" s="19"/>
      <c r="FY216" s="19"/>
      <c r="FZ216" s="19"/>
      <c r="GA216" s="19"/>
      <c r="GB216" s="19"/>
      <c r="GC216" s="19"/>
      <c r="GD216" s="19"/>
      <c r="GE216" s="19"/>
      <c r="GF216" s="19"/>
      <c r="GG216" s="19"/>
      <c r="GH216" s="19"/>
      <c r="GI216" s="19"/>
      <c r="GJ216" s="19"/>
      <c r="GK216" s="19"/>
      <c r="GL216" s="19"/>
      <c r="GM216" s="19"/>
      <c r="GN216" s="19"/>
      <c r="GO216" s="19"/>
      <c r="GP216" s="19"/>
      <c r="GQ216" s="19"/>
      <c r="GR216" s="19"/>
      <c r="GS216" s="19"/>
      <c r="GT216" s="19"/>
      <c r="GU216" s="19"/>
      <c r="GV216" s="19"/>
      <c r="GW216" s="19"/>
      <c r="GX216" s="19"/>
      <c r="GY216" s="19"/>
      <c r="GZ216" s="19"/>
      <c r="HA216" s="19"/>
    </row>
    <row r="217" spans="1:209" ht="23.25" customHeight="1" x14ac:dyDescent="0.15">
      <c r="A217" s="26">
        <v>44659.68102319444</v>
      </c>
      <c r="B217" s="27" t="s">
        <v>6</v>
      </c>
      <c r="C217" s="27" t="s">
        <v>11</v>
      </c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  <c r="AX217" s="27" t="s">
        <v>830</v>
      </c>
      <c r="AY217" s="27" t="s">
        <v>831</v>
      </c>
      <c r="AZ217" s="27" t="s">
        <v>354</v>
      </c>
      <c r="BA217" s="27" t="s">
        <v>375</v>
      </c>
      <c r="BB217" s="27" t="s">
        <v>308</v>
      </c>
      <c r="BC217" s="29">
        <v>44317</v>
      </c>
      <c r="BD217" s="29">
        <v>44377</v>
      </c>
      <c r="BE217" s="29">
        <v>44384</v>
      </c>
      <c r="BF217" s="27">
        <v>100</v>
      </c>
      <c r="BG217" s="27" t="s">
        <v>556</v>
      </c>
      <c r="BH217" s="30" t="s">
        <v>850</v>
      </c>
      <c r="BI217" s="28"/>
      <c r="BJ217" s="28"/>
      <c r="BK217" s="28"/>
      <c r="BL217" s="28"/>
      <c r="BM217" s="28"/>
      <c r="BN217" s="28"/>
      <c r="BO217" s="28"/>
      <c r="BP217" s="28"/>
      <c r="BQ217" s="28"/>
      <c r="BR217" s="28"/>
      <c r="BS217" s="28"/>
      <c r="BT217" s="28"/>
      <c r="BU217" s="28"/>
      <c r="BV217" s="28"/>
      <c r="BW217" s="28"/>
      <c r="BX217" s="28"/>
      <c r="BY217" s="19"/>
      <c r="BZ217" s="19"/>
      <c r="CA217" s="19"/>
      <c r="CB217" s="19"/>
      <c r="CC217" s="19"/>
      <c r="CD217" s="19"/>
      <c r="CE217" s="19"/>
      <c r="CF217" s="19"/>
      <c r="CG217" s="19"/>
      <c r="CH217" s="19"/>
      <c r="CI217" s="19"/>
      <c r="CJ217" s="19"/>
      <c r="CK217" s="19"/>
      <c r="CL217" s="19"/>
      <c r="CM217" s="19"/>
      <c r="CN217" s="19"/>
      <c r="CO217" s="19"/>
      <c r="CP217" s="19"/>
      <c r="CQ217" s="19"/>
      <c r="CR217" s="19"/>
      <c r="CS217" s="19"/>
      <c r="CT217" s="19"/>
      <c r="CU217" s="19"/>
      <c r="CV217" s="19"/>
      <c r="CW217" s="19"/>
      <c r="CX217" s="19"/>
      <c r="CY217" s="19"/>
      <c r="CZ217" s="19"/>
      <c r="DA217" s="19"/>
      <c r="DB217" s="19"/>
      <c r="DC217" s="19"/>
      <c r="DD217" s="19"/>
      <c r="DE217" s="19"/>
      <c r="DF217" s="19"/>
      <c r="DG217" s="19"/>
      <c r="DH217" s="19"/>
      <c r="DI217" s="19"/>
      <c r="DJ217" s="19"/>
      <c r="DK217" s="19"/>
      <c r="DL217" s="19"/>
      <c r="DM217" s="19"/>
      <c r="DN217" s="19"/>
      <c r="DO217" s="19"/>
      <c r="DP217" s="19"/>
      <c r="DQ217" s="19"/>
      <c r="DR217" s="19"/>
      <c r="DS217" s="19"/>
      <c r="DT217" s="19"/>
      <c r="DU217" s="19"/>
      <c r="DV217" s="19"/>
      <c r="DW217" s="19"/>
      <c r="DX217" s="19"/>
      <c r="DY217" s="19"/>
      <c r="DZ217" s="19"/>
      <c r="EA217" s="19"/>
      <c r="EB217" s="19"/>
      <c r="EC217" s="19"/>
      <c r="ED217" s="19"/>
      <c r="EE217" s="19"/>
      <c r="EF217" s="19"/>
      <c r="EG217" s="19"/>
      <c r="EH217" s="19"/>
      <c r="EI217" s="19"/>
      <c r="EJ217" s="19"/>
      <c r="EK217" s="19"/>
      <c r="EL217" s="19"/>
      <c r="EM217" s="19"/>
      <c r="EN217" s="19"/>
      <c r="EO217" s="19"/>
      <c r="EP217" s="19"/>
      <c r="EQ217" s="19"/>
      <c r="ER217" s="19"/>
      <c r="ES217" s="19"/>
      <c r="ET217" s="19"/>
      <c r="EU217" s="19"/>
      <c r="EV217" s="19"/>
      <c r="EW217" s="19"/>
      <c r="EX217" s="19"/>
      <c r="EY217" s="19"/>
      <c r="EZ217" s="19"/>
      <c r="FA217" s="19"/>
      <c r="FB217" s="19"/>
      <c r="FC217" s="19"/>
      <c r="FD217" s="19"/>
      <c r="FE217" s="19"/>
      <c r="FF217" s="19"/>
      <c r="FG217" s="19"/>
      <c r="FH217" s="19"/>
      <c r="FI217" s="19"/>
      <c r="FJ217" s="19"/>
      <c r="FK217" s="19"/>
      <c r="FL217" s="20" t="s">
        <v>834</v>
      </c>
      <c r="FM217" s="20" t="s">
        <v>255</v>
      </c>
      <c r="FN217" s="19"/>
      <c r="FO217" s="19"/>
      <c r="FP217" s="19"/>
      <c r="FQ217" s="19"/>
      <c r="FR217" s="19"/>
      <c r="FS217" s="19"/>
      <c r="FT217" s="19"/>
      <c r="FU217" s="19"/>
      <c r="FV217" s="19"/>
      <c r="FW217" s="19"/>
      <c r="FX217" s="19"/>
      <c r="FY217" s="19"/>
      <c r="FZ217" s="19"/>
      <c r="GA217" s="19"/>
      <c r="GB217" s="19"/>
      <c r="GC217" s="19"/>
      <c r="GD217" s="19"/>
      <c r="GE217" s="19"/>
      <c r="GF217" s="19"/>
      <c r="GG217" s="19"/>
      <c r="GH217" s="19"/>
      <c r="GI217" s="19"/>
      <c r="GJ217" s="19"/>
      <c r="GK217" s="19"/>
      <c r="GL217" s="19"/>
      <c r="GM217" s="19"/>
      <c r="GN217" s="19"/>
      <c r="GO217" s="19"/>
      <c r="GP217" s="19"/>
      <c r="GQ217" s="19"/>
      <c r="GR217" s="19"/>
      <c r="GS217" s="19"/>
      <c r="GT217" s="19"/>
      <c r="GU217" s="19"/>
      <c r="GV217" s="19"/>
      <c r="GW217" s="19"/>
      <c r="GX217" s="19"/>
      <c r="GY217" s="19"/>
      <c r="GZ217" s="19"/>
      <c r="HA217" s="19"/>
    </row>
    <row r="218" spans="1:209" ht="23.25" customHeight="1" x14ac:dyDescent="0.15">
      <c r="A218" s="26">
        <v>44659.681261238424</v>
      </c>
      <c r="B218" s="27" t="s">
        <v>6</v>
      </c>
      <c r="C218" s="17" t="s">
        <v>13</v>
      </c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  <c r="AX218" s="28"/>
      <c r="AY218" s="28"/>
      <c r="AZ218" s="28"/>
      <c r="BA218" s="28"/>
      <c r="BB218" s="28"/>
      <c r="BC218" s="28"/>
      <c r="BD218" s="28"/>
      <c r="BE218" s="28"/>
      <c r="BF218" s="28"/>
      <c r="BG218" s="28"/>
      <c r="BH218" s="28"/>
      <c r="BI218" s="28"/>
      <c r="BJ218" s="28"/>
      <c r="BK218" s="28"/>
      <c r="BL218" s="28"/>
      <c r="BM218" s="28"/>
      <c r="BN218" s="28"/>
      <c r="BO218" s="28"/>
      <c r="BP218" s="28"/>
      <c r="BQ218" s="28"/>
      <c r="BR218" s="28"/>
      <c r="BS218" s="28"/>
      <c r="BT218" s="28"/>
      <c r="BU218" s="28"/>
      <c r="BV218" s="28"/>
      <c r="BW218" s="27" t="s">
        <v>762</v>
      </c>
      <c r="BX218" s="27" t="s">
        <v>763</v>
      </c>
      <c r="BY218" s="19"/>
      <c r="BZ218" s="20" t="s">
        <v>154</v>
      </c>
      <c r="CA218" s="20" t="s">
        <v>851</v>
      </c>
      <c r="CB218" s="20" t="s">
        <v>454</v>
      </c>
      <c r="CC218" s="20" t="s">
        <v>473</v>
      </c>
      <c r="CD218" s="21">
        <v>44075</v>
      </c>
      <c r="CE218" s="21">
        <v>44196</v>
      </c>
      <c r="CF218" s="20">
        <v>89</v>
      </c>
      <c r="CG218" s="22" t="s">
        <v>852</v>
      </c>
      <c r="CH218" s="19"/>
      <c r="CI218" s="19"/>
      <c r="CJ218" s="19"/>
      <c r="CK218" s="19"/>
      <c r="CL218" s="19"/>
      <c r="CM218" s="19"/>
      <c r="CN218" s="19"/>
      <c r="CO218" s="19"/>
      <c r="CP218" s="19"/>
      <c r="CQ218" s="19"/>
      <c r="CR218" s="19"/>
      <c r="CS218" s="19"/>
      <c r="CT218" s="19"/>
      <c r="CU218" s="19"/>
      <c r="CV218" s="19"/>
      <c r="CW218" s="19"/>
      <c r="CX218" s="19"/>
      <c r="CY218" s="19"/>
      <c r="CZ218" s="19"/>
      <c r="DA218" s="19"/>
      <c r="DB218" s="19"/>
      <c r="DC218" s="19"/>
      <c r="DD218" s="19"/>
      <c r="DE218" s="19"/>
      <c r="DF218" s="19"/>
      <c r="DG218" s="19"/>
      <c r="DH218" s="19"/>
      <c r="DI218" s="19"/>
      <c r="DJ218" s="19"/>
      <c r="DK218" s="19"/>
      <c r="DL218" s="19"/>
      <c r="DM218" s="19"/>
      <c r="DN218" s="19"/>
      <c r="DO218" s="19"/>
      <c r="DP218" s="19"/>
      <c r="DQ218" s="19"/>
      <c r="DR218" s="19"/>
      <c r="DS218" s="19"/>
      <c r="DT218" s="19"/>
      <c r="DU218" s="19"/>
      <c r="DV218" s="19"/>
      <c r="DW218" s="19"/>
      <c r="DX218" s="19"/>
      <c r="DY218" s="19"/>
      <c r="DZ218" s="19"/>
      <c r="EA218" s="19"/>
      <c r="EB218" s="19"/>
      <c r="EC218" s="19"/>
      <c r="ED218" s="19"/>
      <c r="EE218" s="19"/>
      <c r="EF218" s="19"/>
      <c r="EG218" s="19"/>
      <c r="EH218" s="19"/>
      <c r="EI218" s="19"/>
      <c r="EJ218" s="19"/>
      <c r="EK218" s="19"/>
      <c r="EL218" s="19"/>
      <c r="EM218" s="19"/>
      <c r="EN218" s="19"/>
      <c r="EO218" s="19"/>
      <c r="EP218" s="19"/>
      <c r="EQ218" s="19"/>
      <c r="ER218" s="19"/>
      <c r="ES218" s="19"/>
      <c r="ET218" s="19"/>
      <c r="EU218" s="19"/>
      <c r="EV218" s="19"/>
      <c r="EW218" s="19"/>
      <c r="EX218" s="19"/>
      <c r="EY218" s="19"/>
      <c r="EZ218" s="19"/>
      <c r="FA218" s="19"/>
      <c r="FB218" s="19"/>
      <c r="FC218" s="19"/>
      <c r="FD218" s="19"/>
      <c r="FE218" s="19"/>
      <c r="FF218" s="19"/>
      <c r="FG218" s="19"/>
      <c r="FH218" s="19"/>
      <c r="FI218" s="19"/>
      <c r="FJ218" s="19"/>
      <c r="FK218" s="19"/>
      <c r="FL218" s="20" t="s">
        <v>767</v>
      </c>
      <c r="FM218" s="20" t="s">
        <v>255</v>
      </c>
      <c r="FN218" s="19"/>
      <c r="FO218" s="19"/>
      <c r="FP218" s="19"/>
      <c r="FQ218" s="19"/>
      <c r="FR218" s="19"/>
      <c r="FS218" s="19"/>
      <c r="FT218" s="19"/>
      <c r="FU218" s="19"/>
      <c r="FV218" s="19"/>
      <c r="FW218" s="19"/>
      <c r="FX218" s="19"/>
      <c r="FY218" s="19"/>
      <c r="FZ218" s="19"/>
      <c r="GA218" s="19"/>
      <c r="GB218" s="19"/>
      <c r="GC218" s="19"/>
      <c r="GD218" s="19"/>
      <c r="GE218" s="19"/>
      <c r="GF218" s="19"/>
      <c r="GG218" s="19"/>
      <c r="GH218" s="19"/>
      <c r="GI218" s="19"/>
      <c r="GJ218" s="19"/>
      <c r="GK218" s="19"/>
      <c r="GL218" s="19"/>
      <c r="GM218" s="19"/>
      <c r="GN218" s="19"/>
      <c r="GO218" s="19"/>
      <c r="GP218" s="19"/>
      <c r="GQ218" s="19"/>
      <c r="GR218" s="19"/>
      <c r="GS218" s="19"/>
      <c r="GT218" s="19"/>
      <c r="GU218" s="19"/>
      <c r="GV218" s="19"/>
      <c r="GW218" s="19"/>
      <c r="GX218" s="19"/>
      <c r="GY218" s="19"/>
      <c r="GZ218" s="19"/>
      <c r="HA218" s="19"/>
    </row>
    <row r="219" spans="1:209" ht="23.25" customHeight="1" x14ac:dyDescent="0.15">
      <c r="A219" s="26">
        <v>44659.682545972224</v>
      </c>
      <c r="B219" s="27" t="s">
        <v>6</v>
      </c>
      <c r="C219" s="27" t="s">
        <v>11</v>
      </c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  <c r="AX219" s="27" t="s">
        <v>830</v>
      </c>
      <c r="AY219" s="27" t="s">
        <v>831</v>
      </c>
      <c r="AZ219" s="27" t="s">
        <v>853</v>
      </c>
      <c r="BA219" s="27" t="s">
        <v>375</v>
      </c>
      <c r="BB219" s="27" t="s">
        <v>308</v>
      </c>
      <c r="BC219" s="29">
        <v>43678</v>
      </c>
      <c r="BD219" s="29">
        <v>43738</v>
      </c>
      <c r="BE219" s="29">
        <v>43761</v>
      </c>
      <c r="BF219" s="27">
        <v>100</v>
      </c>
      <c r="BG219" s="27" t="s">
        <v>854</v>
      </c>
      <c r="BH219" s="30" t="s">
        <v>855</v>
      </c>
      <c r="BI219" s="28"/>
      <c r="BJ219" s="28"/>
      <c r="BK219" s="28"/>
      <c r="BL219" s="28"/>
      <c r="BM219" s="28"/>
      <c r="BN219" s="28"/>
      <c r="BO219" s="28"/>
      <c r="BP219" s="28"/>
      <c r="BQ219" s="28"/>
      <c r="BR219" s="28"/>
      <c r="BS219" s="28"/>
      <c r="BT219" s="28"/>
      <c r="BU219" s="28"/>
      <c r="BV219" s="28"/>
      <c r="BW219" s="28"/>
      <c r="BX219" s="28"/>
      <c r="BY219" s="19"/>
      <c r="BZ219" s="19"/>
      <c r="CA219" s="19"/>
      <c r="CB219" s="19"/>
      <c r="CC219" s="19"/>
      <c r="CD219" s="19"/>
      <c r="CE219" s="19"/>
      <c r="CF219" s="19"/>
      <c r="CG219" s="19"/>
      <c r="CH219" s="19"/>
      <c r="CI219" s="19"/>
      <c r="CJ219" s="19"/>
      <c r="CK219" s="19"/>
      <c r="CL219" s="19"/>
      <c r="CM219" s="19"/>
      <c r="CN219" s="19"/>
      <c r="CO219" s="19"/>
      <c r="CP219" s="19"/>
      <c r="CQ219" s="19"/>
      <c r="CR219" s="19"/>
      <c r="CS219" s="19"/>
      <c r="CT219" s="19"/>
      <c r="CU219" s="19"/>
      <c r="CV219" s="19"/>
      <c r="CW219" s="19"/>
      <c r="CX219" s="19"/>
      <c r="CY219" s="19"/>
      <c r="CZ219" s="19"/>
      <c r="DA219" s="19"/>
      <c r="DB219" s="19"/>
      <c r="DC219" s="19"/>
      <c r="DD219" s="19"/>
      <c r="DE219" s="19"/>
      <c r="DF219" s="19"/>
      <c r="DG219" s="19"/>
      <c r="DH219" s="19"/>
      <c r="DI219" s="19"/>
      <c r="DJ219" s="19"/>
      <c r="DK219" s="19"/>
      <c r="DL219" s="19"/>
      <c r="DM219" s="19"/>
      <c r="DN219" s="19"/>
      <c r="DO219" s="19"/>
      <c r="DP219" s="19"/>
      <c r="DQ219" s="19"/>
      <c r="DR219" s="19"/>
      <c r="DS219" s="19"/>
      <c r="DT219" s="19"/>
      <c r="DU219" s="19"/>
      <c r="DV219" s="19"/>
      <c r="DW219" s="19"/>
      <c r="DX219" s="19"/>
      <c r="DY219" s="19"/>
      <c r="DZ219" s="19"/>
      <c r="EA219" s="19"/>
      <c r="EB219" s="19"/>
      <c r="EC219" s="19"/>
      <c r="ED219" s="19"/>
      <c r="EE219" s="19"/>
      <c r="EF219" s="19"/>
      <c r="EG219" s="19"/>
      <c r="EH219" s="19"/>
      <c r="EI219" s="19"/>
      <c r="EJ219" s="19"/>
      <c r="EK219" s="19"/>
      <c r="EL219" s="19"/>
      <c r="EM219" s="19"/>
      <c r="EN219" s="19"/>
      <c r="EO219" s="19"/>
      <c r="EP219" s="19"/>
      <c r="EQ219" s="19"/>
      <c r="ER219" s="19"/>
      <c r="ES219" s="19"/>
      <c r="ET219" s="19"/>
      <c r="EU219" s="19"/>
      <c r="EV219" s="19"/>
      <c r="EW219" s="19"/>
      <c r="EX219" s="19"/>
      <c r="EY219" s="19"/>
      <c r="EZ219" s="19"/>
      <c r="FA219" s="19"/>
      <c r="FB219" s="19"/>
      <c r="FC219" s="19"/>
      <c r="FD219" s="19"/>
      <c r="FE219" s="19"/>
      <c r="FF219" s="19"/>
      <c r="FG219" s="19"/>
      <c r="FH219" s="19"/>
      <c r="FI219" s="19"/>
      <c r="FJ219" s="19"/>
      <c r="FK219" s="19"/>
      <c r="FL219" s="20" t="s">
        <v>834</v>
      </c>
      <c r="FM219" s="20" t="s">
        <v>255</v>
      </c>
      <c r="FN219" s="19"/>
      <c r="FO219" s="19"/>
      <c r="FP219" s="19"/>
      <c r="FQ219" s="19"/>
      <c r="FR219" s="19"/>
      <c r="FS219" s="19"/>
      <c r="FT219" s="19"/>
      <c r="FU219" s="19"/>
      <c r="FV219" s="19"/>
      <c r="FW219" s="19"/>
      <c r="FX219" s="19"/>
      <c r="FY219" s="19"/>
      <c r="FZ219" s="19"/>
      <c r="GA219" s="19"/>
      <c r="GB219" s="19"/>
      <c r="GC219" s="19"/>
      <c r="GD219" s="19"/>
      <c r="GE219" s="19"/>
      <c r="GF219" s="19"/>
      <c r="GG219" s="19"/>
      <c r="GH219" s="19"/>
      <c r="GI219" s="19"/>
      <c r="GJ219" s="19"/>
      <c r="GK219" s="19"/>
      <c r="GL219" s="19"/>
      <c r="GM219" s="19"/>
      <c r="GN219" s="19"/>
      <c r="GO219" s="19"/>
      <c r="GP219" s="19"/>
      <c r="GQ219" s="19"/>
      <c r="GR219" s="19"/>
      <c r="GS219" s="19"/>
      <c r="GT219" s="19"/>
      <c r="GU219" s="19"/>
      <c r="GV219" s="19"/>
      <c r="GW219" s="19"/>
      <c r="GX219" s="19"/>
      <c r="GY219" s="19"/>
      <c r="GZ219" s="19"/>
      <c r="HA219" s="19"/>
    </row>
    <row r="220" spans="1:209" ht="23.25" customHeight="1" x14ac:dyDescent="0.15">
      <c r="A220" s="26">
        <v>44659.683195763893</v>
      </c>
      <c r="B220" s="27" t="s">
        <v>6</v>
      </c>
      <c r="C220" s="27" t="s">
        <v>11</v>
      </c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  <c r="AX220" s="27" t="s">
        <v>856</v>
      </c>
      <c r="AY220" s="27" t="s">
        <v>857</v>
      </c>
      <c r="AZ220" s="27" t="s">
        <v>858</v>
      </c>
      <c r="BA220" s="27" t="s">
        <v>859</v>
      </c>
      <c r="BB220" s="27" t="s">
        <v>507</v>
      </c>
      <c r="BC220" s="29">
        <v>44190</v>
      </c>
      <c r="BD220" s="29">
        <v>44231</v>
      </c>
      <c r="BE220" s="29">
        <v>44231</v>
      </c>
      <c r="BF220" s="27">
        <v>100</v>
      </c>
      <c r="BG220" s="27" t="s">
        <v>860</v>
      </c>
      <c r="BH220" s="30" t="s">
        <v>861</v>
      </c>
      <c r="BI220" s="28"/>
      <c r="BJ220" s="28"/>
      <c r="BK220" s="28"/>
      <c r="BL220" s="28"/>
      <c r="BM220" s="28"/>
      <c r="BN220" s="28"/>
      <c r="BO220" s="28"/>
      <c r="BP220" s="28"/>
      <c r="BQ220" s="28"/>
      <c r="BR220" s="28"/>
      <c r="BS220" s="28"/>
      <c r="BT220" s="28"/>
      <c r="BU220" s="28"/>
      <c r="BV220" s="28"/>
      <c r="BW220" s="28"/>
      <c r="BX220" s="28"/>
      <c r="BY220" s="19"/>
      <c r="BZ220" s="19"/>
      <c r="CA220" s="19"/>
      <c r="CB220" s="19"/>
      <c r="CC220" s="19"/>
      <c r="CD220" s="19"/>
      <c r="CE220" s="19"/>
      <c r="CF220" s="19"/>
      <c r="CG220" s="19"/>
      <c r="CH220" s="19"/>
      <c r="CI220" s="19"/>
      <c r="CJ220" s="19"/>
      <c r="CK220" s="19"/>
      <c r="CL220" s="19"/>
      <c r="CM220" s="19"/>
      <c r="CN220" s="19"/>
      <c r="CO220" s="19"/>
      <c r="CP220" s="19"/>
      <c r="CQ220" s="19"/>
      <c r="CR220" s="19"/>
      <c r="CS220" s="19"/>
      <c r="CT220" s="19"/>
      <c r="CU220" s="19"/>
      <c r="CV220" s="19"/>
      <c r="CW220" s="19"/>
      <c r="CX220" s="19"/>
      <c r="CY220" s="19"/>
      <c r="CZ220" s="19"/>
      <c r="DA220" s="19"/>
      <c r="DB220" s="19"/>
      <c r="DC220" s="19"/>
      <c r="DD220" s="19"/>
      <c r="DE220" s="19"/>
      <c r="DF220" s="19"/>
      <c r="DG220" s="19"/>
      <c r="DH220" s="19"/>
      <c r="DI220" s="19"/>
      <c r="DJ220" s="19"/>
      <c r="DK220" s="19"/>
      <c r="DL220" s="19"/>
      <c r="DM220" s="19"/>
      <c r="DN220" s="19"/>
      <c r="DO220" s="19"/>
      <c r="DP220" s="19"/>
      <c r="DQ220" s="19"/>
      <c r="DR220" s="19"/>
      <c r="DS220" s="19"/>
      <c r="DT220" s="19"/>
      <c r="DU220" s="19"/>
      <c r="DV220" s="19"/>
      <c r="DW220" s="19"/>
      <c r="DX220" s="19"/>
      <c r="DY220" s="19"/>
      <c r="DZ220" s="19"/>
      <c r="EA220" s="19"/>
      <c r="EB220" s="19"/>
      <c r="EC220" s="19"/>
      <c r="ED220" s="19"/>
      <c r="EE220" s="19"/>
      <c r="EF220" s="19"/>
      <c r="EG220" s="19"/>
      <c r="EH220" s="19"/>
      <c r="EI220" s="19"/>
      <c r="EJ220" s="19"/>
      <c r="EK220" s="19"/>
      <c r="EL220" s="19"/>
      <c r="EM220" s="19"/>
      <c r="EN220" s="19"/>
      <c r="EO220" s="19"/>
      <c r="EP220" s="19"/>
      <c r="EQ220" s="19"/>
      <c r="ER220" s="19"/>
      <c r="ES220" s="19"/>
      <c r="ET220" s="19"/>
      <c r="EU220" s="19"/>
      <c r="EV220" s="19"/>
      <c r="EW220" s="19"/>
      <c r="EX220" s="19"/>
      <c r="EY220" s="19"/>
      <c r="EZ220" s="19"/>
      <c r="FA220" s="19"/>
      <c r="FB220" s="19"/>
      <c r="FC220" s="19"/>
      <c r="FD220" s="19"/>
      <c r="FE220" s="19"/>
      <c r="FF220" s="19"/>
      <c r="FG220" s="19"/>
      <c r="FH220" s="19"/>
      <c r="FI220" s="19"/>
      <c r="FJ220" s="19"/>
      <c r="FK220" s="19"/>
      <c r="FL220" s="20" t="s">
        <v>862</v>
      </c>
      <c r="FM220" s="20" t="s">
        <v>412</v>
      </c>
      <c r="FN220" s="19"/>
      <c r="FO220" s="19"/>
      <c r="FP220" s="19"/>
      <c r="FQ220" s="19"/>
      <c r="FR220" s="19"/>
      <c r="FS220" s="19"/>
      <c r="FT220" s="19"/>
      <c r="FU220" s="19"/>
      <c r="FV220" s="19"/>
      <c r="FW220" s="19"/>
      <c r="FX220" s="19"/>
      <c r="FY220" s="19"/>
      <c r="FZ220" s="19"/>
      <c r="GA220" s="19"/>
      <c r="GB220" s="19"/>
      <c r="GC220" s="19"/>
      <c r="GD220" s="19"/>
      <c r="GE220" s="19"/>
      <c r="GF220" s="19"/>
      <c r="GG220" s="19"/>
      <c r="GH220" s="19"/>
      <c r="GI220" s="19"/>
      <c r="GJ220" s="19"/>
      <c r="GK220" s="19"/>
      <c r="GL220" s="19"/>
      <c r="GM220" s="19"/>
      <c r="GN220" s="19"/>
      <c r="GO220" s="19"/>
      <c r="GP220" s="19"/>
      <c r="GQ220" s="19"/>
      <c r="GR220" s="19"/>
      <c r="GS220" s="19"/>
      <c r="GT220" s="19"/>
      <c r="GU220" s="19"/>
      <c r="GV220" s="19"/>
      <c r="GW220" s="19"/>
      <c r="GX220" s="19"/>
      <c r="GY220" s="19"/>
      <c r="GZ220" s="19"/>
      <c r="HA220" s="19"/>
    </row>
    <row r="221" spans="1:209" ht="23.25" customHeight="1" x14ac:dyDescent="0.15">
      <c r="A221" s="26">
        <v>44659.684401701394</v>
      </c>
      <c r="B221" s="27" t="s">
        <v>6</v>
      </c>
      <c r="C221" s="27" t="s">
        <v>11</v>
      </c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  <c r="AX221" s="27" t="s">
        <v>830</v>
      </c>
      <c r="AY221" s="27" t="s">
        <v>831</v>
      </c>
      <c r="AZ221" s="27" t="s">
        <v>684</v>
      </c>
      <c r="BA221" s="27" t="s">
        <v>375</v>
      </c>
      <c r="BB221" s="27" t="s">
        <v>308</v>
      </c>
      <c r="BC221" s="29">
        <v>43862</v>
      </c>
      <c r="BD221" s="29">
        <v>43921</v>
      </c>
      <c r="BE221" s="29">
        <v>43923</v>
      </c>
      <c r="BF221" s="27">
        <v>100</v>
      </c>
      <c r="BG221" s="27" t="s">
        <v>556</v>
      </c>
      <c r="BH221" s="30" t="s">
        <v>863</v>
      </c>
      <c r="BI221" s="28"/>
      <c r="BJ221" s="28"/>
      <c r="BK221" s="28"/>
      <c r="BL221" s="28"/>
      <c r="BM221" s="28"/>
      <c r="BN221" s="28"/>
      <c r="BO221" s="28"/>
      <c r="BP221" s="28"/>
      <c r="BQ221" s="28"/>
      <c r="BR221" s="28"/>
      <c r="BS221" s="28"/>
      <c r="BT221" s="28"/>
      <c r="BU221" s="28"/>
      <c r="BV221" s="28"/>
      <c r="BW221" s="28"/>
      <c r="BX221" s="28"/>
      <c r="BY221" s="19"/>
      <c r="BZ221" s="19"/>
      <c r="CA221" s="19"/>
      <c r="CB221" s="19"/>
      <c r="CC221" s="19"/>
      <c r="CD221" s="19"/>
      <c r="CE221" s="19"/>
      <c r="CF221" s="19"/>
      <c r="CG221" s="19"/>
      <c r="CH221" s="19"/>
      <c r="CI221" s="19"/>
      <c r="CJ221" s="19"/>
      <c r="CK221" s="19"/>
      <c r="CL221" s="19"/>
      <c r="CM221" s="19"/>
      <c r="CN221" s="19"/>
      <c r="CO221" s="19"/>
      <c r="CP221" s="19"/>
      <c r="CQ221" s="19"/>
      <c r="CR221" s="19"/>
      <c r="CS221" s="19"/>
      <c r="CT221" s="19"/>
      <c r="CU221" s="19"/>
      <c r="CV221" s="19"/>
      <c r="CW221" s="19"/>
      <c r="CX221" s="19"/>
      <c r="CY221" s="19"/>
      <c r="CZ221" s="19"/>
      <c r="DA221" s="19"/>
      <c r="DB221" s="19"/>
      <c r="DC221" s="19"/>
      <c r="DD221" s="19"/>
      <c r="DE221" s="19"/>
      <c r="DF221" s="19"/>
      <c r="DG221" s="19"/>
      <c r="DH221" s="19"/>
      <c r="DI221" s="19"/>
      <c r="DJ221" s="19"/>
      <c r="DK221" s="19"/>
      <c r="DL221" s="19"/>
      <c r="DM221" s="19"/>
      <c r="DN221" s="19"/>
      <c r="DO221" s="19"/>
      <c r="DP221" s="19"/>
      <c r="DQ221" s="19"/>
      <c r="DR221" s="19"/>
      <c r="DS221" s="19"/>
      <c r="DT221" s="19"/>
      <c r="DU221" s="19"/>
      <c r="DV221" s="19"/>
      <c r="DW221" s="19"/>
      <c r="DX221" s="19"/>
      <c r="DY221" s="19"/>
      <c r="DZ221" s="19"/>
      <c r="EA221" s="19"/>
      <c r="EB221" s="19"/>
      <c r="EC221" s="19"/>
      <c r="ED221" s="19"/>
      <c r="EE221" s="19"/>
      <c r="EF221" s="19"/>
      <c r="EG221" s="19"/>
      <c r="EH221" s="19"/>
      <c r="EI221" s="19"/>
      <c r="EJ221" s="19"/>
      <c r="EK221" s="19"/>
      <c r="EL221" s="19"/>
      <c r="EM221" s="19"/>
      <c r="EN221" s="19"/>
      <c r="EO221" s="19"/>
      <c r="EP221" s="19"/>
      <c r="EQ221" s="19"/>
      <c r="ER221" s="19"/>
      <c r="ES221" s="19"/>
      <c r="ET221" s="19"/>
      <c r="EU221" s="19"/>
      <c r="EV221" s="19"/>
      <c r="EW221" s="19"/>
      <c r="EX221" s="19"/>
      <c r="EY221" s="19"/>
      <c r="EZ221" s="19"/>
      <c r="FA221" s="19"/>
      <c r="FB221" s="19"/>
      <c r="FC221" s="19"/>
      <c r="FD221" s="19"/>
      <c r="FE221" s="19"/>
      <c r="FF221" s="19"/>
      <c r="FG221" s="19"/>
      <c r="FH221" s="19"/>
      <c r="FI221" s="19"/>
      <c r="FJ221" s="19"/>
      <c r="FK221" s="19"/>
      <c r="FL221" s="20" t="s">
        <v>834</v>
      </c>
      <c r="FM221" s="20" t="s">
        <v>255</v>
      </c>
      <c r="FN221" s="19"/>
      <c r="FO221" s="19"/>
      <c r="FP221" s="19"/>
      <c r="FQ221" s="19"/>
      <c r="FR221" s="19"/>
      <c r="FS221" s="19"/>
      <c r="FT221" s="19"/>
      <c r="FU221" s="19"/>
      <c r="FV221" s="19"/>
      <c r="FW221" s="19"/>
      <c r="FX221" s="19"/>
      <c r="FY221" s="19"/>
      <c r="FZ221" s="19"/>
      <c r="GA221" s="19"/>
      <c r="GB221" s="19"/>
      <c r="GC221" s="19"/>
      <c r="GD221" s="19"/>
      <c r="GE221" s="19"/>
      <c r="GF221" s="19"/>
      <c r="GG221" s="19"/>
      <c r="GH221" s="19"/>
      <c r="GI221" s="19"/>
      <c r="GJ221" s="19"/>
      <c r="GK221" s="19"/>
      <c r="GL221" s="19"/>
      <c r="GM221" s="19"/>
      <c r="GN221" s="19"/>
      <c r="GO221" s="19"/>
      <c r="GP221" s="19"/>
      <c r="GQ221" s="19"/>
      <c r="GR221" s="19"/>
      <c r="GS221" s="19"/>
      <c r="GT221" s="19"/>
      <c r="GU221" s="19"/>
      <c r="GV221" s="19"/>
      <c r="GW221" s="19"/>
      <c r="GX221" s="19"/>
      <c r="GY221" s="19"/>
      <c r="GZ221" s="19"/>
      <c r="HA221" s="19"/>
    </row>
    <row r="222" spans="1:209" ht="23.25" customHeight="1" x14ac:dyDescent="0.15">
      <c r="A222" s="26">
        <v>44659.684695972217</v>
      </c>
      <c r="B222" s="27" t="s">
        <v>6</v>
      </c>
      <c r="C222" s="27" t="s">
        <v>11</v>
      </c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  <c r="AX222" s="27" t="s">
        <v>814</v>
      </c>
      <c r="AY222" s="27" t="s">
        <v>815</v>
      </c>
      <c r="AZ222" s="27" t="s">
        <v>568</v>
      </c>
      <c r="BA222" s="27" t="s">
        <v>375</v>
      </c>
      <c r="BB222" s="27" t="s">
        <v>308</v>
      </c>
      <c r="BC222" s="29">
        <v>44383</v>
      </c>
      <c r="BD222" s="29">
        <v>44445</v>
      </c>
      <c r="BE222" s="29">
        <v>44445</v>
      </c>
      <c r="BF222" s="27">
        <v>100</v>
      </c>
      <c r="BG222" s="27" t="s">
        <v>556</v>
      </c>
      <c r="BH222" s="30" t="s">
        <v>864</v>
      </c>
      <c r="BI222" s="28"/>
      <c r="BJ222" s="28"/>
      <c r="BK222" s="28"/>
      <c r="BL222" s="28"/>
      <c r="BM222" s="28"/>
      <c r="BN222" s="28"/>
      <c r="BO222" s="28"/>
      <c r="BP222" s="28"/>
      <c r="BQ222" s="28"/>
      <c r="BR222" s="28"/>
      <c r="BS222" s="28"/>
      <c r="BT222" s="28"/>
      <c r="BU222" s="28"/>
      <c r="BV222" s="28"/>
      <c r="BW222" s="28"/>
      <c r="BX222" s="28"/>
      <c r="BY222" s="19"/>
      <c r="BZ222" s="19"/>
      <c r="CA222" s="19"/>
      <c r="CB222" s="19"/>
      <c r="CC222" s="19"/>
      <c r="CD222" s="19"/>
      <c r="CE222" s="19"/>
      <c r="CF222" s="19"/>
      <c r="CG222" s="19"/>
      <c r="CH222" s="19"/>
      <c r="CI222" s="19"/>
      <c r="CJ222" s="19"/>
      <c r="CK222" s="19"/>
      <c r="CL222" s="19"/>
      <c r="CM222" s="19"/>
      <c r="CN222" s="19"/>
      <c r="CO222" s="19"/>
      <c r="CP222" s="19"/>
      <c r="CQ222" s="19"/>
      <c r="CR222" s="19"/>
      <c r="CS222" s="19"/>
      <c r="CT222" s="19"/>
      <c r="CU222" s="19"/>
      <c r="CV222" s="19"/>
      <c r="CW222" s="19"/>
      <c r="CX222" s="19"/>
      <c r="CY222" s="19"/>
      <c r="CZ222" s="19"/>
      <c r="DA222" s="19"/>
      <c r="DB222" s="19"/>
      <c r="DC222" s="19"/>
      <c r="DD222" s="19"/>
      <c r="DE222" s="19"/>
      <c r="DF222" s="19"/>
      <c r="DG222" s="19"/>
      <c r="DH222" s="19"/>
      <c r="DI222" s="19"/>
      <c r="DJ222" s="19"/>
      <c r="DK222" s="19"/>
      <c r="DL222" s="19"/>
      <c r="DM222" s="19"/>
      <c r="DN222" s="19"/>
      <c r="DO222" s="19"/>
      <c r="DP222" s="19"/>
      <c r="DQ222" s="19"/>
      <c r="DR222" s="19"/>
      <c r="DS222" s="19"/>
      <c r="DT222" s="19"/>
      <c r="DU222" s="19"/>
      <c r="DV222" s="19"/>
      <c r="DW222" s="19"/>
      <c r="DX222" s="19"/>
      <c r="DY222" s="19"/>
      <c r="DZ222" s="19"/>
      <c r="EA222" s="19"/>
      <c r="EB222" s="19"/>
      <c r="EC222" s="19"/>
      <c r="ED222" s="19"/>
      <c r="EE222" s="19"/>
      <c r="EF222" s="19"/>
      <c r="EG222" s="19"/>
      <c r="EH222" s="19"/>
      <c r="EI222" s="19"/>
      <c r="EJ222" s="19"/>
      <c r="EK222" s="19"/>
      <c r="EL222" s="19"/>
      <c r="EM222" s="19"/>
      <c r="EN222" s="19"/>
      <c r="EO222" s="19"/>
      <c r="EP222" s="19"/>
      <c r="EQ222" s="19"/>
      <c r="ER222" s="19"/>
      <c r="ES222" s="19"/>
      <c r="ET222" s="19"/>
      <c r="EU222" s="19"/>
      <c r="EV222" s="19"/>
      <c r="EW222" s="19"/>
      <c r="EX222" s="19"/>
      <c r="EY222" s="19"/>
      <c r="EZ222" s="19"/>
      <c r="FA222" s="19"/>
      <c r="FB222" s="19"/>
      <c r="FC222" s="19"/>
      <c r="FD222" s="19"/>
      <c r="FE222" s="19"/>
      <c r="FF222" s="19"/>
      <c r="FG222" s="19"/>
      <c r="FH222" s="19"/>
      <c r="FI222" s="19"/>
      <c r="FJ222" s="19"/>
      <c r="FK222" s="19"/>
      <c r="FL222" s="20" t="s">
        <v>818</v>
      </c>
      <c r="FM222" s="20" t="s">
        <v>278</v>
      </c>
      <c r="FN222" s="19"/>
      <c r="FO222" s="19"/>
      <c r="FP222" s="19"/>
      <c r="FQ222" s="19"/>
      <c r="FR222" s="19"/>
      <c r="FS222" s="19"/>
      <c r="FT222" s="19"/>
      <c r="FU222" s="19"/>
      <c r="FV222" s="19"/>
      <c r="FW222" s="19"/>
      <c r="FX222" s="19"/>
      <c r="FY222" s="19"/>
      <c r="FZ222" s="19"/>
      <c r="GA222" s="19"/>
      <c r="GB222" s="19"/>
      <c r="GC222" s="19"/>
      <c r="GD222" s="19"/>
      <c r="GE222" s="19"/>
      <c r="GF222" s="19"/>
      <c r="GG222" s="19"/>
      <c r="GH222" s="19"/>
      <c r="GI222" s="19"/>
      <c r="GJ222" s="19"/>
      <c r="GK222" s="19"/>
      <c r="GL222" s="19"/>
      <c r="GM222" s="19"/>
      <c r="GN222" s="19"/>
      <c r="GO222" s="19"/>
      <c r="GP222" s="19"/>
      <c r="GQ222" s="19"/>
      <c r="GR222" s="19"/>
      <c r="GS222" s="19"/>
      <c r="GT222" s="19"/>
      <c r="GU222" s="19"/>
      <c r="GV222" s="19"/>
      <c r="GW222" s="19"/>
      <c r="GX222" s="19"/>
      <c r="GY222" s="19"/>
      <c r="GZ222" s="19"/>
      <c r="HA222" s="19"/>
    </row>
    <row r="223" spans="1:209" ht="23.25" customHeight="1" x14ac:dyDescent="0.15">
      <c r="A223" s="26">
        <v>44659.686571377315</v>
      </c>
      <c r="B223" s="27" t="s">
        <v>6</v>
      </c>
      <c r="C223" s="27" t="s">
        <v>10</v>
      </c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7" t="s">
        <v>762</v>
      </c>
      <c r="AO223" s="27" t="s">
        <v>763</v>
      </c>
      <c r="AP223" s="27" t="s">
        <v>865</v>
      </c>
      <c r="AQ223" s="27" t="s">
        <v>448</v>
      </c>
      <c r="AR223" s="29">
        <v>44470</v>
      </c>
      <c r="AS223" s="29">
        <v>44561</v>
      </c>
      <c r="AT223" s="27" t="s">
        <v>252</v>
      </c>
      <c r="AU223" s="27" t="s">
        <v>252</v>
      </c>
      <c r="AV223" s="27">
        <v>0</v>
      </c>
      <c r="AW223" s="30" t="s">
        <v>866</v>
      </c>
      <c r="AX223" s="28"/>
      <c r="AY223" s="28"/>
      <c r="AZ223" s="28"/>
      <c r="BA223" s="28"/>
      <c r="BB223" s="28"/>
      <c r="BC223" s="28"/>
      <c r="BD223" s="28"/>
      <c r="BE223" s="28"/>
      <c r="BF223" s="28"/>
      <c r="BG223" s="28"/>
      <c r="BH223" s="28"/>
      <c r="BI223" s="28"/>
      <c r="BJ223" s="28"/>
      <c r="BK223" s="28"/>
      <c r="BL223" s="28"/>
      <c r="BM223" s="28"/>
      <c r="BN223" s="28"/>
      <c r="BO223" s="28"/>
      <c r="BP223" s="28"/>
      <c r="BQ223" s="28"/>
      <c r="BR223" s="28"/>
      <c r="BS223" s="28"/>
      <c r="BT223" s="28"/>
      <c r="BU223" s="28"/>
      <c r="BV223" s="28"/>
      <c r="BW223" s="28"/>
      <c r="BX223" s="28"/>
      <c r="BY223" s="19"/>
      <c r="BZ223" s="19"/>
      <c r="CA223" s="19"/>
      <c r="CB223" s="19"/>
      <c r="CC223" s="19"/>
      <c r="CD223" s="19"/>
      <c r="CE223" s="19"/>
      <c r="CF223" s="19"/>
      <c r="CG223" s="19"/>
      <c r="CH223" s="19"/>
      <c r="CI223" s="19"/>
      <c r="CJ223" s="19"/>
      <c r="CK223" s="19"/>
      <c r="CL223" s="19"/>
      <c r="CM223" s="19"/>
      <c r="CN223" s="19"/>
      <c r="CO223" s="19"/>
      <c r="CP223" s="19"/>
      <c r="CQ223" s="19"/>
      <c r="CR223" s="19"/>
      <c r="CS223" s="19"/>
      <c r="CT223" s="19"/>
      <c r="CU223" s="19"/>
      <c r="CV223" s="19"/>
      <c r="CW223" s="19"/>
      <c r="CX223" s="19"/>
      <c r="CY223" s="19"/>
      <c r="CZ223" s="19"/>
      <c r="DA223" s="19"/>
      <c r="DB223" s="19"/>
      <c r="DC223" s="19"/>
      <c r="DD223" s="19"/>
      <c r="DE223" s="19"/>
      <c r="DF223" s="19"/>
      <c r="DG223" s="19"/>
      <c r="DH223" s="19"/>
      <c r="DI223" s="19"/>
      <c r="DJ223" s="19"/>
      <c r="DK223" s="19"/>
      <c r="DL223" s="19"/>
      <c r="DM223" s="19"/>
      <c r="DN223" s="19"/>
      <c r="DO223" s="19"/>
      <c r="DP223" s="19"/>
      <c r="DQ223" s="19"/>
      <c r="DR223" s="19"/>
      <c r="DS223" s="19"/>
      <c r="DT223" s="19"/>
      <c r="DU223" s="19"/>
      <c r="DV223" s="19"/>
      <c r="DW223" s="19"/>
      <c r="DX223" s="19"/>
      <c r="DY223" s="19"/>
      <c r="DZ223" s="19"/>
      <c r="EA223" s="19"/>
      <c r="EB223" s="19"/>
      <c r="EC223" s="19"/>
      <c r="ED223" s="19"/>
      <c r="EE223" s="19"/>
      <c r="EF223" s="19"/>
      <c r="EG223" s="19"/>
      <c r="EH223" s="19"/>
      <c r="EI223" s="19"/>
      <c r="EJ223" s="19"/>
      <c r="EK223" s="19"/>
      <c r="EL223" s="19"/>
      <c r="EM223" s="19"/>
      <c r="EN223" s="19"/>
      <c r="EO223" s="19"/>
      <c r="EP223" s="19"/>
      <c r="EQ223" s="19"/>
      <c r="ER223" s="19"/>
      <c r="ES223" s="19"/>
      <c r="ET223" s="19"/>
      <c r="EU223" s="19"/>
      <c r="EV223" s="19"/>
      <c r="EW223" s="19"/>
      <c r="EX223" s="19"/>
      <c r="EY223" s="19"/>
      <c r="EZ223" s="19"/>
      <c r="FA223" s="19"/>
      <c r="FB223" s="19"/>
      <c r="FC223" s="19"/>
      <c r="FD223" s="19"/>
      <c r="FE223" s="19"/>
      <c r="FF223" s="19"/>
      <c r="FG223" s="19"/>
      <c r="FH223" s="19"/>
      <c r="FI223" s="19"/>
      <c r="FJ223" s="19"/>
      <c r="FK223" s="19"/>
      <c r="FL223" s="20" t="s">
        <v>767</v>
      </c>
      <c r="FM223" s="20" t="s">
        <v>255</v>
      </c>
      <c r="FN223" s="19"/>
      <c r="FO223" s="19"/>
      <c r="FP223" s="19"/>
      <c r="FQ223" s="19"/>
      <c r="FR223" s="19"/>
      <c r="FS223" s="19"/>
      <c r="FT223" s="19"/>
      <c r="FU223" s="19"/>
      <c r="FV223" s="19"/>
      <c r="FW223" s="19"/>
      <c r="FX223" s="19"/>
      <c r="FY223" s="19"/>
      <c r="FZ223" s="19"/>
      <c r="GA223" s="19"/>
      <c r="GB223" s="19"/>
      <c r="GC223" s="19"/>
      <c r="GD223" s="19"/>
      <c r="GE223" s="19"/>
      <c r="GF223" s="19"/>
      <c r="GG223" s="19"/>
      <c r="GH223" s="19"/>
      <c r="GI223" s="19"/>
      <c r="GJ223" s="19"/>
      <c r="GK223" s="19"/>
      <c r="GL223" s="19"/>
      <c r="GM223" s="19"/>
      <c r="GN223" s="19"/>
      <c r="GO223" s="19"/>
      <c r="GP223" s="19"/>
      <c r="GQ223" s="19"/>
      <c r="GR223" s="19"/>
      <c r="GS223" s="19"/>
      <c r="GT223" s="19"/>
      <c r="GU223" s="19"/>
      <c r="GV223" s="19"/>
      <c r="GW223" s="19"/>
      <c r="GX223" s="19"/>
      <c r="GY223" s="19"/>
      <c r="GZ223" s="19"/>
      <c r="HA223" s="19"/>
    </row>
    <row r="224" spans="1:209" ht="23.25" customHeight="1" x14ac:dyDescent="0.15">
      <c r="A224" s="26">
        <v>44659.686901817127</v>
      </c>
      <c r="B224" s="27" t="s">
        <v>6</v>
      </c>
      <c r="C224" s="27" t="s">
        <v>11</v>
      </c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  <c r="AX224" s="27" t="s">
        <v>830</v>
      </c>
      <c r="AY224" s="27" t="s">
        <v>831</v>
      </c>
      <c r="AZ224" s="27" t="s">
        <v>867</v>
      </c>
      <c r="BA224" s="27" t="s">
        <v>498</v>
      </c>
      <c r="BB224" s="27" t="s">
        <v>493</v>
      </c>
      <c r="BC224" s="29">
        <v>44470</v>
      </c>
      <c r="BD224" s="29">
        <v>44500</v>
      </c>
      <c r="BE224" s="29">
        <v>44512</v>
      </c>
      <c r="BF224" s="27">
        <v>100</v>
      </c>
      <c r="BG224" s="27" t="s">
        <v>556</v>
      </c>
      <c r="BH224" s="30" t="s">
        <v>868</v>
      </c>
      <c r="BI224" s="28"/>
      <c r="BJ224" s="28"/>
      <c r="BK224" s="28"/>
      <c r="BL224" s="28"/>
      <c r="BM224" s="28"/>
      <c r="BN224" s="28"/>
      <c r="BO224" s="28"/>
      <c r="BP224" s="28"/>
      <c r="BQ224" s="28"/>
      <c r="BR224" s="28"/>
      <c r="BS224" s="28"/>
      <c r="BT224" s="28"/>
      <c r="BU224" s="28"/>
      <c r="BV224" s="28"/>
      <c r="BW224" s="28"/>
      <c r="BX224" s="28"/>
      <c r="BY224" s="19"/>
      <c r="BZ224" s="19"/>
      <c r="CA224" s="19"/>
      <c r="CB224" s="19"/>
      <c r="CC224" s="19"/>
      <c r="CD224" s="19"/>
      <c r="CE224" s="19"/>
      <c r="CF224" s="19"/>
      <c r="CG224" s="19"/>
      <c r="CH224" s="19"/>
      <c r="CI224" s="19"/>
      <c r="CJ224" s="19"/>
      <c r="CK224" s="19"/>
      <c r="CL224" s="19"/>
      <c r="CM224" s="19"/>
      <c r="CN224" s="19"/>
      <c r="CO224" s="19"/>
      <c r="CP224" s="19"/>
      <c r="CQ224" s="19"/>
      <c r="CR224" s="19"/>
      <c r="CS224" s="19"/>
      <c r="CT224" s="19"/>
      <c r="CU224" s="19"/>
      <c r="CV224" s="19"/>
      <c r="CW224" s="19"/>
      <c r="CX224" s="19"/>
      <c r="CY224" s="19"/>
      <c r="CZ224" s="19"/>
      <c r="DA224" s="19"/>
      <c r="DB224" s="19"/>
      <c r="DC224" s="19"/>
      <c r="DD224" s="19"/>
      <c r="DE224" s="19"/>
      <c r="DF224" s="19"/>
      <c r="DG224" s="19"/>
      <c r="DH224" s="19"/>
      <c r="DI224" s="19"/>
      <c r="DJ224" s="19"/>
      <c r="DK224" s="19"/>
      <c r="DL224" s="19"/>
      <c r="DM224" s="19"/>
      <c r="DN224" s="19"/>
      <c r="DO224" s="19"/>
      <c r="DP224" s="19"/>
      <c r="DQ224" s="19"/>
      <c r="DR224" s="19"/>
      <c r="DS224" s="19"/>
      <c r="DT224" s="19"/>
      <c r="DU224" s="19"/>
      <c r="DV224" s="19"/>
      <c r="DW224" s="19"/>
      <c r="DX224" s="19"/>
      <c r="DY224" s="19"/>
      <c r="DZ224" s="19"/>
      <c r="EA224" s="19"/>
      <c r="EB224" s="19"/>
      <c r="EC224" s="19"/>
      <c r="ED224" s="19"/>
      <c r="EE224" s="19"/>
      <c r="EF224" s="19"/>
      <c r="EG224" s="19"/>
      <c r="EH224" s="19"/>
      <c r="EI224" s="19"/>
      <c r="EJ224" s="19"/>
      <c r="EK224" s="19"/>
      <c r="EL224" s="19"/>
      <c r="EM224" s="19"/>
      <c r="EN224" s="19"/>
      <c r="EO224" s="19"/>
      <c r="EP224" s="19"/>
      <c r="EQ224" s="19"/>
      <c r="ER224" s="19"/>
      <c r="ES224" s="19"/>
      <c r="ET224" s="19"/>
      <c r="EU224" s="19"/>
      <c r="EV224" s="19"/>
      <c r="EW224" s="19"/>
      <c r="EX224" s="19"/>
      <c r="EY224" s="19"/>
      <c r="EZ224" s="19"/>
      <c r="FA224" s="19"/>
      <c r="FB224" s="19"/>
      <c r="FC224" s="19"/>
      <c r="FD224" s="19"/>
      <c r="FE224" s="19"/>
      <c r="FF224" s="19"/>
      <c r="FG224" s="19"/>
      <c r="FH224" s="19"/>
      <c r="FI224" s="19"/>
      <c r="FJ224" s="19"/>
      <c r="FK224" s="19"/>
      <c r="FL224" s="20" t="s">
        <v>834</v>
      </c>
      <c r="FM224" s="20" t="s">
        <v>255</v>
      </c>
      <c r="FN224" s="19"/>
      <c r="FO224" s="19"/>
      <c r="FP224" s="19"/>
      <c r="FQ224" s="19"/>
      <c r="FR224" s="19"/>
      <c r="FS224" s="19"/>
      <c r="FT224" s="19"/>
      <c r="FU224" s="19"/>
      <c r="FV224" s="19"/>
      <c r="FW224" s="19"/>
      <c r="FX224" s="19"/>
      <c r="FY224" s="19"/>
      <c r="FZ224" s="19"/>
      <c r="GA224" s="19"/>
      <c r="GB224" s="19"/>
      <c r="GC224" s="19"/>
      <c r="GD224" s="19"/>
      <c r="GE224" s="19"/>
      <c r="GF224" s="19"/>
      <c r="GG224" s="19"/>
      <c r="GH224" s="19"/>
      <c r="GI224" s="19"/>
      <c r="GJ224" s="19"/>
      <c r="GK224" s="19"/>
      <c r="GL224" s="19"/>
      <c r="GM224" s="19"/>
      <c r="GN224" s="19"/>
      <c r="GO224" s="19"/>
      <c r="GP224" s="19"/>
      <c r="GQ224" s="19"/>
      <c r="GR224" s="19"/>
      <c r="GS224" s="19"/>
      <c r="GT224" s="19"/>
      <c r="GU224" s="19"/>
      <c r="GV224" s="19"/>
      <c r="GW224" s="19"/>
      <c r="GX224" s="19"/>
      <c r="GY224" s="19"/>
      <c r="GZ224" s="19"/>
      <c r="HA224" s="19"/>
    </row>
    <row r="225" spans="1:209" ht="23.25" customHeight="1" x14ac:dyDescent="0.15">
      <c r="A225" s="26">
        <v>44659.688326006944</v>
      </c>
      <c r="B225" s="27" t="s">
        <v>6</v>
      </c>
      <c r="C225" s="27" t="s">
        <v>11</v>
      </c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  <c r="AX225" s="27" t="s">
        <v>856</v>
      </c>
      <c r="AY225" s="27" t="s">
        <v>857</v>
      </c>
      <c r="AZ225" s="27" t="s">
        <v>869</v>
      </c>
      <c r="BA225" s="27" t="s">
        <v>870</v>
      </c>
      <c r="BB225" s="27" t="s">
        <v>871</v>
      </c>
      <c r="BC225" s="29">
        <v>44033</v>
      </c>
      <c r="BD225" s="29">
        <v>44033</v>
      </c>
      <c r="BE225" s="29">
        <v>44033</v>
      </c>
      <c r="BF225" s="27">
        <v>100</v>
      </c>
      <c r="BG225" s="27" t="s">
        <v>860</v>
      </c>
      <c r="BH225" s="30" t="s">
        <v>872</v>
      </c>
      <c r="BI225" s="28"/>
      <c r="BJ225" s="28"/>
      <c r="BK225" s="28"/>
      <c r="BL225" s="28"/>
      <c r="BM225" s="28"/>
      <c r="BN225" s="28"/>
      <c r="BO225" s="28"/>
      <c r="BP225" s="28"/>
      <c r="BQ225" s="28"/>
      <c r="BR225" s="28"/>
      <c r="BS225" s="28"/>
      <c r="BT225" s="28"/>
      <c r="BU225" s="28"/>
      <c r="BV225" s="28"/>
      <c r="BW225" s="28"/>
      <c r="BX225" s="28"/>
      <c r="BY225" s="19"/>
      <c r="BZ225" s="19"/>
      <c r="CA225" s="19"/>
      <c r="CB225" s="19"/>
      <c r="CC225" s="19"/>
      <c r="CD225" s="19"/>
      <c r="CE225" s="19"/>
      <c r="CF225" s="19"/>
      <c r="CG225" s="19"/>
      <c r="CH225" s="19"/>
      <c r="CI225" s="19"/>
      <c r="CJ225" s="19"/>
      <c r="CK225" s="19"/>
      <c r="CL225" s="19"/>
      <c r="CM225" s="19"/>
      <c r="CN225" s="19"/>
      <c r="CO225" s="19"/>
      <c r="CP225" s="19"/>
      <c r="CQ225" s="19"/>
      <c r="CR225" s="19"/>
      <c r="CS225" s="19"/>
      <c r="CT225" s="19"/>
      <c r="CU225" s="19"/>
      <c r="CV225" s="19"/>
      <c r="CW225" s="19"/>
      <c r="CX225" s="19"/>
      <c r="CY225" s="19"/>
      <c r="CZ225" s="19"/>
      <c r="DA225" s="19"/>
      <c r="DB225" s="19"/>
      <c r="DC225" s="19"/>
      <c r="DD225" s="19"/>
      <c r="DE225" s="19"/>
      <c r="DF225" s="19"/>
      <c r="DG225" s="19"/>
      <c r="DH225" s="19"/>
      <c r="DI225" s="19"/>
      <c r="DJ225" s="19"/>
      <c r="DK225" s="19"/>
      <c r="DL225" s="19"/>
      <c r="DM225" s="19"/>
      <c r="DN225" s="19"/>
      <c r="DO225" s="19"/>
      <c r="DP225" s="19"/>
      <c r="DQ225" s="19"/>
      <c r="DR225" s="19"/>
      <c r="DS225" s="19"/>
      <c r="DT225" s="19"/>
      <c r="DU225" s="19"/>
      <c r="DV225" s="19"/>
      <c r="DW225" s="19"/>
      <c r="DX225" s="19"/>
      <c r="DY225" s="19"/>
      <c r="DZ225" s="19"/>
      <c r="EA225" s="19"/>
      <c r="EB225" s="19"/>
      <c r="EC225" s="19"/>
      <c r="ED225" s="19"/>
      <c r="EE225" s="19"/>
      <c r="EF225" s="19"/>
      <c r="EG225" s="19"/>
      <c r="EH225" s="19"/>
      <c r="EI225" s="19"/>
      <c r="EJ225" s="19"/>
      <c r="EK225" s="19"/>
      <c r="EL225" s="19"/>
      <c r="EM225" s="19"/>
      <c r="EN225" s="19"/>
      <c r="EO225" s="19"/>
      <c r="EP225" s="19"/>
      <c r="EQ225" s="19"/>
      <c r="ER225" s="19"/>
      <c r="ES225" s="19"/>
      <c r="ET225" s="19"/>
      <c r="EU225" s="19"/>
      <c r="EV225" s="19"/>
      <c r="EW225" s="19"/>
      <c r="EX225" s="19"/>
      <c r="EY225" s="19"/>
      <c r="EZ225" s="19"/>
      <c r="FA225" s="19"/>
      <c r="FB225" s="19"/>
      <c r="FC225" s="19"/>
      <c r="FD225" s="19"/>
      <c r="FE225" s="19"/>
      <c r="FF225" s="19"/>
      <c r="FG225" s="19"/>
      <c r="FH225" s="19"/>
      <c r="FI225" s="19"/>
      <c r="FJ225" s="19"/>
      <c r="FK225" s="19"/>
      <c r="FL225" s="20" t="s">
        <v>862</v>
      </c>
      <c r="FM225" s="20" t="s">
        <v>255</v>
      </c>
      <c r="FN225" s="19"/>
      <c r="FO225" s="19"/>
      <c r="FP225" s="19"/>
      <c r="FQ225" s="19"/>
      <c r="FR225" s="19"/>
      <c r="FS225" s="19"/>
      <c r="FT225" s="19"/>
      <c r="FU225" s="19"/>
      <c r="FV225" s="19"/>
      <c r="FW225" s="19"/>
      <c r="FX225" s="19"/>
      <c r="FY225" s="19"/>
      <c r="FZ225" s="19"/>
      <c r="GA225" s="19"/>
      <c r="GB225" s="19"/>
      <c r="GC225" s="19"/>
      <c r="GD225" s="19"/>
      <c r="GE225" s="19"/>
      <c r="GF225" s="19"/>
      <c r="GG225" s="19"/>
      <c r="GH225" s="19"/>
      <c r="GI225" s="19"/>
      <c r="GJ225" s="19"/>
      <c r="GK225" s="19"/>
      <c r="GL225" s="19"/>
      <c r="GM225" s="19"/>
      <c r="GN225" s="19"/>
      <c r="GO225" s="19"/>
      <c r="GP225" s="19"/>
      <c r="GQ225" s="19"/>
      <c r="GR225" s="19"/>
      <c r="GS225" s="19"/>
      <c r="GT225" s="19"/>
      <c r="GU225" s="19"/>
      <c r="GV225" s="19"/>
      <c r="GW225" s="19"/>
      <c r="GX225" s="19"/>
      <c r="GY225" s="19"/>
      <c r="GZ225" s="19"/>
      <c r="HA225" s="19"/>
    </row>
    <row r="226" spans="1:209" ht="23.25" customHeight="1" x14ac:dyDescent="0.15">
      <c r="A226" s="26">
        <v>44659.688987280097</v>
      </c>
      <c r="B226" s="27" t="s">
        <v>6</v>
      </c>
      <c r="C226" s="27" t="s">
        <v>11</v>
      </c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  <c r="AX226" s="27" t="s">
        <v>814</v>
      </c>
      <c r="AY226" s="27" t="s">
        <v>815</v>
      </c>
      <c r="AZ226" s="27" t="s">
        <v>568</v>
      </c>
      <c r="BA226" s="27" t="s">
        <v>375</v>
      </c>
      <c r="BB226" s="27" t="s">
        <v>308</v>
      </c>
      <c r="BC226" s="29">
        <v>44322</v>
      </c>
      <c r="BD226" s="29">
        <v>44383</v>
      </c>
      <c r="BE226" s="29">
        <v>44383</v>
      </c>
      <c r="BF226" s="27">
        <v>100</v>
      </c>
      <c r="BG226" s="27" t="s">
        <v>556</v>
      </c>
      <c r="BH226" s="30" t="s">
        <v>873</v>
      </c>
      <c r="BI226" s="28"/>
      <c r="BJ226" s="28"/>
      <c r="BK226" s="28"/>
      <c r="BL226" s="28"/>
      <c r="BM226" s="28"/>
      <c r="BN226" s="28"/>
      <c r="BO226" s="28"/>
      <c r="BP226" s="28"/>
      <c r="BQ226" s="28"/>
      <c r="BR226" s="28"/>
      <c r="BS226" s="28"/>
      <c r="BT226" s="28"/>
      <c r="BU226" s="28"/>
      <c r="BV226" s="28"/>
      <c r="BW226" s="28"/>
      <c r="BX226" s="28"/>
      <c r="BY226" s="19"/>
      <c r="BZ226" s="19"/>
      <c r="CA226" s="19"/>
      <c r="CB226" s="19"/>
      <c r="CC226" s="19"/>
      <c r="CD226" s="19"/>
      <c r="CE226" s="19"/>
      <c r="CF226" s="19"/>
      <c r="CG226" s="19"/>
      <c r="CH226" s="19"/>
      <c r="CI226" s="19"/>
      <c r="CJ226" s="19"/>
      <c r="CK226" s="19"/>
      <c r="CL226" s="19"/>
      <c r="CM226" s="19"/>
      <c r="CN226" s="19"/>
      <c r="CO226" s="19"/>
      <c r="CP226" s="19"/>
      <c r="CQ226" s="19"/>
      <c r="CR226" s="19"/>
      <c r="CS226" s="19"/>
      <c r="CT226" s="19"/>
      <c r="CU226" s="19"/>
      <c r="CV226" s="19"/>
      <c r="CW226" s="19"/>
      <c r="CX226" s="19"/>
      <c r="CY226" s="19"/>
      <c r="CZ226" s="19"/>
      <c r="DA226" s="19"/>
      <c r="DB226" s="19"/>
      <c r="DC226" s="19"/>
      <c r="DD226" s="19"/>
      <c r="DE226" s="19"/>
      <c r="DF226" s="19"/>
      <c r="DG226" s="19"/>
      <c r="DH226" s="19"/>
      <c r="DI226" s="19"/>
      <c r="DJ226" s="19"/>
      <c r="DK226" s="19"/>
      <c r="DL226" s="19"/>
      <c r="DM226" s="19"/>
      <c r="DN226" s="19"/>
      <c r="DO226" s="19"/>
      <c r="DP226" s="19"/>
      <c r="DQ226" s="19"/>
      <c r="DR226" s="19"/>
      <c r="DS226" s="19"/>
      <c r="DT226" s="19"/>
      <c r="DU226" s="19"/>
      <c r="DV226" s="19"/>
      <c r="DW226" s="19"/>
      <c r="DX226" s="19"/>
      <c r="DY226" s="19"/>
      <c r="DZ226" s="19"/>
      <c r="EA226" s="19"/>
      <c r="EB226" s="19"/>
      <c r="EC226" s="19"/>
      <c r="ED226" s="19"/>
      <c r="EE226" s="19"/>
      <c r="EF226" s="19"/>
      <c r="EG226" s="19"/>
      <c r="EH226" s="19"/>
      <c r="EI226" s="19"/>
      <c r="EJ226" s="19"/>
      <c r="EK226" s="19"/>
      <c r="EL226" s="19"/>
      <c r="EM226" s="19"/>
      <c r="EN226" s="19"/>
      <c r="EO226" s="19"/>
      <c r="EP226" s="19"/>
      <c r="EQ226" s="19"/>
      <c r="ER226" s="19"/>
      <c r="ES226" s="19"/>
      <c r="ET226" s="19"/>
      <c r="EU226" s="19"/>
      <c r="EV226" s="19"/>
      <c r="EW226" s="19"/>
      <c r="EX226" s="19"/>
      <c r="EY226" s="19"/>
      <c r="EZ226" s="19"/>
      <c r="FA226" s="19"/>
      <c r="FB226" s="19"/>
      <c r="FC226" s="19"/>
      <c r="FD226" s="19"/>
      <c r="FE226" s="19"/>
      <c r="FF226" s="19"/>
      <c r="FG226" s="19"/>
      <c r="FH226" s="19"/>
      <c r="FI226" s="19"/>
      <c r="FJ226" s="19"/>
      <c r="FK226" s="19"/>
      <c r="FL226" s="20" t="s">
        <v>818</v>
      </c>
      <c r="FM226" s="20" t="s">
        <v>278</v>
      </c>
      <c r="FN226" s="19"/>
      <c r="FO226" s="19"/>
      <c r="FP226" s="19"/>
      <c r="FQ226" s="19"/>
      <c r="FR226" s="19"/>
      <c r="FS226" s="19"/>
      <c r="FT226" s="19"/>
      <c r="FU226" s="19"/>
      <c r="FV226" s="19"/>
      <c r="FW226" s="19"/>
      <c r="FX226" s="19"/>
      <c r="FY226" s="19"/>
      <c r="FZ226" s="19"/>
      <c r="GA226" s="19"/>
      <c r="GB226" s="19"/>
      <c r="GC226" s="19"/>
      <c r="GD226" s="19"/>
      <c r="GE226" s="19"/>
      <c r="GF226" s="19"/>
      <c r="GG226" s="19"/>
      <c r="GH226" s="19"/>
      <c r="GI226" s="19"/>
      <c r="GJ226" s="19"/>
      <c r="GK226" s="19"/>
      <c r="GL226" s="19"/>
      <c r="GM226" s="19"/>
      <c r="GN226" s="19"/>
      <c r="GO226" s="19"/>
      <c r="GP226" s="19"/>
      <c r="GQ226" s="19"/>
      <c r="GR226" s="19"/>
      <c r="GS226" s="19"/>
      <c r="GT226" s="19"/>
      <c r="GU226" s="19"/>
      <c r="GV226" s="19"/>
      <c r="GW226" s="19"/>
      <c r="GX226" s="19"/>
      <c r="GY226" s="19"/>
      <c r="GZ226" s="19"/>
      <c r="HA226" s="19"/>
    </row>
    <row r="227" spans="1:209" ht="23.25" customHeight="1" x14ac:dyDescent="0.15">
      <c r="A227" s="26">
        <v>44659.689569907408</v>
      </c>
      <c r="B227" s="27" t="s">
        <v>6</v>
      </c>
      <c r="C227" s="27" t="s">
        <v>11</v>
      </c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  <c r="AX227" s="27" t="s">
        <v>830</v>
      </c>
      <c r="AY227" s="27" t="s">
        <v>831</v>
      </c>
      <c r="AZ227" s="27" t="s">
        <v>874</v>
      </c>
      <c r="BA227" s="27" t="s">
        <v>875</v>
      </c>
      <c r="BB227" s="27" t="s">
        <v>493</v>
      </c>
      <c r="BC227" s="29">
        <v>44621</v>
      </c>
      <c r="BD227" s="29">
        <v>44651</v>
      </c>
      <c r="BE227" s="29">
        <v>44658</v>
      </c>
      <c r="BF227" s="27">
        <v>100</v>
      </c>
      <c r="BG227" s="27" t="s">
        <v>337</v>
      </c>
      <c r="BH227" s="30" t="s">
        <v>876</v>
      </c>
      <c r="BI227" s="28"/>
      <c r="BJ227" s="28"/>
      <c r="BK227" s="28"/>
      <c r="BL227" s="28"/>
      <c r="BM227" s="28"/>
      <c r="BN227" s="28"/>
      <c r="BO227" s="28"/>
      <c r="BP227" s="28"/>
      <c r="BQ227" s="28"/>
      <c r="BR227" s="28"/>
      <c r="BS227" s="28"/>
      <c r="BT227" s="28"/>
      <c r="BU227" s="28"/>
      <c r="BV227" s="28"/>
      <c r="BW227" s="28"/>
      <c r="BX227" s="28"/>
      <c r="BY227" s="19"/>
      <c r="BZ227" s="19"/>
      <c r="CA227" s="19"/>
      <c r="CB227" s="19"/>
      <c r="CC227" s="19"/>
      <c r="CD227" s="19"/>
      <c r="CE227" s="19"/>
      <c r="CF227" s="19"/>
      <c r="CG227" s="19"/>
      <c r="CH227" s="19"/>
      <c r="CI227" s="19"/>
      <c r="CJ227" s="19"/>
      <c r="CK227" s="19"/>
      <c r="CL227" s="19"/>
      <c r="CM227" s="19"/>
      <c r="CN227" s="19"/>
      <c r="CO227" s="19"/>
      <c r="CP227" s="19"/>
      <c r="CQ227" s="19"/>
      <c r="CR227" s="19"/>
      <c r="CS227" s="19"/>
      <c r="CT227" s="19"/>
      <c r="CU227" s="19"/>
      <c r="CV227" s="19"/>
      <c r="CW227" s="19"/>
      <c r="CX227" s="19"/>
      <c r="CY227" s="19"/>
      <c r="CZ227" s="19"/>
      <c r="DA227" s="19"/>
      <c r="DB227" s="19"/>
      <c r="DC227" s="19"/>
      <c r="DD227" s="19"/>
      <c r="DE227" s="19"/>
      <c r="DF227" s="19"/>
      <c r="DG227" s="19"/>
      <c r="DH227" s="19"/>
      <c r="DI227" s="19"/>
      <c r="DJ227" s="19"/>
      <c r="DK227" s="19"/>
      <c r="DL227" s="19"/>
      <c r="DM227" s="19"/>
      <c r="DN227" s="19"/>
      <c r="DO227" s="19"/>
      <c r="DP227" s="19"/>
      <c r="DQ227" s="19"/>
      <c r="DR227" s="19"/>
      <c r="DS227" s="19"/>
      <c r="DT227" s="19"/>
      <c r="DU227" s="19"/>
      <c r="DV227" s="19"/>
      <c r="DW227" s="19"/>
      <c r="DX227" s="19"/>
      <c r="DY227" s="19"/>
      <c r="DZ227" s="19"/>
      <c r="EA227" s="19"/>
      <c r="EB227" s="19"/>
      <c r="EC227" s="19"/>
      <c r="ED227" s="19"/>
      <c r="EE227" s="19"/>
      <c r="EF227" s="19"/>
      <c r="EG227" s="19"/>
      <c r="EH227" s="19"/>
      <c r="EI227" s="19"/>
      <c r="EJ227" s="19"/>
      <c r="EK227" s="19"/>
      <c r="EL227" s="19"/>
      <c r="EM227" s="19"/>
      <c r="EN227" s="19"/>
      <c r="EO227" s="19"/>
      <c r="EP227" s="19"/>
      <c r="EQ227" s="19"/>
      <c r="ER227" s="19"/>
      <c r="ES227" s="19"/>
      <c r="ET227" s="19"/>
      <c r="EU227" s="19"/>
      <c r="EV227" s="19"/>
      <c r="EW227" s="19"/>
      <c r="EX227" s="19"/>
      <c r="EY227" s="19"/>
      <c r="EZ227" s="19"/>
      <c r="FA227" s="19"/>
      <c r="FB227" s="19"/>
      <c r="FC227" s="19"/>
      <c r="FD227" s="19"/>
      <c r="FE227" s="19"/>
      <c r="FF227" s="19"/>
      <c r="FG227" s="19"/>
      <c r="FH227" s="19"/>
      <c r="FI227" s="19"/>
      <c r="FJ227" s="19"/>
      <c r="FK227" s="19"/>
      <c r="FL227" s="20" t="s">
        <v>834</v>
      </c>
      <c r="FM227" s="20" t="s">
        <v>255</v>
      </c>
      <c r="FN227" s="19"/>
      <c r="FO227" s="19"/>
      <c r="FP227" s="19"/>
      <c r="FQ227" s="19"/>
      <c r="FR227" s="19"/>
      <c r="FS227" s="19"/>
      <c r="FT227" s="19"/>
      <c r="FU227" s="19"/>
      <c r="FV227" s="19"/>
      <c r="FW227" s="19"/>
      <c r="FX227" s="19"/>
      <c r="FY227" s="19"/>
      <c r="FZ227" s="19"/>
      <c r="GA227" s="19"/>
      <c r="GB227" s="19"/>
      <c r="GC227" s="19"/>
      <c r="GD227" s="19"/>
      <c r="GE227" s="19"/>
      <c r="GF227" s="19"/>
      <c r="GG227" s="19"/>
      <c r="GH227" s="19"/>
      <c r="GI227" s="19"/>
      <c r="GJ227" s="19"/>
      <c r="GK227" s="19"/>
      <c r="GL227" s="19"/>
      <c r="GM227" s="19"/>
      <c r="GN227" s="19"/>
      <c r="GO227" s="19"/>
      <c r="GP227" s="19"/>
      <c r="GQ227" s="19"/>
      <c r="GR227" s="19"/>
      <c r="GS227" s="19"/>
      <c r="GT227" s="19"/>
      <c r="GU227" s="19"/>
      <c r="GV227" s="19"/>
      <c r="GW227" s="19"/>
      <c r="GX227" s="19"/>
      <c r="GY227" s="19"/>
      <c r="GZ227" s="19"/>
      <c r="HA227" s="19"/>
    </row>
    <row r="228" spans="1:209" ht="23.25" customHeight="1" x14ac:dyDescent="0.15">
      <c r="A228" s="26">
        <v>44659.691957777773</v>
      </c>
      <c r="B228" s="27" t="s">
        <v>6</v>
      </c>
      <c r="C228" s="27" t="s">
        <v>11</v>
      </c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  <c r="AX228" s="27" t="s">
        <v>814</v>
      </c>
      <c r="AY228" s="27" t="s">
        <v>815</v>
      </c>
      <c r="AZ228" s="27" t="s">
        <v>500</v>
      </c>
      <c r="BA228" s="27" t="s">
        <v>375</v>
      </c>
      <c r="BB228" s="27" t="s">
        <v>308</v>
      </c>
      <c r="BC228" s="29">
        <v>44275</v>
      </c>
      <c r="BD228" s="29">
        <v>44336</v>
      </c>
      <c r="BE228" s="29">
        <v>44336</v>
      </c>
      <c r="BF228" s="27">
        <v>100</v>
      </c>
      <c r="BG228" s="27" t="s">
        <v>556</v>
      </c>
      <c r="BH228" s="30" t="s">
        <v>877</v>
      </c>
      <c r="BI228" s="28"/>
      <c r="BJ228" s="28"/>
      <c r="BK228" s="28"/>
      <c r="BL228" s="28"/>
      <c r="BM228" s="28"/>
      <c r="BN228" s="28"/>
      <c r="BO228" s="28"/>
      <c r="BP228" s="28"/>
      <c r="BQ228" s="28"/>
      <c r="BR228" s="28"/>
      <c r="BS228" s="28"/>
      <c r="BT228" s="28"/>
      <c r="BU228" s="28"/>
      <c r="BV228" s="28"/>
      <c r="BW228" s="28"/>
      <c r="BX228" s="28"/>
      <c r="BY228" s="19"/>
      <c r="BZ228" s="19"/>
      <c r="CA228" s="19"/>
      <c r="CB228" s="19"/>
      <c r="CC228" s="19"/>
      <c r="CD228" s="19"/>
      <c r="CE228" s="19"/>
      <c r="CF228" s="19"/>
      <c r="CG228" s="19"/>
      <c r="CH228" s="19"/>
      <c r="CI228" s="19"/>
      <c r="CJ228" s="19"/>
      <c r="CK228" s="19"/>
      <c r="CL228" s="19"/>
      <c r="CM228" s="19"/>
      <c r="CN228" s="19"/>
      <c r="CO228" s="19"/>
      <c r="CP228" s="19"/>
      <c r="CQ228" s="19"/>
      <c r="CR228" s="19"/>
      <c r="CS228" s="19"/>
      <c r="CT228" s="19"/>
      <c r="CU228" s="19"/>
      <c r="CV228" s="19"/>
      <c r="CW228" s="19"/>
      <c r="CX228" s="19"/>
      <c r="CY228" s="19"/>
      <c r="CZ228" s="19"/>
      <c r="DA228" s="19"/>
      <c r="DB228" s="19"/>
      <c r="DC228" s="19"/>
      <c r="DD228" s="19"/>
      <c r="DE228" s="19"/>
      <c r="DF228" s="19"/>
      <c r="DG228" s="19"/>
      <c r="DH228" s="19"/>
      <c r="DI228" s="19"/>
      <c r="DJ228" s="19"/>
      <c r="DK228" s="19"/>
      <c r="DL228" s="19"/>
      <c r="DM228" s="19"/>
      <c r="DN228" s="19"/>
      <c r="DO228" s="19"/>
      <c r="DP228" s="19"/>
      <c r="DQ228" s="19"/>
      <c r="DR228" s="19"/>
      <c r="DS228" s="19"/>
      <c r="DT228" s="19"/>
      <c r="DU228" s="19"/>
      <c r="DV228" s="19"/>
      <c r="DW228" s="19"/>
      <c r="DX228" s="19"/>
      <c r="DY228" s="19"/>
      <c r="DZ228" s="19"/>
      <c r="EA228" s="19"/>
      <c r="EB228" s="19"/>
      <c r="EC228" s="19"/>
      <c r="ED228" s="19"/>
      <c r="EE228" s="19"/>
      <c r="EF228" s="19"/>
      <c r="EG228" s="19"/>
      <c r="EH228" s="19"/>
      <c r="EI228" s="19"/>
      <c r="EJ228" s="19"/>
      <c r="EK228" s="19"/>
      <c r="EL228" s="19"/>
      <c r="EM228" s="19"/>
      <c r="EN228" s="19"/>
      <c r="EO228" s="19"/>
      <c r="EP228" s="19"/>
      <c r="EQ228" s="19"/>
      <c r="ER228" s="19"/>
      <c r="ES228" s="19"/>
      <c r="ET228" s="19"/>
      <c r="EU228" s="19"/>
      <c r="EV228" s="19"/>
      <c r="EW228" s="19"/>
      <c r="EX228" s="19"/>
      <c r="EY228" s="19"/>
      <c r="EZ228" s="19"/>
      <c r="FA228" s="19"/>
      <c r="FB228" s="19"/>
      <c r="FC228" s="19"/>
      <c r="FD228" s="19"/>
      <c r="FE228" s="19"/>
      <c r="FF228" s="19"/>
      <c r="FG228" s="19"/>
      <c r="FH228" s="19"/>
      <c r="FI228" s="19"/>
      <c r="FJ228" s="19"/>
      <c r="FK228" s="19"/>
      <c r="FL228" s="20" t="s">
        <v>818</v>
      </c>
      <c r="FM228" s="20" t="s">
        <v>278</v>
      </c>
      <c r="FN228" s="19"/>
      <c r="FO228" s="19"/>
      <c r="FP228" s="19"/>
      <c r="FQ228" s="19"/>
      <c r="FR228" s="19"/>
      <c r="FS228" s="19"/>
      <c r="FT228" s="19"/>
      <c r="FU228" s="19"/>
      <c r="FV228" s="19"/>
      <c r="FW228" s="19"/>
      <c r="FX228" s="19"/>
      <c r="FY228" s="19"/>
      <c r="FZ228" s="19"/>
      <c r="GA228" s="19"/>
      <c r="GB228" s="19"/>
      <c r="GC228" s="19"/>
      <c r="GD228" s="19"/>
      <c r="GE228" s="19"/>
      <c r="GF228" s="19"/>
      <c r="GG228" s="19"/>
      <c r="GH228" s="19"/>
      <c r="GI228" s="19"/>
      <c r="GJ228" s="19"/>
      <c r="GK228" s="19"/>
      <c r="GL228" s="19"/>
      <c r="GM228" s="19"/>
      <c r="GN228" s="19"/>
      <c r="GO228" s="19"/>
      <c r="GP228" s="19"/>
      <c r="GQ228" s="19"/>
      <c r="GR228" s="19"/>
      <c r="GS228" s="19"/>
      <c r="GT228" s="19"/>
      <c r="GU228" s="19"/>
      <c r="GV228" s="19"/>
      <c r="GW228" s="19"/>
      <c r="GX228" s="19"/>
      <c r="GY228" s="19"/>
      <c r="GZ228" s="19"/>
      <c r="HA228" s="19"/>
    </row>
    <row r="229" spans="1:209" ht="23.25" customHeight="1" x14ac:dyDescent="0.15">
      <c r="A229" s="26">
        <v>44659.69269679398</v>
      </c>
      <c r="B229" s="27" t="s">
        <v>6</v>
      </c>
      <c r="C229" s="17" t="s">
        <v>13</v>
      </c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  <c r="AX229" s="28"/>
      <c r="AY229" s="28"/>
      <c r="AZ229" s="28"/>
      <c r="BA229" s="28"/>
      <c r="BB229" s="28"/>
      <c r="BC229" s="28"/>
      <c r="BD229" s="28"/>
      <c r="BE229" s="28"/>
      <c r="BF229" s="28"/>
      <c r="BG229" s="28"/>
      <c r="BH229" s="28"/>
      <c r="BI229" s="28"/>
      <c r="BJ229" s="28"/>
      <c r="BK229" s="28"/>
      <c r="BL229" s="28"/>
      <c r="BM229" s="28"/>
      <c r="BN229" s="28"/>
      <c r="BO229" s="28"/>
      <c r="BP229" s="28"/>
      <c r="BQ229" s="28"/>
      <c r="BR229" s="28"/>
      <c r="BS229" s="28"/>
      <c r="BT229" s="28"/>
      <c r="BU229" s="28"/>
      <c r="BV229" s="28"/>
      <c r="BW229" s="27" t="s">
        <v>762</v>
      </c>
      <c r="BX229" s="27" t="s">
        <v>763</v>
      </c>
      <c r="BY229" s="19"/>
      <c r="BZ229" s="20" t="s">
        <v>154</v>
      </c>
      <c r="CA229" s="20" t="s">
        <v>878</v>
      </c>
      <c r="CB229" s="20" t="s">
        <v>454</v>
      </c>
      <c r="CC229" s="20" t="s">
        <v>879</v>
      </c>
      <c r="CD229" s="21">
        <v>43647</v>
      </c>
      <c r="CE229" s="21">
        <v>43678</v>
      </c>
      <c r="CF229" s="20">
        <v>79</v>
      </c>
      <c r="CG229" s="22" t="s">
        <v>880</v>
      </c>
      <c r="CH229" s="19"/>
      <c r="CI229" s="19"/>
      <c r="CJ229" s="19"/>
      <c r="CK229" s="19"/>
      <c r="CL229" s="19"/>
      <c r="CM229" s="19"/>
      <c r="CN229" s="19"/>
      <c r="CO229" s="19"/>
      <c r="CP229" s="19"/>
      <c r="CQ229" s="19"/>
      <c r="CR229" s="19"/>
      <c r="CS229" s="19"/>
      <c r="CT229" s="19"/>
      <c r="CU229" s="19"/>
      <c r="CV229" s="19"/>
      <c r="CW229" s="19"/>
      <c r="CX229" s="19"/>
      <c r="CY229" s="19"/>
      <c r="CZ229" s="19"/>
      <c r="DA229" s="19"/>
      <c r="DB229" s="19"/>
      <c r="DC229" s="19"/>
      <c r="DD229" s="19"/>
      <c r="DE229" s="19"/>
      <c r="DF229" s="19"/>
      <c r="DG229" s="19"/>
      <c r="DH229" s="19"/>
      <c r="DI229" s="19"/>
      <c r="DJ229" s="19"/>
      <c r="DK229" s="19"/>
      <c r="DL229" s="19"/>
      <c r="DM229" s="19"/>
      <c r="DN229" s="19"/>
      <c r="DO229" s="19"/>
      <c r="DP229" s="19"/>
      <c r="DQ229" s="19"/>
      <c r="DR229" s="19"/>
      <c r="DS229" s="19"/>
      <c r="DT229" s="19"/>
      <c r="DU229" s="19"/>
      <c r="DV229" s="19"/>
      <c r="DW229" s="19"/>
      <c r="DX229" s="19"/>
      <c r="DY229" s="19"/>
      <c r="DZ229" s="19"/>
      <c r="EA229" s="19"/>
      <c r="EB229" s="19"/>
      <c r="EC229" s="19"/>
      <c r="ED229" s="19"/>
      <c r="EE229" s="19"/>
      <c r="EF229" s="19"/>
      <c r="EG229" s="19"/>
      <c r="EH229" s="19"/>
      <c r="EI229" s="19"/>
      <c r="EJ229" s="19"/>
      <c r="EK229" s="19"/>
      <c r="EL229" s="19"/>
      <c r="EM229" s="19"/>
      <c r="EN229" s="19"/>
      <c r="EO229" s="19"/>
      <c r="EP229" s="19"/>
      <c r="EQ229" s="19"/>
      <c r="ER229" s="19"/>
      <c r="ES229" s="19"/>
      <c r="ET229" s="19"/>
      <c r="EU229" s="19"/>
      <c r="EV229" s="19"/>
      <c r="EW229" s="19"/>
      <c r="EX229" s="19"/>
      <c r="EY229" s="19"/>
      <c r="EZ229" s="19"/>
      <c r="FA229" s="19"/>
      <c r="FB229" s="19"/>
      <c r="FC229" s="19"/>
      <c r="FD229" s="19"/>
      <c r="FE229" s="19"/>
      <c r="FF229" s="19"/>
      <c r="FG229" s="19"/>
      <c r="FH229" s="19"/>
      <c r="FI229" s="19"/>
      <c r="FJ229" s="19"/>
      <c r="FK229" s="19"/>
      <c r="FL229" s="20" t="s">
        <v>767</v>
      </c>
      <c r="FM229" s="20" t="s">
        <v>255</v>
      </c>
      <c r="FN229" s="19"/>
      <c r="FO229" s="19"/>
      <c r="FP229" s="19"/>
      <c r="FQ229" s="19"/>
      <c r="FR229" s="19"/>
      <c r="FS229" s="19"/>
      <c r="FT229" s="19"/>
      <c r="FU229" s="19"/>
      <c r="FV229" s="19"/>
      <c r="FW229" s="19"/>
      <c r="FX229" s="19"/>
      <c r="FY229" s="19"/>
      <c r="FZ229" s="19"/>
      <c r="GA229" s="19"/>
      <c r="GB229" s="19"/>
      <c r="GC229" s="19"/>
      <c r="GD229" s="19"/>
      <c r="GE229" s="19"/>
      <c r="GF229" s="19"/>
      <c r="GG229" s="19"/>
      <c r="GH229" s="19"/>
      <c r="GI229" s="19"/>
      <c r="GJ229" s="19"/>
      <c r="GK229" s="19"/>
      <c r="GL229" s="19"/>
      <c r="GM229" s="19"/>
      <c r="GN229" s="19"/>
      <c r="GO229" s="19"/>
      <c r="GP229" s="19"/>
      <c r="GQ229" s="19"/>
      <c r="GR229" s="19"/>
      <c r="GS229" s="19"/>
      <c r="GT229" s="19"/>
      <c r="GU229" s="19"/>
      <c r="GV229" s="19"/>
      <c r="GW229" s="19"/>
      <c r="GX229" s="19"/>
      <c r="GY229" s="19"/>
      <c r="GZ229" s="19"/>
      <c r="HA229" s="19"/>
    </row>
    <row r="230" spans="1:209" ht="23.25" customHeight="1" x14ac:dyDescent="0.15">
      <c r="A230" s="26">
        <v>44659.693630335649</v>
      </c>
      <c r="B230" s="27" t="s">
        <v>6</v>
      </c>
      <c r="C230" s="27" t="s">
        <v>10</v>
      </c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7" t="s">
        <v>856</v>
      </c>
      <c r="AO230" s="27" t="s">
        <v>857</v>
      </c>
      <c r="AP230" s="27" t="s">
        <v>881</v>
      </c>
      <c r="AQ230" s="27" t="s">
        <v>493</v>
      </c>
      <c r="AR230" s="29">
        <v>44561</v>
      </c>
      <c r="AS230" s="29">
        <v>44592</v>
      </c>
      <c r="AT230" s="27" t="s">
        <v>251</v>
      </c>
      <c r="AU230" s="27" t="s">
        <v>252</v>
      </c>
      <c r="AV230" s="27">
        <v>250</v>
      </c>
      <c r="AW230" s="30" t="s">
        <v>882</v>
      </c>
      <c r="AX230" s="28"/>
      <c r="AY230" s="28"/>
      <c r="AZ230" s="28"/>
      <c r="BA230" s="28"/>
      <c r="BB230" s="28"/>
      <c r="BC230" s="28"/>
      <c r="BD230" s="28"/>
      <c r="BE230" s="28"/>
      <c r="BF230" s="28"/>
      <c r="BG230" s="28"/>
      <c r="BH230" s="28"/>
      <c r="BI230" s="28"/>
      <c r="BJ230" s="28"/>
      <c r="BK230" s="28"/>
      <c r="BL230" s="28"/>
      <c r="BM230" s="28"/>
      <c r="BN230" s="28"/>
      <c r="BO230" s="28"/>
      <c r="BP230" s="28"/>
      <c r="BQ230" s="28"/>
      <c r="BR230" s="28"/>
      <c r="BS230" s="28"/>
      <c r="BT230" s="28"/>
      <c r="BU230" s="28"/>
      <c r="BV230" s="28"/>
      <c r="BW230" s="28"/>
      <c r="BX230" s="28"/>
      <c r="BY230" s="19"/>
      <c r="BZ230" s="19"/>
      <c r="CA230" s="19"/>
      <c r="CB230" s="19"/>
      <c r="CC230" s="19"/>
      <c r="CD230" s="19"/>
      <c r="CE230" s="19"/>
      <c r="CF230" s="19"/>
      <c r="CG230" s="19"/>
      <c r="CH230" s="19"/>
      <c r="CI230" s="19"/>
      <c r="CJ230" s="19"/>
      <c r="CK230" s="19"/>
      <c r="CL230" s="19"/>
      <c r="CM230" s="19"/>
      <c r="CN230" s="19"/>
      <c r="CO230" s="19"/>
      <c r="CP230" s="19"/>
      <c r="CQ230" s="19"/>
      <c r="CR230" s="19"/>
      <c r="CS230" s="19"/>
      <c r="CT230" s="19"/>
      <c r="CU230" s="19"/>
      <c r="CV230" s="19"/>
      <c r="CW230" s="19"/>
      <c r="CX230" s="19"/>
      <c r="CY230" s="19"/>
      <c r="CZ230" s="19"/>
      <c r="DA230" s="19"/>
      <c r="DB230" s="19"/>
      <c r="DC230" s="19"/>
      <c r="DD230" s="19"/>
      <c r="DE230" s="19"/>
      <c r="DF230" s="19"/>
      <c r="DG230" s="19"/>
      <c r="DH230" s="19"/>
      <c r="DI230" s="19"/>
      <c r="DJ230" s="19"/>
      <c r="DK230" s="19"/>
      <c r="DL230" s="19"/>
      <c r="DM230" s="19"/>
      <c r="DN230" s="19"/>
      <c r="DO230" s="19"/>
      <c r="DP230" s="19"/>
      <c r="DQ230" s="19"/>
      <c r="DR230" s="19"/>
      <c r="DS230" s="19"/>
      <c r="DT230" s="19"/>
      <c r="DU230" s="19"/>
      <c r="DV230" s="19"/>
      <c r="DW230" s="19"/>
      <c r="DX230" s="19"/>
      <c r="DY230" s="19"/>
      <c r="DZ230" s="19"/>
      <c r="EA230" s="19"/>
      <c r="EB230" s="19"/>
      <c r="EC230" s="19"/>
      <c r="ED230" s="19"/>
      <c r="EE230" s="19"/>
      <c r="EF230" s="19"/>
      <c r="EG230" s="19"/>
      <c r="EH230" s="19"/>
      <c r="EI230" s="19"/>
      <c r="EJ230" s="19"/>
      <c r="EK230" s="19"/>
      <c r="EL230" s="19"/>
      <c r="EM230" s="19"/>
      <c r="EN230" s="19"/>
      <c r="EO230" s="19"/>
      <c r="EP230" s="19"/>
      <c r="EQ230" s="19"/>
      <c r="ER230" s="19"/>
      <c r="ES230" s="19"/>
      <c r="ET230" s="19"/>
      <c r="EU230" s="19"/>
      <c r="EV230" s="19"/>
      <c r="EW230" s="19"/>
      <c r="EX230" s="19"/>
      <c r="EY230" s="19"/>
      <c r="EZ230" s="19"/>
      <c r="FA230" s="19"/>
      <c r="FB230" s="19"/>
      <c r="FC230" s="19"/>
      <c r="FD230" s="19"/>
      <c r="FE230" s="19"/>
      <c r="FF230" s="19"/>
      <c r="FG230" s="19"/>
      <c r="FH230" s="19"/>
      <c r="FI230" s="19"/>
      <c r="FJ230" s="19"/>
      <c r="FK230" s="19"/>
      <c r="FL230" s="20" t="s">
        <v>862</v>
      </c>
      <c r="FM230" s="20" t="s">
        <v>255</v>
      </c>
      <c r="FN230" s="19"/>
      <c r="FO230" s="19"/>
      <c r="FP230" s="19"/>
      <c r="FQ230" s="19"/>
      <c r="FR230" s="19"/>
      <c r="FS230" s="19"/>
      <c r="FT230" s="19"/>
      <c r="FU230" s="19"/>
      <c r="FV230" s="19"/>
      <c r="FW230" s="19"/>
      <c r="FX230" s="19"/>
      <c r="FY230" s="19"/>
      <c r="FZ230" s="19"/>
      <c r="GA230" s="19"/>
      <c r="GB230" s="19"/>
      <c r="GC230" s="19"/>
      <c r="GD230" s="19"/>
      <c r="GE230" s="19"/>
      <c r="GF230" s="19"/>
      <c r="GG230" s="19"/>
      <c r="GH230" s="19"/>
      <c r="GI230" s="19"/>
      <c r="GJ230" s="19"/>
      <c r="GK230" s="19"/>
      <c r="GL230" s="19"/>
      <c r="GM230" s="19"/>
      <c r="GN230" s="19"/>
      <c r="GO230" s="19"/>
      <c r="GP230" s="19"/>
      <c r="GQ230" s="19"/>
      <c r="GR230" s="19"/>
      <c r="GS230" s="19"/>
      <c r="GT230" s="19"/>
      <c r="GU230" s="19"/>
      <c r="GV230" s="19"/>
      <c r="GW230" s="19"/>
      <c r="GX230" s="19"/>
      <c r="GY230" s="19"/>
      <c r="GZ230" s="19"/>
      <c r="HA230" s="19"/>
    </row>
    <row r="231" spans="1:209" ht="23.25" customHeight="1" x14ac:dyDescent="0.15">
      <c r="A231" s="26">
        <v>44659.693929525463</v>
      </c>
      <c r="B231" s="27" t="s">
        <v>6</v>
      </c>
      <c r="C231" s="17" t="s">
        <v>13</v>
      </c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  <c r="AX231" s="28"/>
      <c r="AY231" s="28"/>
      <c r="AZ231" s="28"/>
      <c r="BA231" s="28"/>
      <c r="BB231" s="28"/>
      <c r="BC231" s="28"/>
      <c r="BD231" s="28"/>
      <c r="BE231" s="28"/>
      <c r="BF231" s="28"/>
      <c r="BG231" s="28"/>
      <c r="BH231" s="28"/>
      <c r="BI231" s="28"/>
      <c r="BJ231" s="28"/>
      <c r="BK231" s="28"/>
      <c r="BL231" s="28"/>
      <c r="BM231" s="28"/>
      <c r="BN231" s="28"/>
      <c r="BO231" s="28"/>
      <c r="BP231" s="28"/>
      <c r="BQ231" s="28"/>
      <c r="BR231" s="28"/>
      <c r="BS231" s="28"/>
      <c r="BT231" s="28"/>
      <c r="BU231" s="28"/>
      <c r="BV231" s="28"/>
      <c r="BW231" s="27" t="s">
        <v>830</v>
      </c>
      <c r="BX231" s="27" t="s">
        <v>831</v>
      </c>
      <c r="BY231" s="19"/>
      <c r="BZ231" s="20" t="s">
        <v>154</v>
      </c>
      <c r="CA231" s="20" t="s">
        <v>883</v>
      </c>
      <c r="CB231" s="20" t="s">
        <v>454</v>
      </c>
      <c r="CC231" s="20" t="s">
        <v>308</v>
      </c>
      <c r="CD231" s="21">
        <v>43678</v>
      </c>
      <c r="CE231" s="21">
        <v>43739</v>
      </c>
      <c r="CF231" s="20">
        <v>90</v>
      </c>
      <c r="CG231" s="22" t="s">
        <v>884</v>
      </c>
      <c r="CH231" s="19"/>
      <c r="CI231" s="19"/>
      <c r="CJ231" s="19"/>
      <c r="CK231" s="19"/>
      <c r="CL231" s="19"/>
      <c r="CM231" s="19"/>
      <c r="CN231" s="19"/>
      <c r="CO231" s="19"/>
      <c r="CP231" s="19"/>
      <c r="CQ231" s="19"/>
      <c r="CR231" s="19"/>
      <c r="CS231" s="19"/>
      <c r="CT231" s="19"/>
      <c r="CU231" s="19"/>
      <c r="CV231" s="19"/>
      <c r="CW231" s="19"/>
      <c r="CX231" s="19"/>
      <c r="CY231" s="19"/>
      <c r="CZ231" s="19"/>
      <c r="DA231" s="19"/>
      <c r="DB231" s="19"/>
      <c r="DC231" s="19"/>
      <c r="DD231" s="19"/>
      <c r="DE231" s="19"/>
      <c r="DF231" s="19"/>
      <c r="DG231" s="19"/>
      <c r="DH231" s="19"/>
      <c r="DI231" s="19"/>
      <c r="DJ231" s="19"/>
      <c r="DK231" s="19"/>
      <c r="DL231" s="19"/>
      <c r="DM231" s="19"/>
      <c r="DN231" s="19"/>
      <c r="DO231" s="19"/>
      <c r="DP231" s="19"/>
      <c r="DQ231" s="19"/>
      <c r="DR231" s="19"/>
      <c r="DS231" s="19"/>
      <c r="DT231" s="19"/>
      <c r="DU231" s="19"/>
      <c r="DV231" s="19"/>
      <c r="DW231" s="19"/>
      <c r="DX231" s="19"/>
      <c r="DY231" s="19"/>
      <c r="DZ231" s="19"/>
      <c r="EA231" s="19"/>
      <c r="EB231" s="19"/>
      <c r="EC231" s="19"/>
      <c r="ED231" s="19"/>
      <c r="EE231" s="19"/>
      <c r="EF231" s="19"/>
      <c r="EG231" s="19"/>
      <c r="EH231" s="19"/>
      <c r="EI231" s="19"/>
      <c r="EJ231" s="19"/>
      <c r="EK231" s="19"/>
      <c r="EL231" s="19"/>
      <c r="EM231" s="19"/>
      <c r="EN231" s="19"/>
      <c r="EO231" s="19"/>
      <c r="EP231" s="19"/>
      <c r="EQ231" s="19"/>
      <c r="ER231" s="19"/>
      <c r="ES231" s="19"/>
      <c r="ET231" s="19"/>
      <c r="EU231" s="19"/>
      <c r="EV231" s="19"/>
      <c r="EW231" s="19"/>
      <c r="EX231" s="19"/>
      <c r="EY231" s="19"/>
      <c r="EZ231" s="19"/>
      <c r="FA231" s="19"/>
      <c r="FB231" s="19"/>
      <c r="FC231" s="19"/>
      <c r="FD231" s="19"/>
      <c r="FE231" s="19"/>
      <c r="FF231" s="19"/>
      <c r="FG231" s="19"/>
      <c r="FH231" s="19"/>
      <c r="FI231" s="19"/>
      <c r="FJ231" s="19"/>
      <c r="FK231" s="19"/>
      <c r="FL231" s="20" t="s">
        <v>834</v>
      </c>
      <c r="FM231" s="20" t="s">
        <v>255</v>
      </c>
      <c r="FN231" s="19"/>
      <c r="FO231" s="19"/>
      <c r="FP231" s="19"/>
      <c r="FQ231" s="19"/>
      <c r="FR231" s="19"/>
      <c r="FS231" s="19"/>
      <c r="FT231" s="19"/>
      <c r="FU231" s="19"/>
      <c r="FV231" s="19"/>
      <c r="FW231" s="19"/>
      <c r="FX231" s="19"/>
      <c r="FY231" s="19"/>
      <c r="FZ231" s="19"/>
      <c r="GA231" s="19"/>
      <c r="GB231" s="19"/>
      <c r="GC231" s="19"/>
      <c r="GD231" s="19"/>
      <c r="GE231" s="19"/>
      <c r="GF231" s="19"/>
      <c r="GG231" s="19"/>
      <c r="GH231" s="19"/>
      <c r="GI231" s="19"/>
      <c r="GJ231" s="19"/>
      <c r="GK231" s="19"/>
      <c r="GL231" s="19"/>
      <c r="GM231" s="19"/>
      <c r="GN231" s="19"/>
      <c r="GO231" s="19"/>
      <c r="GP231" s="19"/>
      <c r="GQ231" s="19"/>
      <c r="GR231" s="19"/>
      <c r="GS231" s="19"/>
      <c r="GT231" s="19"/>
      <c r="GU231" s="19"/>
      <c r="GV231" s="19"/>
      <c r="GW231" s="19"/>
      <c r="GX231" s="19"/>
      <c r="GY231" s="19"/>
      <c r="GZ231" s="19"/>
      <c r="HA231" s="19"/>
    </row>
    <row r="232" spans="1:209" ht="23.25" customHeight="1" x14ac:dyDescent="0.15">
      <c r="A232" s="26">
        <v>44659.696124386574</v>
      </c>
      <c r="B232" s="27" t="s">
        <v>6</v>
      </c>
      <c r="C232" s="27" t="s">
        <v>10</v>
      </c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7" t="s">
        <v>814</v>
      </c>
      <c r="AO232" s="27" t="s">
        <v>815</v>
      </c>
      <c r="AP232" s="27" t="s">
        <v>875</v>
      </c>
      <c r="AQ232" s="27" t="s">
        <v>493</v>
      </c>
      <c r="AR232" s="29">
        <v>44645</v>
      </c>
      <c r="AS232" s="29">
        <v>44676</v>
      </c>
      <c r="AT232" s="27" t="s">
        <v>252</v>
      </c>
      <c r="AU232" s="27" t="s">
        <v>252</v>
      </c>
      <c r="AV232" s="27">
        <v>0</v>
      </c>
      <c r="AW232" s="30" t="s">
        <v>885</v>
      </c>
      <c r="AX232" s="28"/>
      <c r="AY232" s="28"/>
      <c r="AZ232" s="28"/>
      <c r="BA232" s="28"/>
      <c r="BB232" s="28"/>
      <c r="BC232" s="28"/>
      <c r="BD232" s="28"/>
      <c r="BE232" s="28"/>
      <c r="BF232" s="28"/>
      <c r="BG232" s="28"/>
      <c r="BH232" s="28"/>
      <c r="BI232" s="28"/>
      <c r="BJ232" s="28"/>
      <c r="BK232" s="28"/>
      <c r="BL232" s="28"/>
      <c r="BM232" s="28"/>
      <c r="BN232" s="28"/>
      <c r="BO232" s="28"/>
      <c r="BP232" s="28"/>
      <c r="BQ232" s="28"/>
      <c r="BR232" s="28"/>
      <c r="BS232" s="28"/>
      <c r="BT232" s="28"/>
      <c r="BU232" s="28"/>
      <c r="BV232" s="28"/>
      <c r="BW232" s="28"/>
      <c r="BX232" s="28"/>
      <c r="BY232" s="19"/>
      <c r="BZ232" s="19"/>
      <c r="CA232" s="19"/>
      <c r="CB232" s="19"/>
      <c r="CC232" s="19"/>
      <c r="CD232" s="19"/>
      <c r="CE232" s="19"/>
      <c r="CF232" s="19"/>
      <c r="CG232" s="19"/>
      <c r="CH232" s="19"/>
      <c r="CI232" s="19"/>
      <c r="CJ232" s="19"/>
      <c r="CK232" s="19"/>
      <c r="CL232" s="19"/>
      <c r="CM232" s="19"/>
      <c r="CN232" s="19"/>
      <c r="CO232" s="19"/>
      <c r="CP232" s="19"/>
      <c r="CQ232" s="19"/>
      <c r="CR232" s="19"/>
      <c r="CS232" s="19"/>
      <c r="CT232" s="19"/>
      <c r="CU232" s="19"/>
      <c r="CV232" s="19"/>
      <c r="CW232" s="19"/>
      <c r="CX232" s="19"/>
      <c r="CY232" s="19"/>
      <c r="CZ232" s="19"/>
      <c r="DA232" s="19"/>
      <c r="DB232" s="19"/>
      <c r="DC232" s="19"/>
      <c r="DD232" s="19"/>
      <c r="DE232" s="19"/>
      <c r="DF232" s="19"/>
      <c r="DG232" s="19"/>
      <c r="DH232" s="19"/>
      <c r="DI232" s="19"/>
      <c r="DJ232" s="19"/>
      <c r="DK232" s="19"/>
      <c r="DL232" s="19"/>
      <c r="DM232" s="19"/>
      <c r="DN232" s="19"/>
      <c r="DO232" s="19"/>
      <c r="DP232" s="19"/>
      <c r="DQ232" s="19"/>
      <c r="DR232" s="19"/>
      <c r="DS232" s="19"/>
      <c r="DT232" s="19"/>
      <c r="DU232" s="19"/>
      <c r="DV232" s="19"/>
      <c r="DW232" s="19"/>
      <c r="DX232" s="19"/>
      <c r="DY232" s="19"/>
      <c r="DZ232" s="19"/>
      <c r="EA232" s="19"/>
      <c r="EB232" s="19"/>
      <c r="EC232" s="19"/>
      <c r="ED232" s="19"/>
      <c r="EE232" s="19"/>
      <c r="EF232" s="19"/>
      <c r="EG232" s="19"/>
      <c r="EH232" s="19"/>
      <c r="EI232" s="19"/>
      <c r="EJ232" s="19"/>
      <c r="EK232" s="19"/>
      <c r="EL232" s="19"/>
      <c r="EM232" s="19"/>
      <c r="EN232" s="19"/>
      <c r="EO232" s="19"/>
      <c r="EP232" s="19"/>
      <c r="EQ232" s="19"/>
      <c r="ER232" s="19"/>
      <c r="ES232" s="19"/>
      <c r="ET232" s="19"/>
      <c r="EU232" s="19"/>
      <c r="EV232" s="19"/>
      <c r="EW232" s="19"/>
      <c r="EX232" s="19"/>
      <c r="EY232" s="19"/>
      <c r="EZ232" s="19"/>
      <c r="FA232" s="19"/>
      <c r="FB232" s="19"/>
      <c r="FC232" s="19"/>
      <c r="FD232" s="19"/>
      <c r="FE232" s="19"/>
      <c r="FF232" s="19"/>
      <c r="FG232" s="19"/>
      <c r="FH232" s="19"/>
      <c r="FI232" s="19"/>
      <c r="FJ232" s="19"/>
      <c r="FK232" s="19"/>
      <c r="FL232" s="20" t="s">
        <v>818</v>
      </c>
      <c r="FM232" s="20" t="s">
        <v>255</v>
      </c>
      <c r="FN232" s="19"/>
      <c r="FO232" s="19"/>
      <c r="FP232" s="19"/>
      <c r="FQ232" s="19"/>
      <c r="FR232" s="19"/>
      <c r="FS232" s="19"/>
      <c r="FT232" s="19"/>
      <c r="FU232" s="19"/>
      <c r="FV232" s="19"/>
      <c r="FW232" s="19"/>
      <c r="FX232" s="19"/>
      <c r="FY232" s="19"/>
      <c r="FZ232" s="19"/>
      <c r="GA232" s="19"/>
      <c r="GB232" s="19"/>
      <c r="GC232" s="19"/>
      <c r="GD232" s="19"/>
      <c r="GE232" s="19"/>
      <c r="GF232" s="19"/>
      <c r="GG232" s="19"/>
      <c r="GH232" s="19"/>
      <c r="GI232" s="19"/>
      <c r="GJ232" s="19"/>
      <c r="GK232" s="19"/>
      <c r="GL232" s="19"/>
      <c r="GM232" s="19"/>
      <c r="GN232" s="19"/>
      <c r="GO232" s="19"/>
      <c r="GP232" s="19"/>
      <c r="GQ232" s="19"/>
      <c r="GR232" s="19"/>
      <c r="GS232" s="19"/>
      <c r="GT232" s="19"/>
      <c r="GU232" s="19"/>
      <c r="GV232" s="19"/>
      <c r="GW232" s="19"/>
      <c r="GX232" s="19"/>
      <c r="GY232" s="19"/>
      <c r="GZ232" s="19"/>
      <c r="HA232" s="19"/>
    </row>
    <row r="233" spans="1:209" ht="23.25" customHeight="1" x14ac:dyDescent="0.15">
      <c r="A233" s="26">
        <v>44659.69624060185</v>
      </c>
      <c r="B233" s="27" t="s">
        <v>6</v>
      </c>
      <c r="C233" s="27" t="s">
        <v>10</v>
      </c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7" t="s">
        <v>856</v>
      </c>
      <c r="AO233" s="27" t="s">
        <v>857</v>
      </c>
      <c r="AP233" s="27" t="s">
        <v>307</v>
      </c>
      <c r="AQ233" s="27" t="s">
        <v>507</v>
      </c>
      <c r="AR233" s="29">
        <v>44489</v>
      </c>
      <c r="AS233" s="29">
        <v>44561</v>
      </c>
      <c r="AT233" s="27" t="s">
        <v>252</v>
      </c>
      <c r="AU233" s="27" t="s">
        <v>252</v>
      </c>
      <c r="AV233" s="27">
        <v>0</v>
      </c>
      <c r="AW233" s="30" t="s">
        <v>886</v>
      </c>
      <c r="AX233" s="28"/>
      <c r="AY233" s="28"/>
      <c r="AZ233" s="28"/>
      <c r="BA233" s="28"/>
      <c r="BB233" s="28"/>
      <c r="BC233" s="28"/>
      <c r="BD233" s="28"/>
      <c r="BE233" s="28"/>
      <c r="BF233" s="28"/>
      <c r="BG233" s="28"/>
      <c r="BH233" s="28"/>
      <c r="BI233" s="28"/>
      <c r="BJ233" s="28"/>
      <c r="BK233" s="28"/>
      <c r="BL233" s="28"/>
      <c r="BM233" s="28"/>
      <c r="BN233" s="28"/>
      <c r="BO233" s="28"/>
      <c r="BP233" s="28"/>
      <c r="BQ233" s="28"/>
      <c r="BR233" s="28"/>
      <c r="BS233" s="28"/>
      <c r="BT233" s="28"/>
      <c r="BU233" s="28"/>
      <c r="BV233" s="28"/>
      <c r="BW233" s="28"/>
      <c r="BX233" s="28"/>
      <c r="BY233" s="19"/>
      <c r="BZ233" s="19"/>
      <c r="CA233" s="19"/>
      <c r="CB233" s="19"/>
      <c r="CC233" s="19"/>
      <c r="CD233" s="19"/>
      <c r="CE233" s="19"/>
      <c r="CF233" s="19"/>
      <c r="CG233" s="19"/>
      <c r="CH233" s="19"/>
      <c r="CI233" s="19"/>
      <c r="CJ233" s="19"/>
      <c r="CK233" s="19"/>
      <c r="CL233" s="19"/>
      <c r="CM233" s="19"/>
      <c r="CN233" s="19"/>
      <c r="CO233" s="19"/>
      <c r="CP233" s="19"/>
      <c r="CQ233" s="19"/>
      <c r="CR233" s="19"/>
      <c r="CS233" s="19"/>
      <c r="CT233" s="19"/>
      <c r="CU233" s="19"/>
      <c r="CV233" s="19"/>
      <c r="CW233" s="19"/>
      <c r="CX233" s="19"/>
      <c r="CY233" s="19"/>
      <c r="CZ233" s="19"/>
      <c r="DA233" s="19"/>
      <c r="DB233" s="19"/>
      <c r="DC233" s="19"/>
      <c r="DD233" s="19"/>
      <c r="DE233" s="19"/>
      <c r="DF233" s="19"/>
      <c r="DG233" s="19"/>
      <c r="DH233" s="19"/>
      <c r="DI233" s="19"/>
      <c r="DJ233" s="19"/>
      <c r="DK233" s="19"/>
      <c r="DL233" s="19"/>
      <c r="DM233" s="19"/>
      <c r="DN233" s="19"/>
      <c r="DO233" s="19"/>
      <c r="DP233" s="19"/>
      <c r="DQ233" s="19"/>
      <c r="DR233" s="19"/>
      <c r="DS233" s="19"/>
      <c r="DT233" s="19"/>
      <c r="DU233" s="19"/>
      <c r="DV233" s="19"/>
      <c r="DW233" s="19"/>
      <c r="DX233" s="19"/>
      <c r="DY233" s="19"/>
      <c r="DZ233" s="19"/>
      <c r="EA233" s="19"/>
      <c r="EB233" s="19"/>
      <c r="EC233" s="19"/>
      <c r="ED233" s="19"/>
      <c r="EE233" s="19"/>
      <c r="EF233" s="19"/>
      <c r="EG233" s="19"/>
      <c r="EH233" s="19"/>
      <c r="EI233" s="19"/>
      <c r="EJ233" s="19"/>
      <c r="EK233" s="19"/>
      <c r="EL233" s="19"/>
      <c r="EM233" s="19"/>
      <c r="EN233" s="19"/>
      <c r="EO233" s="19"/>
      <c r="EP233" s="19"/>
      <c r="EQ233" s="19"/>
      <c r="ER233" s="19"/>
      <c r="ES233" s="19"/>
      <c r="ET233" s="19"/>
      <c r="EU233" s="19"/>
      <c r="EV233" s="19"/>
      <c r="EW233" s="19"/>
      <c r="EX233" s="19"/>
      <c r="EY233" s="19"/>
      <c r="EZ233" s="19"/>
      <c r="FA233" s="19"/>
      <c r="FB233" s="19"/>
      <c r="FC233" s="19"/>
      <c r="FD233" s="19"/>
      <c r="FE233" s="19"/>
      <c r="FF233" s="19"/>
      <c r="FG233" s="19"/>
      <c r="FH233" s="19"/>
      <c r="FI233" s="19"/>
      <c r="FJ233" s="19"/>
      <c r="FK233" s="19"/>
      <c r="FL233" s="20" t="s">
        <v>862</v>
      </c>
      <c r="FM233" s="20" t="s">
        <v>255</v>
      </c>
      <c r="FN233" s="19"/>
      <c r="FO233" s="19"/>
      <c r="FP233" s="19"/>
      <c r="FQ233" s="19"/>
      <c r="FR233" s="19"/>
      <c r="FS233" s="19"/>
      <c r="FT233" s="19"/>
      <c r="FU233" s="19"/>
      <c r="FV233" s="19"/>
      <c r="FW233" s="19"/>
      <c r="FX233" s="19"/>
      <c r="FY233" s="19"/>
      <c r="FZ233" s="19"/>
      <c r="GA233" s="19"/>
      <c r="GB233" s="19"/>
      <c r="GC233" s="19"/>
      <c r="GD233" s="19"/>
      <c r="GE233" s="19"/>
      <c r="GF233" s="19"/>
      <c r="GG233" s="19"/>
      <c r="GH233" s="19"/>
      <c r="GI233" s="19"/>
      <c r="GJ233" s="19"/>
      <c r="GK233" s="19"/>
      <c r="GL233" s="19"/>
      <c r="GM233" s="19"/>
      <c r="GN233" s="19"/>
      <c r="GO233" s="19"/>
      <c r="GP233" s="19"/>
      <c r="GQ233" s="19"/>
      <c r="GR233" s="19"/>
      <c r="GS233" s="19"/>
      <c r="GT233" s="19"/>
      <c r="GU233" s="19"/>
      <c r="GV233" s="19"/>
      <c r="GW233" s="19"/>
      <c r="GX233" s="19"/>
      <c r="GY233" s="19"/>
      <c r="GZ233" s="19"/>
      <c r="HA233" s="19"/>
    </row>
    <row r="234" spans="1:209" ht="23.25" customHeight="1" x14ac:dyDescent="0.15">
      <c r="A234" s="26">
        <v>44659.698829166664</v>
      </c>
      <c r="B234" s="27" t="s">
        <v>6</v>
      </c>
      <c r="C234" s="27" t="s">
        <v>10</v>
      </c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7" t="s">
        <v>856</v>
      </c>
      <c r="AO234" s="27" t="s">
        <v>857</v>
      </c>
      <c r="AP234" s="27" t="s">
        <v>887</v>
      </c>
      <c r="AQ234" s="27" t="s">
        <v>624</v>
      </c>
      <c r="AR234" s="29">
        <v>44532</v>
      </c>
      <c r="AS234" s="29">
        <v>44563</v>
      </c>
      <c r="AT234" s="27" t="s">
        <v>252</v>
      </c>
      <c r="AU234" s="27" t="s">
        <v>252</v>
      </c>
      <c r="AV234" s="27">
        <v>0</v>
      </c>
      <c r="AW234" s="30" t="s">
        <v>888</v>
      </c>
      <c r="AX234" s="28"/>
      <c r="AY234" s="28"/>
      <c r="AZ234" s="28"/>
      <c r="BA234" s="28"/>
      <c r="BB234" s="28"/>
      <c r="BC234" s="28"/>
      <c r="BD234" s="28"/>
      <c r="BE234" s="28"/>
      <c r="BF234" s="28"/>
      <c r="BG234" s="28"/>
      <c r="BH234" s="28"/>
      <c r="BI234" s="28"/>
      <c r="BJ234" s="28"/>
      <c r="BK234" s="28"/>
      <c r="BL234" s="28"/>
      <c r="BM234" s="28"/>
      <c r="BN234" s="28"/>
      <c r="BO234" s="28"/>
      <c r="BP234" s="28"/>
      <c r="BQ234" s="28"/>
      <c r="BR234" s="28"/>
      <c r="BS234" s="28"/>
      <c r="BT234" s="28"/>
      <c r="BU234" s="28"/>
      <c r="BV234" s="28"/>
      <c r="BW234" s="28"/>
      <c r="BX234" s="28"/>
      <c r="BY234" s="19"/>
      <c r="BZ234" s="19"/>
      <c r="CA234" s="19"/>
      <c r="CB234" s="19"/>
      <c r="CC234" s="19"/>
      <c r="CD234" s="19"/>
      <c r="CE234" s="19"/>
      <c r="CF234" s="19"/>
      <c r="CG234" s="19"/>
      <c r="CH234" s="19"/>
      <c r="CI234" s="19"/>
      <c r="CJ234" s="19"/>
      <c r="CK234" s="19"/>
      <c r="CL234" s="19"/>
      <c r="CM234" s="19"/>
      <c r="CN234" s="19"/>
      <c r="CO234" s="19"/>
      <c r="CP234" s="19"/>
      <c r="CQ234" s="19"/>
      <c r="CR234" s="19"/>
      <c r="CS234" s="19"/>
      <c r="CT234" s="19"/>
      <c r="CU234" s="19"/>
      <c r="CV234" s="19"/>
      <c r="CW234" s="19"/>
      <c r="CX234" s="19"/>
      <c r="CY234" s="19"/>
      <c r="CZ234" s="19"/>
      <c r="DA234" s="19"/>
      <c r="DB234" s="19"/>
      <c r="DC234" s="19"/>
      <c r="DD234" s="19"/>
      <c r="DE234" s="19"/>
      <c r="DF234" s="19"/>
      <c r="DG234" s="19"/>
      <c r="DH234" s="19"/>
      <c r="DI234" s="19"/>
      <c r="DJ234" s="19"/>
      <c r="DK234" s="19"/>
      <c r="DL234" s="19"/>
      <c r="DM234" s="19"/>
      <c r="DN234" s="19"/>
      <c r="DO234" s="19"/>
      <c r="DP234" s="19"/>
      <c r="DQ234" s="19"/>
      <c r="DR234" s="19"/>
      <c r="DS234" s="19"/>
      <c r="DT234" s="19"/>
      <c r="DU234" s="19"/>
      <c r="DV234" s="19"/>
      <c r="DW234" s="19"/>
      <c r="DX234" s="19"/>
      <c r="DY234" s="19"/>
      <c r="DZ234" s="19"/>
      <c r="EA234" s="19"/>
      <c r="EB234" s="19"/>
      <c r="EC234" s="19"/>
      <c r="ED234" s="19"/>
      <c r="EE234" s="19"/>
      <c r="EF234" s="19"/>
      <c r="EG234" s="19"/>
      <c r="EH234" s="19"/>
      <c r="EI234" s="19"/>
      <c r="EJ234" s="19"/>
      <c r="EK234" s="19"/>
      <c r="EL234" s="19"/>
      <c r="EM234" s="19"/>
      <c r="EN234" s="19"/>
      <c r="EO234" s="19"/>
      <c r="EP234" s="19"/>
      <c r="EQ234" s="19"/>
      <c r="ER234" s="19"/>
      <c r="ES234" s="19"/>
      <c r="ET234" s="19"/>
      <c r="EU234" s="19"/>
      <c r="EV234" s="19"/>
      <c r="EW234" s="19"/>
      <c r="EX234" s="19"/>
      <c r="EY234" s="19"/>
      <c r="EZ234" s="19"/>
      <c r="FA234" s="19"/>
      <c r="FB234" s="19"/>
      <c r="FC234" s="19"/>
      <c r="FD234" s="19"/>
      <c r="FE234" s="19"/>
      <c r="FF234" s="19"/>
      <c r="FG234" s="19"/>
      <c r="FH234" s="19"/>
      <c r="FI234" s="19"/>
      <c r="FJ234" s="19"/>
      <c r="FK234" s="19"/>
      <c r="FL234" s="20" t="s">
        <v>862</v>
      </c>
      <c r="FM234" s="20" t="s">
        <v>255</v>
      </c>
      <c r="FN234" s="19"/>
      <c r="FO234" s="19"/>
      <c r="FP234" s="19"/>
      <c r="FQ234" s="19"/>
      <c r="FR234" s="19"/>
      <c r="FS234" s="19"/>
      <c r="FT234" s="19"/>
      <c r="FU234" s="19"/>
      <c r="FV234" s="19"/>
      <c r="FW234" s="19"/>
      <c r="FX234" s="19"/>
      <c r="FY234" s="19"/>
      <c r="FZ234" s="19"/>
      <c r="GA234" s="19"/>
      <c r="GB234" s="19"/>
      <c r="GC234" s="19"/>
      <c r="GD234" s="19"/>
      <c r="GE234" s="19"/>
      <c r="GF234" s="19"/>
      <c r="GG234" s="19"/>
      <c r="GH234" s="19"/>
      <c r="GI234" s="19"/>
      <c r="GJ234" s="19"/>
      <c r="GK234" s="19"/>
      <c r="GL234" s="19"/>
      <c r="GM234" s="19"/>
      <c r="GN234" s="19"/>
      <c r="GO234" s="19"/>
      <c r="GP234" s="19"/>
      <c r="GQ234" s="19"/>
      <c r="GR234" s="19"/>
      <c r="GS234" s="19"/>
      <c r="GT234" s="19"/>
      <c r="GU234" s="19"/>
      <c r="GV234" s="19"/>
      <c r="GW234" s="19"/>
      <c r="GX234" s="19"/>
      <c r="GY234" s="19"/>
      <c r="GZ234" s="19"/>
      <c r="HA234" s="19"/>
    </row>
    <row r="235" spans="1:209" ht="23.25" customHeight="1" x14ac:dyDescent="0.15">
      <c r="A235" s="26">
        <v>44659.699525150463</v>
      </c>
      <c r="B235" s="27" t="s">
        <v>6</v>
      </c>
      <c r="C235" s="27" t="s">
        <v>11</v>
      </c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  <c r="AX235" s="27" t="s">
        <v>814</v>
      </c>
      <c r="AY235" s="27" t="s">
        <v>815</v>
      </c>
      <c r="AZ235" s="27" t="s">
        <v>420</v>
      </c>
      <c r="BA235" s="27" t="s">
        <v>498</v>
      </c>
      <c r="BB235" s="27" t="s">
        <v>318</v>
      </c>
      <c r="BC235" s="29">
        <v>44479</v>
      </c>
      <c r="BD235" s="29">
        <v>44561</v>
      </c>
      <c r="BE235" s="29">
        <v>44561</v>
      </c>
      <c r="BF235" s="27">
        <v>100</v>
      </c>
      <c r="BG235" s="27" t="s">
        <v>580</v>
      </c>
      <c r="BH235" s="30" t="s">
        <v>889</v>
      </c>
      <c r="BI235" s="28"/>
      <c r="BJ235" s="28"/>
      <c r="BK235" s="28"/>
      <c r="BL235" s="28"/>
      <c r="BM235" s="28"/>
      <c r="BN235" s="28"/>
      <c r="BO235" s="28"/>
      <c r="BP235" s="28"/>
      <c r="BQ235" s="28"/>
      <c r="BR235" s="28"/>
      <c r="BS235" s="28"/>
      <c r="BT235" s="28"/>
      <c r="BU235" s="28"/>
      <c r="BV235" s="28"/>
      <c r="BW235" s="28"/>
      <c r="BX235" s="28"/>
      <c r="BY235" s="19"/>
      <c r="BZ235" s="19"/>
      <c r="CA235" s="19"/>
      <c r="CB235" s="19"/>
      <c r="CC235" s="19"/>
      <c r="CD235" s="19"/>
      <c r="CE235" s="19"/>
      <c r="CF235" s="19"/>
      <c r="CG235" s="19"/>
      <c r="CH235" s="19"/>
      <c r="CI235" s="19"/>
      <c r="CJ235" s="19"/>
      <c r="CK235" s="19"/>
      <c r="CL235" s="19"/>
      <c r="CM235" s="19"/>
      <c r="CN235" s="19"/>
      <c r="CO235" s="19"/>
      <c r="CP235" s="19"/>
      <c r="CQ235" s="19"/>
      <c r="CR235" s="19"/>
      <c r="CS235" s="19"/>
      <c r="CT235" s="19"/>
      <c r="CU235" s="19"/>
      <c r="CV235" s="19"/>
      <c r="CW235" s="19"/>
      <c r="CX235" s="19"/>
      <c r="CY235" s="19"/>
      <c r="CZ235" s="19"/>
      <c r="DA235" s="19"/>
      <c r="DB235" s="19"/>
      <c r="DC235" s="19"/>
      <c r="DD235" s="19"/>
      <c r="DE235" s="19"/>
      <c r="DF235" s="19"/>
      <c r="DG235" s="19"/>
      <c r="DH235" s="19"/>
      <c r="DI235" s="19"/>
      <c r="DJ235" s="19"/>
      <c r="DK235" s="19"/>
      <c r="DL235" s="19"/>
      <c r="DM235" s="19"/>
      <c r="DN235" s="19"/>
      <c r="DO235" s="19"/>
      <c r="DP235" s="19"/>
      <c r="DQ235" s="19"/>
      <c r="DR235" s="19"/>
      <c r="DS235" s="19"/>
      <c r="DT235" s="19"/>
      <c r="DU235" s="19"/>
      <c r="DV235" s="19"/>
      <c r="DW235" s="19"/>
      <c r="DX235" s="19"/>
      <c r="DY235" s="19"/>
      <c r="DZ235" s="19"/>
      <c r="EA235" s="19"/>
      <c r="EB235" s="19"/>
      <c r="EC235" s="19"/>
      <c r="ED235" s="19"/>
      <c r="EE235" s="19"/>
      <c r="EF235" s="19"/>
      <c r="EG235" s="19"/>
      <c r="EH235" s="19"/>
      <c r="EI235" s="19"/>
      <c r="EJ235" s="19"/>
      <c r="EK235" s="19"/>
      <c r="EL235" s="19"/>
      <c r="EM235" s="19"/>
      <c r="EN235" s="19"/>
      <c r="EO235" s="19"/>
      <c r="EP235" s="19"/>
      <c r="EQ235" s="19"/>
      <c r="ER235" s="19"/>
      <c r="ES235" s="19"/>
      <c r="ET235" s="19"/>
      <c r="EU235" s="19"/>
      <c r="EV235" s="19"/>
      <c r="EW235" s="19"/>
      <c r="EX235" s="19"/>
      <c r="EY235" s="19"/>
      <c r="EZ235" s="19"/>
      <c r="FA235" s="19"/>
      <c r="FB235" s="19"/>
      <c r="FC235" s="19"/>
      <c r="FD235" s="19"/>
      <c r="FE235" s="19"/>
      <c r="FF235" s="19"/>
      <c r="FG235" s="19"/>
      <c r="FH235" s="19"/>
      <c r="FI235" s="19"/>
      <c r="FJ235" s="19"/>
      <c r="FK235" s="19"/>
      <c r="FL235" s="20" t="s">
        <v>818</v>
      </c>
      <c r="FM235" s="20" t="s">
        <v>273</v>
      </c>
      <c r="FN235" s="19"/>
      <c r="FO235" s="19"/>
      <c r="FP235" s="19"/>
      <c r="FQ235" s="19"/>
      <c r="FR235" s="19"/>
      <c r="FS235" s="19"/>
      <c r="FT235" s="19"/>
      <c r="FU235" s="19"/>
      <c r="FV235" s="19"/>
      <c r="FW235" s="19"/>
      <c r="FX235" s="19"/>
      <c r="FY235" s="19"/>
      <c r="FZ235" s="19"/>
      <c r="GA235" s="19"/>
      <c r="GB235" s="19"/>
      <c r="GC235" s="19"/>
      <c r="GD235" s="19"/>
      <c r="GE235" s="19"/>
      <c r="GF235" s="19"/>
      <c r="GG235" s="19"/>
      <c r="GH235" s="19"/>
      <c r="GI235" s="19"/>
      <c r="GJ235" s="19"/>
      <c r="GK235" s="19"/>
      <c r="GL235" s="19"/>
      <c r="GM235" s="19"/>
      <c r="GN235" s="19"/>
      <c r="GO235" s="19"/>
      <c r="GP235" s="19"/>
      <c r="GQ235" s="19"/>
      <c r="GR235" s="19"/>
      <c r="GS235" s="19"/>
      <c r="GT235" s="19"/>
      <c r="GU235" s="19"/>
      <c r="GV235" s="19"/>
      <c r="GW235" s="19"/>
      <c r="GX235" s="19"/>
      <c r="GY235" s="19"/>
      <c r="GZ235" s="19"/>
      <c r="HA235" s="19"/>
    </row>
    <row r="236" spans="1:209" ht="23.25" customHeight="1" x14ac:dyDescent="0.15">
      <c r="A236" s="26">
        <v>44659.702017546297</v>
      </c>
      <c r="B236" s="27" t="s">
        <v>6</v>
      </c>
      <c r="C236" s="27" t="s">
        <v>10</v>
      </c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7" t="s">
        <v>856</v>
      </c>
      <c r="AO236" s="27" t="s">
        <v>857</v>
      </c>
      <c r="AP236" s="27" t="s">
        <v>890</v>
      </c>
      <c r="AQ236" s="27" t="s">
        <v>318</v>
      </c>
      <c r="AR236" s="29">
        <v>44620</v>
      </c>
      <c r="AS236" s="29">
        <v>44681</v>
      </c>
      <c r="AT236" s="27" t="s">
        <v>251</v>
      </c>
      <c r="AU236" s="27" t="s">
        <v>252</v>
      </c>
      <c r="AV236" s="27">
        <v>0</v>
      </c>
      <c r="AW236" s="30" t="s">
        <v>891</v>
      </c>
      <c r="AX236" s="28"/>
      <c r="AY236" s="28"/>
      <c r="AZ236" s="28"/>
      <c r="BA236" s="28"/>
      <c r="BB236" s="28"/>
      <c r="BC236" s="28"/>
      <c r="BD236" s="28"/>
      <c r="BE236" s="28"/>
      <c r="BF236" s="28"/>
      <c r="BG236" s="28"/>
      <c r="BH236" s="28"/>
      <c r="BI236" s="28"/>
      <c r="BJ236" s="28"/>
      <c r="BK236" s="28"/>
      <c r="BL236" s="28"/>
      <c r="BM236" s="28"/>
      <c r="BN236" s="28"/>
      <c r="BO236" s="28"/>
      <c r="BP236" s="28"/>
      <c r="BQ236" s="28"/>
      <c r="BR236" s="28"/>
      <c r="BS236" s="28"/>
      <c r="BT236" s="28"/>
      <c r="BU236" s="28"/>
      <c r="BV236" s="28"/>
      <c r="BW236" s="28"/>
      <c r="BX236" s="28"/>
      <c r="BY236" s="19"/>
      <c r="BZ236" s="19"/>
      <c r="CA236" s="19"/>
      <c r="CB236" s="19"/>
      <c r="CC236" s="19"/>
      <c r="CD236" s="19"/>
      <c r="CE236" s="19"/>
      <c r="CF236" s="19"/>
      <c r="CG236" s="19"/>
      <c r="CH236" s="19"/>
      <c r="CI236" s="19"/>
      <c r="CJ236" s="19"/>
      <c r="CK236" s="19"/>
      <c r="CL236" s="19"/>
      <c r="CM236" s="19"/>
      <c r="CN236" s="19"/>
      <c r="CO236" s="19"/>
      <c r="CP236" s="19"/>
      <c r="CQ236" s="19"/>
      <c r="CR236" s="19"/>
      <c r="CS236" s="19"/>
      <c r="CT236" s="19"/>
      <c r="CU236" s="19"/>
      <c r="CV236" s="19"/>
      <c r="CW236" s="19"/>
      <c r="CX236" s="19"/>
      <c r="CY236" s="19"/>
      <c r="CZ236" s="19"/>
      <c r="DA236" s="19"/>
      <c r="DB236" s="19"/>
      <c r="DC236" s="19"/>
      <c r="DD236" s="19"/>
      <c r="DE236" s="19"/>
      <c r="DF236" s="19"/>
      <c r="DG236" s="19"/>
      <c r="DH236" s="19"/>
      <c r="DI236" s="19"/>
      <c r="DJ236" s="19"/>
      <c r="DK236" s="19"/>
      <c r="DL236" s="19"/>
      <c r="DM236" s="19"/>
      <c r="DN236" s="19"/>
      <c r="DO236" s="19"/>
      <c r="DP236" s="19"/>
      <c r="DQ236" s="19"/>
      <c r="DR236" s="19"/>
      <c r="DS236" s="19"/>
      <c r="DT236" s="19"/>
      <c r="DU236" s="19"/>
      <c r="DV236" s="19"/>
      <c r="DW236" s="19"/>
      <c r="DX236" s="19"/>
      <c r="DY236" s="19"/>
      <c r="DZ236" s="19"/>
      <c r="EA236" s="19"/>
      <c r="EB236" s="19"/>
      <c r="EC236" s="19"/>
      <c r="ED236" s="19"/>
      <c r="EE236" s="19"/>
      <c r="EF236" s="19"/>
      <c r="EG236" s="19"/>
      <c r="EH236" s="19"/>
      <c r="EI236" s="19"/>
      <c r="EJ236" s="19"/>
      <c r="EK236" s="19"/>
      <c r="EL236" s="19"/>
      <c r="EM236" s="19"/>
      <c r="EN236" s="19"/>
      <c r="EO236" s="19"/>
      <c r="EP236" s="19"/>
      <c r="EQ236" s="19"/>
      <c r="ER236" s="19"/>
      <c r="ES236" s="19"/>
      <c r="ET236" s="19"/>
      <c r="EU236" s="19"/>
      <c r="EV236" s="19"/>
      <c r="EW236" s="19"/>
      <c r="EX236" s="19"/>
      <c r="EY236" s="19"/>
      <c r="EZ236" s="19"/>
      <c r="FA236" s="19"/>
      <c r="FB236" s="19"/>
      <c r="FC236" s="19"/>
      <c r="FD236" s="19"/>
      <c r="FE236" s="19"/>
      <c r="FF236" s="19"/>
      <c r="FG236" s="19"/>
      <c r="FH236" s="19"/>
      <c r="FI236" s="19"/>
      <c r="FJ236" s="19"/>
      <c r="FK236" s="19"/>
      <c r="FL236" s="20" t="s">
        <v>862</v>
      </c>
      <c r="FM236" s="20" t="s">
        <v>255</v>
      </c>
      <c r="FN236" s="19"/>
      <c r="FO236" s="19"/>
      <c r="FP236" s="19"/>
      <c r="FQ236" s="19"/>
      <c r="FR236" s="19"/>
      <c r="FS236" s="19"/>
      <c r="FT236" s="19"/>
      <c r="FU236" s="19"/>
      <c r="FV236" s="19"/>
      <c r="FW236" s="19"/>
      <c r="FX236" s="19"/>
      <c r="FY236" s="19"/>
      <c r="FZ236" s="19"/>
      <c r="GA236" s="19"/>
      <c r="GB236" s="19"/>
      <c r="GC236" s="19"/>
      <c r="GD236" s="19"/>
      <c r="GE236" s="19"/>
      <c r="GF236" s="19"/>
      <c r="GG236" s="19"/>
      <c r="GH236" s="19"/>
      <c r="GI236" s="19"/>
      <c r="GJ236" s="19"/>
      <c r="GK236" s="19"/>
      <c r="GL236" s="19"/>
      <c r="GM236" s="19"/>
      <c r="GN236" s="19"/>
      <c r="GO236" s="19"/>
      <c r="GP236" s="19"/>
      <c r="GQ236" s="19"/>
      <c r="GR236" s="19"/>
      <c r="GS236" s="19"/>
      <c r="GT236" s="19"/>
      <c r="GU236" s="19"/>
      <c r="GV236" s="19"/>
      <c r="GW236" s="19"/>
      <c r="GX236" s="19"/>
      <c r="GY236" s="19"/>
      <c r="GZ236" s="19"/>
      <c r="HA236" s="19"/>
    </row>
    <row r="237" spans="1:209" ht="23.25" customHeight="1" x14ac:dyDescent="0.15">
      <c r="A237" s="26">
        <v>44659.702218541672</v>
      </c>
      <c r="B237" s="27" t="s">
        <v>6</v>
      </c>
      <c r="C237" s="27" t="s">
        <v>10</v>
      </c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7" t="s">
        <v>814</v>
      </c>
      <c r="AO237" s="27" t="s">
        <v>815</v>
      </c>
      <c r="AP237" s="27" t="s">
        <v>307</v>
      </c>
      <c r="AQ237" s="27" t="s">
        <v>318</v>
      </c>
      <c r="AR237" s="29">
        <v>44479</v>
      </c>
      <c r="AS237" s="29">
        <v>44560</v>
      </c>
      <c r="AT237" s="27" t="s">
        <v>252</v>
      </c>
      <c r="AU237" s="27" t="s">
        <v>252</v>
      </c>
      <c r="AV237" s="27">
        <v>0</v>
      </c>
      <c r="AW237" s="30" t="s">
        <v>892</v>
      </c>
      <c r="AX237" s="28"/>
      <c r="AY237" s="28"/>
      <c r="AZ237" s="28"/>
      <c r="BA237" s="28"/>
      <c r="BB237" s="28"/>
      <c r="BC237" s="28"/>
      <c r="BD237" s="28"/>
      <c r="BE237" s="28"/>
      <c r="BF237" s="28"/>
      <c r="BG237" s="28"/>
      <c r="BH237" s="28"/>
      <c r="BI237" s="28"/>
      <c r="BJ237" s="28"/>
      <c r="BK237" s="28"/>
      <c r="BL237" s="28"/>
      <c r="BM237" s="28"/>
      <c r="BN237" s="28"/>
      <c r="BO237" s="28"/>
      <c r="BP237" s="28"/>
      <c r="BQ237" s="28"/>
      <c r="BR237" s="28"/>
      <c r="BS237" s="28"/>
      <c r="BT237" s="28"/>
      <c r="BU237" s="28"/>
      <c r="BV237" s="28"/>
      <c r="BW237" s="28"/>
      <c r="BX237" s="28"/>
      <c r="BY237" s="19"/>
      <c r="BZ237" s="19"/>
      <c r="CA237" s="19"/>
      <c r="CB237" s="19"/>
      <c r="CC237" s="19"/>
      <c r="CD237" s="19"/>
      <c r="CE237" s="19"/>
      <c r="CF237" s="19"/>
      <c r="CG237" s="19"/>
      <c r="CH237" s="19"/>
      <c r="CI237" s="19"/>
      <c r="CJ237" s="19"/>
      <c r="CK237" s="19"/>
      <c r="CL237" s="19"/>
      <c r="CM237" s="19"/>
      <c r="CN237" s="19"/>
      <c r="CO237" s="19"/>
      <c r="CP237" s="19"/>
      <c r="CQ237" s="19"/>
      <c r="CR237" s="19"/>
      <c r="CS237" s="19"/>
      <c r="CT237" s="19"/>
      <c r="CU237" s="19"/>
      <c r="CV237" s="19"/>
      <c r="CW237" s="19"/>
      <c r="CX237" s="19"/>
      <c r="CY237" s="19"/>
      <c r="CZ237" s="19"/>
      <c r="DA237" s="19"/>
      <c r="DB237" s="19"/>
      <c r="DC237" s="19"/>
      <c r="DD237" s="19"/>
      <c r="DE237" s="19"/>
      <c r="DF237" s="19"/>
      <c r="DG237" s="19"/>
      <c r="DH237" s="19"/>
      <c r="DI237" s="19"/>
      <c r="DJ237" s="19"/>
      <c r="DK237" s="19"/>
      <c r="DL237" s="19"/>
      <c r="DM237" s="19"/>
      <c r="DN237" s="19"/>
      <c r="DO237" s="19"/>
      <c r="DP237" s="19"/>
      <c r="DQ237" s="19"/>
      <c r="DR237" s="19"/>
      <c r="DS237" s="19"/>
      <c r="DT237" s="19"/>
      <c r="DU237" s="19"/>
      <c r="DV237" s="19"/>
      <c r="DW237" s="19"/>
      <c r="DX237" s="19"/>
      <c r="DY237" s="19"/>
      <c r="DZ237" s="19"/>
      <c r="EA237" s="19"/>
      <c r="EB237" s="19"/>
      <c r="EC237" s="19"/>
      <c r="ED237" s="19"/>
      <c r="EE237" s="19"/>
      <c r="EF237" s="19"/>
      <c r="EG237" s="19"/>
      <c r="EH237" s="19"/>
      <c r="EI237" s="19"/>
      <c r="EJ237" s="19"/>
      <c r="EK237" s="19"/>
      <c r="EL237" s="19"/>
      <c r="EM237" s="19"/>
      <c r="EN237" s="19"/>
      <c r="EO237" s="19"/>
      <c r="EP237" s="19"/>
      <c r="EQ237" s="19"/>
      <c r="ER237" s="19"/>
      <c r="ES237" s="19"/>
      <c r="ET237" s="19"/>
      <c r="EU237" s="19"/>
      <c r="EV237" s="19"/>
      <c r="EW237" s="19"/>
      <c r="EX237" s="19"/>
      <c r="EY237" s="19"/>
      <c r="EZ237" s="19"/>
      <c r="FA237" s="19"/>
      <c r="FB237" s="19"/>
      <c r="FC237" s="19"/>
      <c r="FD237" s="19"/>
      <c r="FE237" s="19"/>
      <c r="FF237" s="19"/>
      <c r="FG237" s="19"/>
      <c r="FH237" s="19"/>
      <c r="FI237" s="19"/>
      <c r="FJ237" s="19"/>
      <c r="FK237" s="19"/>
      <c r="FL237" s="20" t="s">
        <v>818</v>
      </c>
      <c r="FM237" s="20" t="s">
        <v>273</v>
      </c>
      <c r="FN237" s="19"/>
      <c r="FO237" s="19"/>
      <c r="FP237" s="19"/>
      <c r="FQ237" s="19"/>
      <c r="FR237" s="19"/>
      <c r="FS237" s="19"/>
      <c r="FT237" s="19"/>
      <c r="FU237" s="19"/>
      <c r="FV237" s="19"/>
      <c r="FW237" s="19"/>
      <c r="FX237" s="19"/>
      <c r="FY237" s="19"/>
      <c r="FZ237" s="19"/>
      <c r="GA237" s="19"/>
      <c r="GB237" s="19"/>
      <c r="GC237" s="19"/>
      <c r="GD237" s="19"/>
      <c r="GE237" s="19"/>
      <c r="GF237" s="19"/>
      <c r="GG237" s="19"/>
      <c r="GH237" s="19"/>
      <c r="GI237" s="19"/>
      <c r="GJ237" s="19"/>
      <c r="GK237" s="19"/>
      <c r="GL237" s="19"/>
      <c r="GM237" s="19"/>
      <c r="GN237" s="19"/>
      <c r="GO237" s="19"/>
      <c r="GP237" s="19"/>
      <c r="GQ237" s="19"/>
      <c r="GR237" s="19"/>
      <c r="GS237" s="19"/>
      <c r="GT237" s="19"/>
      <c r="GU237" s="19"/>
      <c r="GV237" s="19"/>
      <c r="GW237" s="19"/>
      <c r="GX237" s="19"/>
      <c r="GY237" s="19"/>
      <c r="GZ237" s="19"/>
      <c r="HA237" s="19"/>
    </row>
    <row r="238" spans="1:209" ht="23.25" customHeight="1" x14ac:dyDescent="0.15">
      <c r="A238" s="26">
        <v>44659.709127835653</v>
      </c>
      <c r="B238" s="27" t="s">
        <v>6</v>
      </c>
      <c r="C238" s="27" t="s">
        <v>11</v>
      </c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  <c r="AX238" s="27" t="s">
        <v>814</v>
      </c>
      <c r="AY238" s="27" t="s">
        <v>815</v>
      </c>
      <c r="AZ238" s="27" t="s">
        <v>893</v>
      </c>
      <c r="BA238" s="27" t="s">
        <v>894</v>
      </c>
      <c r="BB238" s="27" t="s">
        <v>493</v>
      </c>
      <c r="BC238" s="29">
        <v>44371</v>
      </c>
      <c r="BD238" s="29">
        <v>44401</v>
      </c>
      <c r="BE238" s="29">
        <v>44401</v>
      </c>
      <c r="BF238" s="27">
        <v>100</v>
      </c>
      <c r="BG238" s="27" t="s">
        <v>556</v>
      </c>
      <c r="BH238" s="30" t="s">
        <v>895</v>
      </c>
      <c r="BI238" s="28"/>
      <c r="BJ238" s="28"/>
      <c r="BK238" s="28"/>
      <c r="BL238" s="28"/>
      <c r="BM238" s="28"/>
      <c r="BN238" s="28"/>
      <c r="BO238" s="28"/>
      <c r="BP238" s="28"/>
      <c r="BQ238" s="28"/>
      <c r="BR238" s="28"/>
      <c r="BS238" s="28"/>
      <c r="BT238" s="28"/>
      <c r="BU238" s="28"/>
      <c r="BV238" s="28"/>
      <c r="BW238" s="28"/>
      <c r="BX238" s="28"/>
      <c r="BY238" s="19"/>
      <c r="BZ238" s="19"/>
      <c r="CA238" s="19"/>
      <c r="CB238" s="19"/>
      <c r="CC238" s="19"/>
      <c r="CD238" s="19"/>
      <c r="CE238" s="19"/>
      <c r="CF238" s="19"/>
      <c r="CG238" s="19"/>
      <c r="CH238" s="19"/>
      <c r="CI238" s="19"/>
      <c r="CJ238" s="19"/>
      <c r="CK238" s="19"/>
      <c r="CL238" s="19"/>
      <c r="CM238" s="19"/>
      <c r="CN238" s="19"/>
      <c r="CO238" s="19"/>
      <c r="CP238" s="19"/>
      <c r="CQ238" s="19"/>
      <c r="CR238" s="19"/>
      <c r="CS238" s="19"/>
      <c r="CT238" s="19"/>
      <c r="CU238" s="19"/>
      <c r="CV238" s="19"/>
      <c r="CW238" s="19"/>
      <c r="CX238" s="19"/>
      <c r="CY238" s="19"/>
      <c r="CZ238" s="19"/>
      <c r="DA238" s="19"/>
      <c r="DB238" s="19"/>
      <c r="DC238" s="19"/>
      <c r="DD238" s="19"/>
      <c r="DE238" s="19"/>
      <c r="DF238" s="19"/>
      <c r="DG238" s="19"/>
      <c r="DH238" s="19"/>
      <c r="DI238" s="19"/>
      <c r="DJ238" s="19"/>
      <c r="DK238" s="19"/>
      <c r="DL238" s="19"/>
      <c r="DM238" s="19"/>
      <c r="DN238" s="19"/>
      <c r="DO238" s="19"/>
      <c r="DP238" s="19"/>
      <c r="DQ238" s="19"/>
      <c r="DR238" s="19"/>
      <c r="DS238" s="19"/>
      <c r="DT238" s="19"/>
      <c r="DU238" s="19"/>
      <c r="DV238" s="19"/>
      <c r="DW238" s="19"/>
      <c r="DX238" s="19"/>
      <c r="DY238" s="19"/>
      <c r="DZ238" s="19"/>
      <c r="EA238" s="19"/>
      <c r="EB238" s="19"/>
      <c r="EC238" s="19"/>
      <c r="ED238" s="19"/>
      <c r="EE238" s="19"/>
      <c r="EF238" s="19"/>
      <c r="EG238" s="19"/>
      <c r="EH238" s="19"/>
      <c r="EI238" s="19"/>
      <c r="EJ238" s="19"/>
      <c r="EK238" s="19"/>
      <c r="EL238" s="19"/>
      <c r="EM238" s="19"/>
      <c r="EN238" s="19"/>
      <c r="EO238" s="19"/>
      <c r="EP238" s="19"/>
      <c r="EQ238" s="19"/>
      <c r="ER238" s="19"/>
      <c r="ES238" s="19"/>
      <c r="ET238" s="19"/>
      <c r="EU238" s="19"/>
      <c r="EV238" s="19"/>
      <c r="EW238" s="19"/>
      <c r="EX238" s="19"/>
      <c r="EY238" s="19"/>
      <c r="EZ238" s="19"/>
      <c r="FA238" s="19"/>
      <c r="FB238" s="19"/>
      <c r="FC238" s="19"/>
      <c r="FD238" s="19"/>
      <c r="FE238" s="19"/>
      <c r="FF238" s="19"/>
      <c r="FG238" s="19"/>
      <c r="FH238" s="19"/>
      <c r="FI238" s="19"/>
      <c r="FJ238" s="19"/>
      <c r="FK238" s="19"/>
      <c r="FL238" s="20" t="s">
        <v>818</v>
      </c>
      <c r="FM238" s="20" t="s">
        <v>278</v>
      </c>
      <c r="FN238" s="19"/>
      <c r="FO238" s="19"/>
      <c r="FP238" s="19"/>
      <c r="FQ238" s="19"/>
      <c r="FR238" s="19"/>
      <c r="FS238" s="19"/>
      <c r="FT238" s="19"/>
      <c r="FU238" s="19"/>
      <c r="FV238" s="19"/>
      <c r="FW238" s="19"/>
      <c r="FX238" s="19"/>
      <c r="FY238" s="19"/>
      <c r="FZ238" s="19"/>
      <c r="GA238" s="19"/>
      <c r="GB238" s="19"/>
      <c r="GC238" s="19"/>
      <c r="GD238" s="19"/>
      <c r="GE238" s="19"/>
      <c r="GF238" s="19"/>
      <c r="GG238" s="19"/>
      <c r="GH238" s="19"/>
      <c r="GI238" s="19"/>
      <c r="GJ238" s="19"/>
      <c r="GK238" s="19"/>
      <c r="GL238" s="19"/>
      <c r="GM238" s="19"/>
      <c r="GN238" s="19"/>
      <c r="GO238" s="19"/>
      <c r="GP238" s="19"/>
      <c r="GQ238" s="19"/>
      <c r="GR238" s="19"/>
      <c r="GS238" s="19"/>
      <c r="GT238" s="19"/>
      <c r="GU238" s="19"/>
      <c r="GV238" s="19"/>
      <c r="GW238" s="19"/>
      <c r="GX238" s="19"/>
      <c r="GY238" s="19"/>
      <c r="GZ238" s="19"/>
      <c r="HA238" s="19"/>
    </row>
    <row r="239" spans="1:209" ht="23.25" customHeight="1" x14ac:dyDescent="0.15">
      <c r="A239" s="26">
        <v>44659.709379259264</v>
      </c>
      <c r="B239" s="27" t="s">
        <v>6</v>
      </c>
      <c r="C239" s="27" t="s">
        <v>12</v>
      </c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  <c r="AX239" s="28"/>
      <c r="AY239" s="28"/>
      <c r="AZ239" s="28"/>
      <c r="BA239" s="28"/>
      <c r="BB239" s="28"/>
      <c r="BC239" s="28"/>
      <c r="BD239" s="28"/>
      <c r="BE239" s="28"/>
      <c r="BF239" s="28"/>
      <c r="BG239" s="28"/>
      <c r="BH239" s="28"/>
      <c r="BI239" s="27" t="s">
        <v>830</v>
      </c>
      <c r="BJ239" s="27" t="s">
        <v>831</v>
      </c>
      <c r="BK239" s="27" t="s">
        <v>311</v>
      </c>
      <c r="BL239" s="27" t="s">
        <v>167</v>
      </c>
      <c r="BM239" s="27" t="s">
        <v>896</v>
      </c>
      <c r="BN239" s="27">
        <v>1</v>
      </c>
      <c r="BO239" s="29">
        <v>44469</v>
      </c>
      <c r="BP239" s="29">
        <v>44469</v>
      </c>
      <c r="BQ239" s="27" t="s">
        <v>897</v>
      </c>
      <c r="BR239" s="27" t="s">
        <v>898</v>
      </c>
      <c r="BS239" s="27" t="s">
        <v>150</v>
      </c>
      <c r="BT239" s="27" t="s">
        <v>151</v>
      </c>
      <c r="BU239" s="28"/>
      <c r="BV239" s="30" t="s">
        <v>899</v>
      </c>
      <c r="BW239" s="28"/>
      <c r="BX239" s="28"/>
      <c r="BY239" s="19"/>
      <c r="BZ239" s="19"/>
      <c r="CA239" s="19"/>
      <c r="CB239" s="19"/>
      <c r="CC239" s="19"/>
      <c r="CD239" s="19"/>
      <c r="CE239" s="19"/>
      <c r="CF239" s="19"/>
      <c r="CG239" s="19"/>
      <c r="CH239" s="19"/>
      <c r="CI239" s="19"/>
      <c r="CJ239" s="19"/>
      <c r="CK239" s="19"/>
      <c r="CL239" s="19"/>
      <c r="CM239" s="19"/>
      <c r="CN239" s="19"/>
      <c r="CO239" s="19"/>
      <c r="CP239" s="19"/>
      <c r="CQ239" s="19"/>
      <c r="CR239" s="19"/>
      <c r="CS239" s="19"/>
      <c r="CT239" s="19"/>
      <c r="CU239" s="19"/>
      <c r="CV239" s="19"/>
      <c r="CW239" s="19"/>
      <c r="CX239" s="19"/>
      <c r="CY239" s="19"/>
      <c r="CZ239" s="19"/>
      <c r="DA239" s="19"/>
      <c r="DB239" s="19"/>
      <c r="DC239" s="19"/>
      <c r="DD239" s="19"/>
      <c r="DE239" s="19"/>
      <c r="DF239" s="19"/>
      <c r="DG239" s="19"/>
      <c r="DH239" s="19"/>
      <c r="DI239" s="19"/>
      <c r="DJ239" s="19"/>
      <c r="DK239" s="19"/>
      <c r="DL239" s="19"/>
      <c r="DM239" s="19"/>
      <c r="DN239" s="19"/>
      <c r="DO239" s="19"/>
      <c r="DP239" s="19"/>
      <c r="DQ239" s="19"/>
      <c r="DR239" s="19"/>
      <c r="DS239" s="19"/>
      <c r="DT239" s="19"/>
      <c r="DU239" s="19"/>
      <c r="DV239" s="19"/>
      <c r="DW239" s="19"/>
      <c r="DX239" s="19"/>
      <c r="DY239" s="19"/>
      <c r="DZ239" s="19"/>
      <c r="EA239" s="19"/>
      <c r="EB239" s="19"/>
      <c r="EC239" s="19"/>
      <c r="ED239" s="19"/>
      <c r="EE239" s="19"/>
      <c r="EF239" s="19"/>
      <c r="EG239" s="19"/>
      <c r="EH239" s="19"/>
      <c r="EI239" s="19"/>
      <c r="EJ239" s="19"/>
      <c r="EK239" s="19"/>
      <c r="EL239" s="19"/>
      <c r="EM239" s="19"/>
      <c r="EN239" s="19"/>
      <c r="EO239" s="19"/>
      <c r="EP239" s="19"/>
      <c r="EQ239" s="19"/>
      <c r="ER239" s="19"/>
      <c r="ES239" s="19"/>
      <c r="ET239" s="19"/>
      <c r="EU239" s="19"/>
      <c r="EV239" s="19"/>
      <c r="EW239" s="19"/>
      <c r="EX239" s="19"/>
      <c r="EY239" s="19"/>
      <c r="EZ239" s="19"/>
      <c r="FA239" s="19"/>
      <c r="FB239" s="19"/>
      <c r="FC239" s="19"/>
      <c r="FD239" s="19"/>
      <c r="FE239" s="19"/>
      <c r="FF239" s="19"/>
      <c r="FG239" s="19"/>
      <c r="FH239" s="19"/>
      <c r="FI239" s="19"/>
      <c r="FJ239" s="19"/>
      <c r="FK239" s="19"/>
      <c r="FL239" s="20" t="s">
        <v>834</v>
      </c>
      <c r="FM239" s="20" t="s">
        <v>255</v>
      </c>
      <c r="FN239" s="19"/>
      <c r="FO239" s="19"/>
      <c r="FP239" s="19"/>
      <c r="FQ239" s="19"/>
      <c r="FR239" s="19"/>
      <c r="FS239" s="19"/>
      <c r="FT239" s="19"/>
      <c r="FU239" s="19"/>
      <c r="FV239" s="19"/>
      <c r="FW239" s="19"/>
      <c r="FX239" s="19"/>
      <c r="FY239" s="19"/>
      <c r="FZ239" s="19"/>
      <c r="GA239" s="19"/>
      <c r="GB239" s="19"/>
      <c r="GC239" s="19"/>
      <c r="GD239" s="19"/>
      <c r="GE239" s="19"/>
      <c r="GF239" s="19"/>
      <c r="GG239" s="19"/>
      <c r="GH239" s="19"/>
      <c r="GI239" s="19"/>
      <c r="GJ239" s="19"/>
      <c r="GK239" s="19"/>
      <c r="GL239" s="19"/>
      <c r="GM239" s="19"/>
      <c r="GN239" s="19"/>
      <c r="GO239" s="19"/>
      <c r="GP239" s="19"/>
      <c r="GQ239" s="19"/>
      <c r="GR239" s="19"/>
      <c r="GS239" s="19"/>
      <c r="GT239" s="19"/>
      <c r="GU239" s="19"/>
      <c r="GV239" s="19"/>
      <c r="GW239" s="19"/>
      <c r="GX239" s="19"/>
      <c r="GY239" s="19"/>
      <c r="GZ239" s="19"/>
      <c r="HA239" s="19"/>
    </row>
    <row r="240" spans="1:209" ht="23.25" customHeight="1" x14ac:dyDescent="0.15">
      <c r="A240" s="26">
        <v>44659.711973958329</v>
      </c>
      <c r="B240" s="27" t="s">
        <v>6</v>
      </c>
      <c r="C240" s="27" t="s">
        <v>12</v>
      </c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  <c r="AX240" s="28"/>
      <c r="AY240" s="28"/>
      <c r="AZ240" s="28"/>
      <c r="BA240" s="28"/>
      <c r="BB240" s="28"/>
      <c r="BC240" s="28"/>
      <c r="BD240" s="28"/>
      <c r="BE240" s="28"/>
      <c r="BF240" s="28"/>
      <c r="BG240" s="28"/>
      <c r="BH240" s="28"/>
      <c r="BI240" s="27" t="s">
        <v>814</v>
      </c>
      <c r="BJ240" s="27" t="s">
        <v>815</v>
      </c>
      <c r="BK240" s="27" t="s">
        <v>311</v>
      </c>
      <c r="BL240" s="27" t="s">
        <v>167</v>
      </c>
      <c r="BM240" s="27" t="s">
        <v>900</v>
      </c>
      <c r="BN240" s="27">
        <v>1</v>
      </c>
      <c r="BO240" s="29">
        <v>44568</v>
      </c>
      <c r="BP240" s="29">
        <v>44568</v>
      </c>
      <c r="BQ240" s="27" t="s">
        <v>901</v>
      </c>
      <c r="BR240" s="27" t="s">
        <v>902</v>
      </c>
      <c r="BS240" s="27" t="s">
        <v>171</v>
      </c>
      <c r="BT240" s="27" t="s">
        <v>151</v>
      </c>
      <c r="BU240" s="28"/>
      <c r="BV240" s="30" t="s">
        <v>903</v>
      </c>
      <c r="BW240" s="28"/>
      <c r="BX240" s="28"/>
      <c r="BY240" s="19"/>
      <c r="BZ240" s="19"/>
      <c r="CA240" s="19"/>
      <c r="CB240" s="19"/>
      <c r="CC240" s="19"/>
      <c r="CD240" s="19"/>
      <c r="CE240" s="19"/>
      <c r="CF240" s="19"/>
      <c r="CG240" s="19"/>
      <c r="CH240" s="19"/>
      <c r="CI240" s="19"/>
      <c r="CJ240" s="19"/>
      <c r="CK240" s="19"/>
      <c r="CL240" s="19"/>
      <c r="CM240" s="19"/>
      <c r="CN240" s="19"/>
      <c r="CO240" s="19"/>
      <c r="CP240" s="19"/>
      <c r="CQ240" s="19"/>
      <c r="CR240" s="19"/>
      <c r="CS240" s="19"/>
      <c r="CT240" s="19"/>
      <c r="CU240" s="19"/>
      <c r="CV240" s="19"/>
      <c r="CW240" s="19"/>
      <c r="CX240" s="19"/>
      <c r="CY240" s="19"/>
      <c r="CZ240" s="19"/>
      <c r="DA240" s="19"/>
      <c r="DB240" s="19"/>
      <c r="DC240" s="19"/>
      <c r="DD240" s="19"/>
      <c r="DE240" s="19"/>
      <c r="DF240" s="19"/>
      <c r="DG240" s="19"/>
      <c r="DH240" s="19"/>
      <c r="DI240" s="19"/>
      <c r="DJ240" s="19"/>
      <c r="DK240" s="19"/>
      <c r="DL240" s="19"/>
      <c r="DM240" s="19"/>
      <c r="DN240" s="19"/>
      <c r="DO240" s="19"/>
      <c r="DP240" s="19"/>
      <c r="DQ240" s="19"/>
      <c r="DR240" s="19"/>
      <c r="DS240" s="19"/>
      <c r="DT240" s="19"/>
      <c r="DU240" s="19"/>
      <c r="DV240" s="19"/>
      <c r="DW240" s="19"/>
      <c r="DX240" s="19"/>
      <c r="DY240" s="19"/>
      <c r="DZ240" s="19"/>
      <c r="EA240" s="19"/>
      <c r="EB240" s="19"/>
      <c r="EC240" s="19"/>
      <c r="ED240" s="19"/>
      <c r="EE240" s="19"/>
      <c r="EF240" s="19"/>
      <c r="EG240" s="19"/>
      <c r="EH240" s="19"/>
      <c r="EI240" s="19"/>
      <c r="EJ240" s="19"/>
      <c r="EK240" s="19"/>
      <c r="EL240" s="19"/>
      <c r="EM240" s="19"/>
      <c r="EN240" s="19"/>
      <c r="EO240" s="19"/>
      <c r="EP240" s="19"/>
      <c r="EQ240" s="19"/>
      <c r="ER240" s="19"/>
      <c r="ES240" s="19"/>
      <c r="ET240" s="19"/>
      <c r="EU240" s="19"/>
      <c r="EV240" s="19"/>
      <c r="EW240" s="19"/>
      <c r="EX240" s="19"/>
      <c r="EY240" s="19"/>
      <c r="EZ240" s="19"/>
      <c r="FA240" s="19"/>
      <c r="FB240" s="19"/>
      <c r="FC240" s="19"/>
      <c r="FD240" s="19"/>
      <c r="FE240" s="19"/>
      <c r="FF240" s="19"/>
      <c r="FG240" s="19"/>
      <c r="FH240" s="19"/>
      <c r="FI240" s="19"/>
      <c r="FJ240" s="19"/>
      <c r="FK240" s="19"/>
      <c r="FL240" s="20" t="s">
        <v>818</v>
      </c>
      <c r="FM240" s="20" t="s">
        <v>273</v>
      </c>
      <c r="FN240" s="19"/>
      <c r="FO240" s="19"/>
      <c r="FP240" s="19"/>
      <c r="FQ240" s="19"/>
      <c r="FR240" s="19"/>
      <c r="FS240" s="19"/>
      <c r="FT240" s="19"/>
      <c r="FU240" s="19"/>
      <c r="FV240" s="19"/>
      <c r="FW240" s="19"/>
      <c r="FX240" s="19"/>
      <c r="FY240" s="19"/>
      <c r="FZ240" s="19"/>
      <c r="GA240" s="19"/>
      <c r="GB240" s="19"/>
      <c r="GC240" s="19"/>
      <c r="GD240" s="19"/>
      <c r="GE240" s="19"/>
      <c r="GF240" s="19"/>
      <c r="GG240" s="19"/>
      <c r="GH240" s="19"/>
      <c r="GI240" s="19"/>
      <c r="GJ240" s="19"/>
      <c r="GK240" s="19"/>
      <c r="GL240" s="19"/>
      <c r="GM240" s="19"/>
      <c r="GN240" s="19"/>
      <c r="GO240" s="19"/>
      <c r="GP240" s="19"/>
      <c r="GQ240" s="19"/>
      <c r="GR240" s="19"/>
      <c r="GS240" s="19"/>
      <c r="GT240" s="19"/>
      <c r="GU240" s="19"/>
      <c r="GV240" s="19"/>
      <c r="GW240" s="19"/>
      <c r="GX240" s="19"/>
      <c r="GY240" s="19"/>
      <c r="GZ240" s="19"/>
      <c r="HA240" s="19"/>
    </row>
    <row r="241" spans="1:209" ht="23.25" customHeight="1" x14ac:dyDescent="0.15">
      <c r="A241" s="26">
        <v>44659.712797627319</v>
      </c>
      <c r="B241" s="27" t="s">
        <v>6</v>
      </c>
      <c r="C241" s="27" t="s">
        <v>11</v>
      </c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  <c r="AX241" s="27" t="s">
        <v>856</v>
      </c>
      <c r="AY241" s="27" t="s">
        <v>857</v>
      </c>
      <c r="AZ241" s="27" t="s">
        <v>764</v>
      </c>
      <c r="BA241" s="27" t="s">
        <v>335</v>
      </c>
      <c r="BB241" s="27" t="s">
        <v>448</v>
      </c>
      <c r="BC241" s="29">
        <v>43515</v>
      </c>
      <c r="BD241" s="29">
        <v>43964</v>
      </c>
      <c r="BE241" s="29">
        <v>43964</v>
      </c>
      <c r="BF241" s="27">
        <v>90</v>
      </c>
      <c r="BG241" s="27" t="s">
        <v>765</v>
      </c>
      <c r="BH241" s="30" t="s">
        <v>904</v>
      </c>
      <c r="BI241" s="28"/>
      <c r="BJ241" s="28"/>
      <c r="BK241" s="28"/>
      <c r="BL241" s="28"/>
      <c r="BM241" s="28"/>
      <c r="BN241" s="28"/>
      <c r="BO241" s="28"/>
      <c r="BP241" s="28"/>
      <c r="BQ241" s="28"/>
      <c r="BR241" s="28"/>
      <c r="BS241" s="28"/>
      <c r="BT241" s="28"/>
      <c r="BU241" s="28"/>
      <c r="BV241" s="28"/>
      <c r="BW241" s="28"/>
      <c r="BX241" s="28"/>
      <c r="BY241" s="19"/>
      <c r="BZ241" s="19"/>
      <c r="CA241" s="19"/>
      <c r="CB241" s="19"/>
      <c r="CC241" s="19"/>
      <c r="CD241" s="19"/>
      <c r="CE241" s="19"/>
      <c r="CF241" s="19"/>
      <c r="CG241" s="19"/>
      <c r="CH241" s="19"/>
      <c r="CI241" s="19"/>
      <c r="CJ241" s="19"/>
      <c r="CK241" s="19"/>
      <c r="CL241" s="19"/>
      <c r="CM241" s="19"/>
      <c r="CN241" s="19"/>
      <c r="CO241" s="19"/>
      <c r="CP241" s="19"/>
      <c r="CQ241" s="19"/>
      <c r="CR241" s="19"/>
      <c r="CS241" s="19"/>
      <c r="CT241" s="19"/>
      <c r="CU241" s="19"/>
      <c r="CV241" s="19"/>
      <c r="CW241" s="19"/>
      <c r="CX241" s="19"/>
      <c r="CY241" s="19"/>
      <c r="CZ241" s="19"/>
      <c r="DA241" s="19"/>
      <c r="DB241" s="19"/>
      <c r="DC241" s="19"/>
      <c r="DD241" s="19"/>
      <c r="DE241" s="19"/>
      <c r="DF241" s="19"/>
      <c r="DG241" s="19"/>
      <c r="DH241" s="19"/>
      <c r="DI241" s="19"/>
      <c r="DJ241" s="19"/>
      <c r="DK241" s="19"/>
      <c r="DL241" s="19"/>
      <c r="DM241" s="19"/>
      <c r="DN241" s="19"/>
      <c r="DO241" s="19"/>
      <c r="DP241" s="19"/>
      <c r="DQ241" s="19"/>
      <c r="DR241" s="19"/>
      <c r="DS241" s="19"/>
      <c r="DT241" s="19"/>
      <c r="DU241" s="19"/>
      <c r="DV241" s="19"/>
      <c r="DW241" s="19"/>
      <c r="DX241" s="19"/>
      <c r="DY241" s="19"/>
      <c r="DZ241" s="19"/>
      <c r="EA241" s="19"/>
      <c r="EB241" s="19"/>
      <c r="EC241" s="19"/>
      <c r="ED241" s="19"/>
      <c r="EE241" s="19"/>
      <c r="EF241" s="19"/>
      <c r="EG241" s="19"/>
      <c r="EH241" s="19"/>
      <c r="EI241" s="19"/>
      <c r="EJ241" s="19"/>
      <c r="EK241" s="19"/>
      <c r="EL241" s="19"/>
      <c r="EM241" s="19"/>
      <c r="EN241" s="19"/>
      <c r="EO241" s="19"/>
      <c r="EP241" s="19"/>
      <c r="EQ241" s="19"/>
      <c r="ER241" s="19"/>
      <c r="ES241" s="19"/>
      <c r="ET241" s="19"/>
      <c r="EU241" s="19"/>
      <c r="EV241" s="19"/>
      <c r="EW241" s="19"/>
      <c r="EX241" s="19"/>
      <c r="EY241" s="19"/>
      <c r="EZ241" s="19"/>
      <c r="FA241" s="19"/>
      <c r="FB241" s="19"/>
      <c r="FC241" s="19"/>
      <c r="FD241" s="19"/>
      <c r="FE241" s="19"/>
      <c r="FF241" s="19"/>
      <c r="FG241" s="19"/>
      <c r="FH241" s="19"/>
      <c r="FI241" s="19"/>
      <c r="FJ241" s="19"/>
      <c r="FK241" s="19"/>
      <c r="FL241" s="20" t="s">
        <v>862</v>
      </c>
      <c r="FM241" s="20" t="s">
        <v>255</v>
      </c>
      <c r="FN241" s="19"/>
      <c r="FO241" s="19"/>
      <c r="FP241" s="19"/>
      <c r="FQ241" s="19"/>
      <c r="FR241" s="19"/>
      <c r="FS241" s="19"/>
      <c r="FT241" s="19"/>
      <c r="FU241" s="19"/>
      <c r="FV241" s="19"/>
      <c r="FW241" s="19"/>
      <c r="FX241" s="19"/>
      <c r="FY241" s="19"/>
      <c r="FZ241" s="19"/>
      <c r="GA241" s="19"/>
      <c r="GB241" s="19"/>
      <c r="GC241" s="19"/>
      <c r="GD241" s="19"/>
      <c r="GE241" s="19"/>
      <c r="GF241" s="19"/>
      <c r="GG241" s="19"/>
      <c r="GH241" s="19"/>
      <c r="GI241" s="19"/>
      <c r="GJ241" s="19"/>
      <c r="GK241" s="19"/>
      <c r="GL241" s="19"/>
      <c r="GM241" s="19"/>
      <c r="GN241" s="19"/>
      <c r="GO241" s="19"/>
      <c r="GP241" s="19"/>
      <c r="GQ241" s="19"/>
      <c r="GR241" s="19"/>
      <c r="GS241" s="19"/>
      <c r="GT241" s="19"/>
      <c r="GU241" s="19"/>
      <c r="GV241" s="19"/>
      <c r="GW241" s="19"/>
      <c r="GX241" s="19"/>
      <c r="GY241" s="19"/>
      <c r="GZ241" s="19"/>
      <c r="HA241" s="19"/>
    </row>
    <row r="242" spans="1:209" ht="23.25" customHeight="1" x14ac:dyDescent="0.15">
      <c r="A242" s="26">
        <v>44659.714033344906</v>
      </c>
      <c r="B242" s="27" t="s">
        <v>6</v>
      </c>
      <c r="C242" s="27" t="s">
        <v>12</v>
      </c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  <c r="AX242" s="28"/>
      <c r="AY242" s="28"/>
      <c r="AZ242" s="28"/>
      <c r="BA242" s="28"/>
      <c r="BB242" s="28"/>
      <c r="BC242" s="28"/>
      <c r="BD242" s="28"/>
      <c r="BE242" s="28"/>
      <c r="BF242" s="28"/>
      <c r="BG242" s="28"/>
      <c r="BH242" s="28"/>
      <c r="BI242" s="27" t="s">
        <v>814</v>
      </c>
      <c r="BJ242" s="27" t="s">
        <v>815</v>
      </c>
      <c r="BK242" s="27" t="s">
        <v>311</v>
      </c>
      <c r="BL242" s="27" t="s">
        <v>167</v>
      </c>
      <c r="BM242" s="27" t="s">
        <v>905</v>
      </c>
      <c r="BN242" s="27">
        <v>1</v>
      </c>
      <c r="BO242" s="29">
        <v>44568</v>
      </c>
      <c r="BP242" s="29">
        <v>44568</v>
      </c>
      <c r="BQ242" s="27" t="s">
        <v>901</v>
      </c>
      <c r="BR242" s="27" t="s">
        <v>902</v>
      </c>
      <c r="BS242" s="27" t="s">
        <v>171</v>
      </c>
      <c r="BT242" s="27" t="s">
        <v>151</v>
      </c>
      <c r="BU242" s="28"/>
      <c r="BV242" s="30" t="s">
        <v>906</v>
      </c>
      <c r="BW242" s="28"/>
      <c r="BX242" s="28"/>
      <c r="BY242" s="19"/>
      <c r="BZ242" s="19"/>
      <c r="CA242" s="19"/>
      <c r="CB242" s="19"/>
      <c r="CC242" s="19"/>
      <c r="CD242" s="19"/>
      <c r="CE242" s="19"/>
      <c r="CF242" s="19"/>
      <c r="CG242" s="19"/>
      <c r="CH242" s="19"/>
      <c r="CI242" s="19"/>
      <c r="CJ242" s="19"/>
      <c r="CK242" s="19"/>
      <c r="CL242" s="19"/>
      <c r="CM242" s="19"/>
      <c r="CN242" s="19"/>
      <c r="CO242" s="19"/>
      <c r="CP242" s="19"/>
      <c r="CQ242" s="19"/>
      <c r="CR242" s="19"/>
      <c r="CS242" s="19"/>
      <c r="CT242" s="19"/>
      <c r="CU242" s="19"/>
      <c r="CV242" s="19"/>
      <c r="CW242" s="19"/>
      <c r="CX242" s="19"/>
      <c r="CY242" s="19"/>
      <c r="CZ242" s="19"/>
      <c r="DA242" s="19"/>
      <c r="DB242" s="19"/>
      <c r="DC242" s="19"/>
      <c r="DD242" s="19"/>
      <c r="DE242" s="19"/>
      <c r="DF242" s="19"/>
      <c r="DG242" s="19"/>
      <c r="DH242" s="19"/>
      <c r="DI242" s="19"/>
      <c r="DJ242" s="19"/>
      <c r="DK242" s="19"/>
      <c r="DL242" s="19"/>
      <c r="DM242" s="19"/>
      <c r="DN242" s="19"/>
      <c r="DO242" s="19"/>
      <c r="DP242" s="19"/>
      <c r="DQ242" s="19"/>
      <c r="DR242" s="19"/>
      <c r="DS242" s="19"/>
      <c r="DT242" s="19"/>
      <c r="DU242" s="19"/>
      <c r="DV242" s="19"/>
      <c r="DW242" s="19"/>
      <c r="DX242" s="19"/>
      <c r="DY242" s="19"/>
      <c r="DZ242" s="19"/>
      <c r="EA242" s="19"/>
      <c r="EB242" s="19"/>
      <c r="EC242" s="19"/>
      <c r="ED242" s="19"/>
      <c r="EE242" s="19"/>
      <c r="EF242" s="19"/>
      <c r="EG242" s="19"/>
      <c r="EH242" s="19"/>
      <c r="EI242" s="19"/>
      <c r="EJ242" s="19"/>
      <c r="EK242" s="19"/>
      <c r="EL242" s="19"/>
      <c r="EM242" s="19"/>
      <c r="EN242" s="19"/>
      <c r="EO242" s="19"/>
      <c r="EP242" s="19"/>
      <c r="EQ242" s="19"/>
      <c r="ER242" s="19"/>
      <c r="ES242" s="19"/>
      <c r="ET242" s="19"/>
      <c r="EU242" s="19"/>
      <c r="EV242" s="19"/>
      <c r="EW242" s="19"/>
      <c r="EX242" s="19"/>
      <c r="EY242" s="19"/>
      <c r="EZ242" s="19"/>
      <c r="FA242" s="19"/>
      <c r="FB242" s="19"/>
      <c r="FC242" s="19"/>
      <c r="FD242" s="19"/>
      <c r="FE242" s="19"/>
      <c r="FF242" s="19"/>
      <c r="FG242" s="19"/>
      <c r="FH242" s="19"/>
      <c r="FI242" s="19"/>
      <c r="FJ242" s="19"/>
      <c r="FK242" s="19"/>
      <c r="FL242" s="20" t="s">
        <v>818</v>
      </c>
      <c r="FM242" s="20" t="s">
        <v>273</v>
      </c>
      <c r="FN242" s="19"/>
      <c r="FO242" s="19"/>
      <c r="FP242" s="19"/>
      <c r="FQ242" s="19"/>
      <c r="FR242" s="19"/>
      <c r="FS242" s="19"/>
      <c r="FT242" s="19"/>
      <c r="FU242" s="19"/>
      <c r="FV242" s="19"/>
      <c r="FW242" s="19"/>
      <c r="FX242" s="19"/>
      <c r="FY242" s="19"/>
      <c r="FZ242" s="19"/>
      <c r="GA242" s="19"/>
      <c r="GB242" s="19"/>
      <c r="GC242" s="19"/>
      <c r="GD242" s="19"/>
      <c r="GE242" s="19"/>
      <c r="GF242" s="19"/>
      <c r="GG242" s="19"/>
      <c r="GH242" s="19"/>
      <c r="GI242" s="19"/>
      <c r="GJ242" s="19"/>
      <c r="GK242" s="19"/>
      <c r="GL242" s="19"/>
      <c r="GM242" s="19"/>
      <c r="GN242" s="19"/>
      <c r="GO242" s="19"/>
      <c r="GP242" s="19"/>
      <c r="GQ242" s="19"/>
      <c r="GR242" s="19"/>
      <c r="GS242" s="19"/>
      <c r="GT242" s="19"/>
      <c r="GU242" s="19"/>
      <c r="GV242" s="19"/>
      <c r="GW242" s="19"/>
      <c r="GX242" s="19"/>
      <c r="GY242" s="19"/>
      <c r="GZ242" s="19"/>
      <c r="HA242" s="19"/>
    </row>
    <row r="243" spans="1:209" ht="23.25" customHeight="1" x14ac:dyDescent="0.15">
      <c r="A243" s="26">
        <v>44659.715472199074</v>
      </c>
      <c r="B243" s="27" t="s">
        <v>6</v>
      </c>
      <c r="C243" s="27" t="s">
        <v>11</v>
      </c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  <c r="AX243" s="27" t="s">
        <v>856</v>
      </c>
      <c r="AY243" s="27" t="s">
        <v>857</v>
      </c>
      <c r="AZ243" s="27" t="s">
        <v>772</v>
      </c>
      <c r="BA243" s="27" t="s">
        <v>335</v>
      </c>
      <c r="BB243" s="27" t="s">
        <v>507</v>
      </c>
      <c r="BC243" s="29">
        <v>43929</v>
      </c>
      <c r="BD243" s="29">
        <v>43991</v>
      </c>
      <c r="BE243" s="29">
        <v>43991</v>
      </c>
      <c r="BF243" s="27">
        <v>90</v>
      </c>
      <c r="BG243" s="27" t="s">
        <v>765</v>
      </c>
      <c r="BH243" s="30" t="s">
        <v>907</v>
      </c>
      <c r="BI243" s="28"/>
      <c r="BJ243" s="28"/>
      <c r="BK243" s="28"/>
      <c r="BL243" s="28"/>
      <c r="BM243" s="28"/>
      <c r="BN243" s="28"/>
      <c r="BO243" s="28"/>
      <c r="BP243" s="28"/>
      <c r="BQ243" s="28"/>
      <c r="BR243" s="28"/>
      <c r="BS243" s="28"/>
      <c r="BT243" s="28"/>
      <c r="BU243" s="28"/>
      <c r="BV243" s="28"/>
      <c r="BW243" s="28"/>
      <c r="BX243" s="28"/>
      <c r="BY243" s="19"/>
      <c r="BZ243" s="19"/>
      <c r="CA243" s="19"/>
      <c r="CB243" s="19"/>
      <c r="CC243" s="19"/>
      <c r="CD243" s="19"/>
      <c r="CE243" s="19"/>
      <c r="CF243" s="19"/>
      <c r="CG243" s="19"/>
      <c r="CH243" s="19"/>
      <c r="CI243" s="19"/>
      <c r="CJ243" s="19"/>
      <c r="CK243" s="19"/>
      <c r="CL243" s="19"/>
      <c r="CM243" s="19"/>
      <c r="CN243" s="19"/>
      <c r="CO243" s="19"/>
      <c r="CP243" s="19"/>
      <c r="CQ243" s="19"/>
      <c r="CR243" s="19"/>
      <c r="CS243" s="19"/>
      <c r="CT243" s="19"/>
      <c r="CU243" s="19"/>
      <c r="CV243" s="19"/>
      <c r="CW243" s="19"/>
      <c r="CX243" s="19"/>
      <c r="CY243" s="19"/>
      <c r="CZ243" s="19"/>
      <c r="DA243" s="19"/>
      <c r="DB243" s="19"/>
      <c r="DC243" s="19"/>
      <c r="DD243" s="19"/>
      <c r="DE243" s="19"/>
      <c r="DF243" s="19"/>
      <c r="DG243" s="19"/>
      <c r="DH243" s="19"/>
      <c r="DI243" s="19"/>
      <c r="DJ243" s="19"/>
      <c r="DK243" s="19"/>
      <c r="DL243" s="19"/>
      <c r="DM243" s="19"/>
      <c r="DN243" s="19"/>
      <c r="DO243" s="19"/>
      <c r="DP243" s="19"/>
      <c r="DQ243" s="19"/>
      <c r="DR243" s="19"/>
      <c r="DS243" s="19"/>
      <c r="DT243" s="19"/>
      <c r="DU243" s="19"/>
      <c r="DV243" s="19"/>
      <c r="DW243" s="19"/>
      <c r="DX243" s="19"/>
      <c r="DY243" s="19"/>
      <c r="DZ243" s="19"/>
      <c r="EA243" s="19"/>
      <c r="EB243" s="19"/>
      <c r="EC243" s="19"/>
      <c r="ED243" s="19"/>
      <c r="EE243" s="19"/>
      <c r="EF243" s="19"/>
      <c r="EG243" s="19"/>
      <c r="EH243" s="19"/>
      <c r="EI243" s="19"/>
      <c r="EJ243" s="19"/>
      <c r="EK243" s="19"/>
      <c r="EL243" s="19"/>
      <c r="EM243" s="19"/>
      <c r="EN243" s="19"/>
      <c r="EO243" s="19"/>
      <c r="EP243" s="19"/>
      <c r="EQ243" s="19"/>
      <c r="ER243" s="19"/>
      <c r="ES243" s="19"/>
      <c r="ET243" s="19"/>
      <c r="EU243" s="19"/>
      <c r="EV243" s="19"/>
      <c r="EW243" s="19"/>
      <c r="EX243" s="19"/>
      <c r="EY243" s="19"/>
      <c r="EZ243" s="19"/>
      <c r="FA243" s="19"/>
      <c r="FB243" s="19"/>
      <c r="FC243" s="19"/>
      <c r="FD243" s="19"/>
      <c r="FE243" s="19"/>
      <c r="FF243" s="19"/>
      <c r="FG243" s="19"/>
      <c r="FH243" s="19"/>
      <c r="FI243" s="19"/>
      <c r="FJ243" s="19"/>
      <c r="FK243" s="19"/>
      <c r="FL243" s="20" t="s">
        <v>862</v>
      </c>
      <c r="FM243" s="20" t="s">
        <v>255</v>
      </c>
      <c r="FN243" s="19"/>
      <c r="FO243" s="19"/>
      <c r="FP243" s="19"/>
      <c r="FQ243" s="19"/>
      <c r="FR243" s="19"/>
      <c r="FS243" s="19"/>
      <c r="FT243" s="19"/>
      <c r="FU243" s="19"/>
      <c r="FV243" s="19"/>
      <c r="FW243" s="19"/>
      <c r="FX243" s="19"/>
      <c r="FY243" s="19"/>
      <c r="FZ243" s="19"/>
      <c r="GA243" s="19"/>
      <c r="GB243" s="19"/>
      <c r="GC243" s="19"/>
      <c r="GD243" s="19"/>
      <c r="GE243" s="19"/>
      <c r="GF243" s="19"/>
      <c r="GG243" s="19"/>
      <c r="GH243" s="19"/>
      <c r="GI243" s="19"/>
      <c r="GJ243" s="19"/>
      <c r="GK243" s="19"/>
      <c r="GL243" s="19"/>
      <c r="GM243" s="19"/>
      <c r="GN243" s="19"/>
      <c r="GO243" s="19"/>
      <c r="GP243" s="19"/>
      <c r="GQ243" s="19"/>
      <c r="GR243" s="19"/>
      <c r="GS243" s="19"/>
      <c r="GT243" s="19"/>
      <c r="GU243" s="19"/>
      <c r="GV243" s="19"/>
      <c r="GW243" s="19"/>
      <c r="GX243" s="19"/>
      <c r="GY243" s="19"/>
      <c r="GZ243" s="19"/>
      <c r="HA243" s="19"/>
    </row>
    <row r="244" spans="1:209" ht="23.25" customHeight="1" x14ac:dyDescent="0.15">
      <c r="A244" s="26">
        <v>44659.715829166671</v>
      </c>
      <c r="B244" s="27" t="s">
        <v>6</v>
      </c>
      <c r="C244" s="27" t="s">
        <v>12</v>
      </c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  <c r="AX244" s="28"/>
      <c r="AY244" s="28"/>
      <c r="AZ244" s="28"/>
      <c r="BA244" s="28"/>
      <c r="BB244" s="28"/>
      <c r="BC244" s="28"/>
      <c r="BD244" s="28"/>
      <c r="BE244" s="28"/>
      <c r="BF244" s="28"/>
      <c r="BG244" s="28"/>
      <c r="BH244" s="28"/>
      <c r="BI244" s="27" t="s">
        <v>814</v>
      </c>
      <c r="BJ244" s="27" t="s">
        <v>815</v>
      </c>
      <c r="BK244" s="27" t="s">
        <v>311</v>
      </c>
      <c r="BL244" s="27" t="s">
        <v>167</v>
      </c>
      <c r="BM244" s="27" t="s">
        <v>908</v>
      </c>
      <c r="BN244" s="27">
        <v>1</v>
      </c>
      <c r="BO244" s="29">
        <v>44574</v>
      </c>
      <c r="BP244" s="29">
        <v>44574</v>
      </c>
      <c r="BQ244" s="27" t="s">
        <v>901</v>
      </c>
      <c r="BR244" s="27" t="s">
        <v>902</v>
      </c>
      <c r="BS244" s="27" t="s">
        <v>171</v>
      </c>
      <c r="BT244" s="27" t="s">
        <v>151</v>
      </c>
      <c r="BU244" s="28"/>
      <c r="BV244" s="30" t="s">
        <v>909</v>
      </c>
      <c r="BW244" s="28"/>
      <c r="BX244" s="28"/>
      <c r="BY244" s="19"/>
      <c r="BZ244" s="19"/>
      <c r="CA244" s="19"/>
      <c r="CB244" s="19"/>
      <c r="CC244" s="19"/>
      <c r="CD244" s="19"/>
      <c r="CE244" s="19"/>
      <c r="CF244" s="19"/>
      <c r="CG244" s="19"/>
      <c r="CH244" s="19"/>
      <c r="CI244" s="19"/>
      <c r="CJ244" s="19"/>
      <c r="CK244" s="19"/>
      <c r="CL244" s="19"/>
      <c r="CM244" s="19"/>
      <c r="CN244" s="19"/>
      <c r="CO244" s="19"/>
      <c r="CP244" s="19"/>
      <c r="CQ244" s="19"/>
      <c r="CR244" s="19"/>
      <c r="CS244" s="19"/>
      <c r="CT244" s="19"/>
      <c r="CU244" s="19"/>
      <c r="CV244" s="19"/>
      <c r="CW244" s="19"/>
      <c r="CX244" s="19"/>
      <c r="CY244" s="19"/>
      <c r="CZ244" s="19"/>
      <c r="DA244" s="19"/>
      <c r="DB244" s="19"/>
      <c r="DC244" s="19"/>
      <c r="DD244" s="19"/>
      <c r="DE244" s="19"/>
      <c r="DF244" s="19"/>
      <c r="DG244" s="19"/>
      <c r="DH244" s="19"/>
      <c r="DI244" s="19"/>
      <c r="DJ244" s="19"/>
      <c r="DK244" s="19"/>
      <c r="DL244" s="19"/>
      <c r="DM244" s="19"/>
      <c r="DN244" s="19"/>
      <c r="DO244" s="19"/>
      <c r="DP244" s="19"/>
      <c r="DQ244" s="19"/>
      <c r="DR244" s="19"/>
      <c r="DS244" s="19"/>
      <c r="DT244" s="19"/>
      <c r="DU244" s="19"/>
      <c r="DV244" s="19"/>
      <c r="DW244" s="19"/>
      <c r="DX244" s="19"/>
      <c r="DY244" s="19"/>
      <c r="DZ244" s="19"/>
      <c r="EA244" s="19"/>
      <c r="EB244" s="19"/>
      <c r="EC244" s="19"/>
      <c r="ED244" s="19"/>
      <c r="EE244" s="19"/>
      <c r="EF244" s="19"/>
      <c r="EG244" s="19"/>
      <c r="EH244" s="19"/>
      <c r="EI244" s="19"/>
      <c r="EJ244" s="19"/>
      <c r="EK244" s="19"/>
      <c r="EL244" s="19"/>
      <c r="EM244" s="19"/>
      <c r="EN244" s="19"/>
      <c r="EO244" s="19"/>
      <c r="EP244" s="19"/>
      <c r="EQ244" s="19"/>
      <c r="ER244" s="19"/>
      <c r="ES244" s="19"/>
      <c r="ET244" s="19"/>
      <c r="EU244" s="19"/>
      <c r="EV244" s="19"/>
      <c r="EW244" s="19"/>
      <c r="EX244" s="19"/>
      <c r="EY244" s="19"/>
      <c r="EZ244" s="19"/>
      <c r="FA244" s="19"/>
      <c r="FB244" s="19"/>
      <c r="FC244" s="19"/>
      <c r="FD244" s="19"/>
      <c r="FE244" s="19"/>
      <c r="FF244" s="19"/>
      <c r="FG244" s="19"/>
      <c r="FH244" s="19"/>
      <c r="FI244" s="19"/>
      <c r="FJ244" s="19"/>
      <c r="FK244" s="19"/>
      <c r="FL244" s="20" t="s">
        <v>818</v>
      </c>
      <c r="FM244" s="20" t="s">
        <v>273</v>
      </c>
      <c r="FN244" s="19"/>
      <c r="FO244" s="19"/>
      <c r="FP244" s="19"/>
      <c r="FQ244" s="19"/>
      <c r="FR244" s="19"/>
      <c r="FS244" s="19"/>
      <c r="FT244" s="19"/>
      <c r="FU244" s="19"/>
      <c r="FV244" s="19"/>
      <c r="FW244" s="19"/>
      <c r="FX244" s="19"/>
      <c r="FY244" s="19"/>
      <c r="FZ244" s="19"/>
      <c r="GA244" s="19"/>
      <c r="GB244" s="19"/>
      <c r="GC244" s="19"/>
      <c r="GD244" s="19"/>
      <c r="GE244" s="19"/>
      <c r="GF244" s="19"/>
      <c r="GG244" s="19"/>
      <c r="GH244" s="19"/>
      <c r="GI244" s="19"/>
      <c r="GJ244" s="19"/>
      <c r="GK244" s="19"/>
      <c r="GL244" s="19"/>
      <c r="GM244" s="19"/>
      <c r="GN244" s="19"/>
      <c r="GO244" s="19"/>
      <c r="GP244" s="19"/>
      <c r="GQ244" s="19"/>
      <c r="GR244" s="19"/>
      <c r="GS244" s="19"/>
      <c r="GT244" s="19"/>
      <c r="GU244" s="19"/>
      <c r="GV244" s="19"/>
      <c r="GW244" s="19"/>
      <c r="GX244" s="19"/>
      <c r="GY244" s="19"/>
      <c r="GZ244" s="19"/>
      <c r="HA244" s="19"/>
    </row>
    <row r="245" spans="1:209" ht="23.25" customHeight="1" x14ac:dyDescent="0.15">
      <c r="A245" s="26">
        <v>44659.717306307866</v>
      </c>
      <c r="B245" s="27" t="s">
        <v>6</v>
      </c>
      <c r="C245" s="27" t="s">
        <v>11</v>
      </c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  <c r="AX245" s="27" t="s">
        <v>856</v>
      </c>
      <c r="AY245" s="27" t="s">
        <v>857</v>
      </c>
      <c r="AZ245" s="27" t="s">
        <v>775</v>
      </c>
      <c r="BA245" s="27" t="s">
        <v>375</v>
      </c>
      <c r="BB245" s="27" t="s">
        <v>624</v>
      </c>
      <c r="BC245" s="29">
        <v>43994</v>
      </c>
      <c r="BD245" s="29">
        <v>44024</v>
      </c>
      <c r="BE245" s="29">
        <v>44024</v>
      </c>
      <c r="BF245" s="27">
        <v>94</v>
      </c>
      <c r="BG245" s="27" t="s">
        <v>765</v>
      </c>
      <c r="BH245" s="30" t="s">
        <v>910</v>
      </c>
      <c r="BI245" s="28"/>
      <c r="BJ245" s="28"/>
      <c r="BK245" s="28"/>
      <c r="BL245" s="28"/>
      <c r="BM245" s="28"/>
      <c r="BN245" s="28"/>
      <c r="BO245" s="28"/>
      <c r="BP245" s="28"/>
      <c r="BQ245" s="28"/>
      <c r="BR245" s="28"/>
      <c r="BS245" s="28"/>
      <c r="BT245" s="28"/>
      <c r="BU245" s="28"/>
      <c r="BV245" s="28"/>
      <c r="BW245" s="28"/>
      <c r="BX245" s="28"/>
      <c r="BY245" s="19"/>
      <c r="BZ245" s="19"/>
      <c r="CA245" s="19"/>
      <c r="CB245" s="19"/>
      <c r="CC245" s="19"/>
      <c r="CD245" s="19"/>
      <c r="CE245" s="19"/>
      <c r="CF245" s="19"/>
      <c r="CG245" s="19"/>
      <c r="CH245" s="19"/>
      <c r="CI245" s="19"/>
      <c r="CJ245" s="19"/>
      <c r="CK245" s="19"/>
      <c r="CL245" s="19"/>
      <c r="CM245" s="19"/>
      <c r="CN245" s="19"/>
      <c r="CO245" s="19"/>
      <c r="CP245" s="19"/>
      <c r="CQ245" s="19"/>
      <c r="CR245" s="19"/>
      <c r="CS245" s="19"/>
      <c r="CT245" s="19"/>
      <c r="CU245" s="19"/>
      <c r="CV245" s="19"/>
      <c r="CW245" s="19"/>
      <c r="CX245" s="19"/>
      <c r="CY245" s="19"/>
      <c r="CZ245" s="19"/>
      <c r="DA245" s="19"/>
      <c r="DB245" s="19"/>
      <c r="DC245" s="19"/>
      <c r="DD245" s="19"/>
      <c r="DE245" s="19"/>
      <c r="DF245" s="19"/>
      <c r="DG245" s="19"/>
      <c r="DH245" s="19"/>
      <c r="DI245" s="19"/>
      <c r="DJ245" s="19"/>
      <c r="DK245" s="19"/>
      <c r="DL245" s="19"/>
      <c r="DM245" s="19"/>
      <c r="DN245" s="19"/>
      <c r="DO245" s="19"/>
      <c r="DP245" s="19"/>
      <c r="DQ245" s="19"/>
      <c r="DR245" s="19"/>
      <c r="DS245" s="19"/>
      <c r="DT245" s="19"/>
      <c r="DU245" s="19"/>
      <c r="DV245" s="19"/>
      <c r="DW245" s="19"/>
      <c r="DX245" s="19"/>
      <c r="DY245" s="19"/>
      <c r="DZ245" s="19"/>
      <c r="EA245" s="19"/>
      <c r="EB245" s="19"/>
      <c r="EC245" s="19"/>
      <c r="ED245" s="19"/>
      <c r="EE245" s="19"/>
      <c r="EF245" s="19"/>
      <c r="EG245" s="19"/>
      <c r="EH245" s="19"/>
      <c r="EI245" s="19"/>
      <c r="EJ245" s="19"/>
      <c r="EK245" s="19"/>
      <c r="EL245" s="19"/>
      <c r="EM245" s="19"/>
      <c r="EN245" s="19"/>
      <c r="EO245" s="19"/>
      <c r="EP245" s="19"/>
      <c r="EQ245" s="19"/>
      <c r="ER245" s="19"/>
      <c r="ES245" s="19"/>
      <c r="ET245" s="19"/>
      <c r="EU245" s="19"/>
      <c r="EV245" s="19"/>
      <c r="EW245" s="19"/>
      <c r="EX245" s="19"/>
      <c r="EY245" s="19"/>
      <c r="EZ245" s="19"/>
      <c r="FA245" s="19"/>
      <c r="FB245" s="19"/>
      <c r="FC245" s="19"/>
      <c r="FD245" s="19"/>
      <c r="FE245" s="19"/>
      <c r="FF245" s="19"/>
      <c r="FG245" s="19"/>
      <c r="FH245" s="19"/>
      <c r="FI245" s="19"/>
      <c r="FJ245" s="19"/>
      <c r="FK245" s="19"/>
      <c r="FL245" s="20" t="s">
        <v>862</v>
      </c>
      <c r="FM245" s="20" t="s">
        <v>255</v>
      </c>
      <c r="FN245" s="19"/>
      <c r="FO245" s="19"/>
      <c r="FP245" s="19"/>
      <c r="FQ245" s="19"/>
      <c r="FR245" s="19"/>
      <c r="FS245" s="19"/>
      <c r="FT245" s="19"/>
      <c r="FU245" s="19"/>
      <c r="FV245" s="19"/>
      <c r="FW245" s="19"/>
      <c r="FX245" s="19"/>
      <c r="FY245" s="19"/>
      <c r="FZ245" s="19"/>
      <c r="GA245" s="19"/>
      <c r="GB245" s="19"/>
      <c r="GC245" s="19"/>
      <c r="GD245" s="19"/>
      <c r="GE245" s="19"/>
      <c r="GF245" s="19"/>
      <c r="GG245" s="19"/>
      <c r="GH245" s="19"/>
      <c r="GI245" s="19"/>
      <c r="GJ245" s="19"/>
      <c r="GK245" s="19"/>
      <c r="GL245" s="19"/>
      <c r="GM245" s="19"/>
      <c r="GN245" s="19"/>
      <c r="GO245" s="19"/>
      <c r="GP245" s="19"/>
      <c r="GQ245" s="19"/>
      <c r="GR245" s="19"/>
      <c r="GS245" s="19"/>
      <c r="GT245" s="19"/>
      <c r="GU245" s="19"/>
      <c r="GV245" s="19"/>
      <c r="GW245" s="19"/>
      <c r="GX245" s="19"/>
      <c r="GY245" s="19"/>
      <c r="GZ245" s="19"/>
      <c r="HA245" s="19"/>
    </row>
    <row r="246" spans="1:209" ht="23.25" customHeight="1" x14ac:dyDescent="0.15">
      <c r="A246" s="26">
        <v>44659.717670034719</v>
      </c>
      <c r="B246" s="27" t="s">
        <v>6</v>
      </c>
      <c r="C246" s="27" t="s">
        <v>12</v>
      </c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  <c r="AX246" s="28"/>
      <c r="AY246" s="28"/>
      <c r="AZ246" s="28"/>
      <c r="BA246" s="28"/>
      <c r="BB246" s="28"/>
      <c r="BC246" s="28"/>
      <c r="BD246" s="28"/>
      <c r="BE246" s="28"/>
      <c r="BF246" s="28"/>
      <c r="BG246" s="28"/>
      <c r="BH246" s="28"/>
      <c r="BI246" s="27" t="s">
        <v>814</v>
      </c>
      <c r="BJ246" s="27" t="s">
        <v>815</v>
      </c>
      <c r="BK246" s="27" t="s">
        <v>311</v>
      </c>
      <c r="BL246" s="27" t="s">
        <v>167</v>
      </c>
      <c r="BM246" s="27" t="s">
        <v>911</v>
      </c>
      <c r="BN246" s="27">
        <v>1</v>
      </c>
      <c r="BO246" s="29">
        <v>44575</v>
      </c>
      <c r="BP246" s="29">
        <v>44575</v>
      </c>
      <c r="BQ246" s="27" t="s">
        <v>901</v>
      </c>
      <c r="BR246" s="27" t="s">
        <v>902</v>
      </c>
      <c r="BS246" s="27" t="s">
        <v>171</v>
      </c>
      <c r="BT246" s="27" t="s">
        <v>151</v>
      </c>
      <c r="BU246" s="28"/>
      <c r="BV246" s="30" t="s">
        <v>912</v>
      </c>
      <c r="BW246" s="28"/>
      <c r="BX246" s="28"/>
      <c r="BY246" s="19"/>
      <c r="BZ246" s="19"/>
      <c r="CA246" s="19"/>
      <c r="CB246" s="19"/>
      <c r="CC246" s="19"/>
      <c r="CD246" s="19"/>
      <c r="CE246" s="19"/>
      <c r="CF246" s="19"/>
      <c r="CG246" s="19"/>
      <c r="CH246" s="19"/>
      <c r="CI246" s="19"/>
      <c r="CJ246" s="19"/>
      <c r="CK246" s="19"/>
      <c r="CL246" s="19"/>
      <c r="CM246" s="19"/>
      <c r="CN246" s="19"/>
      <c r="CO246" s="19"/>
      <c r="CP246" s="19"/>
      <c r="CQ246" s="19"/>
      <c r="CR246" s="19"/>
      <c r="CS246" s="19"/>
      <c r="CT246" s="19"/>
      <c r="CU246" s="19"/>
      <c r="CV246" s="19"/>
      <c r="CW246" s="19"/>
      <c r="CX246" s="19"/>
      <c r="CY246" s="19"/>
      <c r="CZ246" s="19"/>
      <c r="DA246" s="19"/>
      <c r="DB246" s="19"/>
      <c r="DC246" s="19"/>
      <c r="DD246" s="19"/>
      <c r="DE246" s="19"/>
      <c r="DF246" s="19"/>
      <c r="DG246" s="19"/>
      <c r="DH246" s="19"/>
      <c r="DI246" s="19"/>
      <c r="DJ246" s="19"/>
      <c r="DK246" s="19"/>
      <c r="DL246" s="19"/>
      <c r="DM246" s="19"/>
      <c r="DN246" s="19"/>
      <c r="DO246" s="19"/>
      <c r="DP246" s="19"/>
      <c r="DQ246" s="19"/>
      <c r="DR246" s="19"/>
      <c r="DS246" s="19"/>
      <c r="DT246" s="19"/>
      <c r="DU246" s="19"/>
      <c r="DV246" s="19"/>
      <c r="DW246" s="19"/>
      <c r="DX246" s="19"/>
      <c r="DY246" s="19"/>
      <c r="DZ246" s="19"/>
      <c r="EA246" s="19"/>
      <c r="EB246" s="19"/>
      <c r="EC246" s="19"/>
      <c r="ED246" s="19"/>
      <c r="EE246" s="19"/>
      <c r="EF246" s="19"/>
      <c r="EG246" s="19"/>
      <c r="EH246" s="19"/>
      <c r="EI246" s="19"/>
      <c r="EJ246" s="19"/>
      <c r="EK246" s="19"/>
      <c r="EL246" s="19"/>
      <c r="EM246" s="19"/>
      <c r="EN246" s="19"/>
      <c r="EO246" s="19"/>
      <c r="EP246" s="19"/>
      <c r="EQ246" s="19"/>
      <c r="ER246" s="19"/>
      <c r="ES246" s="19"/>
      <c r="ET246" s="19"/>
      <c r="EU246" s="19"/>
      <c r="EV246" s="19"/>
      <c r="EW246" s="19"/>
      <c r="EX246" s="19"/>
      <c r="EY246" s="19"/>
      <c r="EZ246" s="19"/>
      <c r="FA246" s="19"/>
      <c r="FB246" s="19"/>
      <c r="FC246" s="19"/>
      <c r="FD246" s="19"/>
      <c r="FE246" s="19"/>
      <c r="FF246" s="19"/>
      <c r="FG246" s="19"/>
      <c r="FH246" s="19"/>
      <c r="FI246" s="19"/>
      <c r="FJ246" s="19"/>
      <c r="FK246" s="19"/>
      <c r="FL246" s="20" t="s">
        <v>818</v>
      </c>
      <c r="FM246" s="20" t="s">
        <v>273</v>
      </c>
      <c r="FN246" s="19"/>
      <c r="FO246" s="19"/>
      <c r="FP246" s="19"/>
      <c r="FQ246" s="19"/>
      <c r="FR246" s="19"/>
      <c r="FS246" s="19"/>
      <c r="FT246" s="19"/>
      <c r="FU246" s="19"/>
      <c r="FV246" s="19"/>
      <c r="FW246" s="19"/>
      <c r="FX246" s="19"/>
      <c r="FY246" s="19"/>
      <c r="FZ246" s="19"/>
      <c r="GA246" s="19"/>
      <c r="GB246" s="19"/>
      <c r="GC246" s="19"/>
      <c r="GD246" s="19"/>
      <c r="GE246" s="19"/>
      <c r="GF246" s="19"/>
      <c r="GG246" s="19"/>
      <c r="GH246" s="19"/>
      <c r="GI246" s="19"/>
      <c r="GJ246" s="19"/>
      <c r="GK246" s="19"/>
      <c r="GL246" s="19"/>
      <c r="GM246" s="19"/>
      <c r="GN246" s="19"/>
      <c r="GO246" s="19"/>
      <c r="GP246" s="19"/>
      <c r="GQ246" s="19"/>
      <c r="GR246" s="19"/>
      <c r="GS246" s="19"/>
      <c r="GT246" s="19"/>
      <c r="GU246" s="19"/>
      <c r="GV246" s="19"/>
      <c r="GW246" s="19"/>
      <c r="GX246" s="19"/>
      <c r="GY246" s="19"/>
      <c r="GZ246" s="19"/>
      <c r="HA246" s="19"/>
    </row>
    <row r="247" spans="1:209" ht="23.25" customHeight="1" x14ac:dyDescent="0.15">
      <c r="A247" s="26">
        <v>44659.719507048612</v>
      </c>
      <c r="B247" s="27" t="s">
        <v>6</v>
      </c>
      <c r="C247" s="27" t="s">
        <v>17</v>
      </c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  <c r="AX247" s="28"/>
      <c r="AY247" s="28"/>
      <c r="AZ247" s="28"/>
      <c r="BA247" s="28"/>
      <c r="BB247" s="28"/>
      <c r="BC247" s="28"/>
      <c r="BD247" s="28"/>
      <c r="BE247" s="28"/>
      <c r="BF247" s="28"/>
      <c r="BG247" s="28"/>
      <c r="BH247" s="28"/>
      <c r="BI247" s="28"/>
      <c r="BJ247" s="28"/>
      <c r="BK247" s="28"/>
      <c r="BL247" s="28"/>
      <c r="BM247" s="28"/>
      <c r="BN247" s="28"/>
      <c r="BO247" s="28"/>
      <c r="BP247" s="28"/>
      <c r="BQ247" s="28"/>
      <c r="BR247" s="28"/>
      <c r="BS247" s="28"/>
      <c r="BT247" s="28"/>
      <c r="BU247" s="28"/>
      <c r="BV247" s="28"/>
      <c r="BW247" s="28"/>
      <c r="BX247" s="28"/>
      <c r="BY247" s="19"/>
      <c r="BZ247" s="19"/>
      <c r="CA247" s="19"/>
      <c r="CB247" s="19"/>
      <c r="CC247" s="19"/>
      <c r="CD247" s="19"/>
      <c r="CE247" s="19"/>
      <c r="CF247" s="19"/>
      <c r="CG247" s="19"/>
      <c r="CH247" s="19"/>
      <c r="CI247" s="19"/>
      <c r="CJ247" s="19"/>
      <c r="CK247" s="19"/>
      <c r="CL247" s="19"/>
      <c r="CM247" s="19"/>
      <c r="CN247" s="19"/>
      <c r="CO247" s="19"/>
      <c r="CP247" s="19"/>
      <c r="CQ247" s="19"/>
      <c r="CR247" s="19"/>
      <c r="CS247" s="19"/>
      <c r="CT247" s="19"/>
      <c r="CU247" s="19"/>
      <c r="CV247" s="19"/>
      <c r="CW247" s="19"/>
      <c r="CX247" s="19"/>
      <c r="CY247" s="19"/>
      <c r="CZ247" s="19"/>
      <c r="DA247" s="19"/>
      <c r="DB247" s="19"/>
      <c r="DC247" s="19"/>
      <c r="DD247" s="19"/>
      <c r="DE247" s="19"/>
      <c r="DF247" s="19"/>
      <c r="DG247" s="19"/>
      <c r="DH247" s="19"/>
      <c r="DI247" s="19"/>
      <c r="DJ247" s="19"/>
      <c r="DK247" s="19"/>
      <c r="DL247" s="19"/>
      <c r="DM247" s="19"/>
      <c r="DN247" s="19"/>
      <c r="DO247" s="19"/>
      <c r="DP247" s="19"/>
      <c r="DQ247" s="19"/>
      <c r="DR247" s="19"/>
      <c r="DS247" s="19"/>
      <c r="DT247" s="19"/>
      <c r="DU247" s="19"/>
      <c r="DV247" s="19"/>
      <c r="DW247" s="19"/>
      <c r="DX247" s="20" t="s">
        <v>689</v>
      </c>
      <c r="DY247" s="20" t="s">
        <v>690</v>
      </c>
      <c r="DZ247" s="20" t="s">
        <v>311</v>
      </c>
      <c r="EA247" s="20" t="s">
        <v>913</v>
      </c>
      <c r="EB247" s="21">
        <v>44549</v>
      </c>
      <c r="EC247" s="20" t="s">
        <v>914</v>
      </c>
      <c r="ED247" s="22" t="s">
        <v>915</v>
      </c>
      <c r="EE247" s="19"/>
      <c r="EF247" s="19"/>
      <c r="EG247" s="19"/>
      <c r="EH247" s="19"/>
      <c r="EI247" s="19"/>
      <c r="EJ247" s="19"/>
      <c r="EK247" s="19"/>
      <c r="EL247" s="19"/>
      <c r="EM247" s="19"/>
      <c r="EN247" s="19"/>
      <c r="EO247" s="19"/>
      <c r="EP247" s="19"/>
      <c r="EQ247" s="19"/>
      <c r="ER247" s="19"/>
      <c r="ES247" s="19"/>
      <c r="ET247" s="19"/>
      <c r="EU247" s="19"/>
      <c r="EV247" s="19"/>
      <c r="EW247" s="19"/>
      <c r="EX247" s="19"/>
      <c r="EY247" s="19"/>
      <c r="EZ247" s="19"/>
      <c r="FA247" s="19"/>
      <c r="FB247" s="19"/>
      <c r="FC247" s="19"/>
      <c r="FD247" s="19"/>
      <c r="FE247" s="19"/>
      <c r="FF247" s="19"/>
      <c r="FG247" s="19"/>
      <c r="FH247" s="19"/>
      <c r="FI247" s="19"/>
      <c r="FJ247" s="19"/>
      <c r="FK247" s="19"/>
      <c r="FL247" s="20" t="s">
        <v>411</v>
      </c>
      <c r="FM247" s="20" t="s">
        <v>273</v>
      </c>
      <c r="FN247" s="19"/>
      <c r="FO247" s="19"/>
      <c r="FP247" s="19"/>
      <c r="FQ247" s="19"/>
      <c r="FR247" s="19"/>
      <c r="FS247" s="19"/>
      <c r="FT247" s="19"/>
      <c r="FU247" s="19"/>
      <c r="FV247" s="19"/>
      <c r="FW247" s="19"/>
      <c r="FX247" s="19"/>
      <c r="FY247" s="19"/>
      <c r="FZ247" s="19"/>
      <c r="GA247" s="19"/>
      <c r="GB247" s="19"/>
      <c r="GC247" s="19"/>
      <c r="GD247" s="19"/>
      <c r="GE247" s="19"/>
      <c r="GF247" s="19"/>
      <c r="GG247" s="19"/>
      <c r="GH247" s="19"/>
      <c r="GI247" s="19"/>
      <c r="GJ247" s="19"/>
      <c r="GK247" s="19"/>
      <c r="GL247" s="19"/>
      <c r="GM247" s="19"/>
      <c r="GN247" s="19"/>
      <c r="GO247" s="19"/>
      <c r="GP247" s="19"/>
      <c r="GQ247" s="19"/>
      <c r="GR247" s="19"/>
      <c r="GS247" s="19"/>
      <c r="GT247" s="19"/>
      <c r="GU247" s="19"/>
      <c r="GV247" s="19"/>
      <c r="GW247" s="19"/>
      <c r="GX247" s="19"/>
      <c r="GY247" s="19"/>
      <c r="GZ247" s="19"/>
      <c r="HA247" s="19"/>
    </row>
    <row r="248" spans="1:209" ht="23.25" customHeight="1" x14ac:dyDescent="0.15">
      <c r="A248" s="26">
        <v>44659.719673425927</v>
      </c>
      <c r="B248" s="27" t="s">
        <v>6</v>
      </c>
      <c r="C248" s="27" t="s">
        <v>12</v>
      </c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  <c r="AX248" s="28"/>
      <c r="AY248" s="28"/>
      <c r="AZ248" s="28"/>
      <c r="BA248" s="28"/>
      <c r="BB248" s="28"/>
      <c r="BC248" s="28"/>
      <c r="BD248" s="28"/>
      <c r="BE248" s="28"/>
      <c r="BF248" s="28"/>
      <c r="BG248" s="28"/>
      <c r="BH248" s="28"/>
      <c r="BI248" s="27" t="s">
        <v>814</v>
      </c>
      <c r="BJ248" s="27" t="s">
        <v>815</v>
      </c>
      <c r="BK248" s="27" t="s">
        <v>311</v>
      </c>
      <c r="BL248" s="27" t="s">
        <v>167</v>
      </c>
      <c r="BM248" s="27" t="s">
        <v>916</v>
      </c>
      <c r="BN248" s="27">
        <v>1</v>
      </c>
      <c r="BO248" s="29">
        <v>44569</v>
      </c>
      <c r="BP248" s="29">
        <v>44569</v>
      </c>
      <c r="BQ248" s="27" t="s">
        <v>901</v>
      </c>
      <c r="BR248" s="27" t="s">
        <v>902</v>
      </c>
      <c r="BS248" s="27" t="s">
        <v>171</v>
      </c>
      <c r="BT248" s="27" t="s">
        <v>151</v>
      </c>
      <c r="BU248" s="28"/>
      <c r="BV248" s="30" t="s">
        <v>917</v>
      </c>
      <c r="BW248" s="28"/>
      <c r="BX248" s="28"/>
      <c r="BY248" s="19"/>
      <c r="BZ248" s="19"/>
      <c r="CA248" s="19"/>
      <c r="CB248" s="19"/>
      <c r="CC248" s="19"/>
      <c r="CD248" s="19"/>
      <c r="CE248" s="19"/>
      <c r="CF248" s="19"/>
      <c r="CG248" s="19"/>
      <c r="CH248" s="19"/>
      <c r="CI248" s="19"/>
      <c r="CJ248" s="19"/>
      <c r="CK248" s="19"/>
      <c r="CL248" s="19"/>
      <c r="CM248" s="19"/>
      <c r="CN248" s="19"/>
      <c r="CO248" s="19"/>
      <c r="CP248" s="19"/>
      <c r="CQ248" s="19"/>
      <c r="CR248" s="19"/>
      <c r="CS248" s="19"/>
      <c r="CT248" s="19"/>
      <c r="CU248" s="19"/>
      <c r="CV248" s="19"/>
      <c r="CW248" s="19"/>
      <c r="CX248" s="19"/>
      <c r="CY248" s="19"/>
      <c r="CZ248" s="19"/>
      <c r="DA248" s="19"/>
      <c r="DB248" s="19"/>
      <c r="DC248" s="19"/>
      <c r="DD248" s="19"/>
      <c r="DE248" s="19"/>
      <c r="DF248" s="19"/>
      <c r="DG248" s="19"/>
      <c r="DH248" s="19"/>
      <c r="DI248" s="19"/>
      <c r="DJ248" s="19"/>
      <c r="DK248" s="19"/>
      <c r="DL248" s="19"/>
      <c r="DM248" s="19"/>
      <c r="DN248" s="19"/>
      <c r="DO248" s="19"/>
      <c r="DP248" s="19"/>
      <c r="DQ248" s="19"/>
      <c r="DR248" s="19"/>
      <c r="DS248" s="19"/>
      <c r="DT248" s="19"/>
      <c r="DU248" s="19"/>
      <c r="DV248" s="19"/>
      <c r="DW248" s="19"/>
      <c r="DX248" s="19"/>
      <c r="DY248" s="19"/>
      <c r="DZ248" s="19"/>
      <c r="EA248" s="19"/>
      <c r="EB248" s="19"/>
      <c r="EC248" s="19"/>
      <c r="ED248" s="19"/>
      <c r="EE248" s="19"/>
      <c r="EF248" s="19"/>
      <c r="EG248" s="19"/>
      <c r="EH248" s="19"/>
      <c r="EI248" s="19"/>
      <c r="EJ248" s="19"/>
      <c r="EK248" s="19"/>
      <c r="EL248" s="19"/>
      <c r="EM248" s="19"/>
      <c r="EN248" s="19"/>
      <c r="EO248" s="19"/>
      <c r="EP248" s="19"/>
      <c r="EQ248" s="19"/>
      <c r="ER248" s="19"/>
      <c r="ES248" s="19"/>
      <c r="ET248" s="19"/>
      <c r="EU248" s="19"/>
      <c r="EV248" s="19"/>
      <c r="EW248" s="19"/>
      <c r="EX248" s="19"/>
      <c r="EY248" s="19"/>
      <c r="EZ248" s="19"/>
      <c r="FA248" s="19"/>
      <c r="FB248" s="19"/>
      <c r="FC248" s="19"/>
      <c r="FD248" s="19"/>
      <c r="FE248" s="19"/>
      <c r="FF248" s="19"/>
      <c r="FG248" s="19"/>
      <c r="FH248" s="19"/>
      <c r="FI248" s="19"/>
      <c r="FJ248" s="19"/>
      <c r="FK248" s="19"/>
      <c r="FL248" s="20" t="s">
        <v>818</v>
      </c>
      <c r="FM248" s="20" t="s">
        <v>273</v>
      </c>
      <c r="FN248" s="19"/>
      <c r="FO248" s="19"/>
      <c r="FP248" s="19"/>
      <c r="FQ248" s="19"/>
      <c r="FR248" s="19"/>
      <c r="FS248" s="19"/>
      <c r="FT248" s="19"/>
      <c r="FU248" s="19"/>
      <c r="FV248" s="19"/>
      <c r="FW248" s="19"/>
      <c r="FX248" s="19"/>
      <c r="FY248" s="19"/>
      <c r="FZ248" s="19"/>
      <c r="GA248" s="19"/>
      <c r="GB248" s="19"/>
      <c r="GC248" s="19"/>
      <c r="GD248" s="19"/>
      <c r="GE248" s="19"/>
      <c r="GF248" s="19"/>
      <c r="GG248" s="19"/>
      <c r="GH248" s="19"/>
      <c r="GI248" s="19"/>
      <c r="GJ248" s="19"/>
      <c r="GK248" s="19"/>
      <c r="GL248" s="19"/>
      <c r="GM248" s="19"/>
      <c r="GN248" s="19"/>
      <c r="GO248" s="19"/>
      <c r="GP248" s="19"/>
      <c r="GQ248" s="19"/>
      <c r="GR248" s="19"/>
      <c r="GS248" s="19"/>
      <c r="GT248" s="19"/>
      <c r="GU248" s="19"/>
      <c r="GV248" s="19"/>
      <c r="GW248" s="19"/>
      <c r="GX248" s="19"/>
      <c r="GY248" s="19"/>
      <c r="GZ248" s="19"/>
      <c r="HA248" s="19"/>
    </row>
    <row r="249" spans="1:209" ht="23.25" customHeight="1" x14ac:dyDescent="0.15">
      <c r="A249" s="26">
        <v>44659.721316076393</v>
      </c>
      <c r="B249" s="27" t="s">
        <v>6</v>
      </c>
      <c r="C249" s="27" t="s">
        <v>12</v>
      </c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  <c r="AX249" s="28"/>
      <c r="AY249" s="28"/>
      <c r="AZ249" s="28"/>
      <c r="BA249" s="28"/>
      <c r="BB249" s="28"/>
      <c r="BC249" s="28"/>
      <c r="BD249" s="28"/>
      <c r="BE249" s="28"/>
      <c r="BF249" s="28"/>
      <c r="BG249" s="28"/>
      <c r="BH249" s="28"/>
      <c r="BI249" s="27" t="s">
        <v>814</v>
      </c>
      <c r="BJ249" s="27" t="s">
        <v>815</v>
      </c>
      <c r="BK249" s="27" t="s">
        <v>311</v>
      </c>
      <c r="BL249" s="27" t="s">
        <v>167</v>
      </c>
      <c r="BM249" s="27" t="s">
        <v>918</v>
      </c>
      <c r="BN249" s="27">
        <v>1</v>
      </c>
      <c r="BO249" s="29">
        <v>44576</v>
      </c>
      <c r="BP249" s="29">
        <v>44576</v>
      </c>
      <c r="BQ249" s="27" t="s">
        <v>901</v>
      </c>
      <c r="BR249" s="27" t="s">
        <v>902</v>
      </c>
      <c r="BS249" s="27" t="s">
        <v>171</v>
      </c>
      <c r="BT249" s="27" t="s">
        <v>151</v>
      </c>
      <c r="BU249" s="28"/>
      <c r="BV249" s="30" t="s">
        <v>919</v>
      </c>
      <c r="BW249" s="28"/>
      <c r="BX249" s="28"/>
      <c r="BY249" s="19"/>
      <c r="BZ249" s="19"/>
      <c r="CA249" s="19"/>
      <c r="CB249" s="19"/>
      <c r="CC249" s="19"/>
      <c r="CD249" s="19"/>
      <c r="CE249" s="19"/>
      <c r="CF249" s="19"/>
      <c r="CG249" s="19"/>
      <c r="CH249" s="19"/>
      <c r="CI249" s="19"/>
      <c r="CJ249" s="19"/>
      <c r="CK249" s="19"/>
      <c r="CL249" s="19"/>
      <c r="CM249" s="19"/>
      <c r="CN249" s="19"/>
      <c r="CO249" s="19"/>
      <c r="CP249" s="19"/>
      <c r="CQ249" s="19"/>
      <c r="CR249" s="19"/>
      <c r="CS249" s="19"/>
      <c r="CT249" s="19"/>
      <c r="CU249" s="19"/>
      <c r="CV249" s="19"/>
      <c r="CW249" s="19"/>
      <c r="CX249" s="19"/>
      <c r="CY249" s="19"/>
      <c r="CZ249" s="19"/>
      <c r="DA249" s="19"/>
      <c r="DB249" s="19"/>
      <c r="DC249" s="19"/>
      <c r="DD249" s="19"/>
      <c r="DE249" s="19"/>
      <c r="DF249" s="19"/>
      <c r="DG249" s="19"/>
      <c r="DH249" s="19"/>
      <c r="DI249" s="19"/>
      <c r="DJ249" s="19"/>
      <c r="DK249" s="19"/>
      <c r="DL249" s="19"/>
      <c r="DM249" s="19"/>
      <c r="DN249" s="19"/>
      <c r="DO249" s="19"/>
      <c r="DP249" s="19"/>
      <c r="DQ249" s="19"/>
      <c r="DR249" s="19"/>
      <c r="DS249" s="19"/>
      <c r="DT249" s="19"/>
      <c r="DU249" s="19"/>
      <c r="DV249" s="19"/>
      <c r="DW249" s="19"/>
      <c r="DX249" s="19"/>
      <c r="DY249" s="19"/>
      <c r="DZ249" s="19"/>
      <c r="EA249" s="19"/>
      <c r="EB249" s="19"/>
      <c r="EC249" s="19"/>
      <c r="ED249" s="19"/>
      <c r="EE249" s="19"/>
      <c r="EF249" s="19"/>
      <c r="EG249" s="19"/>
      <c r="EH249" s="19"/>
      <c r="EI249" s="19"/>
      <c r="EJ249" s="19"/>
      <c r="EK249" s="19"/>
      <c r="EL249" s="19"/>
      <c r="EM249" s="19"/>
      <c r="EN249" s="19"/>
      <c r="EO249" s="19"/>
      <c r="EP249" s="19"/>
      <c r="EQ249" s="19"/>
      <c r="ER249" s="19"/>
      <c r="ES249" s="19"/>
      <c r="ET249" s="19"/>
      <c r="EU249" s="19"/>
      <c r="EV249" s="19"/>
      <c r="EW249" s="19"/>
      <c r="EX249" s="19"/>
      <c r="EY249" s="19"/>
      <c r="EZ249" s="19"/>
      <c r="FA249" s="19"/>
      <c r="FB249" s="19"/>
      <c r="FC249" s="19"/>
      <c r="FD249" s="19"/>
      <c r="FE249" s="19"/>
      <c r="FF249" s="19"/>
      <c r="FG249" s="19"/>
      <c r="FH249" s="19"/>
      <c r="FI249" s="19"/>
      <c r="FJ249" s="19"/>
      <c r="FK249" s="19"/>
      <c r="FL249" s="20" t="s">
        <v>818</v>
      </c>
      <c r="FM249" s="20" t="s">
        <v>273</v>
      </c>
      <c r="FN249" s="19"/>
      <c r="FO249" s="19"/>
      <c r="FP249" s="19"/>
      <c r="FQ249" s="19"/>
      <c r="FR249" s="19"/>
      <c r="FS249" s="19"/>
      <c r="FT249" s="19"/>
      <c r="FU249" s="19"/>
      <c r="FV249" s="19"/>
      <c r="FW249" s="19"/>
      <c r="FX249" s="19"/>
      <c r="FY249" s="19"/>
      <c r="FZ249" s="19"/>
      <c r="GA249" s="19"/>
      <c r="GB249" s="19"/>
      <c r="GC249" s="19"/>
      <c r="GD249" s="19"/>
      <c r="GE249" s="19"/>
      <c r="GF249" s="19"/>
      <c r="GG249" s="19"/>
      <c r="GH249" s="19"/>
      <c r="GI249" s="19"/>
      <c r="GJ249" s="19"/>
      <c r="GK249" s="19"/>
      <c r="GL249" s="19"/>
      <c r="GM249" s="19"/>
      <c r="GN249" s="19"/>
      <c r="GO249" s="19"/>
      <c r="GP249" s="19"/>
      <c r="GQ249" s="19"/>
      <c r="GR249" s="19"/>
      <c r="GS249" s="19"/>
      <c r="GT249" s="19"/>
      <c r="GU249" s="19"/>
      <c r="GV249" s="19"/>
      <c r="GW249" s="19"/>
      <c r="GX249" s="19"/>
      <c r="GY249" s="19"/>
      <c r="GZ249" s="19"/>
      <c r="HA249" s="19"/>
    </row>
    <row r="250" spans="1:209" ht="23.25" customHeight="1" x14ac:dyDescent="0.15">
      <c r="A250" s="26">
        <v>44659.721567719913</v>
      </c>
      <c r="B250" s="27" t="s">
        <v>6</v>
      </c>
      <c r="C250" s="27" t="s">
        <v>11</v>
      </c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  <c r="AX250" s="27" t="s">
        <v>856</v>
      </c>
      <c r="AY250" s="27" t="s">
        <v>857</v>
      </c>
      <c r="AZ250" s="27" t="s">
        <v>920</v>
      </c>
      <c r="BA250" s="27" t="s">
        <v>335</v>
      </c>
      <c r="BB250" s="27" t="s">
        <v>698</v>
      </c>
      <c r="BC250" s="29">
        <v>43622</v>
      </c>
      <c r="BD250" s="29">
        <v>43652</v>
      </c>
      <c r="BE250" s="29">
        <v>43652</v>
      </c>
      <c r="BF250" s="27">
        <v>89</v>
      </c>
      <c r="BG250" s="27" t="s">
        <v>921</v>
      </c>
      <c r="BH250" s="30" t="s">
        <v>922</v>
      </c>
      <c r="BI250" s="28"/>
      <c r="BJ250" s="28"/>
      <c r="BK250" s="28"/>
      <c r="BL250" s="28"/>
      <c r="BM250" s="28"/>
      <c r="BN250" s="28"/>
      <c r="BO250" s="28"/>
      <c r="BP250" s="28"/>
      <c r="BQ250" s="28"/>
      <c r="BR250" s="28"/>
      <c r="BS250" s="28"/>
      <c r="BT250" s="28"/>
      <c r="BU250" s="28"/>
      <c r="BV250" s="28"/>
      <c r="BW250" s="28"/>
      <c r="BX250" s="28"/>
      <c r="BY250" s="19"/>
      <c r="BZ250" s="19"/>
      <c r="CA250" s="19"/>
      <c r="CB250" s="19"/>
      <c r="CC250" s="19"/>
      <c r="CD250" s="19"/>
      <c r="CE250" s="19"/>
      <c r="CF250" s="19"/>
      <c r="CG250" s="19"/>
      <c r="CH250" s="19"/>
      <c r="CI250" s="19"/>
      <c r="CJ250" s="19"/>
      <c r="CK250" s="19"/>
      <c r="CL250" s="19"/>
      <c r="CM250" s="19"/>
      <c r="CN250" s="19"/>
      <c r="CO250" s="19"/>
      <c r="CP250" s="19"/>
      <c r="CQ250" s="19"/>
      <c r="CR250" s="19"/>
      <c r="CS250" s="19"/>
      <c r="CT250" s="19"/>
      <c r="CU250" s="19"/>
      <c r="CV250" s="19"/>
      <c r="CW250" s="19"/>
      <c r="CX250" s="19"/>
      <c r="CY250" s="19"/>
      <c r="CZ250" s="19"/>
      <c r="DA250" s="19"/>
      <c r="DB250" s="19"/>
      <c r="DC250" s="19"/>
      <c r="DD250" s="19"/>
      <c r="DE250" s="19"/>
      <c r="DF250" s="19"/>
      <c r="DG250" s="19"/>
      <c r="DH250" s="19"/>
      <c r="DI250" s="19"/>
      <c r="DJ250" s="19"/>
      <c r="DK250" s="19"/>
      <c r="DL250" s="19"/>
      <c r="DM250" s="19"/>
      <c r="DN250" s="19"/>
      <c r="DO250" s="19"/>
      <c r="DP250" s="19"/>
      <c r="DQ250" s="19"/>
      <c r="DR250" s="19"/>
      <c r="DS250" s="19"/>
      <c r="DT250" s="19"/>
      <c r="DU250" s="19"/>
      <c r="DV250" s="19"/>
      <c r="DW250" s="19"/>
      <c r="DX250" s="19"/>
      <c r="DY250" s="19"/>
      <c r="DZ250" s="19"/>
      <c r="EA250" s="19"/>
      <c r="EB250" s="19"/>
      <c r="EC250" s="19"/>
      <c r="ED250" s="19"/>
      <c r="EE250" s="19"/>
      <c r="EF250" s="19"/>
      <c r="EG250" s="19"/>
      <c r="EH250" s="19"/>
      <c r="EI250" s="19"/>
      <c r="EJ250" s="19"/>
      <c r="EK250" s="19"/>
      <c r="EL250" s="19"/>
      <c r="EM250" s="19"/>
      <c r="EN250" s="19"/>
      <c r="EO250" s="19"/>
      <c r="EP250" s="19"/>
      <c r="EQ250" s="19"/>
      <c r="ER250" s="19"/>
      <c r="ES250" s="19"/>
      <c r="ET250" s="19"/>
      <c r="EU250" s="19"/>
      <c r="EV250" s="19"/>
      <c r="EW250" s="19"/>
      <c r="EX250" s="19"/>
      <c r="EY250" s="19"/>
      <c r="EZ250" s="19"/>
      <c r="FA250" s="19"/>
      <c r="FB250" s="19"/>
      <c r="FC250" s="19"/>
      <c r="FD250" s="19"/>
      <c r="FE250" s="19"/>
      <c r="FF250" s="19"/>
      <c r="FG250" s="19"/>
      <c r="FH250" s="19"/>
      <c r="FI250" s="19"/>
      <c r="FJ250" s="19"/>
      <c r="FK250" s="19"/>
      <c r="FL250" s="20" t="s">
        <v>862</v>
      </c>
      <c r="FM250" s="20" t="s">
        <v>255</v>
      </c>
      <c r="FN250" s="19"/>
      <c r="FO250" s="19"/>
      <c r="FP250" s="19"/>
      <c r="FQ250" s="19"/>
      <c r="FR250" s="19"/>
      <c r="FS250" s="19"/>
      <c r="FT250" s="19"/>
      <c r="FU250" s="19"/>
      <c r="FV250" s="19"/>
      <c r="FW250" s="19"/>
      <c r="FX250" s="19"/>
      <c r="FY250" s="19"/>
      <c r="FZ250" s="19"/>
      <c r="GA250" s="19"/>
      <c r="GB250" s="19"/>
      <c r="GC250" s="19"/>
      <c r="GD250" s="19"/>
      <c r="GE250" s="19"/>
      <c r="GF250" s="19"/>
      <c r="GG250" s="19"/>
      <c r="GH250" s="19"/>
      <c r="GI250" s="19"/>
      <c r="GJ250" s="19"/>
      <c r="GK250" s="19"/>
      <c r="GL250" s="19"/>
      <c r="GM250" s="19"/>
      <c r="GN250" s="19"/>
      <c r="GO250" s="19"/>
      <c r="GP250" s="19"/>
      <c r="GQ250" s="19"/>
      <c r="GR250" s="19"/>
      <c r="GS250" s="19"/>
      <c r="GT250" s="19"/>
      <c r="GU250" s="19"/>
      <c r="GV250" s="19"/>
      <c r="GW250" s="19"/>
      <c r="GX250" s="19"/>
      <c r="GY250" s="19"/>
      <c r="GZ250" s="19"/>
      <c r="HA250" s="19"/>
    </row>
    <row r="251" spans="1:209" ht="23.25" customHeight="1" x14ac:dyDescent="0.15">
      <c r="A251" s="26">
        <v>44659.724454120369</v>
      </c>
      <c r="B251" s="27" t="s">
        <v>6</v>
      </c>
      <c r="C251" s="27" t="s">
        <v>11</v>
      </c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  <c r="AX251" s="27" t="s">
        <v>856</v>
      </c>
      <c r="AY251" s="27" t="s">
        <v>857</v>
      </c>
      <c r="AZ251" s="27" t="s">
        <v>923</v>
      </c>
      <c r="BA251" s="27" t="s">
        <v>335</v>
      </c>
      <c r="BB251" s="27" t="s">
        <v>698</v>
      </c>
      <c r="BC251" s="29">
        <v>43910</v>
      </c>
      <c r="BD251" s="29">
        <v>43941</v>
      </c>
      <c r="BE251" s="29">
        <v>43941</v>
      </c>
      <c r="BF251" s="27">
        <v>96</v>
      </c>
      <c r="BG251" s="27" t="s">
        <v>765</v>
      </c>
      <c r="BH251" s="30" t="s">
        <v>924</v>
      </c>
      <c r="BI251" s="28"/>
      <c r="BJ251" s="28"/>
      <c r="BK251" s="28"/>
      <c r="BL251" s="28"/>
      <c r="BM251" s="28"/>
      <c r="BN251" s="28"/>
      <c r="BO251" s="28"/>
      <c r="BP251" s="28"/>
      <c r="BQ251" s="28"/>
      <c r="BR251" s="28"/>
      <c r="BS251" s="28"/>
      <c r="BT251" s="28"/>
      <c r="BU251" s="28"/>
      <c r="BV251" s="28"/>
      <c r="BW251" s="28"/>
      <c r="BX251" s="28"/>
      <c r="BY251" s="19"/>
      <c r="BZ251" s="19"/>
      <c r="CA251" s="19"/>
      <c r="CB251" s="19"/>
      <c r="CC251" s="19"/>
      <c r="CD251" s="19"/>
      <c r="CE251" s="19"/>
      <c r="CF251" s="19"/>
      <c r="CG251" s="19"/>
      <c r="CH251" s="19"/>
      <c r="CI251" s="19"/>
      <c r="CJ251" s="19"/>
      <c r="CK251" s="19"/>
      <c r="CL251" s="19"/>
      <c r="CM251" s="19"/>
      <c r="CN251" s="19"/>
      <c r="CO251" s="19"/>
      <c r="CP251" s="19"/>
      <c r="CQ251" s="19"/>
      <c r="CR251" s="19"/>
      <c r="CS251" s="19"/>
      <c r="CT251" s="19"/>
      <c r="CU251" s="19"/>
      <c r="CV251" s="19"/>
      <c r="CW251" s="19"/>
      <c r="CX251" s="19"/>
      <c r="CY251" s="19"/>
      <c r="CZ251" s="19"/>
      <c r="DA251" s="19"/>
      <c r="DB251" s="19"/>
      <c r="DC251" s="19"/>
      <c r="DD251" s="19"/>
      <c r="DE251" s="19"/>
      <c r="DF251" s="19"/>
      <c r="DG251" s="19"/>
      <c r="DH251" s="19"/>
      <c r="DI251" s="19"/>
      <c r="DJ251" s="19"/>
      <c r="DK251" s="19"/>
      <c r="DL251" s="19"/>
      <c r="DM251" s="19"/>
      <c r="DN251" s="19"/>
      <c r="DO251" s="19"/>
      <c r="DP251" s="19"/>
      <c r="DQ251" s="19"/>
      <c r="DR251" s="19"/>
      <c r="DS251" s="19"/>
      <c r="DT251" s="19"/>
      <c r="DU251" s="19"/>
      <c r="DV251" s="19"/>
      <c r="DW251" s="19"/>
      <c r="DX251" s="19"/>
      <c r="DY251" s="19"/>
      <c r="DZ251" s="19"/>
      <c r="EA251" s="19"/>
      <c r="EB251" s="19"/>
      <c r="EC251" s="19"/>
      <c r="ED251" s="19"/>
      <c r="EE251" s="19"/>
      <c r="EF251" s="19"/>
      <c r="EG251" s="19"/>
      <c r="EH251" s="19"/>
      <c r="EI251" s="19"/>
      <c r="EJ251" s="19"/>
      <c r="EK251" s="19"/>
      <c r="EL251" s="19"/>
      <c r="EM251" s="19"/>
      <c r="EN251" s="19"/>
      <c r="EO251" s="19"/>
      <c r="EP251" s="19"/>
      <c r="EQ251" s="19"/>
      <c r="ER251" s="19"/>
      <c r="ES251" s="19"/>
      <c r="ET251" s="19"/>
      <c r="EU251" s="19"/>
      <c r="EV251" s="19"/>
      <c r="EW251" s="19"/>
      <c r="EX251" s="19"/>
      <c r="EY251" s="19"/>
      <c r="EZ251" s="19"/>
      <c r="FA251" s="19"/>
      <c r="FB251" s="19"/>
      <c r="FC251" s="19"/>
      <c r="FD251" s="19"/>
      <c r="FE251" s="19"/>
      <c r="FF251" s="19"/>
      <c r="FG251" s="19"/>
      <c r="FH251" s="19"/>
      <c r="FI251" s="19"/>
      <c r="FJ251" s="19"/>
      <c r="FK251" s="19"/>
      <c r="FL251" s="20" t="s">
        <v>862</v>
      </c>
      <c r="FM251" s="20" t="s">
        <v>255</v>
      </c>
      <c r="FN251" s="19"/>
      <c r="FO251" s="19"/>
      <c r="FP251" s="19"/>
      <c r="FQ251" s="19"/>
      <c r="FR251" s="19"/>
      <c r="FS251" s="19"/>
      <c r="FT251" s="19"/>
      <c r="FU251" s="19"/>
      <c r="FV251" s="19"/>
      <c r="FW251" s="19"/>
      <c r="FX251" s="19"/>
      <c r="FY251" s="19"/>
      <c r="FZ251" s="19"/>
      <c r="GA251" s="19"/>
      <c r="GB251" s="19"/>
      <c r="GC251" s="19"/>
      <c r="GD251" s="19"/>
      <c r="GE251" s="19"/>
      <c r="GF251" s="19"/>
      <c r="GG251" s="19"/>
      <c r="GH251" s="19"/>
      <c r="GI251" s="19"/>
      <c r="GJ251" s="19"/>
      <c r="GK251" s="19"/>
      <c r="GL251" s="19"/>
      <c r="GM251" s="19"/>
      <c r="GN251" s="19"/>
      <c r="GO251" s="19"/>
      <c r="GP251" s="19"/>
      <c r="GQ251" s="19"/>
      <c r="GR251" s="19"/>
      <c r="GS251" s="19"/>
      <c r="GT251" s="19"/>
      <c r="GU251" s="19"/>
      <c r="GV251" s="19"/>
      <c r="GW251" s="19"/>
      <c r="GX251" s="19"/>
      <c r="GY251" s="19"/>
      <c r="GZ251" s="19"/>
      <c r="HA251" s="19"/>
    </row>
    <row r="252" spans="1:209" ht="23.25" customHeight="1" x14ac:dyDescent="0.15">
      <c r="A252" s="26">
        <v>44659.726788912041</v>
      </c>
      <c r="B252" s="27" t="s">
        <v>6</v>
      </c>
      <c r="C252" s="27" t="s">
        <v>11</v>
      </c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  <c r="AX252" s="27" t="s">
        <v>856</v>
      </c>
      <c r="AY252" s="27" t="s">
        <v>857</v>
      </c>
      <c r="AZ252" s="27" t="s">
        <v>925</v>
      </c>
      <c r="BA252" s="27" t="s">
        <v>441</v>
      </c>
      <c r="BB252" s="27" t="s">
        <v>318</v>
      </c>
      <c r="BC252" s="29">
        <v>44353</v>
      </c>
      <c r="BD252" s="29">
        <v>44406</v>
      </c>
      <c r="BE252" s="29">
        <v>44406</v>
      </c>
      <c r="BF252" s="27">
        <v>95</v>
      </c>
      <c r="BG252" s="27" t="s">
        <v>765</v>
      </c>
      <c r="BH252" s="30" t="s">
        <v>926</v>
      </c>
      <c r="BI252" s="28"/>
      <c r="BJ252" s="28"/>
      <c r="BK252" s="28"/>
      <c r="BL252" s="28"/>
      <c r="BM252" s="28"/>
      <c r="BN252" s="28"/>
      <c r="BO252" s="28"/>
      <c r="BP252" s="28"/>
      <c r="BQ252" s="28"/>
      <c r="BR252" s="28"/>
      <c r="BS252" s="28"/>
      <c r="BT252" s="28"/>
      <c r="BU252" s="28"/>
      <c r="BV252" s="28"/>
      <c r="BW252" s="28"/>
      <c r="BX252" s="28"/>
      <c r="BY252" s="19"/>
      <c r="BZ252" s="19"/>
      <c r="CA252" s="19"/>
      <c r="CB252" s="19"/>
      <c r="CC252" s="19"/>
      <c r="CD252" s="19"/>
      <c r="CE252" s="19"/>
      <c r="CF252" s="19"/>
      <c r="CG252" s="19"/>
      <c r="CH252" s="19"/>
      <c r="CI252" s="19"/>
      <c r="CJ252" s="19"/>
      <c r="CK252" s="19"/>
      <c r="CL252" s="19"/>
      <c r="CM252" s="19"/>
      <c r="CN252" s="19"/>
      <c r="CO252" s="19"/>
      <c r="CP252" s="19"/>
      <c r="CQ252" s="19"/>
      <c r="CR252" s="19"/>
      <c r="CS252" s="19"/>
      <c r="CT252" s="19"/>
      <c r="CU252" s="19"/>
      <c r="CV252" s="19"/>
      <c r="CW252" s="19"/>
      <c r="CX252" s="19"/>
      <c r="CY252" s="19"/>
      <c r="CZ252" s="19"/>
      <c r="DA252" s="19"/>
      <c r="DB252" s="19"/>
      <c r="DC252" s="19"/>
      <c r="DD252" s="19"/>
      <c r="DE252" s="19"/>
      <c r="DF252" s="19"/>
      <c r="DG252" s="19"/>
      <c r="DH252" s="19"/>
      <c r="DI252" s="19"/>
      <c r="DJ252" s="19"/>
      <c r="DK252" s="19"/>
      <c r="DL252" s="19"/>
      <c r="DM252" s="19"/>
      <c r="DN252" s="19"/>
      <c r="DO252" s="19"/>
      <c r="DP252" s="19"/>
      <c r="DQ252" s="19"/>
      <c r="DR252" s="19"/>
      <c r="DS252" s="19"/>
      <c r="DT252" s="19"/>
      <c r="DU252" s="19"/>
      <c r="DV252" s="19"/>
      <c r="DW252" s="19"/>
      <c r="DX252" s="19"/>
      <c r="DY252" s="19"/>
      <c r="DZ252" s="19"/>
      <c r="EA252" s="19"/>
      <c r="EB252" s="19"/>
      <c r="EC252" s="19"/>
      <c r="ED252" s="19"/>
      <c r="EE252" s="19"/>
      <c r="EF252" s="19"/>
      <c r="EG252" s="19"/>
      <c r="EH252" s="19"/>
      <c r="EI252" s="19"/>
      <c r="EJ252" s="19"/>
      <c r="EK252" s="19"/>
      <c r="EL252" s="19"/>
      <c r="EM252" s="19"/>
      <c r="EN252" s="19"/>
      <c r="EO252" s="19"/>
      <c r="EP252" s="19"/>
      <c r="EQ252" s="19"/>
      <c r="ER252" s="19"/>
      <c r="ES252" s="19"/>
      <c r="ET252" s="19"/>
      <c r="EU252" s="19"/>
      <c r="EV252" s="19"/>
      <c r="EW252" s="19"/>
      <c r="EX252" s="19"/>
      <c r="EY252" s="19"/>
      <c r="EZ252" s="19"/>
      <c r="FA252" s="19"/>
      <c r="FB252" s="19"/>
      <c r="FC252" s="19"/>
      <c r="FD252" s="19"/>
      <c r="FE252" s="19"/>
      <c r="FF252" s="19"/>
      <c r="FG252" s="19"/>
      <c r="FH252" s="19"/>
      <c r="FI252" s="19"/>
      <c r="FJ252" s="19"/>
      <c r="FK252" s="19"/>
      <c r="FL252" s="20" t="s">
        <v>862</v>
      </c>
      <c r="FM252" s="20" t="s">
        <v>255</v>
      </c>
      <c r="FN252" s="19"/>
      <c r="FO252" s="19"/>
      <c r="FP252" s="19"/>
      <c r="FQ252" s="19"/>
      <c r="FR252" s="19"/>
      <c r="FS252" s="19"/>
      <c r="FT252" s="19"/>
      <c r="FU252" s="19"/>
      <c r="FV252" s="19"/>
      <c r="FW252" s="19"/>
      <c r="FX252" s="19"/>
      <c r="FY252" s="19"/>
      <c r="FZ252" s="19"/>
      <c r="GA252" s="19"/>
      <c r="GB252" s="19"/>
      <c r="GC252" s="19"/>
      <c r="GD252" s="19"/>
      <c r="GE252" s="19"/>
      <c r="GF252" s="19"/>
      <c r="GG252" s="19"/>
      <c r="GH252" s="19"/>
      <c r="GI252" s="19"/>
      <c r="GJ252" s="19"/>
      <c r="GK252" s="19"/>
      <c r="GL252" s="19"/>
      <c r="GM252" s="19"/>
      <c r="GN252" s="19"/>
      <c r="GO252" s="19"/>
      <c r="GP252" s="19"/>
      <c r="GQ252" s="19"/>
      <c r="GR252" s="19"/>
      <c r="GS252" s="19"/>
      <c r="GT252" s="19"/>
      <c r="GU252" s="19"/>
      <c r="GV252" s="19"/>
      <c r="GW252" s="19"/>
      <c r="GX252" s="19"/>
      <c r="GY252" s="19"/>
      <c r="GZ252" s="19"/>
      <c r="HA252" s="19"/>
    </row>
    <row r="253" spans="1:209" ht="23.25" customHeight="1" x14ac:dyDescent="0.15">
      <c r="A253" s="26">
        <v>44659.731992071756</v>
      </c>
      <c r="B253" s="27" t="s">
        <v>6</v>
      </c>
      <c r="C253" s="27" t="s">
        <v>11</v>
      </c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  <c r="AX253" s="27" t="s">
        <v>927</v>
      </c>
      <c r="AY253" s="27" t="s">
        <v>928</v>
      </c>
      <c r="AZ253" s="27" t="s">
        <v>929</v>
      </c>
      <c r="BA253" s="27" t="s">
        <v>547</v>
      </c>
      <c r="BB253" s="27" t="s">
        <v>448</v>
      </c>
      <c r="BC253" s="29">
        <v>44477</v>
      </c>
      <c r="BD253" s="29">
        <v>44659</v>
      </c>
      <c r="BE253" s="29">
        <v>44596</v>
      </c>
      <c r="BF253" s="27">
        <v>100</v>
      </c>
      <c r="BG253" s="27" t="s">
        <v>930</v>
      </c>
      <c r="BH253" s="30" t="s">
        <v>931</v>
      </c>
      <c r="BI253" s="28"/>
      <c r="BJ253" s="28"/>
      <c r="BK253" s="28"/>
      <c r="BL253" s="28"/>
      <c r="BM253" s="28"/>
      <c r="BN253" s="28"/>
      <c r="BO253" s="28"/>
      <c r="BP253" s="28"/>
      <c r="BQ253" s="28"/>
      <c r="BR253" s="28"/>
      <c r="BS253" s="28"/>
      <c r="BT253" s="28"/>
      <c r="BU253" s="28"/>
      <c r="BV253" s="28"/>
      <c r="BW253" s="28"/>
      <c r="BX253" s="28"/>
      <c r="BY253" s="19"/>
      <c r="BZ253" s="19"/>
      <c r="CA253" s="19"/>
      <c r="CB253" s="19"/>
      <c r="CC253" s="19"/>
      <c r="CD253" s="19"/>
      <c r="CE253" s="19"/>
      <c r="CF253" s="19"/>
      <c r="CG253" s="19"/>
      <c r="CH253" s="19"/>
      <c r="CI253" s="19"/>
      <c r="CJ253" s="19"/>
      <c r="CK253" s="19"/>
      <c r="CL253" s="19"/>
      <c r="CM253" s="19"/>
      <c r="CN253" s="19"/>
      <c r="CO253" s="19"/>
      <c r="CP253" s="19"/>
      <c r="CQ253" s="19"/>
      <c r="CR253" s="19"/>
      <c r="CS253" s="19"/>
      <c r="CT253" s="19"/>
      <c r="CU253" s="19"/>
      <c r="CV253" s="19"/>
      <c r="CW253" s="19"/>
      <c r="CX253" s="19"/>
      <c r="CY253" s="19"/>
      <c r="CZ253" s="19"/>
      <c r="DA253" s="19"/>
      <c r="DB253" s="19"/>
      <c r="DC253" s="19"/>
      <c r="DD253" s="19"/>
      <c r="DE253" s="19"/>
      <c r="DF253" s="19"/>
      <c r="DG253" s="19"/>
      <c r="DH253" s="19"/>
      <c r="DI253" s="19"/>
      <c r="DJ253" s="19"/>
      <c r="DK253" s="19"/>
      <c r="DL253" s="19"/>
      <c r="DM253" s="19"/>
      <c r="DN253" s="19"/>
      <c r="DO253" s="19"/>
      <c r="DP253" s="19"/>
      <c r="DQ253" s="19"/>
      <c r="DR253" s="19"/>
      <c r="DS253" s="19"/>
      <c r="DT253" s="19"/>
      <c r="DU253" s="19"/>
      <c r="DV253" s="19"/>
      <c r="DW253" s="19"/>
      <c r="DX253" s="19"/>
      <c r="DY253" s="19"/>
      <c r="DZ253" s="19"/>
      <c r="EA253" s="19"/>
      <c r="EB253" s="19"/>
      <c r="EC253" s="19"/>
      <c r="ED253" s="19"/>
      <c r="EE253" s="19"/>
      <c r="EF253" s="19"/>
      <c r="EG253" s="19"/>
      <c r="EH253" s="19"/>
      <c r="EI253" s="19"/>
      <c r="EJ253" s="19"/>
      <c r="EK253" s="19"/>
      <c r="EL253" s="19"/>
      <c r="EM253" s="19"/>
      <c r="EN253" s="19"/>
      <c r="EO253" s="19"/>
      <c r="EP253" s="19"/>
      <c r="EQ253" s="19"/>
      <c r="ER253" s="19"/>
      <c r="ES253" s="19"/>
      <c r="ET253" s="19"/>
      <c r="EU253" s="19"/>
      <c r="EV253" s="19"/>
      <c r="EW253" s="19"/>
      <c r="EX253" s="19"/>
      <c r="EY253" s="19"/>
      <c r="EZ253" s="19"/>
      <c r="FA253" s="19"/>
      <c r="FB253" s="19"/>
      <c r="FC253" s="19"/>
      <c r="FD253" s="19"/>
      <c r="FE253" s="19"/>
      <c r="FF253" s="19"/>
      <c r="FG253" s="19"/>
      <c r="FH253" s="19"/>
      <c r="FI253" s="19"/>
      <c r="FJ253" s="19"/>
      <c r="FK253" s="19"/>
      <c r="FL253" s="20" t="s">
        <v>932</v>
      </c>
      <c r="FM253" s="20" t="s">
        <v>273</v>
      </c>
      <c r="FN253" s="19"/>
      <c r="FO253" s="19"/>
      <c r="FP253" s="19"/>
      <c r="FQ253" s="19"/>
      <c r="FR253" s="19"/>
      <c r="FS253" s="19"/>
      <c r="FT253" s="19"/>
      <c r="FU253" s="19"/>
      <c r="FV253" s="19"/>
      <c r="FW253" s="19"/>
      <c r="FX253" s="19"/>
      <c r="FY253" s="19"/>
      <c r="FZ253" s="19"/>
      <c r="GA253" s="19"/>
      <c r="GB253" s="19"/>
      <c r="GC253" s="19"/>
      <c r="GD253" s="19"/>
      <c r="GE253" s="19"/>
      <c r="GF253" s="19"/>
      <c r="GG253" s="19"/>
      <c r="GH253" s="19"/>
      <c r="GI253" s="19"/>
      <c r="GJ253" s="19"/>
      <c r="GK253" s="19"/>
      <c r="GL253" s="19"/>
      <c r="GM253" s="19"/>
      <c r="GN253" s="19"/>
      <c r="GO253" s="19"/>
      <c r="GP253" s="19"/>
      <c r="GQ253" s="19"/>
      <c r="GR253" s="19"/>
      <c r="GS253" s="19"/>
      <c r="GT253" s="19"/>
      <c r="GU253" s="19"/>
      <c r="GV253" s="19"/>
      <c r="GW253" s="19"/>
      <c r="GX253" s="19"/>
      <c r="GY253" s="19"/>
      <c r="GZ253" s="19"/>
      <c r="HA253" s="19"/>
    </row>
    <row r="254" spans="1:209" ht="23.25" customHeight="1" x14ac:dyDescent="0.15">
      <c r="A254" s="26">
        <v>44659.736637557871</v>
      </c>
      <c r="B254" s="27" t="s">
        <v>6</v>
      </c>
      <c r="C254" s="27" t="s">
        <v>11</v>
      </c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  <c r="AX254" s="27" t="s">
        <v>933</v>
      </c>
      <c r="AY254" s="27" t="s">
        <v>928</v>
      </c>
      <c r="AZ254" s="27" t="s">
        <v>934</v>
      </c>
      <c r="BA254" s="27" t="s">
        <v>935</v>
      </c>
      <c r="BB254" s="27" t="s">
        <v>408</v>
      </c>
      <c r="BC254" s="29">
        <v>44368</v>
      </c>
      <c r="BD254" s="29">
        <v>44398</v>
      </c>
      <c r="BE254" s="29">
        <v>44402</v>
      </c>
      <c r="BF254" s="27">
        <v>100</v>
      </c>
      <c r="BG254" s="27" t="s">
        <v>936</v>
      </c>
      <c r="BH254" s="30" t="s">
        <v>937</v>
      </c>
      <c r="BI254" s="28"/>
      <c r="BJ254" s="28"/>
      <c r="BK254" s="28"/>
      <c r="BL254" s="28"/>
      <c r="BM254" s="28"/>
      <c r="BN254" s="28"/>
      <c r="BO254" s="28"/>
      <c r="BP254" s="28"/>
      <c r="BQ254" s="28"/>
      <c r="BR254" s="28"/>
      <c r="BS254" s="28"/>
      <c r="BT254" s="28"/>
      <c r="BU254" s="28"/>
      <c r="BV254" s="28"/>
      <c r="BW254" s="28"/>
      <c r="BX254" s="28"/>
      <c r="BY254" s="19"/>
      <c r="BZ254" s="19"/>
      <c r="CA254" s="19"/>
      <c r="CB254" s="19"/>
      <c r="CC254" s="19"/>
      <c r="CD254" s="19"/>
      <c r="CE254" s="19"/>
      <c r="CF254" s="19"/>
      <c r="CG254" s="19"/>
      <c r="CH254" s="19"/>
      <c r="CI254" s="19"/>
      <c r="CJ254" s="19"/>
      <c r="CK254" s="19"/>
      <c r="CL254" s="19"/>
      <c r="CM254" s="19"/>
      <c r="CN254" s="19"/>
      <c r="CO254" s="19"/>
      <c r="CP254" s="19"/>
      <c r="CQ254" s="19"/>
      <c r="CR254" s="19"/>
      <c r="CS254" s="19"/>
      <c r="CT254" s="19"/>
      <c r="CU254" s="19"/>
      <c r="CV254" s="19"/>
      <c r="CW254" s="19"/>
      <c r="CX254" s="19"/>
      <c r="CY254" s="19"/>
      <c r="CZ254" s="19"/>
      <c r="DA254" s="19"/>
      <c r="DB254" s="19"/>
      <c r="DC254" s="19"/>
      <c r="DD254" s="19"/>
      <c r="DE254" s="19"/>
      <c r="DF254" s="19"/>
      <c r="DG254" s="19"/>
      <c r="DH254" s="19"/>
      <c r="DI254" s="19"/>
      <c r="DJ254" s="19"/>
      <c r="DK254" s="19"/>
      <c r="DL254" s="19"/>
      <c r="DM254" s="19"/>
      <c r="DN254" s="19"/>
      <c r="DO254" s="19"/>
      <c r="DP254" s="19"/>
      <c r="DQ254" s="19"/>
      <c r="DR254" s="19"/>
      <c r="DS254" s="19"/>
      <c r="DT254" s="19"/>
      <c r="DU254" s="19"/>
      <c r="DV254" s="19"/>
      <c r="DW254" s="19"/>
      <c r="DX254" s="19"/>
      <c r="DY254" s="19"/>
      <c r="DZ254" s="19"/>
      <c r="EA254" s="19"/>
      <c r="EB254" s="19"/>
      <c r="EC254" s="19"/>
      <c r="ED254" s="19"/>
      <c r="EE254" s="19"/>
      <c r="EF254" s="19"/>
      <c r="EG254" s="19"/>
      <c r="EH254" s="19"/>
      <c r="EI254" s="19"/>
      <c r="EJ254" s="19"/>
      <c r="EK254" s="19"/>
      <c r="EL254" s="19"/>
      <c r="EM254" s="19"/>
      <c r="EN254" s="19"/>
      <c r="EO254" s="19"/>
      <c r="EP254" s="19"/>
      <c r="EQ254" s="19"/>
      <c r="ER254" s="19"/>
      <c r="ES254" s="19"/>
      <c r="ET254" s="19"/>
      <c r="EU254" s="19"/>
      <c r="EV254" s="19"/>
      <c r="EW254" s="19"/>
      <c r="EX254" s="19"/>
      <c r="EY254" s="19"/>
      <c r="EZ254" s="19"/>
      <c r="FA254" s="19"/>
      <c r="FB254" s="19"/>
      <c r="FC254" s="19"/>
      <c r="FD254" s="19"/>
      <c r="FE254" s="19"/>
      <c r="FF254" s="19"/>
      <c r="FG254" s="19"/>
      <c r="FH254" s="19"/>
      <c r="FI254" s="19"/>
      <c r="FJ254" s="19"/>
      <c r="FK254" s="19"/>
      <c r="FL254" s="20" t="s">
        <v>932</v>
      </c>
      <c r="FM254" s="20" t="s">
        <v>278</v>
      </c>
      <c r="FN254" s="19"/>
      <c r="FO254" s="19"/>
      <c r="FP254" s="19"/>
      <c r="FQ254" s="19"/>
      <c r="FR254" s="19"/>
      <c r="FS254" s="19"/>
      <c r="FT254" s="19"/>
      <c r="FU254" s="19"/>
      <c r="FV254" s="19"/>
      <c r="FW254" s="19"/>
      <c r="FX254" s="19"/>
      <c r="FY254" s="19"/>
      <c r="FZ254" s="19"/>
      <c r="GA254" s="19"/>
      <c r="GB254" s="19"/>
      <c r="GC254" s="19"/>
      <c r="GD254" s="19"/>
      <c r="GE254" s="19"/>
      <c r="GF254" s="19"/>
      <c r="GG254" s="19"/>
      <c r="GH254" s="19"/>
      <c r="GI254" s="19"/>
      <c r="GJ254" s="19"/>
      <c r="GK254" s="19"/>
      <c r="GL254" s="19"/>
      <c r="GM254" s="19"/>
      <c r="GN254" s="19"/>
      <c r="GO254" s="19"/>
      <c r="GP254" s="19"/>
      <c r="GQ254" s="19"/>
      <c r="GR254" s="19"/>
      <c r="GS254" s="19"/>
      <c r="GT254" s="19"/>
      <c r="GU254" s="19"/>
      <c r="GV254" s="19"/>
      <c r="GW254" s="19"/>
      <c r="GX254" s="19"/>
      <c r="GY254" s="19"/>
      <c r="GZ254" s="19"/>
      <c r="HA254" s="19"/>
    </row>
    <row r="255" spans="1:209" ht="23.25" customHeight="1" x14ac:dyDescent="0.15">
      <c r="A255" s="26">
        <v>44659.739200925927</v>
      </c>
      <c r="B255" s="27" t="s">
        <v>6</v>
      </c>
      <c r="C255" s="27" t="s">
        <v>17</v>
      </c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  <c r="AX255" s="28"/>
      <c r="AY255" s="28"/>
      <c r="AZ255" s="28"/>
      <c r="BA255" s="28"/>
      <c r="BB255" s="28"/>
      <c r="BC255" s="28"/>
      <c r="BD255" s="28"/>
      <c r="BE255" s="28"/>
      <c r="BF255" s="28"/>
      <c r="BG255" s="28"/>
      <c r="BH255" s="28"/>
      <c r="BI255" s="28"/>
      <c r="BJ255" s="28"/>
      <c r="BK255" s="28"/>
      <c r="BL255" s="28"/>
      <c r="BM255" s="28"/>
      <c r="BN255" s="28"/>
      <c r="BO255" s="28"/>
      <c r="BP255" s="28"/>
      <c r="BQ255" s="28"/>
      <c r="BR255" s="28"/>
      <c r="BS255" s="28"/>
      <c r="BT255" s="28"/>
      <c r="BU255" s="28"/>
      <c r="BV255" s="28"/>
      <c r="BW255" s="28"/>
      <c r="BX255" s="28"/>
      <c r="BY255" s="19"/>
      <c r="BZ255" s="19"/>
      <c r="CA255" s="19"/>
      <c r="CB255" s="19"/>
      <c r="CC255" s="19"/>
      <c r="CD255" s="19"/>
      <c r="CE255" s="19"/>
      <c r="CF255" s="19"/>
      <c r="CG255" s="19"/>
      <c r="CH255" s="19"/>
      <c r="CI255" s="19"/>
      <c r="CJ255" s="19"/>
      <c r="CK255" s="19"/>
      <c r="CL255" s="19"/>
      <c r="CM255" s="19"/>
      <c r="CN255" s="19"/>
      <c r="CO255" s="19"/>
      <c r="CP255" s="19"/>
      <c r="CQ255" s="19"/>
      <c r="CR255" s="19"/>
      <c r="CS255" s="19"/>
      <c r="CT255" s="19"/>
      <c r="CU255" s="19"/>
      <c r="CV255" s="19"/>
      <c r="CW255" s="19"/>
      <c r="CX255" s="19"/>
      <c r="CY255" s="19"/>
      <c r="CZ255" s="19"/>
      <c r="DA255" s="19"/>
      <c r="DB255" s="19"/>
      <c r="DC255" s="19"/>
      <c r="DD255" s="19"/>
      <c r="DE255" s="19"/>
      <c r="DF255" s="19"/>
      <c r="DG255" s="19"/>
      <c r="DH255" s="19"/>
      <c r="DI255" s="19"/>
      <c r="DJ255" s="19"/>
      <c r="DK255" s="19"/>
      <c r="DL255" s="19"/>
      <c r="DM255" s="19"/>
      <c r="DN255" s="19"/>
      <c r="DO255" s="19"/>
      <c r="DP255" s="19"/>
      <c r="DQ255" s="19"/>
      <c r="DR255" s="19"/>
      <c r="DS255" s="19"/>
      <c r="DT255" s="19"/>
      <c r="DU255" s="19"/>
      <c r="DV255" s="19"/>
      <c r="DW255" s="19"/>
      <c r="DX255" s="20" t="s">
        <v>933</v>
      </c>
      <c r="DY255" s="20" t="s">
        <v>928</v>
      </c>
      <c r="DZ255" s="20" t="s">
        <v>154</v>
      </c>
      <c r="EA255" s="20" t="s">
        <v>938</v>
      </c>
      <c r="EB255" s="21">
        <v>43979</v>
      </c>
      <c r="EC255" s="20" t="s">
        <v>939</v>
      </c>
      <c r="ED255" s="22" t="s">
        <v>940</v>
      </c>
      <c r="EE255" s="19"/>
      <c r="EF255" s="19"/>
      <c r="EG255" s="19"/>
      <c r="EH255" s="19"/>
      <c r="EI255" s="19"/>
      <c r="EJ255" s="19"/>
      <c r="EK255" s="19"/>
      <c r="EL255" s="19"/>
      <c r="EM255" s="19"/>
      <c r="EN255" s="19"/>
      <c r="EO255" s="19"/>
      <c r="EP255" s="19"/>
      <c r="EQ255" s="19"/>
      <c r="ER255" s="19"/>
      <c r="ES255" s="19"/>
      <c r="ET255" s="19"/>
      <c r="EU255" s="19"/>
      <c r="EV255" s="19"/>
      <c r="EW255" s="19"/>
      <c r="EX255" s="19"/>
      <c r="EY255" s="19"/>
      <c r="EZ255" s="19"/>
      <c r="FA255" s="19"/>
      <c r="FB255" s="19"/>
      <c r="FC255" s="19"/>
      <c r="FD255" s="19"/>
      <c r="FE255" s="19"/>
      <c r="FF255" s="19"/>
      <c r="FG255" s="19"/>
      <c r="FH255" s="19"/>
      <c r="FI255" s="19"/>
      <c r="FJ255" s="19"/>
      <c r="FK255" s="19"/>
      <c r="FL255" s="20" t="s">
        <v>932</v>
      </c>
      <c r="FM255" s="20" t="s">
        <v>321</v>
      </c>
      <c r="FN255" s="19"/>
      <c r="FO255" s="19"/>
      <c r="FP255" s="19"/>
      <c r="FQ255" s="19"/>
      <c r="FR255" s="19"/>
      <c r="FS255" s="19"/>
      <c r="FT255" s="19"/>
      <c r="FU255" s="19"/>
      <c r="FV255" s="19"/>
      <c r="FW255" s="19"/>
      <c r="FX255" s="19"/>
      <c r="FY255" s="19"/>
      <c r="FZ255" s="19"/>
      <c r="GA255" s="19"/>
      <c r="GB255" s="19"/>
      <c r="GC255" s="19"/>
      <c r="GD255" s="19"/>
      <c r="GE255" s="19"/>
      <c r="GF255" s="19"/>
      <c r="GG255" s="19"/>
      <c r="GH255" s="19"/>
      <c r="GI255" s="19"/>
      <c r="GJ255" s="19"/>
      <c r="GK255" s="19"/>
      <c r="GL255" s="19"/>
      <c r="GM255" s="19"/>
      <c r="GN255" s="19"/>
      <c r="GO255" s="19"/>
      <c r="GP255" s="19"/>
      <c r="GQ255" s="19"/>
      <c r="GR255" s="19"/>
      <c r="GS255" s="19"/>
      <c r="GT255" s="19"/>
      <c r="GU255" s="19"/>
      <c r="GV255" s="19"/>
      <c r="GW255" s="19"/>
      <c r="GX255" s="19"/>
      <c r="GY255" s="19"/>
      <c r="GZ255" s="19"/>
      <c r="HA255" s="19"/>
    </row>
    <row r="256" spans="1:209" ht="23.25" customHeight="1" x14ac:dyDescent="0.15">
      <c r="A256" s="26">
        <v>44659.768864872683</v>
      </c>
      <c r="B256" s="27" t="s">
        <v>9</v>
      </c>
      <c r="C256" s="27" t="s">
        <v>12</v>
      </c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  <c r="AX256" s="28"/>
      <c r="AY256" s="28"/>
      <c r="AZ256" s="28"/>
      <c r="BA256" s="28"/>
      <c r="BB256" s="28"/>
      <c r="BC256" s="28"/>
      <c r="BD256" s="28"/>
      <c r="BE256" s="28"/>
      <c r="BF256" s="28"/>
      <c r="BG256" s="28"/>
      <c r="BH256" s="28"/>
      <c r="BI256" s="27" t="s">
        <v>941</v>
      </c>
      <c r="BJ256" s="27" t="s">
        <v>942</v>
      </c>
      <c r="BK256" s="27" t="s">
        <v>311</v>
      </c>
      <c r="BL256" s="27" t="s">
        <v>167</v>
      </c>
      <c r="BM256" s="27" t="s">
        <v>943</v>
      </c>
      <c r="BN256" s="27">
        <v>6</v>
      </c>
      <c r="BO256" s="29">
        <v>44627</v>
      </c>
      <c r="BP256" s="29">
        <v>44632</v>
      </c>
      <c r="BQ256" s="27" t="s">
        <v>944</v>
      </c>
      <c r="BR256" s="27" t="s">
        <v>945</v>
      </c>
      <c r="BS256" s="27" t="s">
        <v>171</v>
      </c>
      <c r="BT256" s="27" t="s">
        <v>629</v>
      </c>
      <c r="BU256" s="27">
        <v>0</v>
      </c>
      <c r="BV256" s="30" t="s">
        <v>946</v>
      </c>
      <c r="BW256" s="28"/>
      <c r="BX256" s="28"/>
      <c r="BY256" s="19"/>
      <c r="BZ256" s="19"/>
      <c r="CA256" s="19"/>
      <c r="CB256" s="19"/>
      <c r="CC256" s="19"/>
      <c r="CD256" s="19"/>
      <c r="CE256" s="19"/>
      <c r="CF256" s="19"/>
      <c r="CG256" s="19"/>
      <c r="CH256" s="19"/>
      <c r="CI256" s="19"/>
      <c r="CJ256" s="19"/>
      <c r="CK256" s="19"/>
      <c r="CL256" s="19"/>
      <c r="CM256" s="19"/>
      <c r="CN256" s="19"/>
      <c r="CO256" s="19"/>
      <c r="CP256" s="19"/>
      <c r="CQ256" s="19"/>
      <c r="CR256" s="19"/>
      <c r="CS256" s="19"/>
      <c r="CT256" s="19"/>
      <c r="CU256" s="19"/>
      <c r="CV256" s="19"/>
      <c r="CW256" s="19"/>
      <c r="CX256" s="19"/>
      <c r="CY256" s="19"/>
      <c r="CZ256" s="19"/>
      <c r="DA256" s="19"/>
      <c r="DB256" s="19"/>
      <c r="DC256" s="19"/>
      <c r="DD256" s="19"/>
      <c r="DE256" s="19"/>
      <c r="DF256" s="19"/>
      <c r="DG256" s="19"/>
      <c r="DH256" s="19"/>
      <c r="DI256" s="19"/>
      <c r="DJ256" s="19"/>
      <c r="DK256" s="19"/>
      <c r="DL256" s="19"/>
      <c r="DM256" s="19"/>
      <c r="DN256" s="19"/>
      <c r="DO256" s="19"/>
      <c r="DP256" s="19"/>
      <c r="DQ256" s="19"/>
      <c r="DR256" s="19"/>
      <c r="DS256" s="19"/>
      <c r="DT256" s="19"/>
      <c r="DU256" s="19"/>
      <c r="DV256" s="19"/>
      <c r="DW256" s="19"/>
      <c r="DX256" s="19"/>
      <c r="DY256" s="19"/>
      <c r="DZ256" s="19"/>
      <c r="EA256" s="19"/>
      <c r="EB256" s="19"/>
      <c r="EC256" s="19"/>
      <c r="ED256" s="19"/>
      <c r="EE256" s="19"/>
      <c r="EF256" s="19"/>
      <c r="EG256" s="19"/>
      <c r="EH256" s="19"/>
      <c r="EI256" s="19"/>
      <c r="EJ256" s="19"/>
      <c r="EK256" s="19"/>
      <c r="EL256" s="19"/>
      <c r="EM256" s="19"/>
      <c r="EN256" s="19"/>
      <c r="EO256" s="19"/>
      <c r="EP256" s="19"/>
      <c r="EQ256" s="19"/>
      <c r="ER256" s="19"/>
      <c r="ES256" s="19"/>
      <c r="ET256" s="19"/>
      <c r="EU256" s="19"/>
      <c r="EV256" s="19"/>
      <c r="EW256" s="19"/>
      <c r="EX256" s="19"/>
      <c r="EY256" s="19"/>
      <c r="EZ256" s="19"/>
      <c r="FA256" s="19"/>
      <c r="FB256" s="19"/>
      <c r="FC256" s="19"/>
      <c r="FD256" s="19"/>
      <c r="FE256" s="19"/>
      <c r="FF256" s="19"/>
      <c r="FG256" s="19"/>
      <c r="FH256" s="19"/>
      <c r="FI256" s="19"/>
      <c r="FJ256" s="19"/>
      <c r="FK256" s="19"/>
      <c r="FL256" s="20" t="s">
        <v>947</v>
      </c>
      <c r="FM256" s="20" t="s">
        <v>412</v>
      </c>
      <c r="FN256" s="19"/>
      <c r="FO256" s="19"/>
      <c r="FP256" s="19"/>
      <c r="FQ256" s="19"/>
      <c r="FR256" s="19"/>
      <c r="FS256" s="19"/>
      <c r="FT256" s="19"/>
      <c r="FU256" s="19"/>
      <c r="FV256" s="19"/>
      <c r="FW256" s="19"/>
      <c r="FX256" s="19"/>
      <c r="FY256" s="19"/>
      <c r="FZ256" s="19"/>
      <c r="GA256" s="19"/>
      <c r="GB256" s="19"/>
      <c r="GC256" s="19"/>
      <c r="GD256" s="19"/>
      <c r="GE256" s="19"/>
      <c r="GF256" s="19"/>
      <c r="GG256" s="19"/>
      <c r="GH256" s="19"/>
      <c r="GI256" s="19"/>
      <c r="GJ256" s="19"/>
      <c r="GK256" s="19"/>
      <c r="GL256" s="19"/>
      <c r="GM256" s="19"/>
      <c r="GN256" s="19"/>
      <c r="GO256" s="19"/>
      <c r="GP256" s="19"/>
      <c r="GQ256" s="19"/>
      <c r="GR256" s="19"/>
      <c r="GS256" s="19"/>
      <c r="GT256" s="19"/>
      <c r="GU256" s="19"/>
      <c r="GV256" s="19"/>
      <c r="GW256" s="19"/>
      <c r="GX256" s="19"/>
      <c r="GY256" s="19"/>
      <c r="GZ256" s="19"/>
      <c r="HA256" s="19"/>
    </row>
    <row r="257" spans="1:209" ht="23.25" customHeight="1" x14ac:dyDescent="0.15">
      <c r="A257" s="26">
        <v>44659.778048020831</v>
      </c>
      <c r="B257" s="27" t="s">
        <v>9</v>
      </c>
      <c r="C257" s="27" t="s">
        <v>12</v>
      </c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  <c r="AX257" s="28"/>
      <c r="AY257" s="28"/>
      <c r="AZ257" s="28"/>
      <c r="BA257" s="28"/>
      <c r="BB257" s="28"/>
      <c r="BC257" s="28"/>
      <c r="BD257" s="28"/>
      <c r="BE257" s="28"/>
      <c r="BF257" s="28"/>
      <c r="BG257" s="28"/>
      <c r="BH257" s="28"/>
      <c r="BI257" s="27" t="s">
        <v>948</v>
      </c>
      <c r="BJ257" s="27" t="s">
        <v>949</v>
      </c>
      <c r="BK257" s="27" t="s">
        <v>311</v>
      </c>
      <c r="BL257" s="27" t="s">
        <v>167</v>
      </c>
      <c r="BM257" s="27" t="s">
        <v>943</v>
      </c>
      <c r="BN257" s="27">
        <v>6</v>
      </c>
      <c r="BO257" s="29">
        <v>44627</v>
      </c>
      <c r="BP257" s="29">
        <v>44632</v>
      </c>
      <c r="BQ257" s="27" t="s">
        <v>950</v>
      </c>
      <c r="BR257" s="27" t="s">
        <v>951</v>
      </c>
      <c r="BS257" s="27" t="s">
        <v>171</v>
      </c>
      <c r="BT257" s="27" t="s">
        <v>629</v>
      </c>
      <c r="BU257" s="27">
        <v>0</v>
      </c>
      <c r="BV257" s="30" t="s">
        <v>952</v>
      </c>
      <c r="BW257" s="28"/>
      <c r="BX257" s="28"/>
      <c r="BY257" s="19"/>
      <c r="BZ257" s="19"/>
      <c r="CA257" s="19"/>
      <c r="CB257" s="19"/>
      <c r="CC257" s="19"/>
      <c r="CD257" s="19"/>
      <c r="CE257" s="19"/>
      <c r="CF257" s="19"/>
      <c r="CG257" s="19"/>
      <c r="CH257" s="19"/>
      <c r="CI257" s="19"/>
      <c r="CJ257" s="19"/>
      <c r="CK257" s="19"/>
      <c r="CL257" s="19"/>
      <c r="CM257" s="19"/>
      <c r="CN257" s="19"/>
      <c r="CO257" s="19"/>
      <c r="CP257" s="19"/>
      <c r="CQ257" s="19"/>
      <c r="CR257" s="19"/>
      <c r="CS257" s="19"/>
      <c r="CT257" s="19"/>
      <c r="CU257" s="19"/>
      <c r="CV257" s="19"/>
      <c r="CW257" s="19"/>
      <c r="CX257" s="19"/>
      <c r="CY257" s="19"/>
      <c r="CZ257" s="19"/>
      <c r="DA257" s="19"/>
      <c r="DB257" s="19"/>
      <c r="DC257" s="19"/>
      <c r="DD257" s="19"/>
      <c r="DE257" s="19"/>
      <c r="DF257" s="19"/>
      <c r="DG257" s="19"/>
      <c r="DH257" s="19"/>
      <c r="DI257" s="19"/>
      <c r="DJ257" s="19"/>
      <c r="DK257" s="19"/>
      <c r="DL257" s="19"/>
      <c r="DM257" s="19"/>
      <c r="DN257" s="19"/>
      <c r="DO257" s="19"/>
      <c r="DP257" s="19"/>
      <c r="DQ257" s="19"/>
      <c r="DR257" s="19"/>
      <c r="DS257" s="19"/>
      <c r="DT257" s="19"/>
      <c r="DU257" s="19"/>
      <c r="DV257" s="19"/>
      <c r="DW257" s="19"/>
      <c r="DX257" s="19"/>
      <c r="DY257" s="19"/>
      <c r="DZ257" s="19"/>
      <c r="EA257" s="19"/>
      <c r="EB257" s="19"/>
      <c r="EC257" s="19"/>
      <c r="ED257" s="19"/>
      <c r="EE257" s="19"/>
      <c r="EF257" s="19"/>
      <c r="EG257" s="19"/>
      <c r="EH257" s="19"/>
      <c r="EI257" s="19"/>
      <c r="EJ257" s="19"/>
      <c r="EK257" s="19"/>
      <c r="EL257" s="19"/>
      <c r="EM257" s="19"/>
      <c r="EN257" s="19"/>
      <c r="EO257" s="19"/>
      <c r="EP257" s="19"/>
      <c r="EQ257" s="19"/>
      <c r="ER257" s="19"/>
      <c r="ES257" s="19"/>
      <c r="ET257" s="19"/>
      <c r="EU257" s="19"/>
      <c r="EV257" s="19"/>
      <c r="EW257" s="19"/>
      <c r="EX257" s="19"/>
      <c r="EY257" s="19"/>
      <c r="EZ257" s="19"/>
      <c r="FA257" s="19"/>
      <c r="FB257" s="19"/>
      <c r="FC257" s="19"/>
      <c r="FD257" s="19"/>
      <c r="FE257" s="19"/>
      <c r="FF257" s="19"/>
      <c r="FG257" s="19"/>
      <c r="FH257" s="19"/>
      <c r="FI257" s="19"/>
      <c r="FJ257" s="19"/>
      <c r="FK257" s="19"/>
      <c r="FL257" s="20" t="s">
        <v>953</v>
      </c>
      <c r="FM257" s="20" t="s">
        <v>412</v>
      </c>
      <c r="FN257" s="19"/>
      <c r="FO257" s="19"/>
      <c r="FP257" s="19"/>
      <c r="FQ257" s="19"/>
      <c r="FR257" s="19"/>
      <c r="FS257" s="19"/>
      <c r="FT257" s="19"/>
      <c r="FU257" s="19"/>
      <c r="FV257" s="19"/>
      <c r="FW257" s="19"/>
      <c r="FX257" s="19"/>
      <c r="FY257" s="19"/>
      <c r="FZ257" s="19"/>
      <c r="GA257" s="19"/>
      <c r="GB257" s="19"/>
      <c r="GC257" s="19"/>
      <c r="GD257" s="19"/>
      <c r="GE257" s="19"/>
      <c r="GF257" s="19"/>
      <c r="GG257" s="19"/>
      <c r="GH257" s="19"/>
      <c r="GI257" s="19"/>
      <c r="GJ257" s="19"/>
      <c r="GK257" s="19"/>
      <c r="GL257" s="19"/>
      <c r="GM257" s="19"/>
      <c r="GN257" s="19"/>
      <c r="GO257" s="19"/>
      <c r="GP257" s="19"/>
      <c r="GQ257" s="19"/>
      <c r="GR257" s="19"/>
      <c r="GS257" s="19"/>
      <c r="GT257" s="19"/>
      <c r="GU257" s="19"/>
      <c r="GV257" s="19"/>
      <c r="GW257" s="19"/>
      <c r="GX257" s="19"/>
      <c r="GY257" s="19"/>
      <c r="GZ257" s="19"/>
      <c r="HA257" s="19"/>
    </row>
    <row r="258" spans="1:209" ht="23.25" customHeight="1" x14ac:dyDescent="0.15">
      <c r="A258" s="26">
        <v>44659.798820972224</v>
      </c>
      <c r="B258" s="27" t="s">
        <v>6</v>
      </c>
      <c r="C258" s="27" t="s">
        <v>17</v>
      </c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  <c r="AX258" s="28"/>
      <c r="AY258" s="28"/>
      <c r="AZ258" s="28"/>
      <c r="BA258" s="28"/>
      <c r="BB258" s="28"/>
      <c r="BC258" s="28"/>
      <c r="BD258" s="28"/>
      <c r="BE258" s="28"/>
      <c r="BF258" s="28"/>
      <c r="BG258" s="28"/>
      <c r="BH258" s="28"/>
      <c r="BI258" s="28"/>
      <c r="BJ258" s="28"/>
      <c r="BK258" s="28"/>
      <c r="BL258" s="28"/>
      <c r="BM258" s="28"/>
      <c r="BN258" s="28"/>
      <c r="BO258" s="28"/>
      <c r="BP258" s="28"/>
      <c r="BQ258" s="28"/>
      <c r="BR258" s="28"/>
      <c r="BS258" s="28"/>
      <c r="BT258" s="28"/>
      <c r="BU258" s="28"/>
      <c r="BV258" s="28"/>
      <c r="BW258" s="28"/>
      <c r="BX258" s="28"/>
      <c r="BY258" s="19"/>
      <c r="BZ258" s="19"/>
      <c r="CA258" s="19"/>
      <c r="CB258" s="19"/>
      <c r="CC258" s="19"/>
      <c r="CD258" s="19"/>
      <c r="CE258" s="19"/>
      <c r="CF258" s="19"/>
      <c r="CG258" s="19"/>
      <c r="CH258" s="19"/>
      <c r="CI258" s="19"/>
      <c r="CJ258" s="19"/>
      <c r="CK258" s="19"/>
      <c r="CL258" s="19"/>
      <c r="CM258" s="19"/>
      <c r="CN258" s="19"/>
      <c r="CO258" s="19"/>
      <c r="CP258" s="19"/>
      <c r="CQ258" s="19"/>
      <c r="CR258" s="19"/>
      <c r="CS258" s="19"/>
      <c r="CT258" s="19"/>
      <c r="CU258" s="19"/>
      <c r="CV258" s="19"/>
      <c r="CW258" s="19"/>
      <c r="CX258" s="19"/>
      <c r="CY258" s="19"/>
      <c r="CZ258" s="19"/>
      <c r="DA258" s="19"/>
      <c r="DB258" s="19"/>
      <c r="DC258" s="19"/>
      <c r="DD258" s="19"/>
      <c r="DE258" s="19"/>
      <c r="DF258" s="19"/>
      <c r="DG258" s="19"/>
      <c r="DH258" s="19"/>
      <c r="DI258" s="19"/>
      <c r="DJ258" s="19"/>
      <c r="DK258" s="19"/>
      <c r="DL258" s="19"/>
      <c r="DM258" s="19"/>
      <c r="DN258" s="19"/>
      <c r="DO258" s="19"/>
      <c r="DP258" s="19"/>
      <c r="DQ258" s="19"/>
      <c r="DR258" s="19"/>
      <c r="DS258" s="19"/>
      <c r="DT258" s="19"/>
      <c r="DU258" s="19"/>
      <c r="DV258" s="19"/>
      <c r="DW258" s="19"/>
      <c r="DX258" s="20" t="s">
        <v>954</v>
      </c>
      <c r="DY258" s="20" t="s">
        <v>955</v>
      </c>
      <c r="DZ258" s="20" t="s">
        <v>154</v>
      </c>
      <c r="EA258" s="20" t="s">
        <v>956</v>
      </c>
      <c r="EB258" s="21">
        <v>43979</v>
      </c>
      <c r="EC258" s="20" t="s">
        <v>957</v>
      </c>
      <c r="ED258" s="22" t="s">
        <v>958</v>
      </c>
      <c r="EE258" s="19"/>
      <c r="EF258" s="19"/>
      <c r="EG258" s="19"/>
      <c r="EH258" s="19"/>
      <c r="EI258" s="19"/>
      <c r="EJ258" s="19"/>
      <c r="EK258" s="19"/>
      <c r="EL258" s="19"/>
      <c r="EM258" s="19"/>
      <c r="EN258" s="19"/>
      <c r="EO258" s="19"/>
      <c r="EP258" s="19"/>
      <c r="EQ258" s="19"/>
      <c r="ER258" s="19"/>
      <c r="ES258" s="19"/>
      <c r="ET258" s="19"/>
      <c r="EU258" s="19"/>
      <c r="EV258" s="19"/>
      <c r="EW258" s="19"/>
      <c r="EX258" s="19"/>
      <c r="EY258" s="19"/>
      <c r="EZ258" s="19"/>
      <c r="FA258" s="19"/>
      <c r="FB258" s="19"/>
      <c r="FC258" s="19"/>
      <c r="FD258" s="19"/>
      <c r="FE258" s="19"/>
      <c r="FF258" s="19"/>
      <c r="FG258" s="19"/>
      <c r="FH258" s="19"/>
      <c r="FI258" s="19"/>
      <c r="FJ258" s="19"/>
      <c r="FK258" s="19"/>
      <c r="FL258" s="20" t="s">
        <v>959</v>
      </c>
      <c r="FM258" s="20" t="s">
        <v>255</v>
      </c>
      <c r="FN258" s="19"/>
      <c r="FO258" s="19"/>
      <c r="FP258" s="19"/>
      <c r="FQ258" s="19"/>
      <c r="FR258" s="19"/>
      <c r="FS258" s="19"/>
      <c r="FT258" s="19"/>
      <c r="FU258" s="19"/>
      <c r="FV258" s="19"/>
      <c r="FW258" s="19"/>
      <c r="FX258" s="19"/>
      <c r="FY258" s="19"/>
      <c r="FZ258" s="19"/>
      <c r="GA258" s="19"/>
      <c r="GB258" s="19"/>
      <c r="GC258" s="19"/>
      <c r="GD258" s="19"/>
      <c r="GE258" s="19"/>
      <c r="GF258" s="19"/>
      <c r="GG258" s="19"/>
      <c r="GH258" s="19"/>
      <c r="GI258" s="19"/>
      <c r="GJ258" s="19"/>
      <c r="GK258" s="19"/>
      <c r="GL258" s="19"/>
      <c r="GM258" s="19"/>
      <c r="GN258" s="19"/>
      <c r="GO258" s="19"/>
      <c r="GP258" s="19"/>
      <c r="GQ258" s="19"/>
      <c r="GR258" s="19"/>
      <c r="GS258" s="19"/>
      <c r="GT258" s="19"/>
      <c r="GU258" s="19"/>
      <c r="GV258" s="19"/>
      <c r="GW258" s="19"/>
      <c r="GX258" s="19"/>
      <c r="GY258" s="19"/>
      <c r="GZ258" s="19"/>
      <c r="HA258" s="19"/>
    </row>
    <row r="259" spans="1:209" ht="23.25" customHeight="1" x14ac:dyDescent="0.15">
      <c r="A259" s="26">
        <v>44659.799029502319</v>
      </c>
      <c r="B259" s="27" t="s">
        <v>6</v>
      </c>
      <c r="C259" s="27" t="s">
        <v>11</v>
      </c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  <c r="AX259" s="27" t="s">
        <v>960</v>
      </c>
      <c r="AY259" s="27" t="s">
        <v>961</v>
      </c>
      <c r="AZ259" s="27" t="s">
        <v>345</v>
      </c>
      <c r="BA259" s="27" t="s">
        <v>335</v>
      </c>
      <c r="BB259" s="27" t="s">
        <v>879</v>
      </c>
      <c r="BC259" s="29">
        <v>44362</v>
      </c>
      <c r="BD259" s="29">
        <v>44408</v>
      </c>
      <c r="BE259" s="29">
        <v>44386</v>
      </c>
      <c r="BF259" s="27">
        <v>80</v>
      </c>
      <c r="BG259" s="27" t="s">
        <v>556</v>
      </c>
      <c r="BH259" s="30" t="s">
        <v>962</v>
      </c>
      <c r="BI259" s="28"/>
      <c r="BJ259" s="28"/>
      <c r="BK259" s="28"/>
      <c r="BL259" s="28"/>
      <c r="BM259" s="28"/>
      <c r="BN259" s="28"/>
      <c r="BO259" s="28"/>
      <c r="BP259" s="28"/>
      <c r="BQ259" s="28"/>
      <c r="BR259" s="28"/>
      <c r="BS259" s="28"/>
      <c r="BT259" s="28"/>
      <c r="BU259" s="28"/>
      <c r="BV259" s="28"/>
      <c r="BW259" s="28"/>
      <c r="BX259" s="28"/>
      <c r="BY259" s="19"/>
      <c r="BZ259" s="19"/>
      <c r="CA259" s="19"/>
      <c r="CB259" s="19"/>
      <c r="CC259" s="19"/>
      <c r="CD259" s="19"/>
      <c r="CE259" s="19"/>
      <c r="CF259" s="19"/>
      <c r="CG259" s="19"/>
      <c r="CH259" s="19"/>
      <c r="CI259" s="19"/>
      <c r="CJ259" s="19"/>
      <c r="CK259" s="19"/>
      <c r="CL259" s="19"/>
      <c r="CM259" s="19"/>
      <c r="CN259" s="19"/>
      <c r="CO259" s="19"/>
      <c r="CP259" s="19"/>
      <c r="CQ259" s="19"/>
      <c r="CR259" s="19"/>
      <c r="CS259" s="19"/>
      <c r="CT259" s="19"/>
      <c r="CU259" s="19"/>
      <c r="CV259" s="19"/>
      <c r="CW259" s="19"/>
      <c r="CX259" s="19"/>
      <c r="CY259" s="19"/>
      <c r="CZ259" s="19"/>
      <c r="DA259" s="19"/>
      <c r="DB259" s="19"/>
      <c r="DC259" s="19"/>
      <c r="DD259" s="19"/>
      <c r="DE259" s="19"/>
      <c r="DF259" s="19"/>
      <c r="DG259" s="19"/>
      <c r="DH259" s="19"/>
      <c r="DI259" s="19"/>
      <c r="DJ259" s="19"/>
      <c r="DK259" s="19"/>
      <c r="DL259" s="19"/>
      <c r="DM259" s="19"/>
      <c r="DN259" s="19"/>
      <c r="DO259" s="19"/>
      <c r="DP259" s="19"/>
      <c r="DQ259" s="19"/>
      <c r="DR259" s="19"/>
      <c r="DS259" s="19"/>
      <c r="DT259" s="19"/>
      <c r="DU259" s="19"/>
      <c r="DV259" s="19"/>
      <c r="DW259" s="19"/>
      <c r="DX259" s="19"/>
      <c r="DY259" s="19"/>
      <c r="DZ259" s="19"/>
      <c r="EA259" s="19"/>
      <c r="EB259" s="19"/>
      <c r="EC259" s="19"/>
      <c r="ED259" s="19"/>
      <c r="EE259" s="19"/>
      <c r="EF259" s="19"/>
      <c r="EG259" s="19"/>
      <c r="EH259" s="19"/>
      <c r="EI259" s="19"/>
      <c r="EJ259" s="19"/>
      <c r="EK259" s="19"/>
      <c r="EL259" s="19"/>
      <c r="EM259" s="19"/>
      <c r="EN259" s="19"/>
      <c r="EO259" s="19"/>
      <c r="EP259" s="19"/>
      <c r="EQ259" s="19"/>
      <c r="ER259" s="19"/>
      <c r="ES259" s="19"/>
      <c r="ET259" s="19"/>
      <c r="EU259" s="19"/>
      <c r="EV259" s="19"/>
      <c r="EW259" s="19"/>
      <c r="EX259" s="19"/>
      <c r="EY259" s="19"/>
      <c r="EZ259" s="19"/>
      <c r="FA259" s="19"/>
      <c r="FB259" s="19"/>
      <c r="FC259" s="19"/>
      <c r="FD259" s="19"/>
      <c r="FE259" s="19"/>
      <c r="FF259" s="19"/>
      <c r="FG259" s="19"/>
      <c r="FH259" s="19"/>
      <c r="FI259" s="19"/>
      <c r="FJ259" s="19"/>
      <c r="FK259" s="19"/>
      <c r="FL259" s="20" t="s">
        <v>963</v>
      </c>
      <c r="FM259" s="20" t="s">
        <v>255</v>
      </c>
      <c r="FN259" s="19"/>
      <c r="FO259" s="19"/>
      <c r="FP259" s="19"/>
      <c r="FQ259" s="19"/>
      <c r="FR259" s="19"/>
      <c r="FS259" s="19"/>
      <c r="FT259" s="19"/>
      <c r="FU259" s="19"/>
      <c r="FV259" s="19"/>
      <c r="FW259" s="19"/>
      <c r="FX259" s="19"/>
      <c r="FY259" s="19"/>
      <c r="FZ259" s="19"/>
      <c r="GA259" s="19"/>
      <c r="GB259" s="19"/>
      <c r="GC259" s="19"/>
      <c r="GD259" s="19"/>
      <c r="GE259" s="19"/>
      <c r="GF259" s="19"/>
      <c r="GG259" s="19"/>
      <c r="GH259" s="19"/>
      <c r="GI259" s="19"/>
      <c r="GJ259" s="19"/>
      <c r="GK259" s="19"/>
      <c r="GL259" s="19"/>
      <c r="GM259" s="19"/>
      <c r="GN259" s="19"/>
      <c r="GO259" s="19"/>
      <c r="GP259" s="19"/>
      <c r="GQ259" s="19"/>
      <c r="GR259" s="19"/>
      <c r="GS259" s="19"/>
      <c r="GT259" s="19"/>
      <c r="GU259" s="19"/>
      <c r="GV259" s="19"/>
      <c r="GW259" s="19"/>
      <c r="GX259" s="19"/>
      <c r="GY259" s="19"/>
      <c r="GZ259" s="19"/>
      <c r="HA259" s="19"/>
    </row>
    <row r="260" spans="1:209" ht="23.25" customHeight="1" x14ac:dyDescent="0.15">
      <c r="A260" s="26">
        <v>44659.801058449069</v>
      </c>
      <c r="B260" s="27" t="s">
        <v>6</v>
      </c>
      <c r="C260" s="27" t="s">
        <v>11</v>
      </c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  <c r="AX260" s="27" t="s">
        <v>960</v>
      </c>
      <c r="AY260" s="27" t="s">
        <v>961</v>
      </c>
      <c r="AZ260" s="27" t="s">
        <v>354</v>
      </c>
      <c r="BA260" s="27" t="s">
        <v>335</v>
      </c>
      <c r="BB260" s="27" t="s">
        <v>879</v>
      </c>
      <c r="BC260" s="29">
        <v>44362</v>
      </c>
      <c r="BD260" s="29">
        <v>44408</v>
      </c>
      <c r="BE260" s="29">
        <v>44385</v>
      </c>
      <c r="BF260" s="27">
        <v>80</v>
      </c>
      <c r="BG260" s="27" t="s">
        <v>556</v>
      </c>
      <c r="BH260" s="30" t="s">
        <v>964</v>
      </c>
      <c r="BI260" s="28"/>
      <c r="BJ260" s="28"/>
      <c r="BK260" s="28"/>
      <c r="BL260" s="28"/>
      <c r="BM260" s="28"/>
      <c r="BN260" s="28"/>
      <c r="BO260" s="28"/>
      <c r="BP260" s="28"/>
      <c r="BQ260" s="28"/>
      <c r="BR260" s="28"/>
      <c r="BS260" s="28"/>
      <c r="BT260" s="28"/>
      <c r="BU260" s="28"/>
      <c r="BV260" s="28"/>
      <c r="BW260" s="28"/>
      <c r="BX260" s="28"/>
      <c r="BY260" s="19"/>
      <c r="BZ260" s="19"/>
      <c r="CA260" s="19"/>
      <c r="CB260" s="19"/>
      <c r="CC260" s="19"/>
      <c r="CD260" s="19"/>
      <c r="CE260" s="19"/>
      <c r="CF260" s="19"/>
      <c r="CG260" s="19"/>
      <c r="CH260" s="19"/>
      <c r="CI260" s="19"/>
      <c r="CJ260" s="19"/>
      <c r="CK260" s="19"/>
      <c r="CL260" s="19"/>
      <c r="CM260" s="19"/>
      <c r="CN260" s="19"/>
      <c r="CO260" s="19"/>
      <c r="CP260" s="19"/>
      <c r="CQ260" s="19"/>
      <c r="CR260" s="19"/>
      <c r="CS260" s="19"/>
      <c r="CT260" s="19"/>
      <c r="CU260" s="19"/>
      <c r="CV260" s="19"/>
      <c r="CW260" s="19"/>
      <c r="CX260" s="19"/>
      <c r="CY260" s="19"/>
      <c r="CZ260" s="19"/>
      <c r="DA260" s="19"/>
      <c r="DB260" s="19"/>
      <c r="DC260" s="19"/>
      <c r="DD260" s="19"/>
      <c r="DE260" s="19"/>
      <c r="DF260" s="19"/>
      <c r="DG260" s="19"/>
      <c r="DH260" s="19"/>
      <c r="DI260" s="19"/>
      <c r="DJ260" s="19"/>
      <c r="DK260" s="19"/>
      <c r="DL260" s="19"/>
      <c r="DM260" s="19"/>
      <c r="DN260" s="19"/>
      <c r="DO260" s="19"/>
      <c r="DP260" s="19"/>
      <c r="DQ260" s="19"/>
      <c r="DR260" s="19"/>
      <c r="DS260" s="19"/>
      <c r="DT260" s="19"/>
      <c r="DU260" s="19"/>
      <c r="DV260" s="19"/>
      <c r="DW260" s="19"/>
      <c r="DX260" s="19"/>
      <c r="DY260" s="19"/>
      <c r="DZ260" s="19"/>
      <c r="EA260" s="19"/>
      <c r="EB260" s="19"/>
      <c r="EC260" s="19"/>
      <c r="ED260" s="19"/>
      <c r="EE260" s="19"/>
      <c r="EF260" s="19"/>
      <c r="EG260" s="19"/>
      <c r="EH260" s="19"/>
      <c r="EI260" s="19"/>
      <c r="EJ260" s="19"/>
      <c r="EK260" s="19"/>
      <c r="EL260" s="19"/>
      <c r="EM260" s="19"/>
      <c r="EN260" s="19"/>
      <c r="EO260" s="19"/>
      <c r="EP260" s="19"/>
      <c r="EQ260" s="19"/>
      <c r="ER260" s="19"/>
      <c r="ES260" s="19"/>
      <c r="ET260" s="19"/>
      <c r="EU260" s="19"/>
      <c r="EV260" s="19"/>
      <c r="EW260" s="19"/>
      <c r="EX260" s="19"/>
      <c r="EY260" s="19"/>
      <c r="EZ260" s="19"/>
      <c r="FA260" s="19"/>
      <c r="FB260" s="19"/>
      <c r="FC260" s="19"/>
      <c r="FD260" s="19"/>
      <c r="FE260" s="19"/>
      <c r="FF260" s="19"/>
      <c r="FG260" s="19"/>
      <c r="FH260" s="19"/>
      <c r="FI260" s="19"/>
      <c r="FJ260" s="19"/>
      <c r="FK260" s="19"/>
      <c r="FL260" s="20" t="s">
        <v>963</v>
      </c>
      <c r="FM260" s="20" t="s">
        <v>255</v>
      </c>
      <c r="FN260" s="19"/>
      <c r="FO260" s="19"/>
      <c r="FP260" s="19"/>
      <c r="FQ260" s="19"/>
      <c r="FR260" s="19"/>
      <c r="FS260" s="19"/>
      <c r="FT260" s="19"/>
      <c r="FU260" s="19"/>
      <c r="FV260" s="19"/>
      <c r="FW260" s="19"/>
      <c r="FX260" s="19"/>
      <c r="FY260" s="19"/>
      <c r="FZ260" s="19"/>
      <c r="GA260" s="19"/>
      <c r="GB260" s="19"/>
      <c r="GC260" s="19"/>
      <c r="GD260" s="19"/>
      <c r="GE260" s="19"/>
      <c r="GF260" s="19"/>
      <c r="GG260" s="19"/>
      <c r="GH260" s="19"/>
      <c r="GI260" s="19"/>
      <c r="GJ260" s="19"/>
      <c r="GK260" s="19"/>
      <c r="GL260" s="19"/>
      <c r="GM260" s="19"/>
      <c r="GN260" s="19"/>
      <c r="GO260" s="19"/>
      <c r="GP260" s="19"/>
      <c r="GQ260" s="19"/>
      <c r="GR260" s="19"/>
      <c r="GS260" s="19"/>
      <c r="GT260" s="19"/>
      <c r="GU260" s="19"/>
      <c r="GV260" s="19"/>
      <c r="GW260" s="19"/>
      <c r="GX260" s="19"/>
      <c r="GY260" s="19"/>
      <c r="GZ260" s="19"/>
      <c r="HA260" s="19"/>
    </row>
    <row r="261" spans="1:209" ht="23.25" customHeight="1" x14ac:dyDescent="0.15">
      <c r="A261" s="26">
        <v>44659.802696967592</v>
      </c>
      <c r="B261" s="27" t="s">
        <v>6</v>
      </c>
      <c r="C261" s="27" t="s">
        <v>11</v>
      </c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  <c r="AX261" s="27" t="s">
        <v>960</v>
      </c>
      <c r="AY261" s="27" t="s">
        <v>961</v>
      </c>
      <c r="AZ261" s="27" t="s">
        <v>500</v>
      </c>
      <c r="BA261" s="27" t="s">
        <v>335</v>
      </c>
      <c r="BB261" s="27" t="s">
        <v>879</v>
      </c>
      <c r="BC261" s="29">
        <v>44311</v>
      </c>
      <c r="BD261" s="29">
        <v>44347</v>
      </c>
      <c r="BE261" s="29">
        <v>44336</v>
      </c>
      <c r="BF261" s="27">
        <v>80</v>
      </c>
      <c r="BG261" s="27" t="s">
        <v>556</v>
      </c>
      <c r="BH261" s="30" t="s">
        <v>965</v>
      </c>
      <c r="BI261" s="28"/>
      <c r="BJ261" s="28"/>
      <c r="BK261" s="28"/>
      <c r="BL261" s="28"/>
      <c r="BM261" s="28"/>
      <c r="BN261" s="28"/>
      <c r="BO261" s="28"/>
      <c r="BP261" s="28"/>
      <c r="BQ261" s="28"/>
      <c r="BR261" s="28"/>
      <c r="BS261" s="28"/>
      <c r="BT261" s="28"/>
      <c r="BU261" s="28"/>
      <c r="BV261" s="28"/>
      <c r="BW261" s="28"/>
      <c r="BX261" s="28"/>
      <c r="BY261" s="19"/>
      <c r="BZ261" s="19"/>
      <c r="CA261" s="19"/>
      <c r="CB261" s="19"/>
      <c r="CC261" s="19"/>
      <c r="CD261" s="19"/>
      <c r="CE261" s="19"/>
      <c r="CF261" s="19"/>
      <c r="CG261" s="19"/>
      <c r="CH261" s="19"/>
      <c r="CI261" s="19"/>
      <c r="CJ261" s="19"/>
      <c r="CK261" s="19"/>
      <c r="CL261" s="19"/>
      <c r="CM261" s="19"/>
      <c r="CN261" s="19"/>
      <c r="CO261" s="19"/>
      <c r="CP261" s="19"/>
      <c r="CQ261" s="19"/>
      <c r="CR261" s="19"/>
      <c r="CS261" s="19"/>
      <c r="CT261" s="19"/>
      <c r="CU261" s="19"/>
      <c r="CV261" s="19"/>
      <c r="CW261" s="19"/>
      <c r="CX261" s="19"/>
      <c r="CY261" s="19"/>
      <c r="CZ261" s="19"/>
      <c r="DA261" s="19"/>
      <c r="DB261" s="19"/>
      <c r="DC261" s="19"/>
      <c r="DD261" s="19"/>
      <c r="DE261" s="19"/>
      <c r="DF261" s="19"/>
      <c r="DG261" s="19"/>
      <c r="DH261" s="19"/>
      <c r="DI261" s="19"/>
      <c r="DJ261" s="19"/>
      <c r="DK261" s="19"/>
      <c r="DL261" s="19"/>
      <c r="DM261" s="19"/>
      <c r="DN261" s="19"/>
      <c r="DO261" s="19"/>
      <c r="DP261" s="19"/>
      <c r="DQ261" s="19"/>
      <c r="DR261" s="19"/>
      <c r="DS261" s="19"/>
      <c r="DT261" s="19"/>
      <c r="DU261" s="19"/>
      <c r="DV261" s="19"/>
      <c r="DW261" s="19"/>
      <c r="DX261" s="19"/>
      <c r="DY261" s="19"/>
      <c r="DZ261" s="19"/>
      <c r="EA261" s="19"/>
      <c r="EB261" s="19"/>
      <c r="EC261" s="19"/>
      <c r="ED261" s="19"/>
      <c r="EE261" s="19"/>
      <c r="EF261" s="19"/>
      <c r="EG261" s="19"/>
      <c r="EH261" s="19"/>
      <c r="EI261" s="19"/>
      <c r="EJ261" s="19"/>
      <c r="EK261" s="19"/>
      <c r="EL261" s="19"/>
      <c r="EM261" s="19"/>
      <c r="EN261" s="19"/>
      <c r="EO261" s="19"/>
      <c r="EP261" s="19"/>
      <c r="EQ261" s="19"/>
      <c r="ER261" s="19"/>
      <c r="ES261" s="19"/>
      <c r="ET261" s="19"/>
      <c r="EU261" s="19"/>
      <c r="EV261" s="19"/>
      <c r="EW261" s="19"/>
      <c r="EX261" s="19"/>
      <c r="EY261" s="19"/>
      <c r="EZ261" s="19"/>
      <c r="FA261" s="19"/>
      <c r="FB261" s="19"/>
      <c r="FC261" s="19"/>
      <c r="FD261" s="19"/>
      <c r="FE261" s="19"/>
      <c r="FF261" s="19"/>
      <c r="FG261" s="19"/>
      <c r="FH261" s="19"/>
      <c r="FI261" s="19"/>
      <c r="FJ261" s="19"/>
      <c r="FK261" s="19"/>
      <c r="FL261" s="20" t="s">
        <v>963</v>
      </c>
      <c r="FM261" s="20" t="s">
        <v>255</v>
      </c>
      <c r="FN261" s="19"/>
      <c r="FO261" s="19"/>
      <c r="FP261" s="19"/>
      <c r="FQ261" s="19"/>
      <c r="FR261" s="19"/>
      <c r="FS261" s="19"/>
      <c r="FT261" s="19"/>
      <c r="FU261" s="19"/>
      <c r="FV261" s="19"/>
      <c r="FW261" s="19"/>
      <c r="FX261" s="19"/>
      <c r="FY261" s="19"/>
      <c r="FZ261" s="19"/>
      <c r="GA261" s="19"/>
      <c r="GB261" s="19"/>
      <c r="GC261" s="19"/>
      <c r="GD261" s="19"/>
      <c r="GE261" s="19"/>
      <c r="GF261" s="19"/>
      <c r="GG261" s="19"/>
      <c r="GH261" s="19"/>
      <c r="GI261" s="19"/>
      <c r="GJ261" s="19"/>
      <c r="GK261" s="19"/>
      <c r="GL261" s="19"/>
      <c r="GM261" s="19"/>
      <c r="GN261" s="19"/>
      <c r="GO261" s="19"/>
      <c r="GP261" s="19"/>
      <c r="GQ261" s="19"/>
      <c r="GR261" s="19"/>
      <c r="GS261" s="19"/>
      <c r="GT261" s="19"/>
      <c r="GU261" s="19"/>
      <c r="GV261" s="19"/>
      <c r="GW261" s="19"/>
      <c r="GX261" s="19"/>
      <c r="GY261" s="19"/>
      <c r="GZ261" s="19"/>
      <c r="HA261" s="19"/>
    </row>
    <row r="262" spans="1:209" ht="23.25" customHeight="1" x14ac:dyDescent="0.15">
      <c r="A262" s="26">
        <v>44659.804430277778</v>
      </c>
      <c r="B262" s="27" t="s">
        <v>9</v>
      </c>
      <c r="C262" s="27" t="s">
        <v>12</v>
      </c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  <c r="AX262" s="28"/>
      <c r="AY262" s="28"/>
      <c r="AZ262" s="28"/>
      <c r="BA262" s="28"/>
      <c r="BB262" s="28"/>
      <c r="BC262" s="28"/>
      <c r="BD262" s="28"/>
      <c r="BE262" s="28"/>
      <c r="BF262" s="28"/>
      <c r="BG262" s="28"/>
      <c r="BH262" s="28"/>
      <c r="BI262" s="27" t="s">
        <v>966</v>
      </c>
      <c r="BJ262" s="27" t="s">
        <v>967</v>
      </c>
      <c r="BK262" s="27" t="s">
        <v>311</v>
      </c>
      <c r="BL262" s="27" t="s">
        <v>167</v>
      </c>
      <c r="BM262" s="27" t="s">
        <v>943</v>
      </c>
      <c r="BN262" s="27">
        <v>6</v>
      </c>
      <c r="BO262" s="29">
        <v>44627</v>
      </c>
      <c r="BP262" s="29">
        <v>44632</v>
      </c>
      <c r="BQ262" s="27" t="s">
        <v>944</v>
      </c>
      <c r="BR262" s="27" t="s">
        <v>945</v>
      </c>
      <c r="BS262" s="27" t="s">
        <v>171</v>
      </c>
      <c r="BT262" s="27" t="s">
        <v>629</v>
      </c>
      <c r="BU262" s="27">
        <v>0</v>
      </c>
      <c r="BV262" s="30" t="s">
        <v>968</v>
      </c>
      <c r="BW262" s="28"/>
      <c r="BX262" s="28"/>
      <c r="BY262" s="19"/>
      <c r="BZ262" s="19"/>
      <c r="CA262" s="19"/>
      <c r="CB262" s="19"/>
      <c r="CC262" s="19"/>
      <c r="CD262" s="19"/>
      <c r="CE262" s="19"/>
      <c r="CF262" s="19"/>
      <c r="CG262" s="19"/>
      <c r="CH262" s="19"/>
      <c r="CI262" s="19"/>
      <c r="CJ262" s="19"/>
      <c r="CK262" s="19"/>
      <c r="CL262" s="19"/>
      <c r="CM262" s="19"/>
      <c r="CN262" s="19"/>
      <c r="CO262" s="19"/>
      <c r="CP262" s="19"/>
      <c r="CQ262" s="19"/>
      <c r="CR262" s="19"/>
      <c r="CS262" s="19"/>
      <c r="CT262" s="19"/>
      <c r="CU262" s="19"/>
      <c r="CV262" s="19"/>
      <c r="CW262" s="19"/>
      <c r="CX262" s="19"/>
      <c r="CY262" s="19"/>
      <c r="CZ262" s="19"/>
      <c r="DA262" s="19"/>
      <c r="DB262" s="19"/>
      <c r="DC262" s="19"/>
      <c r="DD262" s="19"/>
      <c r="DE262" s="19"/>
      <c r="DF262" s="19"/>
      <c r="DG262" s="19"/>
      <c r="DH262" s="19"/>
      <c r="DI262" s="19"/>
      <c r="DJ262" s="19"/>
      <c r="DK262" s="19"/>
      <c r="DL262" s="19"/>
      <c r="DM262" s="19"/>
      <c r="DN262" s="19"/>
      <c r="DO262" s="19"/>
      <c r="DP262" s="19"/>
      <c r="DQ262" s="19"/>
      <c r="DR262" s="19"/>
      <c r="DS262" s="19"/>
      <c r="DT262" s="19"/>
      <c r="DU262" s="19"/>
      <c r="DV262" s="19"/>
      <c r="DW262" s="19"/>
      <c r="DX262" s="19"/>
      <c r="DY262" s="19"/>
      <c r="DZ262" s="19"/>
      <c r="EA262" s="19"/>
      <c r="EB262" s="19"/>
      <c r="EC262" s="19"/>
      <c r="ED262" s="19"/>
      <c r="EE262" s="19"/>
      <c r="EF262" s="19"/>
      <c r="EG262" s="19"/>
      <c r="EH262" s="19"/>
      <c r="EI262" s="19"/>
      <c r="EJ262" s="19"/>
      <c r="EK262" s="19"/>
      <c r="EL262" s="19"/>
      <c r="EM262" s="19"/>
      <c r="EN262" s="19"/>
      <c r="EO262" s="19"/>
      <c r="EP262" s="19"/>
      <c r="EQ262" s="19"/>
      <c r="ER262" s="19"/>
      <c r="ES262" s="19"/>
      <c r="ET262" s="19"/>
      <c r="EU262" s="19"/>
      <c r="EV262" s="19"/>
      <c r="EW262" s="19"/>
      <c r="EX262" s="19"/>
      <c r="EY262" s="19"/>
      <c r="EZ262" s="19"/>
      <c r="FA262" s="19"/>
      <c r="FB262" s="19"/>
      <c r="FC262" s="19"/>
      <c r="FD262" s="19"/>
      <c r="FE262" s="19"/>
      <c r="FF262" s="19"/>
      <c r="FG262" s="19"/>
      <c r="FH262" s="19"/>
      <c r="FI262" s="19"/>
      <c r="FJ262" s="19"/>
      <c r="FK262" s="19"/>
      <c r="FL262" s="20" t="s">
        <v>969</v>
      </c>
      <c r="FM262" s="20" t="s">
        <v>412</v>
      </c>
      <c r="FN262" s="19"/>
      <c r="FO262" s="19"/>
      <c r="FP262" s="19"/>
      <c r="FQ262" s="19"/>
      <c r="FR262" s="19"/>
      <c r="FS262" s="19"/>
      <c r="FT262" s="19"/>
      <c r="FU262" s="19"/>
      <c r="FV262" s="19"/>
      <c r="FW262" s="19"/>
      <c r="FX262" s="19"/>
      <c r="FY262" s="19"/>
      <c r="FZ262" s="19"/>
      <c r="GA262" s="19"/>
      <c r="GB262" s="19"/>
      <c r="GC262" s="19"/>
      <c r="GD262" s="19"/>
      <c r="GE262" s="19"/>
      <c r="GF262" s="19"/>
      <c r="GG262" s="19"/>
      <c r="GH262" s="19"/>
      <c r="GI262" s="19"/>
      <c r="GJ262" s="19"/>
      <c r="GK262" s="19"/>
      <c r="GL262" s="19"/>
      <c r="GM262" s="19"/>
      <c r="GN262" s="19"/>
      <c r="GO262" s="19"/>
      <c r="GP262" s="19"/>
      <c r="GQ262" s="19"/>
      <c r="GR262" s="19"/>
      <c r="GS262" s="19"/>
      <c r="GT262" s="19"/>
      <c r="GU262" s="19"/>
      <c r="GV262" s="19"/>
      <c r="GW262" s="19"/>
      <c r="GX262" s="19"/>
      <c r="GY262" s="19"/>
      <c r="GZ262" s="19"/>
      <c r="HA262" s="19"/>
    </row>
    <row r="263" spans="1:209" ht="23.25" customHeight="1" x14ac:dyDescent="0.15">
      <c r="A263" s="26">
        <v>44659.804813541668</v>
      </c>
      <c r="B263" s="27" t="s">
        <v>6</v>
      </c>
      <c r="C263" s="27" t="s">
        <v>11</v>
      </c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  <c r="AX263" s="27" t="s">
        <v>960</v>
      </c>
      <c r="AY263" s="27" t="s">
        <v>961</v>
      </c>
      <c r="AZ263" s="27" t="s">
        <v>568</v>
      </c>
      <c r="BA263" s="27" t="s">
        <v>335</v>
      </c>
      <c r="BB263" s="27" t="s">
        <v>970</v>
      </c>
      <c r="BC263" s="29">
        <v>43936</v>
      </c>
      <c r="BD263" s="29">
        <v>43982</v>
      </c>
      <c r="BE263" s="29">
        <v>43965</v>
      </c>
      <c r="BF263" s="27">
        <v>80</v>
      </c>
      <c r="BG263" s="27" t="s">
        <v>556</v>
      </c>
      <c r="BH263" s="30" t="s">
        <v>971</v>
      </c>
      <c r="BI263" s="28"/>
      <c r="BJ263" s="28"/>
      <c r="BK263" s="28"/>
      <c r="BL263" s="28"/>
      <c r="BM263" s="28"/>
      <c r="BN263" s="28"/>
      <c r="BO263" s="28"/>
      <c r="BP263" s="28"/>
      <c r="BQ263" s="28"/>
      <c r="BR263" s="28"/>
      <c r="BS263" s="28"/>
      <c r="BT263" s="28"/>
      <c r="BU263" s="28"/>
      <c r="BV263" s="28"/>
      <c r="BW263" s="28"/>
      <c r="BX263" s="28"/>
      <c r="BY263" s="19"/>
      <c r="BZ263" s="19"/>
      <c r="CA263" s="19"/>
      <c r="CB263" s="19"/>
      <c r="CC263" s="19"/>
      <c r="CD263" s="19"/>
      <c r="CE263" s="19"/>
      <c r="CF263" s="19"/>
      <c r="CG263" s="19"/>
      <c r="CH263" s="19"/>
      <c r="CI263" s="19"/>
      <c r="CJ263" s="19"/>
      <c r="CK263" s="19"/>
      <c r="CL263" s="19"/>
      <c r="CM263" s="19"/>
      <c r="CN263" s="19"/>
      <c r="CO263" s="19"/>
      <c r="CP263" s="19"/>
      <c r="CQ263" s="19"/>
      <c r="CR263" s="19"/>
      <c r="CS263" s="19"/>
      <c r="CT263" s="19"/>
      <c r="CU263" s="19"/>
      <c r="CV263" s="19"/>
      <c r="CW263" s="19"/>
      <c r="CX263" s="19"/>
      <c r="CY263" s="19"/>
      <c r="CZ263" s="19"/>
      <c r="DA263" s="19"/>
      <c r="DB263" s="19"/>
      <c r="DC263" s="19"/>
      <c r="DD263" s="19"/>
      <c r="DE263" s="19"/>
      <c r="DF263" s="19"/>
      <c r="DG263" s="19"/>
      <c r="DH263" s="19"/>
      <c r="DI263" s="19"/>
      <c r="DJ263" s="19"/>
      <c r="DK263" s="19"/>
      <c r="DL263" s="19"/>
      <c r="DM263" s="19"/>
      <c r="DN263" s="19"/>
      <c r="DO263" s="19"/>
      <c r="DP263" s="19"/>
      <c r="DQ263" s="19"/>
      <c r="DR263" s="19"/>
      <c r="DS263" s="19"/>
      <c r="DT263" s="19"/>
      <c r="DU263" s="19"/>
      <c r="DV263" s="19"/>
      <c r="DW263" s="19"/>
      <c r="DX263" s="19"/>
      <c r="DY263" s="19"/>
      <c r="DZ263" s="19"/>
      <c r="EA263" s="19"/>
      <c r="EB263" s="19"/>
      <c r="EC263" s="19"/>
      <c r="ED263" s="19"/>
      <c r="EE263" s="19"/>
      <c r="EF263" s="19"/>
      <c r="EG263" s="19"/>
      <c r="EH263" s="19"/>
      <c r="EI263" s="19"/>
      <c r="EJ263" s="19"/>
      <c r="EK263" s="19"/>
      <c r="EL263" s="19"/>
      <c r="EM263" s="19"/>
      <c r="EN263" s="19"/>
      <c r="EO263" s="19"/>
      <c r="EP263" s="19"/>
      <c r="EQ263" s="19"/>
      <c r="ER263" s="19"/>
      <c r="ES263" s="19"/>
      <c r="ET263" s="19"/>
      <c r="EU263" s="19"/>
      <c r="EV263" s="19"/>
      <c r="EW263" s="19"/>
      <c r="EX263" s="19"/>
      <c r="EY263" s="19"/>
      <c r="EZ263" s="19"/>
      <c r="FA263" s="19"/>
      <c r="FB263" s="19"/>
      <c r="FC263" s="19"/>
      <c r="FD263" s="19"/>
      <c r="FE263" s="19"/>
      <c r="FF263" s="19"/>
      <c r="FG263" s="19"/>
      <c r="FH263" s="19"/>
      <c r="FI263" s="19"/>
      <c r="FJ263" s="19"/>
      <c r="FK263" s="19"/>
      <c r="FL263" s="20" t="s">
        <v>963</v>
      </c>
      <c r="FM263" s="20" t="s">
        <v>255</v>
      </c>
      <c r="FN263" s="19"/>
      <c r="FO263" s="19"/>
      <c r="FP263" s="19"/>
      <c r="FQ263" s="19"/>
      <c r="FR263" s="19"/>
      <c r="FS263" s="19"/>
      <c r="FT263" s="19"/>
      <c r="FU263" s="19"/>
      <c r="FV263" s="19"/>
      <c r="FW263" s="19"/>
      <c r="FX263" s="19"/>
      <c r="FY263" s="19"/>
      <c r="FZ263" s="19"/>
      <c r="GA263" s="19"/>
      <c r="GB263" s="19"/>
      <c r="GC263" s="19"/>
      <c r="GD263" s="19"/>
      <c r="GE263" s="19"/>
      <c r="GF263" s="19"/>
      <c r="GG263" s="19"/>
      <c r="GH263" s="19"/>
      <c r="GI263" s="19"/>
      <c r="GJ263" s="19"/>
      <c r="GK263" s="19"/>
      <c r="GL263" s="19"/>
      <c r="GM263" s="19"/>
      <c r="GN263" s="19"/>
      <c r="GO263" s="19"/>
      <c r="GP263" s="19"/>
      <c r="GQ263" s="19"/>
      <c r="GR263" s="19"/>
      <c r="GS263" s="19"/>
      <c r="GT263" s="19"/>
      <c r="GU263" s="19"/>
      <c r="GV263" s="19"/>
      <c r="GW263" s="19"/>
      <c r="GX263" s="19"/>
      <c r="GY263" s="19"/>
      <c r="GZ263" s="19"/>
      <c r="HA263" s="19"/>
    </row>
    <row r="264" spans="1:209" ht="23.25" customHeight="1" x14ac:dyDescent="0.15">
      <c r="A264" s="26">
        <v>44659.806943136573</v>
      </c>
      <c r="B264" s="27" t="s">
        <v>6</v>
      </c>
      <c r="C264" s="27" t="s">
        <v>11</v>
      </c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  <c r="AX264" s="27" t="s">
        <v>960</v>
      </c>
      <c r="AY264" s="27" t="s">
        <v>961</v>
      </c>
      <c r="AZ264" s="27" t="s">
        <v>664</v>
      </c>
      <c r="BA264" s="27" t="s">
        <v>335</v>
      </c>
      <c r="BB264" s="27" t="s">
        <v>970</v>
      </c>
      <c r="BC264" s="29">
        <v>43966</v>
      </c>
      <c r="BD264" s="29">
        <v>44012</v>
      </c>
      <c r="BE264" s="29">
        <v>43991</v>
      </c>
      <c r="BF264" s="27">
        <v>80</v>
      </c>
      <c r="BG264" s="27" t="s">
        <v>556</v>
      </c>
      <c r="BH264" s="30" t="s">
        <v>972</v>
      </c>
      <c r="BI264" s="28"/>
      <c r="BJ264" s="28"/>
      <c r="BK264" s="28"/>
      <c r="BL264" s="28"/>
      <c r="BM264" s="28"/>
      <c r="BN264" s="28"/>
      <c r="BO264" s="28"/>
      <c r="BP264" s="28"/>
      <c r="BQ264" s="28"/>
      <c r="BR264" s="28"/>
      <c r="BS264" s="28"/>
      <c r="BT264" s="28"/>
      <c r="BU264" s="28"/>
      <c r="BV264" s="28"/>
      <c r="BW264" s="28"/>
      <c r="BX264" s="28"/>
      <c r="BY264" s="19"/>
      <c r="BZ264" s="19"/>
      <c r="CA264" s="19"/>
      <c r="CB264" s="19"/>
      <c r="CC264" s="19"/>
      <c r="CD264" s="19"/>
      <c r="CE264" s="19"/>
      <c r="CF264" s="19"/>
      <c r="CG264" s="19"/>
      <c r="CH264" s="19"/>
      <c r="CI264" s="19"/>
      <c r="CJ264" s="19"/>
      <c r="CK264" s="19"/>
      <c r="CL264" s="19"/>
      <c r="CM264" s="19"/>
      <c r="CN264" s="19"/>
      <c r="CO264" s="19"/>
      <c r="CP264" s="19"/>
      <c r="CQ264" s="19"/>
      <c r="CR264" s="19"/>
      <c r="CS264" s="19"/>
      <c r="CT264" s="19"/>
      <c r="CU264" s="19"/>
      <c r="CV264" s="19"/>
      <c r="CW264" s="19"/>
      <c r="CX264" s="19"/>
      <c r="CY264" s="19"/>
      <c r="CZ264" s="19"/>
      <c r="DA264" s="19"/>
      <c r="DB264" s="19"/>
      <c r="DC264" s="19"/>
      <c r="DD264" s="19"/>
      <c r="DE264" s="19"/>
      <c r="DF264" s="19"/>
      <c r="DG264" s="19"/>
      <c r="DH264" s="19"/>
      <c r="DI264" s="19"/>
      <c r="DJ264" s="19"/>
      <c r="DK264" s="19"/>
      <c r="DL264" s="19"/>
      <c r="DM264" s="19"/>
      <c r="DN264" s="19"/>
      <c r="DO264" s="19"/>
      <c r="DP264" s="19"/>
      <c r="DQ264" s="19"/>
      <c r="DR264" s="19"/>
      <c r="DS264" s="19"/>
      <c r="DT264" s="19"/>
      <c r="DU264" s="19"/>
      <c r="DV264" s="19"/>
      <c r="DW264" s="19"/>
      <c r="DX264" s="19"/>
      <c r="DY264" s="19"/>
      <c r="DZ264" s="19"/>
      <c r="EA264" s="19"/>
      <c r="EB264" s="19"/>
      <c r="EC264" s="19"/>
      <c r="ED264" s="19"/>
      <c r="EE264" s="19"/>
      <c r="EF264" s="19"/>
      <c r="EG264" s="19"/>
      <c r="EH264" s="19"/>
      <c r="EI264" s="19"/>
      <c r="EJ264" s="19"/>
      <c r="EK264" s="19"/>
      <c r="EL264" s="19"/>
      <c r="EM264" s="19"/>
      <c r="EN264" s="19"/>
      <c r="EO264" s="19"/>
      <c r="EP264" s="19"/>
      <c r="EQ264" s="19"/>
      <c r="ER264" s="19"/>
      <c r="ES264" s="19"/>
      <c r="ET264" s="19"/>
      <c r="EU264" s="19"/>
      <c r="EV264" s="19"/>
      <c r="EW264" s="19"/>
      <c r="EX264" s="19"/>
      <c r="EY264" s="19"/>
      <c r="EZ264" s="19"/>
      <c r="FA264" s="19"/>
      <c r="FB264" s="19"/>
      <c r="FC264" s="19"/>
      <c r="FD264" s="19"/>
      <c r="FE264" s="19"/>
      <c r="FF264" s="19"/>
      <c r="FG264" s="19"/>
      <c r="FH264" s="19"/>
      <c r="FI264" s="19"/>
      <c r="FJ264" s="19"/>
      <c r="FK264" s="19"/>
      <c r="FL264" s="20" t="s">
        <v>963</v>
      </c>
      <c r="FM264" s="20" t="s">
        <v>255</v>
      </c>
      <c r="FN264" s="19"/>
      <c r="FO264" s="19"/>
      <c r="FP264" s="19"/>
      <c r="FQ264" s="19"/>
      <c r="FR264" s="19"/>
      <c r="FS264" s="19"/>
      <c r="FT264" s="19"/>
      <c r="FU264" s="19"/>
      <c r="FV264" s="19"/>
      <c r="FW264" s="19"/>
      <c r="FX264" s="19"/>
      <c r="FY264" s="19"/>
      <c r="FZ264" s="19"/>
      <c r="GA264" s="19"/>
      <c r="GB264" s="19"/>
      <c r="GC264" s="19"/>
      <c r="GD264" s="19"/>
      <c r="GE264" s="19"/>
      <c r="GF264" s="19"/>
      <c r="GG264" s="19"/>
      <c r="GH264" s="19"/>
      <c r="GI264" s="19"/>
      <c r="GJ264" s="19"/>
      <c r="GK264" s="19"/>
      <c r="GL264" s="19"/>
      <c r="GM264" s="19"/>
      <c r="GN264" s="19"/>
      <c r="GO264" s="19"/>
      <c r="GP264" s="19"/>
      <c r="GQ264" s="19"/>
      <c r="GR264" s="19"/>
      <c r="GS264" s="19"/>
      <c r="GT264" s="19"/>
      <c r="GU264" s="19"/>
      <c r="GV264" s="19"/>
      <c r="GW264" s="19"/>
      <c r="GX264" s="19"/>
      <c r="GY264" s="19"/>
      <c r="GZ264" s="19"/>
      <c r="HA264" s="19"/>
    </row>
    <row r="265" spans="1:209" ht="23.25" customHeight="1" x14ac:dyDescent="0.15">
      <c r="A265" s="26">
        <v>44659.808992812497</v>
      </c>
      <c r="B265" s="27" t="s">
        <v>6</v>
      </c>
      <c r="C265" s="27" t="s">
        <v>11</v>
      </c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  <c r="AX265" s="27" t="s">
        <v>960</v>
      </c>
      <c r="AY265" s="27" t="s">
        <v>961</v>
      </c>
      <c r="AZ265" s="27" t="s">
        <v>724</v>
      </c>
      <c r="BA265" s="27" t="s">
        <v>335</v>
      </c>
      <c r="BB265" s="27" t="s">
        <v>970</v>
      </c>
      <c r="BC265" s="29">
        <v>44012</v>
      </c>
      <c r="BD265" s="29">
        <v>44043</v>
      </c>
      <c r="BE265" s="29">
        <v>44025</v>
      </c>
      <c r="BF265" s="27">
        <v>80</v>
      </c>
      <c r="BG265" s="27" t="s">
        <v>556</v>
      </c>
      <c r="BH265" s="30" t="s">
        <v>973</v>
      </c>
      <c r="BI265" s="28"/>
      <c r="BJ265" s="28"/>
      <c r="BK265" s="28"/>
      <c r="BL265" s="28"/>
      <c r="BM265" s="28"/>
      <c r="BN265" s="28"/>
      <c r="BO265" s="28"/>
      <c r="BP265" s="28"/>
      <c r="BQ265" s="28"/>
      <c r="BR265" s="28"/>
      <c r="BS265" s="28"/>
      <c r="BT265" s="28"/>
      <c r="BU265" s="28"/>
      <c r="BV265" s="28"/>
      <c r="BW265" s="28"/>
      <c r="BX265" s="28"/>
      <c r="BY265" s="19"/>
      <c r="BZ265" s="19"/>
      <c r="CA265" s="19"/>
      <c r="CB265" s="19"/>
      <c r="CC265" s="19"/>
      <c r="CD265" s="19"/>
      <c r="CE265" s="19"/>
      <c r="CF265" s="19"/>
      <c r="CG265" s="19"/>
      <c r="CH265" s="19"/>
      <c r="CI265" s="19"/>
      <c r="CJ265" s="19"/>
      <c r="CK265" s="19"/>
      <c r="CL265" s="19"/>
      <c r="CM265" s="19"/>
      <c r="CN265" s="19"/>
      <c r="CO265" s="19"/>
      <c r="CP265" s="19"/>
      <c r="CQ265" s="19"/>
      <c r="CR265" s="19"/>
      <c r="CS265" s="19"/>
      <c r="CT265" s="19"/>
      <c r="CU265" s="19"/>
      <c r="CV265" s="19"/>
      <c r="CW265" s="19"/>
      <c r="CX265" s="19"/>
      <c r="CY265" s="19"/>
      <c r="CZ265" s="19"/>
      <c r="DA265" s="19"/>
      <c r="DB265" s="19"/>
      <c r="DC265" s="19"/>
      <c r="DD265" s="19"/>
      <c r="DE265" s="19"/>
      <c r="DF265" s="19"/>
      <c r="DG265" s="19"/>
      <c r="DH265" s="19"/>
      <c r="DI265" s="19"/>
      <c r="DJ265" s="19"/>
      <c r="DK265" s="19"/>
      <c r="DL265" s="19"/>
      <c r="DM265" s="19"/>
      <c r="DN265" s="19"/>
      <c r="DO265" s="19"/>
      <c r="DP265" s="19"/>
      <c r="DQ265" s="19"/>
      <c r="DR265" s="19"/>
      <c r="DS265" s="19"/>
      <c r="DT265" s="19"/>
      <c r="DU265" s="19"/>
      <c r="DV265" s="19"/>
      <c r="DW265" s="19"/>
      <c r="DX265" s="19"/>
      <c r="DY265" s="19"/>
      <c r="DZ265" s="19"/>
      <c r="EA265" s="19"/>
      <c r="EB265" s="19"/>
      <c r="EC265" s="19"/>
      <c r="ED265" s="19"/>
      <c r="EE265" s="19"/>
      <c r="EF265" s="19"/>
      <c r="EG265" s="19"/>
      <c r="EH265" s="19"/>
      <c r="EI265" s="19"/>
      <c r="EJ265" s="19"/>
      <c r="EK265" s="19"/>
      <c r="EL265" s="19"/>
      <c r="EM265" s="19"/>
      <c r="EN265" s="19"/>
      <c r="EO265" s="19"/>
      <c r="EP265" s="19"/>
      <c r="EQ265" s="19"/>
      <c r="ER265" s="19"/>
      <c r="ES265" s="19"/>
      <c r="ET265" s="19"/>
      <c r="EU265" s="19"/>
      <c r="EV265" s="19"/>
      <c r="EW265" s="19"/>
      <c r="EX265" s="19"/>
      <c r="EY265" s="19"/>
      <c r="EZ265" s="19"/>
      <c r="FA265" s="19"/>
      <c r="FB265" s="19"/>
      <c r="FC265" s="19"/>
      <c r="FD265" s="19"/>
      <c r="FE265" s="19"/>
      <c r="FF265" s="19"/>
      <c r="FG265" s="19"/>
      <c r="FH265" s="19"/>
      <c r="FI265" s="19"/>
      <c r="FJ265" s="19"/>
      <c r="FK265" s="19"/>
      <c r="FL265" s="20" t="s">
        <v>963</v>
      </c>
      <c r="FM265" s="20" t="s">
        <v>255</v>
      </c>
      <c r="FN265" s="19"/>
      <c r="FO265" s="19"/>
      <c r="FP265" s="19"/>
      <c r="FQ265" s="19"/>
      <c r="FR265" s="19"/>
      <c r="FS265" s="19"/>
      <c r="FT265" s="19"/>
      <c r="FU265" s="19"/>
      <c r="FV265" s="19"/>
      <c r="FW265" s="19"/>
      <c r="FX265" s="19"/>
      <c r="FY265" s="19"/>
      <c r="FZ265" s="19"/>
      <c r="GA265" s="19"/>
      <c r="GB265" s="19"/>
      <c r="GC265" s="19"/>
      <c r="GD265" s="19"/>
      <c r="GE265" s="19"/>
      <c r="GF265" s="19"/>
      <c r="GG265" s="19"/>
      <c r="GH265" s="19"/>
      <c r="GI265" s="19"/>
      <c r="GJ265" s="19"/>
      <c r="GK265" s="19"/>
      <c r="GL265" s="19"/>
      <c r="GM265" s="19"/>
      <c r="GN265" s="19"/>
      <c r="GO265" s="19"/>
      <c r="GP265" s="19"/>
      <c r="GQ265" s="19"/>
      <c r="GR265" s="19"/>
      <c r="GS265" s="19"/>
      <c r="GT265" s="19"/>
      <c r="GU265" s="19"/>
      <c r="GV265" s="19"/>
      <c r="GW265" s="19"/>
      <c r="GX265" s="19"/>
      <c r="GY265" s="19"/>
      <c r="GZ265" s="19"/>
      <c r="HA265" s="19"/>
    </row>
    <row r="266" spans="1:209" ht="23.25" customHeight="1" x14ac:dyDescent="0.15">
      <c r="A266" s="26">
        <v>44659.810801655098</v>
      </c>
      <c r="B266" s="27" t="s">
        <v>6</v>
      </c>
      <c r="C266" s="27" t="s">
        <v>11</v>
      </c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  <c r="AX266" s="27" t="s">
        <v>960</v>
      </c>
      <c r="AY266" s="27" t="s">
        <v>961</v>
      </c>
      <c r="AZ266" s="27" t="s">
        <v>349</v>
      </c>
      <c r="BA266" s="27" t="s">
        <v>335</v>
      </c>
      <c r="BB266" s="27" t="s">
        <v>879</v>
      </c>
      <c r="BC266" s="29">
        <v>43641</v>
      </c>
      <c r="BD266" s="29">
        <v>43677</v>
      </c>
      <c r="BE266" s="29">
        <v>43676</v>
      </c>
      <c r="BF266" s="27">
        <v>80</v>
      </c>
      <c r="BG266" s="27" t="s">
        <v>556</v>
      </c>
      <c r="BH266" s="30" t="s">
        <v>974</v>
      </c>
      <c r="BI266" s="28"/>
      <c r="BJ266" s="28"/>
      <c r="BK266" s="28"/>
      <c r="BL266" s="28"/>
      <c r="BM266" s="28"/>
      <c r="BN266" s="28"/>
      <c r="BO266" s="28"/>
      <c r="BP266" s="28"/>
      <c r="BQ266" s="28"/>
      <c r="BR266" s="28"/>
      <c r="BS266" s="28"/>
      <c r="BT266" s="28"/>
      <c r="BU266" s="28"/>
      <c r="BV266" s="28"/>
      <c r="BW266" s="28"/>
      <c r="BX266" s="28"/>
      <c r="BY266" s="19"/>
      <c r="BZ266" s="19"/>
      <c r="CA266" s="19"/>
      <c r="CB266" s="19"/>
      <c r="CC266" s="19"/>
      <c r="CD266" s="19"/>
      <c r="CE266" s="19"/>
      <c r="CF266" s="19"/>
      <c r="CG266" s="19"/>
      <c r="CH266" s="19"/>
      <c r="CI266" s="19"/>
      <c r="CJ266" s="19"/>
      <c r="CK266" s="19"/>
      <c r="CL266" s="19"/>
      <c r="CM266" s="19"/>
      <c r="CN266" s="19"/>
      <c r="CO266" s="19"/>
      <c r="CP266" s="19"/>
      <c r="CQ266" s="19"/>
      <c r="CR266" s="19"/>
      <c r="CS266" s="19"/>
      <c r="CT266" s="19"/>
      <c r="CU266" s="19"/>
      <c r="CV266" s="19"/>
      <c r="CW266" s="19"/>
      <c r="CX266" s="19"/>
      <c r="CY266" s="19"/>
      <c r="CZ266" s="19"/>
      <c r="DA266" s="19"/>
      <c r="DB266" s="19"/>
      <c r="DC266" s="19"/>
      <c r="DD266" s="19"/>
      <c r="DE266" s="19"/>
      <c r="DF266" s="19"/>
      <c r="DG266" s="19"/>
      <c r="DH266" s="19"/>
      <c r="DI266" s="19"/>
      <c r="DJ266" s="19"/>
      <c r="DK266" s="19"/>
      <c r="DL266" s="19"/>
      <c r="DM266" s="19"/>
      <c r="DN266" s="19"/>
      <c r="DO266" s="19"/>
      <c r="DP266" s="19"/>
      <c r="DQ266" s="19"/>
      <c r="DR266" s="19"/>
      <c r="DS266" s="19"/>
      <c r="DT266" s="19"/>
      <c r="DU266" s="19"/>
      <c r="DV266" s="19"/>
      <c r="DW266" s="19"/>
      <c r="DX266" s="19"/>
      <c r="DY266" s="19"/>
      <c r="DZ266" s="19"/>
      <c r="EA266" s="19"/>
      <c r="EB266" s="19"/>
      <c r="EC266" s="19"/>
      <c r="ED266" s="19"/>
      <c r="EE266" s="19"/>
      <c r="EF266" s="19"/>
      <c r="EG266" s="19"/>
      <c r="EH266" s="19"/>
      <c r="EI266" s="19"/>
      <c r="EJ266" s="19"/>
      <c r="EK266" s="19"/>
      <c r="EL266" s="19"/>
      <c r="EM266" s="19"/>
      <c r="EN266" s="19"/>
      <c r="EO266" s="19"/>
      <c r="EP266" s="19"/>
      <c r="EQ266" s="19"/>
      <c r="ER266" s="19"/>
      <c r="ES266" s="19"/>
      <c r="ET266" s="19"/>
      <c r="EU266" s="19"/>
      <c r="EV266" s="19"/>
      <c r="EW266" s="19"/>
      <c r="EX266" s="19"/>
      <c r="EY266" s="19"/>
      <c r="EZ266" s="19"/>
      <c r="FA266" s="19"/>
      <c r="FB266" s="19"/>
      <c r="FC266" s="19"/>
      <c r="FD266" s="19"/>
      <c r="FE266" s="19"/>
      <c r="FF266" s="19"/>
      <c r="FG266" s="19"/>
      <c r="FH266" s="19"/>
      <c r="FI266" s="19"/>
      <c r="FJ266" s="19"/>
      <c r="FK266" s="19"/>
      <c r="FL266" s="20" t="s">
        <v>963</v>
      </c>
      <c r="FM266" s="20" t="s">
        <v>255</v>
      </c>
      <c r="FN266" s="19"/>
      <c r="FO266" s="19"/>
      <c r="FP266" s="19"/>
      <c r="FQ266" s="19"/>
      <c r="FR266" s="19"/>
      <c r="FS266" s="19"/>
      <c r="FT266" s="19"/>
      <c r="FU266" s="19"/>
      <c r="FV266" s="19"/>
      <c r="FW266" s="19"/>
      <c r="FX266" s="19"/>
      <c r="FY266" s="19"/>
      <c r="FZ266" s="19"/>
      <c r="GA266" s="19"/>
      <c r="GB266" s="19"/>
      <c r="GC266" s="19"/>
      <c r="GD266" s="19"/>
      <c r="GE266" s="19"/>
      <c r="GF266" s="19"/>
      <c r="GG266" s="19"/>
      <c r="GH266" s="19"/>
      <c r="GI266" s="19"/>
      <c r="GJ266" s="19"/>
      <c r="GK266" s="19"/>
      <c r="GL266" s="19"/>
      <c r="GM266" s="19"/>
      <c r="GN266" s="19"/>
      <c r="GO266" s="19"/>
      <c r="GP266" s="19"/>
      <c r="GQ266" s="19"/>
      <c r="GR266" s="19"/>
      <c r="GS266" s="19"/>
      <c r="GT266" s="19"/>
      <c r="GU266" s="19"/>
      <c r="GV266" s="19"/>
      <c r="GW266" s="19"/>
      <c r="GX266" s="19"/>
      <c r="GY266" s="19"/>
      <c r="GZ266" s="19"/>
      <c r="HA266" s="19"/>
    </row>
    <row r="267" spans="1:209" ht="23.25" customHeight="1" x14ac:dyDescent="0.15">
      <c r="A267" s="26">
        <v>44659.812839004633</v>
      </c>
      <c r="B267" s="27" t="s">
        <v>6</v>
      </c>
      <c r="C267" s="27" t="s">
        <v>11</v>
      </c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  <c r="AX267" s="27" t="s">
        <v>975</v>
      </c>
      <c r="AY267" s="27" t="s">
        <v>388</v>
      </c>
      <c r="AZ267" s="27" t="s">
        <v>540</v>
      </c>
      <c r="BA267" s="27" t="s">
        <v>976</v>
      </c>
      <c r="BB267" s="27" t="s">
        <v>308</v>
      </c>
      <c r="BC267" s="29">
        <v>43908</v>
      </c>
      <c r="BD267" s="29">
        <v>43967</v>
      </c>
      <c r="BE267" s="29">
        <v>43967</v>
      </c>
      <c r="BF267" s="27">
        <v>82</v>
      </c>
      <c r="BG267" s="27" t="s">
        <v>395</v>
      </c>
      <c r="BH267" s="30" t="s">
        <v>977</v>
      </c>
      <c r="BI267" s="28"/>
      <c r="BJ267" s="28"/>
      <c r="BK267" s="28"/>
      <c r="BL267" s="28"/>
      <c r="BM267" s="28"/>
      <c r="BN267" s="28"/>
      <c r="BO267" s="28"/>
      <c r="BP267" s="28"/>
      <c r="BQ267" s="28"/>
      <c r="BR267" s="28"/>
      <c r="BS267" s="28"/>
      <c r="BT267" s="28"/>
      <c r="BU267" s="28"/>
      <c r="BV267" s="28"/>
      <c r="BW267" s="28"/>
      <c r="BX267" s="28"/>
      <c r="BY267" s="19"/>
      <c r="BZ267" s="19"/>
      <c r="CA267" s="19"/>
      <c r="CB267" s="19"/>
      <c r="CC267" s="19"/>
      <c r="CD267" s="19"/>
      <c r="CE267" s="19"/>
      <c r="CF267" s="19"/>
      <c r="CG267" s="19"/>
      <c r="CH267" s="19"/>
      <c r="CI267" s="19"/>
      <c r="CJ267" s="19"/>
      <c r="CK267" s="19"/>
      <c r="CL267" s="19"/>
      <c r="CM267" s="19"/>
      <c r="CN267" s="19"/>
      <c r="CO267" s="19"/>
      <c r="CP267" s="19"/>
      <c r="CQ267" s="19"/>
      <c r="CR267" s="19"/>
      <c r="CS267" s="19"/>
      <c r="CT267" s="19"/>
      <c r="CU267" s="19"/>
      <c r="CV267" s="19"/>
      <c r="CW267" s="19"/>
      <c r="CX267" s="19"/>
      <c r="CY267" s="19"/>
      <c r="CZ267" s="19"/>
      <c r="DA267" s="19"/>
      <c r="DB267" s="19"/>
      <c r="DC267" s="19"/>
      <c r="DD267" s="19"/>
      <c r="DE267" s="19"/>
      <c r="DF267" s="19"/>
      <c r="DG267" s="19"/>
      <c r="DH267" s="19"/>
      <c r="DI267" s="19"/>
      <c r="DJ267" s="19"/>
      <c r="DK267" s="19"/>
      <c r="DL267" s="19"/>
      <c r="DM267" s="19"/>
      <c r="DN267" s="19"/>
      <c r="DO267" s="19"/>
      <c r="DP267" s="19"/>
      <c r="DQ267" s="19"/>
      <c r="DR267" s="19"/>
      <c r="DS267" s="19"/>
      <c r="DT267" s="19"/>
      <c r="DU267" s="19"/>
      <c r="DV267" s="19"/>
      <c r="DW267" s="19"/>
      <c r="DX267" s="19"/>
      <c r="DY267" s="19"/>
      <c r="DZ267" s="19"/>
      <c r="EA267" s="19"/>
      <c r="EB267" s="19"/>
      <c r="EC267" s="19"/>
      <c r="ED267" s="19"/>
      <c r="EE267" s="19"/>
      <c r="EF267" s="19"/>
      <c r="EG267" s="19"/>
      <c r="EH267" s="19"/>
      <c r="EI267" s="19"/>
      <c r="EJ267" s="19"/>
      <c r="EK267" s="19"/>
      <c r="EL267" s="19"/>
      <c r="EM267" s="19"/>
      <c r="EN267" s="19"/>
      <c r="EO267" s="19"/>
      <c r="EP267" s="19"/>
      <c r="EQ267" s="19"/>
      <c r="ER267" s="19"/>
      <c r="ES267" s="19"/>
      <c r="ET267" s="19"/>
      <c r="EU267" s="19"/>
      <c r="EV267" s="19"/>
      <c r="EW267" s="19"/>
      <c r="EX267" s="19"/>
      <c r="EY267" s="19"/>
      <c r="EZ267" s="19"/>
      <c r="FA267" s="19"/>
      <c r="FB267" s="19"/>
      <c r="FC267" s="19"/>
      <c r="FD267" s="19"/>
      <c r="FE267" s="19"/>
      <c r="FF267" s="19"/>
      <c r="FG267" s="19"/>
      <c r="FH267" s="19"/>
      <c r="FI267" s="19"/>
      <c r="FJ267" s="19"/>
      <c r="FK267" s="19"/>
      <c r="FL267" s="20" t="s">
        <v>391</v>
      </c>
      <c r="FM267" s="20" t="s">
        <v>278</v>
      </c>
      <c r="FN267" s="19"/>
      <c r="FO267" s="19"/>
      <c r="FP267" s="19"/>
      <c r="FQ267" s="19"/>
      <c r="FR267" s="19"/>
      <c r="FS267" s="19"/>
      <c r="FT267" s="19"/>
      <c r="FU267" s="19"/>
      <c r="FV267" s="19"/>
      <c r="FW267" s="19"/>
      <c r="FX267" s="19"/>
      <c r="FY267" s="19"/>
      <c r="FZ267" s="19"/>
      <c r="GA267" s="19"/>
      <c r="GB267" s="19"/>
      <c r="GC267" s="19"/>
      <c r="GD267" s="19"/>
      <c r="GE267" s="19"/>
      <c r="GF267" s="19"/>
      <c r="GG267" s="19"/>
      <c r="GH267" s="19"/>
      <c r="GI267" s="19"/>
      <c r="GJ267" s="19"/>
      <c r="GK267" s="19"/>
      <c r="GL267" s="19"/>
      <c r="GM267" s="19"/>
      <c r="GN267" s="19"/>
      <c r="GO267" s="19"/>
      <c r="GP267" s="19"/>
      <c r="GQ267" s="19"/>
      <c r="GR267" s="19"/>
      <c r="GS267" s="19"/>
      <c r="GT267" s="19"/>
      <c r="GU267" s="19"/>
      <c r="GV267" s="19"/>
      <c r="GW267" s="19"/>
      <c r="GX267" s="19"/>
      <c r="GY267" s="19"/>
      <c r="GZ267" s="19"/>
      <c r="HA267" s="19"/>
    </row>
    <row r="268" spans="1:209" ht="23.25" customHeight="1" x14ac:dyDescent="0.15">
      <c r="A268" s="26">
        <v>44659.813107326394</v>
      </c>
      <c r="B268" s="27" t="s">
        <v>6</v>
      </c>
      <c r="C268" s="27" t="s">
        <v>11</v>
      </c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  <c r="AX268" s="27" t="s">
        <v>960</v>
      </c>
      <c r="AY268" s="27" t="s">
        <v>961</v>
      </c>
      <c r="AZ268" s="27" t="s">
        <v>978</v>
      </c>
      <c r="BA268" s="27" t="s">
        <v>335</v>
      </c>
      <c r="BB268" s="27" t="s">
        <v>970</v>
      </c>
      <c r="BC268" s="29">
        <v>43549</v>
      </c>
      <c r="BD268" s="29">
        <v>43600</v>
      </c>
      <c r="BE268" s="29">
        <v>43585</v>
      </c>
      <c r="BF268" s="27">
        <v>80</v>
      </c>
      <c r="BG268" s="27" t="s">
        <v>556</v>
      </c>
      <c r="BH268" s="30" t="s">
        <v>979</v>
      </c>
      <c r="BI268" s="28"/>
      <c r="BJ268" s="28"/>
      <c r="BK268" s="28"/>
      <c r="BL268" s="28"/>
      <c r="BM268" s="28"/>
      <c r="BN268" s="28"/>
      <c r="BO268" s="28"/>
      <c r="BP268" s="28"/>
      <c r="BQ268" s="28"/>
      <c r="BR268" s="28"/>
      <c r="BS268" s="28"/>
      <c r="BT268" s="28"/>
      <c r="BU268" s="28"/>
      <c r="BV268" s="28"/>
      <c r="BW268" s="28"/>
      <c r="BX268" s="28"/>
      <c r="BY268" s="19"/>
      <c r="BZ268" s="19"/>
      <c r="CA268" s="19"/>
      <c r="CB268" s="19"/>
      <c r="CC268" s="19"/>
      <c r="CD268" s="19"/>
      <c r="CE268" s="19"/>
      <c r="CF268" s="19"/>
      <c r="CG268" s="19"/>
      <c r="CH268" s="19"/>
      <c r="CI268" s="19"/>
      <c r="CJ268" s="19"/>
      <c r="CK268" s="19"/>
      <c r="CL268" s="19"/>
      <c r="CM268" s="19"/>
      <c r="CN268" s="19"/>
      <c r="CO268" s="19"/>
      <c r="CP268" s="19"/>
      <c r="CQ268" s="19"/>
      <c r="CR268" s="19"/>
      <c r="CS268" s="19"/>
      <c r="CT268" s="19"/>
      <c r="CU268" s="19"/>
      <c r="CV268" s="19"/>
      <c r="CW268" s="19"/>
      <c r="CX268" s="19"/>
      <c r="CY268" s="19"/>
      <c r="CZ268" s="19"/>
      <c r="DA268" s="19"/>
      <c r="DB268" s="19"/>
      <c r="DC268" s="19"/>
      <c r="DD268" s="19"/>
      <c r="DE268" s="19"/>
      <c r="DF268" s="19"/>
      <c r="DG268" s="19"/>
      <c r="DH268" s="19"/>
      <c r="DI268" s="19"/>
      <c r="DJ268" s="19"/>
      <c r="DK268" s="19"/>
      <c r="DL268" s="19"/>
      <c r="DM268" s="19"/>
      <c r="DN268" s="19"/>
      <c r="DO268" s="19"/>
      <c r="DP268" s="19"/>
      <c r="DQ268" s="19"/>
      <c r="DR268" s="19"/>
      <c r="DS268" s="19"/>
      <c r="DT268" s="19"/>
      <c r="DU268" s="19"/>
      <c r="DV268" s="19"/>
      <c r="DW268" s="19"/>
      <c r="DX268" s="19"/>
      <c r="DY268" s="19"/>
      <c r="DZ268" s="19"/>
      <c r="EA268" s="19"/>
      <c r="EB268" s="19"/>
      <c r="EC268" s="19"/>
      <c r="ED268" s="19"/>
      <c r="EE268" s="19"/>
      <c r="EF268" s="19"/>
      <c r="EG268" s="19"/>
      <c r="EH268" s="19"/>
      <c r="EI268" s="19"/>
      <c r="EJ268" s="19"/>
      <c r="EK268" s="19"/>
      <c r="EL268" s="19"/>
      <c r="EM268" s="19"/>
      <c r="EN268" s="19"/>
      <c r="EO268" s="19"/>
      <c r="EP268" s="19"/>
      <c r="EQ268" s="19"/>
      <c r="ER268" s="19"/>
      <c r="ES268" s="19"/>
      <c r="ET268" s="19"/>
      <c r="EU268" s="19"/>
      <c r="EV268" s="19"/>
      <c r="EW268" s="19"/>
      <c r="EX268" s="19"/>
      <c r="EY268" s="19"/>
      <c r="EZ268" s="19"/>
      <c r="FA268" s="19"/>
      <c r="FB268" s="19"/>
      <c r="FC268" s="19"/>
      <c r="FD268" s="19"/>
      <c r="FE268" s="19"/>
      <c r="FF268" s="19"/>
      <c r="FG268" s="19"/>
      <c r="FH268" s="19"/>
      <c r="FI268" s="19"/>
      <c r="FJ268" s="19"/>
      <c r="FK268" s="19"/>
      <c r="FL268" s="20" t="s">
        <v>963</v>
      </c>
      <c r="FM268" s="20" t="s">
        <v>255</v>
      </c>
      <c r="FN268" s="19"/>
      <c r="FO268" s="19"/>
      <c r="FP268" s="19"/>
      <c r="FQ268" s="19"/>
      <c r="FR268" s="19"/>
      <c r="FS268" s="19"/>
      <c r="FT268" s="19"/>
      <c r="FU268" s="19"/>
      <c r="FV268" s="19"/>
      <c r="FW268" s="19"/>
      <c r="FX268" s="19"/>
      <c r="FY268" s="19"/>
      <c r="FZ268" s="19"/>
      <c r="GA268" s="19"/>
      <c r="GB268" s="19"/>
      <c r="GC268" s="19"/>
      <c r="GD268" s="19"/>
      <c r="GE268" s="19"/>
      <c r="GF268" s="19"/>
      <c r="GG268" s="19"/>
      <c r="GH268" s="19"/>
      <c r="GI268" s="19"/>
      <c r="GJ268" s="19"/>
      <c r="GK268" s="19"/>
      <c r="GL268" s="19"/>
      <c r="GM268" s="19"/>
      <c r="GN268" s="19"/>
      <c r="GO268" s="19"/>
      <c r="GP268" s="19"/>
      <c r="GQ268" s="19"/>
      <c r="GR268" s="19"/>
      <c r="GS268" s="19"/>
      <c r="GT268" s="19"/>
      <c r="GU268" s="19"/>
      <c r="GV268" s="19"/>
      <c r="GW268" s="19"/>
      <c r="GX268" s="19"/>
      <c r="GY268" s="19"/>
      <c r="GZ268" s="19"/>
      <c r="HA268" s="19"/>
    </row>
    <row r="269" spans="1:209" ht="23.25" customHeight="1" x14ac:dyDescent="0.15">
      <c r="A269" s="26">
        <v>44659.815482430553</v>
      </c>
      <c r="B269" s="27" t="s">
        <v>6</v>
      </c>
      <c r="C269" s="27" t="s">
        <v>10</v>
      </c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7" t="s">
        <v>960</v>
      </c>
      <c r="AO269" s="27" t="s">
        <v>961</v>
      </c>
      <c r="AP269" s="27" t="s">
        <v>980</v>
      </c>
      <c r="AQ269" s="27" t="s">
        <v>448</v>
      </c>
      <c r="AR269" s="29">
        <v>44547</v>
      </c>
      <c r="AS269" s="29">
        <v>44316</v>
      </c>
      <c r="AT269" s="27" t="s">
        <v>251</v>
      </c>
      <c r="AU269" s="27" t="s">
        <v>252</v>
      </c>
      <c r="AV269" s="27">
        <v>0</v>
      </c>
      <c r="AW269" s="30" t="s">
        <v>981</v>
      </c>
      <c r="AX269" s="28"/>
      <c r="AY269" s="28"/>
      <c r="AZ269" s="28"/>
      <c r="BA269" s="28"/>
      <c r="BB269" s="28"/>
      <c r="BC269" s="28"/>
      <c r="BD269" s="28"/>
      <c r="BE269" s="28"/>
      <c r="BF269" s="28"/>
      <c r="BG269" s="28"/>
      <c r="BH269" s="28"/>
      <c r="BI269" s="28"/>
      <c r="BJ269" s="28"/>
      <c r="BK269" s="28"/>
      <c r="BL269" s="28"/>
      <c r="BM269" s="28"/>
      <c r="BN269" s="28"/>
      <c r="BO269" s="28"/>
      <c r="BP269" s="28"/>
      <c r="BQ269" s="28"/>
      <c r="BR269" s="28"/>
      <c r="BS269" s="28"/>
      <c r="BT269" s="28"/>
      <c r="BU269" s="28"/>
      <c r="BV269" s="28"/>
      <c r="BW269" s="28"/>
      <c r="BX269" s="28"/>
      <c r="BY269" s="19"/>
      <c r="BZ269" s="19"/>
      <c r="CA269" s="19"/>
      <c r="CB269" s="19"/>
      <c r="CC269" s="19"/>
      <c r="CD269" s="19"/>
      <c r="CE269" s="19"/>
      <c r="CF269" s="19"/>
      <c r="CG269" s="19"/>
      <c r="CH269" s="19"/>
      <c r="CI269" s="19"/>
      <c r="CJ269" s="19"/>
      <c r="CK269" s="19"/>
      <c r="CL269" s="19"/>
      <c r="CM269" s="19"/>
      <c r="CN269" s="19"/>
      <c r="CO269" s="19"/>
      <c r="CP269" s="19"/>
      <c r="CQ269" s="19"/>
      <c r="CR269" s="19"/>
      <c r="CS269" s="19"/>
      <c r="CT269" s="19"/>
      <c r="CU269" s="19"/>
      <c r="CV269" s="19"/>
      <c r="CW269" s="19"/>
      <c r="CX269" s="19"/>
      <c r="CY269" s="19"/>
      <c r="CZ269" s="19"/>
      <c r="DA269" s="19"/>
      <c r="DB269" s="19"/>
      <c r="DC269" s="19"/>
      <c r="DD269" s="19"/>
      <c r="DE269" s="19"/>
      <c r="DF269" s="19"/>
      <c r="DG269" s="19"/>
      <c r="DH269" s="19"/>
      <c r="DI269" s="19"/>
      <c r="DJ269" s="19"/>
      <c r="DK269" s="19"/>
      <c r="DL269" s="19"/>
      <c r="DM269" s="19"/>
      <c r="DN269" s="19"/>
      <c r="DO269" s="19"/>
      <c r="DP269" s="19"/>
      <c r="DQ269" s="19"/>
      <c r="DR269" s="19"/>
      <c r="DS269" s="19"/>
      <c r="DT269" s="19"/>
      <c r="DU269" s="19"/>
      <c r="DV269" s="19"/>
      <c r="DW269" s="19"/>
      <c r="DX269" s="19"/>
      <c r="DY269" s="19"/>
      <c r="DZ269" s="19"/>
      <c r="EA269" s="19"/>
      <c r="EB269" s="19"/>
      <c r="EC269" s="19"/>
      <c r="ED269" s="19"/>
      <c r="EE269" s="19"/>
      <c r="EF269" s="19"/>
      <c r="EG269" s="19"/>
      <c r="EH269" s="19"/>
      <c r="EI269" s="19"/>
      <c r="EJ269" s="19"/>
      <c r="EK269" s="19"/>
      <c r="EL269" s="19"/>
      <c r="EM269" s="19"/>
      <c r="EN269" s="19"/>
      <c r="EO269" s="19"/>
      <c r="EP269" s="19"/>
      <c r="EQ269" s="19"/>
      <c r="ER269" s="19"/>
      <c r="ES269" s="19"/>
      <c r="ET269" s="19"/>
      <c r="EU269" s="19"/>
      <c r="EV269" s="19"/>
      <c r="EW269" s="19"/>
      <c r="EX269" s="19"/>
      <c r="EY269" s="19"/>
      <c r="EZ269" s="19"/>
      <c r="FA269" s="19"/>
      <c r="FB269" s="19"/>
      <c r="FC269" s="19"/>
      <c r="FD269" s="19"/>
      <c r="FE269" s="19"/>
      <c r="FF269" s="19"/>
      <c r="FG269" s="19"/>
      <c r="FH269" s="19"/>
      <c r="FI269" s="19"/>
      <c r="FJ269" s="19"/>
      <c r="FK269" s="19"/>
      <c r="FL269" s="20" t="s">
        <v>963</v>
      </c>
      <c r="FM269" s="20" t="s">
        <v>255</v>
      </c>
      <c r="FN269" s="19"/>
      <c r="FO269" s="19"/>
      <c r="FP269" s="19"/>
      <c r="FQ269" s="19"/>
      <c r="FR269" s="19"/>
      <c r="FS269" s="19"/>
      <c r="FT269" s="19"/>
      <c r="FU269" s="19"/>
      <c r="FV269" s="19"/>
      <c r="FW269" s="19"/>
      <c r="FX269" s="19"/>
      <c r="FY269" s="19"/>
      <c r="FZ269" s="19"/>
      <c r="GA269" s="19"/>
      <c r="GB269" s="19"/>
      <c r="GC269" s="19"/>
      <c r="GD269" s="19"/>
      <c r="GE269" s="19"/>
      <c r="GF269" s="19"/>
      <c r="GG269" s="19"/>
      <c r="GH269" s="19"/>
      <c r="GI269" s="19"/>
      <c r="GJ269" s="19"/>
      <c r="GK269" s="19"/>
      <c r="GL269" s="19"/>
      <c r="GM269" s="19"/>
      <c r="GN269" s="19"/>
      <c r="GO269" s="19"/>
      <c r="GP269" s="19"/>
      <c r="GQ269" s="19"/>
      <c r="GR269" s="19"/>
      <c r="GS269" s="19"/>
      <c r="GT269" s="19"/>
      <c r="GU269" s="19"/>
      <c r="GV269" s="19"/>
      <c r="GW269" s="19"/>
      <c r="GX269" s="19"/>
      <c r="GY269" s="19"/>
      <c r="GZ269" s="19"/>
      <c r="HA269" s="19"/>
    </row>
    <row r="270" spans="1:209" ht="23.25" customHeight="1" x14ac:dyDescent="0.15">
      <c r="A270" s="26">
        <v>44659.818247997682</v>
      </c>
      <c r="B270" s="27" t="s">
        <v>6</v>
      </c>
      <c r="C270" s="27" t="s">
        <v>22</v>
      </c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  <c r="AX270" s="28"/>
      <c r="AY270" s="28"/>
      <c r="AZ270" s="28"/>
      <c r="BA270" s="28"/>
      <c r="BB270" s="28"/>
      <c r="BC270" s="28"/>
      <c r="BD270" s="28"/>
      <c r="BE270" s="28"/>
      <c r="BF270" s="28"/>
      <c r="BG270" s="28"/>
      <c r="BH270" s="28"/>
      <c r="BI270" s="28"/>
      <c r="BJ270" s="28"/>
      <c r="BK270" s="28"/>
      <c r="BL270" s="28"/>
      <c r="BM270" s="28"/>
      <c r="BN270" s="28"/>
      <c r="BO270" s="28"/>
      <c r="BP270" s="28"/>
      <c r="BQ270" s="28"/>
      <c r="BR270" s="28"/>
      <c r="BS270" s="28"/>
      <c r="BT270" s="28"/>
      <c r="BU270" s="28"/>
      <c r="BV270" s="28"/>
      <c r="BW270" s="28"/>
      <c r="BX270" s="28"/>
      <c r="BY270" s="19"/>
      <c r="BZ270" s="19"/>
      <c r="CA270" s="19"/>
      <c r="CB270" s="19"/>
      <c r="CC270" s="19"/>
      <c r="CD270" s="19"/>
      <c r="CE270" s="19"/>
      <c r="CF270" s="19"/>
      <c r="CG270" s="19"/>
      <c r="CH270" s="19"/>
      <c r="CI270" s="19"/>
      <c r="CJ270" s="19"/>
      <c r="CK270" s="19"/>
      <c r="CL270" s="19"/>
      <c r="CM270" s="19"/>
      <c r="CN270" s="19"/>
      <c r="CO270" s="19"/>
      <c r="CP270" s="19"/>
      <c r="CQ270" s="19"/>
      <c r="CR270" s="19"/>
      <c r="CS270" s="19"/>
      <c r="CT270" s="19"/>
      <c r="CU270" s="19"/>
      <c r="CV270" s="19"/>
      <c r="CW270" s="19"/>
      <c r="CX270" s="19"/>
      <c r="CY270" s="19"/>
      <c r="CZ270" s="19"/>
      <c r="DA270" s="19"/>
      <c r="DB270" s="19"/>
      <c r="DC270" s="19"/>
      <c r="DD270" s="19"/>
      <c r="DE270" s="19"/>
      <c r="DF270" s="19"/>
      <c r="DG270" s="19"/>
      <c r="DH270" s="19"/>
      <c r="DI270" s="19"/>
      <c r="DJ270" s="19"/>
      <c r="DK270" s="19"/>
      <c r="DL270" s="19"/>
      <c r="DM270" s="19"/>
      <c r="DN270" s="19"/>
      <c r="DO270" s="19"/>
      <c r="DP270" s="19"/>
      <c r="DQ270" s="19"/>
      <c r="DR270" s="19"/>
      <c r="DS270" s="19"/>
      <c r="DT270" s="19"/>
      <c r="DU270" s="19"/>
      <c r="DV270" s="19"/>
      <c r="DW270" s="19"/>
      <c r="DX270" s="19"/>
      <c r="DY270" s="19"/>
      <c r="DZ270" s="19"/>
      <c r="EA270" s="19"/>
      <c r="EB270" s="19"/>
      <c r="EC270" s="19"/>
      <c r="ED270" s="19"/>
      <c r="EE270" s="19"/>
      <c r="EF270" s="19"/>
      <c r="EG270" s="19"/>
      <c r="EH270" s="19"/>
      <c r="EI270" s="19"/>
      <c r="EJ270" s="19"/>
      <c r="EK270" s="19"/>
      <c r="EL270" s="19"/>
      <c r="EM270" s="19"/>
      <c r="EN270" s="19"/>
      <c r="EO270" s="19"/>
      <c r="EP270" s="19"/>
      <c r="EQ270" s="19"/>
      <c r="ER270" s="19"/>
      <c r="ES270" s="19"/>
      <c r="ET270" s="19"/>
      <c r="EU270" s="19"/>
      <c r="EV270" s="19"/>
      <c r="EW270" s="19"/>
      <c r="EX270" s="19"/>
      <c r="EY270" s="19"/>
      <c r="EZ270" s="19"/>
      <c r="FA270" s="19"/>
      <c r="FB270" s="19"/>
      <c r="FC270" s="19"/>
      <c r="FD270" s="19"/>
      <c r="FE270" s="19"/>
      <c r="FF270" s="19"/>
      <c r="FG270" s="19"/>
      <c r="FH270" s="19"/>
      <c r="FI270" s="19"/>
      <c r="FJ270" s="19"/>
      <c r="FK270" s="19"/>
      <c r="FL270" s="20" t="s">
        <v>963</v>
      </c>
      <c r="FM270" s="20" t="s">
        <v>255</v>
      </c>
      <c r="FN270" s="19"/>
      <c r="FO270" s="19"/>
      <c r="FP270" s="19"/>
      <c r="FQ270" s="19"/>
      <c r="FR270" s="19"/>
      <c r="FS270" s="19"/>
      <c r="FT270" s="19"/>
      <c r="FU270" s="19"/>
      <c r="FV270" s="19"/>
      <c r="FW270" s="19"/>
      <c r="FX270" s="19"/>
      <c r="FY270" s="19"/>
      <c r="FZ270" s="19"/>
      <c r="GA270" s="19"/>
      <c r="GB270" s="19"/>
      <c r="GC270" s="19"/>
      <c r="GD270" s="19"/>
      <c r="GE270" s="19"/>
      <c r="GF270" s="20" t="s">
        <v>960</v>
      </c>
      <c r="GG270" s="20" t="s">
        <v>961</v>
      </c>
      <c r="GH270" s="20" t="s">
        <v>982</v>
      </c>
      <c r="GI270" s="21">
        <v>44727</v>
      </c>
      <c r="GJ270" s="22" t="s">
        <v>983</v>
      </c>
      <c r="GK270" s="20" t="s">
        <v>984</v>
      </c>
      <c r="GL270" s="20" t="s">
        <v>985</v>
      </c>
      <c r="GM270" s="19"/>
      <c r="GN270" s="19"/>
      <c r="GO270" s="19"/>
      <c r="GP270" s="19"/>
      <c r="GQ270" s="19"/>
      <c r="GR270" s="19"/>
      <c r="GS270" s="19"/>
      <c r="GT270" s="19"/>
      <c r="GU270" s="19"/>
      <c r="GV270" s="19"/>
      <c r="GW270" s="19"/>
      <c r="GX270" s="19"/>
      <c r="GY270" s="19"/>
      <c r="GZ270" s="19"/>
      <c r="HA270" s="19"/>
    </row>
    <row r="271" spans="1:209" ht="23.25" customHeight="1" x14ac:dyDescent="0.15">
      <c r="A271" s="26">
        <v>44659.833128761573</v>
      </c>
      <c r="B271" s="27" t="s">
        <v>6</v>
      </c>
      <c r="C271" s="27" t="s">
        <v>11</v>
      </c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  <c r="AX271" s="27" t="s">
        <v>986</v>
      </c>
      <c r="AY271" s="27" t="s">
        <v>987</v>
      </c>
      <c r="AZ271" s="27" t="s">
        <v>988</v>
      </c>
      <c r="BA271" s="27" t="s">
        <v>343</v>
      </c>
      <c r="BB271" s="27">
        <v>3</v>
      </c>
      <c r="BC271" s="29">
        <v>43983</v>
      </c>
      <c r="BD271" s="29">
        <v>44075</v>
      </c>
      <c r="BE271" s="29">
        <v>44084</v>
      </c>
      <c r="BF271" s="27">
        <v>80</v>
      </c>
      <c r="BG271" s="27" t="s">
        <v>989</v>
      </c>
      <c r="BH271" s="30" t="s">
        <v>990</v>
      </c>
      <c r="BI271" s="28"/>
      <c r="BJ271" s="28"/>
      <c r="BK271" s="28"/>
      <c r="BL271" s="28"/>
      <c r="BM271" s="28"/>
      <c r="BN271" s="28"/>
      <c r="BO271" s="28"/>
      <c r="BP271" s="28"/>
      <c r="BQ271" s="28"/>
      <c r="BR271" s="28"/>
      <c r="BS271" s="28"/>
      <c r="BT271" s="28"/>
      <c r="BU271" s="28"/>
      <c r="BV271" s="28"/>
      <c r="BW271" s="28"/>
      <c r="BX271" s="28"/>
      <c r="BY271" s="19"/>
      <c r="BZ271" s="19"/>
      <c r="CA271" s="19"/>
      <c r="CB271" s="19"/>
      <c r="CC271" s="19"/>
      <c r="CD271" s="19"/>
      <c r="CE271" s="19"/>
      <c r="CF271" s="19"/>
      <c r="CG271" s="19"/>
      <c r="CH271" s="19"/>
      <c r="CI271" s="19"/>
      <c r="CJ271" s="19"/>
      <c r="CK271" s="19"/>
      <c r="CL271" s="19"/>
      <c r="CM271" s="19"/>
      <c r="CN271" s="19"/>
      <c r="CO271" s="19"/>
      <c r="CP271" s="19"/>
      <c r="CQ271" s="19"/>
      <c r="CR271" s="19"/>
      <c r="CS271" s="19"/>
      <c r="CT271" s="19"/>
      <c r="CU271" s="19"/>
      <c r="CV271" s="19"/>
      <c r="CW271" s="19"/>
      <c r="CX271" s="19"/>
      <c r="CY271" s="19"/>
      <c r="CZ271" s="19"/>
      <c r="DA271" s="19"/>
      <c r="DB271" s="19"/>
      <c r="DC271" s="19"/>
      <c r="DD271" s="19"/>
      <c r="DE271" s="19"/>
      <c r="DF271" s="19"/>
      <c r="DG271" s="19"/>
      <c r="DH271" s="19"/>
      <c r="DI271" s="19"/>
      <c r="DJ271" s="19"/>
      <c r="DK271" s="19"/>
      <c r="DL271" s="19"/>
      <c r="DM271" s="19"/>
      <c r="DN271" s="19"/>
      <c r="DO271" s="19"/>
      <c r="DP271" s="19"/>
      <c r="DQ271" s="19"/>
      <c r="DR271" s="19"/>
      <c r="DS271" s="19"/>
      <c r="DT271" s="19"/>
      <c r="DU271" s="19"/>
      <c r="DV271" s="19"/>
      <c r="DW271" s="19"/>
      <c r="DX271" s="19"/>
      <c r="DY271" s="19"/>
      <c r="DZ271" s="19"/>
      <c r="EA271" s="19"/>
      <c r="EB271" s="19"/>
      <c r="EC271" s="19"/>
      <c r="ED271" s="19"/>
      <c r="EE271" s="19"/>
      <c r="EF271" s="19"/>
      <c r="EG271" s="19"/>
      <c r="EH271" s="19"/>
      <c r="EI271" s="19"/>
      <c r="EJ271" s="19"/>
      <c r="EK271" s="19"/>
      <c r="EL271" s="19"/>
      <c r="EM271" s="19"/>
      <c r="EN271" s="19"/>
      <c r="EO271" s="19"/>
      <c r="EP271" s="19"/>
      <c r="EQ271" s="19"/>
      <c r="ER271" s="19"/>
      <c r="ES271" s="19"/>
      <c r="ET271" s="19"/>
      <c r="EU271" s="19"/>
      <c r="EV271" s="19"/>
      <c r="EW271" s="19"/>
      <c r="EX271" s="19"/>
      <c r="EY271" s="19"/>
      <c r="EZ271" s="19"/>
      <c r="FA271" s="19"/>
      <c r="FB271" s="19"/>
      <c r="FC271" s="19"/>
      <c r="FD271" s="19"/>
      <c r="FE271" s="19"/>
      <c r="FF271" s="19"/>
      <c r="FG271" s="19"/>
      <c r="FH271" s="19"/>
      <c r="FI271" s="19"/>
      <c r="FJ271" s="19"/>
      <c r="FK271" s="19"/>
      <c r="FL271" s="20" t="s">
        <v>991</v>
      </c>
      <c r="FM271" s="20" t="s">
        <v>255</v>
      </c>
      <c r="FN271" s="19"/>
      <c r="FO271" s="19"/>
      <c r="FP271" s="19"/>
      <c r="FQ271" s="19"/>
      <c r="FR271" s="19"/>
      <c r="FS271" s="19"/>
      <c r="FT271" s="19"/>
      <c r="FU271" s="19"/>
      <c r="FV271" s="19"/>
      <c r="FW271" s="19"/>
      <c r="FX271" s="19"/>
      <c r="FY271" s="19"/>
      <c r="FZ271" s="19"/>
      <c r="GA271" s="19"/>
      <c r="GB271" s="19"/>
      <c r="GC271" s="19"/>
      <c r="GD271" s="19"/>
      <c r="GE271" s="19"/>
      <c r="GF271" s="19"/>
      <c r="GG271" s="19"/>
      <c r="GH271" s="19"/>
      <c r="GI271" s="19"/>
      <c r="GJ271" s="19"/>
      <c r="GK271" s="19"/>
      <c r="GL271" s="19"/>
      <c r="GM271" s="19"/>
      <c r="GN271" s="19"/>
      <c r="GO271" s="19"/>
      <c r="GP271" s="19"/>
      <c r="GQ271" s="19"/>
      <c r="GR271" s="19"/>
      <c r="GS271" s="19"/>
      <c r="GT271" s="19"/>
      <c r="GU271" s="19"/>
      <c r="GV271" s="19"/>
      <c r="GW271" s="19"/>
      <c r="GX271" s="19"/>
      <c r="GY271" s="19"/>
      <c r="GZ271" s="19"/>
      <c r="HA271" s="19"/>
    </row>
    <row r="272" spans="1:209" ht="23.25" customHeight="1" x14ac:dyDescent="0.15">
      <c r="A272" s="26">
        <v>44659.83827443287</v>
      </c>
      <c r="B272" s="27" t="s">
        <v>9</v>
      </c>
      <c r="C272" s="27" t="s">
        <v>12</v>
      </c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  <c r="AX272" s="28"/>
      <c r="AY272" s="28"/>
      <c r="AZ272" s="28"/>
      <c r="BA272" s="28"/>
      <c r="BB272" s="28"/>
      <c r="BC272" s="28"/>
      <c r="BD272" s="28"/>
      <c r="BE272" s="28"/>
      <c r="BF272" s="28"/>
      <c r="BG272" s="28"/>
      <c r="BH272" s="28"/>
      <c r="BI272" s="27" t="s">
        <v>992</v>
      </c>
      <c r="BJ272" s="27" t="s">
        <v>993</v>
      </c>
      <c r="BK272" s="27" t="s">
        <v>311</v>
      </c>
      <c r="BL272" s="27" t="s">
        <v>167</v>
      </c>
      <c r="BM272" s="27" t="s">
        <v>943</v>
      </c>
      <c r="BN272" s="27">
        <v>6</v>
      </c>
      <c r="BO272" s="29">
        <v>44627</v>
      </c>
      <c r="BP272" s="29">
        <v>44632</v>
      </c>
      <c r="BQ272" s="27" t="s">
        <v>944</v>
      </c>
      <c r="BR272" s="27" t="s">
        <v>945</v>
      </c>
      <c r="BS272" s="27" t="s">
        <v>171</v>
      </c>
      <c r="BT272" s="27" t="s">
        <v>629</v>
      </c>
      <c r="BU272" s="27">
        <v>0</v>
      </c>
      <c r="BV272" s="30" t="s">
        <v>994</v>
      </c>
      <c r="BW272" s="28"/>
      <c r="BX272" s="28"/>
      <c r="BY272" s="19"/>
      <c r="BZ272" s="19"/>
      <c r="CA272" s="19"/>
      <c r="CB272" s="19"/>
      <c r="CC272" s="19"/>
      <c r="CD272" s="19"/>
      <c r="CE272" s="19"/>
      <c r="CF272" s="19"/>
      <c r="CG272" s="19"/>
      <c r="CH272" s="19"/>
      <c r="CI272" s="19"/>
      <c r="CJ272" s="19"/>
      <c r="CK272" s="19"/>
      <c r="CL272" s="19"/>
      <c r="CM272" s="19"/>
      <c r="CN272" s="19"/>
      <c r="CO272" s="19"/>
      <c r="CP272" s="19"/>
      <c r="CQ272" s="19"/>
      <c r="CR272" s="19"/>
      <c r="CS272" s="19"/>
      <c r="CT272" s="19"/>
      <c r="CU272" s="19"/>
      <c r="CV272" s="19"/>
      <c r="CW272" s="19"/>
      <c r="CX272" s="19"/>
      <c r="CY272" s="19"/>
      <c r="CZ272" s="19"/>
      <c r="DA272" s="19"/>
      <c r="DB272" s="19"/>
      <c r="DC272" s="19"/>
      <c r="DD272" s="19"/>
      <c r="DE272" s="19"/>
      <c r="DF272" s="19"/>
      <c r="DG272" s="19"/>
      <c r="DH272" s="19"/>
      <c r="DI272" s="19"/>
      <c r="DJ272" s="19"/>
      <c r="DK272" s="19"/>
      <c r="DL272" s="19"/>
      <c r="DM272" s="19"/>
      <c r="DN272" s="19"/>
      <c r="DO272" s="19"/>
      <c r="DP272" s="19"/>
      <c r="DQ272" s="19"/>
      <c r="DR272" s="19"/>
      <c r="DS272" s="19"/>
      <c r="DT272" s="19"/>
      <c r="DU272" s="19"/>
      <c r="DV272" s="19"/>
      <c r="DW272" s="19"/>
      <c r="DX272" s="19"/>
      <c r="DY272" s="19"/>
      <c r="DZ272" s="19"/>
      <c r="EA272" s="19"/>
      <c r="EB272" s="19"/>
      <c r="EC272" s="19"/>
      <c r="ED272" s="19"/>
      <c r="EE272" s="19"/>
      <c r="EF272" s="19"/>
      <c r="EG272" s="19"/>
      <c r="EH272" s="19"/>
      <c r="EI272" s="19"/>
      <c r="EJ272" s="19"/>
      <c r="EK272" s="19"/>
      <c r="EL272" s="19"/>
      <c r="EM272" s="19"/>
      <c r="EN272" s="19"/>
      <c r="EO272" s="19"/>
      <c r="EP272" s="19"/>
      <c r="EQ272" s="19"/>
      <c r="ER272" s="19"/>
      <c r="ES272" s="19"/>
      <c r="ET272" s="19"/>
      <c r="EU272" s="19"/>
      <c r="EV272" s="19"/>
      <c r="EW272" s="19"/>
      <c r="EX272" s="19"/>
      <c r="EY272" s="19"/>
      <c r="EZ272" s="19"/>
      <c r="FA272" s="19"/>
      <c r="FB272" s="19"/>
      <c r="FC272" s="19"/>
      <c r="FD272" s="19"/>
      <c r="FE272" s="19"/>
      <c r="FF272" s="19"/>
      <c r="FG272" s="19"/>
      <c r="FH272" s="19"/>
      <c r="FI272" s="19"/>
      <c r="FJ272" s="19"/>
      <c r="FK272" s="19"/>
      <c r="FL272" s="20" t="s">
        <v>995</v>
      </c>
      <c r="FM272" s="20" t="s">
        <v>412</v>
      </c>
      <c r="FN272" s="19"/>
      <c r="FO272" s="19"/>
      <c r="FP272" s="19"/>
      <c r="FQ272" s="19"/>
      <c r="FR272" s="19"/>
      <c r="FS272" s="19"/>
      <c r="FT272" s="19"/>
      <c r="FU272" s="19"/>
      <c r="FV272" s="19"/>
      <c r="FW272" s="19"/>
      <c r="FX272" s="19"/>
      <c r="FY272" s="19"/>
      <c r="FZ272" s="19"/>
      <c r="GA272" s="19"/>
      <c r="GB272" s="19"/>
      <c r="GC272" s="19"/>
      <c r="GD272" s="19"/>
      <c r="GE272" s="19"/>
      <c r="GF272" s="19"/>
      <c r="GG272" s="19"/>
      <c r="GH272" s="19"/>
      <c r="GI272" s="19"/>
      <c r="GJ272" s="19"/>
      <c r="GK272" s="19"/>
      <c r="GL272" s="19"/>
      <c r="GM272" s="19"/>
      <c r="GN272" s="19"/>
      <c r="GO272" s="19"/>
      <c r="GP272" s="19"/>
      <c r="GQ272" s="19"/>
      <c r="GR272" s="19"/>
      <c r="GS272" s="19"/>
      <c r="GT272" s="19"/>
      <c r="GU272" s="19"/>
      <c r="GV272" s="19"/>
      <c r="GW272" s="19"/>
      <c r="GX272" s="19"/>
      <c r="GY272" s="19"/>
      <c r="GZ272" s="19"/>
      <c r="HA272" s="19"/>
    </row>
    <row r="273" spans="1:209" ht="23.25" customHeight="1" x14ac:dyDescent="0.15">
      <c r="A273" s="26">
        <v>44659.858644641208</v>
      </c>
      <c r="B273" s="27" t="s">
        <v>6</v>
      </c>
      <c r="C273" s="27" t="s">
        <v>10</v>
      </c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7" t="s">
        <v>996</v>
      </c>
      <c r="AO273" s="27" t="s">
        <v>997</v>
      </c>
      <c r="AP273" s="27" t="s">
        <v>307</v>
      </c>
      <c r="AQ273" s="27" t="s">
        <v>300</v>
      </c>
      <c r="AR273" s="29">
        <v>44484</v>
      </c>
      <c r="AS273" s="29">
        <v>44920</v>
      </c>
      <c r="AT273" s="27" t="s">
        <v>252</v>
      </c>
      <c r="AU273" s="27" t="s">
        <v>252</v>
      </c>
      <c r="AV273" s="27">
        <v>0</v>
      </c>
      <c r="AW273" s="30" t="s">
        <v>998</v>
      </c>
      <c r="AX273" s="28"/>
      <c r="AY273" s="28"/>
      <c r="AZ273" s="28"/>
      <c r="BA273" s="28"/>
      <c r="BB273" s="28"/>
      <c r="BC273" s="28"/>
      <c r="BD273" s="28"/>
      <c r="BE273" s="28"/>
      <c r="BF273" s="28"/>
      <c r="BG273" s="28"/>
      <c r="BH273" s="28"/>
      <c r="BI273" s="28"/>
      <c r="BJ273" s="28"/>
      <c r="BK273" s="28"/>
      <c r="BL273" s="28"/>
      <c r="BM273" s="28"/>
      <c r="BN273" s="28"/>
      <c r="BO273" s="28"/>
      <c r="BP273" s="28"/>
      <c r="BQ273" s="28"/>
      <c r="BR273" s="28"/>
      <c r="BS273" s="28"/>
      <c r="BT273" s="28"/>
      <c r="BU273" s="28"/>
      <c r="BV273" s="28"/>
      <c r="BW273" s="28"/>
      <c r="BX273" s="28"/>
      <c r="BY273" s="19"/>
      <c r="BZ273" s="19"/>
      <c r="CA273" s="19"/>
      <c r="CB273" s="19"/>
      <c r="CC273" s="19"/>
      <c r="CD273" s="19"/>
      <c r="CE273" s="19"/>
      <c r="CF273" s="19"/>
      <c r="CG273" s="19"/>
      <c r="CH273" s="19"/>
      <c r="CI273" s="19"/>
      <c r="CJ273" s="19"/>
      <c r="CK273" s="19"/>
      <c r="CL273" s="19"/>
      <c r="CM273" s="19"/>
      <c r="CN273" s="19"/>
      <c r="CO273" s="19"/>
      <c r="CP273" s="19"/>
      <c r="CQ273" s="19"/>
      <c r="CR273" s="19"/>
      <c r="CS273" s="19"/>
      <c r="CT273" s="19"/>
      <c r="CU273" s="19"/>
      <c r="CV273" s="19"/>
      <c r="CW273" s="19"/>
      <c r="CX273" s="19"/>
      <c r="CY273" s="19"/>
      <c r="CZ273" s="19"/>
      <c r="DA273" s="19"/>
      <c r="DB273" s="19"/>
      <c r="DC273" s="19"/>
      <c r="DD273" s="19"/>
      <c r="DE273" s="19"/>
      <c r="DF273" s="19"/>
      <c r="DG273" s="19"/>
      <c r="DH273" s="19"/>
      <c r="DI273" s="19"/>
      <c r="DJ273" s="19"/>
      <c r="DK273" s="19"/>
      <c r="DL273" s="19"/>
      <c r="DM273" s="19"/>
      <c r="DN273" s="19"/>
      <c r="DO273" s="19"/>
      <c r="DP273" s="19"/>
      <c r="DQ273" s="19"/>
      <c r="DR273" s="19"/>
      <c r="DS273" s="19"/>
      <c r="DT273" s="19"/>
      <c r="DU273" s="19"/>
      <c r="DV273" s="19"/>
      <c r="DW273" s="19"/>
      <c r="DX273" s="19"/>
      <c r="DY273" s="19"/>
      <c r="DZ273" s="19"/>
      <c r="EA273" s="19"/>
      <c r="EB273" s="19"/>
      <c r="EC273" s="19"/>
      <c r="ED273" s="19"/>
      <c r="EE273" s="19"/>
      <c r="EF273" s="19"/>
      <c r="EG273" s="19"/>
      <c r="EH273" s="19"/>
      <c r="EI273" s="19"/>
      <c r="EJ273" s="19"/>
      <c r="EK273" s="19"/>
      <c r="EL273" s="19"/>
      <c r="EM273" s="19"/>
      <c r="EN273" s="19"/>
      <c r="EO273" s="19"/>
      <c r="EP273" s="19"/>
      <c r="EQ273" s="19"/>
      <c r="ER273" s="19"/>
      <c r="ES273" s="19"/>
      <c r="ET273" s="19"/>
      <c r="EU273" s="19"/>
      <c r="EV273" s="19"/>
      <c r="EW273" s="19"/>
      <c r="EX273" s="19"/>
      <c r="EY273" s="19"/>
      <c r="EZ273" s="19"/>
      <c r="FA273" s="19"/>
      <c r="FB273" s="19"/>
      <c r="FC273" s="19"/>
      <c r="FD273" s="19"/>
      <c r="FE273" s="19"/>
      <c r="FF273" s="19"/>
      <c r="FG273" s="19"/>
      <c r="FH273" s="19"/>
      <c r="FI273" s="19"/>
      <c r="FJ273" s="19"/>
      <c r="FK273" s="19"/>
      <c r="FL273" s="20" t="s">
        <v>999</v>
      </c>
      <c r="FM273" s="20" t="s">
        <v>255</v>
      </c>
      <c r="FN273" s="19"/>
      <c r="FO273" s="19"/>
      <c r="FP273" s="19"/>
      <c r="FQ273" s="19"/>
      <c r="FR273" s="19"/>
      <c r="FS273" s="19"/>
      <c r="FT273" s="19"/>
      <c r="FU273" s="19"/>
      <c r="FV273" s="19"/>
      <c r="FW273" s="19"/>
      <c r="FX273" s="19"/>
      <c r="FY273" s="19"/>
      <c r="FZ273" s="19"/>
      <c r="GA273" s="19"/>
      <c r="GB273" s="19"/>
      <c r="GC273" s="19"/>
      <c r="GD273" s="19"/>
      <c r="GE273" s="19"/>
      <c r="GF273" s="19"/>
      <c r="GG273" s="19"/>
      <c r="GH273" s="19"/>
      <c r="GI273" s="19"/>
      <c r="GJ273" s="19"/>
      <c r="GK273" s="19"/>
      <c r="GL273" s="19"/>
      <c r="GM273" s="19"/>
      <c r="GN273" s="19"/>
      <c r="GO273" s="19"/>
      <c r="GP273" s="19"/>
      <c r="GQ273" s="19"/>
      <c r="GR273" s="19"/>
      <c r="GS273" s="19"/>
      <c r="GT273" s="19"/>
      <c r="GU273" s="19"/>
      <c r="GV273" s="19"/>
      <c r="GW273" s="19"/>
      <c r="GX273" s="19"/>
      <c r="GY273" s="19"/>
      <c r="GZ273" s="19"/>
      <c r="HA273" s="19"/>
    </row>
    <row r="274" spans="1:209" ht="23.25" customHeight="1" x14ac:dyDescent="0.15">
      <c r="A274" s="26">
        <v>44659.870618576388</v>
      </c>
      <c r="B274" s="27" t="s">
        <v>7</v>
      </c>
      <c r="C274" s="27" t="s">
        <v>11</v>
      </c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  <c r="AX274" s="27" t="s">
        <v>1000</v>
      </c>
      <c r="AY274" s="27" t="s">
        <v>1001</v>
      </c>
      <c r="AZ274" s="27" t="s">
        <v>639</v>
      </c>
      <c r="BA274" s="27" t="s">
        <v>935</v>
      </c>
      <c r="BB274" s="27" t="s">
        <v>624</v>
      </c>
      <c r="BC274" s="29">
        <v>44371</v>
      </c>
      <c r="BD274" s="29">
        <v>44401</v>
      </c>
      <c r="BE274" s="29">
        <v>44401</v>
      </c>
      <c r="BF274" s="27">
        <v>100</v>
      </c>
      <c r="BG274" s="27" t="s">
        <v>556</v>
      </c>
      <c r="BH274" s="30" t="s">
        <v>1002</v>
      </c>
      <c r="BI274" s="28"/>
      <c r="BJ274" s="28"/>
      <c r="BK274" s="28"/>
      <c r="BL274" s="28"/>
      <c r="BM274" s="28"/>
      <c r="BN274" s="28"/>
      <c r="BO274" s="28"/>
      <c r="BP274" s="28"/>
      <c r="BQ274" s="28"/>
      <c r="BR274" s="28"/>
      <c r="BS274" s="28"/>
      <c r="BT274" s="28"/>
      <c r="BU274" s="28"/>
      <c r="BV274" s="28"/>
      <c r="BW274" s="28"/>
      <c r="BX274" s="28"/>
      <c r="BY274" s="19"/>
      <c r="BZ274" s="19"/>
      <c r="CA274" s="19"/>
      <c r="CB274" s="19"/>
      <c r="CC274" s="19"/>
      <c r="CD274" s="19"/>
      <c r="CE274" s="19"/>
      <c r="CF274" s="19"/>
      <c r="CG274" s="19"/>
      <c r="CH274" s="19"/>
      <c r="CI274" s="19"/>
      <c r="CJ274" s="19"/>
      <c r="CK274" s="19"/>
      <c r="CL274" s="19"/>
      <c r="CM274" s="19"/>
      <c r="CN274" s="19"/>
      <c r="CO274" s="19"/>
      <c r="CP274" s="19"/>
      <c r="CQ274" s="19"/>
      <c r="CR274" s="19"/>
      <c r="CS274" s="19"/>
      <c r="CT274" s="19"/>
      <c r="CU274" s="19"/>
      <c r="CV274" s="19"/>
      <c r="CW274" s="19"/>
      <c r="CX274" s="19"/>
      <c r="CY274" s="19"/>
      <c r="CZ274" s="19"/>
      <c r="DA274" s="19"/>
      <c r="DB274" s="19"/>
      <c r="DC274" s="19"/>
      <c r="DD274" s="19"/>
      <c r="DE274" s="19"/>
      <c r="DF274" s="19"/>
      <c r="DG274" s="19"/>
      <c r="DH274" s="19"/>
      <c r="DI274" s="19"/>
      <c r="DJ274" s="19"/>
      <c r="DK274" s="19"/>
      <c r="DL274" s="19"/>
      <c r="DM274" s="19"/>
      <c r="DN274" s="19"/>
      <c r="DO274" s="19"/>
      <c r="DP274" s="19"/>
      <c r="DQ274" s="19"/>
      <c r="DR274" s="19"/>
      <c r="DS274" s="19"/>
      <c r="DT274" s="19"/>
      <c r="DU274" s="19"/>
      <c r="DV274" s="19"/>
      <c r="DW274" s="19"/>
      <c r="DX274" s="19"/>
      <c r="DY274" s="19"/>
      <c r="DZ274" s="19"/>
      <c r="EA274" s="19"/>
      <c r="EB274" s="19"/>
      <c r="EC274" s="19"/>
      <c r="ED274" s="19"/>
      <c r="EE274" s="19"/>
      <c r="EF274" s="19"/>
      <c r="EG274" s="19"/>
      <c r="EH274" s="19"/>
      <c r="EI274" s="19"/>
      <c r="EJ274" s="19"/>
      <c r="EK274" s="19"/>
      <c r="EL274" s="19"/>
      <c r="EM274" s="19"/>
      <c r="EN274" s="19"/>
      <c r="EO274" s="19"/>
      <c r="EP274" s="19"/>
      <c r="EQ274" s="19"/>
      <c r="ER274" s="19"/>
      <c r="ES274" s="19"/>
      <c r="ET274" s="19"/>
      <c r="EU274" s="19"/>
      <c r="EV274" s="19"/>
      <c r="EW274" s="19"/>
      <c r="EX274" s="19"/>
      <c r="EY274" s="19"/>
      <c r="EZ274" s="19"/>
      <c r="FA274" s="19"/>
      <c r="FB274" s="19"/>
      <c r="FC274" s="19"/>
      <c r="FD274" s="19"/>
      <c r="FE274" s="19"/>
      <c r="FF274" s="19"/>
      <c r="FG274" s="19"/>
      <c r="FH274" s="19"/>
      <c r="FI274" s="19"/>
      <c r="FJ274" s="19"/>
      <c r="FK274" s="19"/>
      <c r="FL274" s="20" t="s">
        <v>1003</v>
      </c>
      <c r="FM274" s="20" t="s">
        <v>278</v>
      </c>
      <c r="FN274" s="19"/>
      <c r="FO274" s="19"/>
      <c r="FP274" s="19"/>
      <c r="FQ274" s="19"/>
      <c r="FR274" s="19"/>
      <c r="FS274" s="19"/>
      <c r="FT274" s="19"/>
      <c r="FU274" s="19"/>
      <c r="FV274" s="19"/>
      <c r="FW274" s="19"/>
      <c r="FX274" s="19"/>
      <c r="FY274" s="19"/>
      <c r="FZ274" s="19"/>
      <c r="GA274" s="19"/>
      <c r="GB274" s="19"/>
      <c r="GC274" s="19"/>
      <c r="GD274" s="19"/>
      <c r="GE274" s="19"/>
      <c r="GF274" s="19"/>
      <c r="GG274" s="19"/>
      <c r="GH274" s="19"/>
      <c r="GI274" s="19"/>
      <c r="GJ274" s="19"/>
      <c r="GK274" s="19"/>
      <c r="GL274" s="19"/>
      <c r="GM274" s="19"/>
      <c r="GN274" s="19"/>
      <c r="GO274" s="19"/>
      <c r="GP274" s="19"/>
      <c r="GQ274" s="19"/>
      <c r="GR274" s="19"/>
      <c r="GS274" s="19"/>
      <c r="GT274" s="19"/>
      <c r="GU274" s="19"/>
      <c r="GV274" s="19"/>
      <c r="GW274" s="19"/>
      <c r="GX274" s="19"/>
      <c r="GY274" s="19"/>
      <c r="GZ274" s="19"/>
      <c r="HA274" s="19"/>
    </row>
    <row r="275" spans="1:209" ht="23.25" customHeight="1" x14ac:dyDescent="0.15">
      <c r="A275" s="26">
        <v>44659.875142939811</v>
      </c>
      <c r="B275" s="27" t="s">
        <v>6</v>
      </c>
      <c r="C275" s="27" t="s">
        <v>10</v>
      </c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7" t="s">
        <v>1004</v>
      </c>
      <c r="AO275" s="27" t="s">
        <v>1005</v>
      </c>
      <c r="AP275" s="27" t="s">
        <v>1006</v>
      </c>
      <c r="AQ275" s="27">
        <v>2</v>
      </c>
      <c r="AR275" s="29">
        <v>44348</v>
      </c>
      <c r="AS275" s="29">
        <v>44409</v>
      </c>
      <c r="AT275" s="27" t="s">
        <v>252</v>
      </c>
      <c r="AU275" s="27" t="s">
        <v>252</v>
      </c>
      <c r="AV275" s="27">
        <v>0</v>
      </c>
      <c r="AW275" s="30" t="s">
        <v>1007</v>
      </c>
      <c r="AX275" s="28"/>
      <c r="AY275" s="28"/>
      <c r="AZ275" s="28"/>
      <c r="BA275" s="28"/>
      <c r="BB275" s="28"/>
      <c r="BC275" s="28"/>
      <c r="BD275" s="28"/>
      <c r="BE275" s="28"/>
      <c r="BF275" s="28"/>
      <c r="BG275" s="28"/>
      <c r="BH275" s="28"/>
      <c r="BI275" s="28"/>
      <c r="BJ275" s="28"/>
      <c r="BK275" s="28"/>
      <c r="BL275" s="28"/>
      <c r="BM275" s="28"/>
      <c r="BN275" s="28"/>
      <c r="BO275" s="28"/>
      <c r="BP275" s="28"/>
      <c r="BQ275" s="28"/>
      <c r="BR275" s="28"/>
      <c r="BS275" s="28"/>
      <c r="BT275" s="28"/>
      <c r="BU275" s="28"/>
      <c r="BV275" s="28"/>
      <c r="BW275" s="28"/>
      <c r="BX275" s="28"/>
      <c r="BY275" s="19"/>
      <c r="BZ275" s="19"/>
      <c r="CA275" s="19"/>
      <c r="CB275" s="19"/>
      <c r="CC275" s="19"/>
      <c r="CD275" s="19"/>
      <c r="CE275" s="19"/>
      <c r="CF275" s="19"/>
      <c r="CG275" s="19"/>
      <c r="CH275" s="19"/>
      <c r="CI275" s="19"/>
      <c r="CJ275" s="19"/>
      <c r="CK275" s="19"/>
      <c r="CL275" s="19"/>
      <c r="CM275" s="19"/>
      <c r="CN275" s="19"/>
      <c r="CO275" s="19"/>
      <c r="CP275" s="19"/>
      <c r="CQ275" s="19"/>
      <c r="CR275" s="19"/>
      <c r="CS275" s="19"/>
      <c r="CT275" s="19"/>
      <c r="CU275" s="19"/>
      <c r="CV275" s="19"/>
      <c r="CW275" s="19"/>
      <c r="CX275" s="19"/>
      <c r="CY275" s="19"/>
      <c r="CZ275" s="19"/>
      <c r="DA275" s="19"/>
      <c r="DB275" s="19"/>
      <c r="DC275" s="19"/>
      <c r="DD275" s="19"/>
      <c r="DE275" s="19"/>
      <c r="DF275" s="19"/>
      <c r="DG275" s="19"/>
      <c r="DH275" s="19"/>
      <c r="DI275" s="19"/>
      <c r="DJ275" s="19"/>
      <c r="DK275" s="19"/>
      <c r="DL275" s="19"/>
      <c r="DM275" s="19"/>
      <c r="DN275" s="19"/>
      <c r="DO275" s="19"/>
      <c r="DP275" s="19"/>
      <c r="DQ275" s="19"/>
      <c r="DR275" s="19"/>
      <c r="DS275" s="19"/>
      <c r="DT275" s="19"/>
      <c r="DU275" s="19"/>
      <c r="DV275" s="19"/>
      <c r="DW275" s="19"/>
      <c r="DX275" s="19"/>
      <c r="DY275" s="19"/>
      <c r="DZ275" s="19"/>
      <c r="EA275" s="19"/>
      <c r="EB275" s="19"/>
      <c r="EC275" s="19"/>
      <c r="ED275" s="19"/>
      <c r="EE275" s="19"/>
      <c r="EF275" s="19"/>
      <c r="EG275" s="19"/>
      <c r="EH275" s="19"/>
      <c r="EI275" s="19"/>
      <c r="EJ275" s="19"/>
      <c r="EK275" s="19"/>
      <c r="EL275" s="19"/>
      <c r="EM275" s="19"/>
      <c r="EN275" s="19"/>
      <c r="EO275" s="19"/>
      <c r="EP275" s="19"/>
      <c r="EQ275" s="19"/>
      <c r="ER275" s="19"/>
      <c r="ES275" s="19"/>
      <c r="ET275" s="19"/>
      <c r="EU275" s="19"/>
      <c r="EV275" s="19"/>
      <c r="EW275" s="19"/>
      <c r="EX275" s="19"/>
      <c r="EY275" s="19"/>
      <c r="EZ275" s="19"/>
      <c r="FA275" s="19"/>
      <c r="FB275" s="19"/>
      <c r="FC275" s="19"/>
      <c r="FD275" s="19"/>
      <c r="FE275" s="19"/>
      <c r="FF275" s="19"/>
      <c r="FG275" s="19"/>
      <c r="FH275" s="19"/>
      <c r="FI275" s="19"/>
      <c r="FJ275" s="19"/>
      <c r="FK275" s="19"/>
      <c r="FL275" s="20" t="s">
        <v>1008</v>
      </c>
      <c r="FM275" s="20" t="s">
        <v>278</v>
      </c>
      <c r="FN275" s="19"/>
      <c r="FO275" s="19"/>
      <c r="FP275" s="19"/>
      <c r="FQ275" s="19"/>
      <c r="FR275" s="19"/>
      <c r="FS275" s="19"/>
      <c r="FT275" s="19"/>
      <c r="FU275" s="19"/>
      <c r="FV275" s="19"/>
      <c r="FW275" s="19"/>
      <c r="FX275" s="19"/>
      <c r="FY275" s="19"/>
      <c r="FZ275" s="19"/>
      <c r="GA275" s="19"/>
      <c r="GB275" s="19"/>
      <c r="GC275" s="19"/>
      <c r="GD275" s="19"/>
      <c r="GE275" s="19"/>
      <c r="GF275" s="19"/>
      <c r="GG275" s="19"/>
      <c r="GH275" s="19"/>
      <c r="GI275" s="19"/>
      <c r="GJ275" s="19"/>
      <c r="GK275" s="19"/>
      <c r="GL275" s="19"/>
      <c r="GM275" s="19"/>
      <c r="GN275" s="19"/>
      <c r="GO275" s="19"/>
      <c r="GP275" s="19"/>
      <c r="GQ275" s="19"/>
      <c r="GR275" s="19"/>
      <c r="GS275" s="19"/>
      <c r="GT275" s="19"/>
      <c r="GU275" s="19"/>
      <c r="GV275" s="19"/>
      <c r="GW275" s="19"/>
      <c r="GX275" s="19"/>
      <c r="GY275" s="19"/>
      <c r="GZ275" s="19"/>
      <c r="HA275" s="19"/>
    </row>
    <row r="276" spans="1:209" ht="23.25" customHeight="1" x14ac:dyDescent="0.15">
      <c r="A276" s="26">
        <v>44659.876379513888</v>
      </c>
      <c r="B276" s="27" t="s">
        <v>6</v>
      </c>
      <c r="C276" s="27" t="s">
        <v>10</v>
      </c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7" t="s">
        <v>1009</v>
      </c>
      <c r="AO276" s="27" t="s">
        <v>1005</v>
      </c>
      <c r="AP276" s="27" t="s">
        <v>1010</v>
      </c>
      <c r="AQ276" s="27">
        <v>1</v>
      </c>
      <c r="AR276" s="29">
        <v>44348</v>
      </c>
      <c r="AS276" s="29">
        <v>44378</v>
      </c>
      <c r="AT276" s="27" t="s">
        <v>252</v>
      </c>
      <c r="AU276" s="27" t="s">
        <v>252</v>
      </c>
      <c r="AV276" s="27">
        <v>0</v>
      </c>
      <c r="AW276" s="30" t="s">
        <v>1011</v>
      </c>
      <c r="AX276" s="28"/>
      <c r="AY276" s="28"/>
      <c r="AZ276" s="28"/>
      <c r="BA276" s="28"/>
      <c r="BB276" s="28"/>
      <c r="BC276" s="28"/>
      <c r="BD276" s="28"/>
      <c r="BE276" s="28"/>
      <c r="BF276" s="28"/>
      <c r="BG276" s="28"/>
      <c r="BH276" s="28"/>
      <c r="BI276" s="28"/>
      <c r="BJ276" s="28"/>
      <c r="BK276" s="28"/>
      <c r="BL276" s="28"/>
      <c r="BM276" s="28"/>
      <c r="BN276" s="28"/>
      <c r="BO276" s="28"/>
      <c r="BP276" s="28"/>
      <c r="BQ276" s="28"/>
      <c r="BR276" s="28"/>
      <c r="BS276" s="28"/>
      <c r="BT276" s="28"/>
      <c r="BU276" s="28"/>
      <c r="BV276" s="28"/>
      <c r="BW276" s="28"/>
      <c r="BX276" s="28"/>
      <c r="BY276" s="19"/>
      <c r="BZ276" s="19"/>
      <c r="CA276" s="19"/>
      <c r="CB276" s="19"/>
      <c r="CC276" s="19"/>
      <c r="CD276" s="19"/>
      <c r="CE276" s="19"/>
      <c r="CF276" s="19"/>
      <c r="CG276" s="19"/>
      <c r="CH276" s="19"/>
      <c r="CI276" s="19"/>
      <c r="CJ276" s="19"/>
      <c r="CK276" s="19"/>
      <c r="CL276" s="19"/>
      <c r="CM276" s="19"/>
      <c r="CN276" s="19"/>
      <c r="CO276" s="19"/>
      <c r="CP276" s="19"/>
      <c r="CQ276" s="19"/>
      <c r="CR276" s="19"/>
      <c r="CS276" s="19"/>
      <c r="CT276" s="19"/>
      <c r="CU276" s="19"/>
      <c r="CV276" s="19"/>
      <c r="CW276" s="19"/>
      <c r="CX276" s="19"/>
      <c r="CY276" s="19"/>
      <c r="CZ276" s="19"/>
      <c r="DA276" s="19"/>
      <c r="DB276" s="19"/>
      <c r="DC276" s="19"/>
      <c r="DD276" s="19"/>
      <c r="DE276" s="19"/>
      <c r="DF276" s="19"/>
      <c r="DG276" s="19"/>
      <c r="DH276" s="19"/>
      <c r="DI276" s="19"/>
      <c r="DJ276" s="19"/>
      <c r="DK276" s="19"/>
      <c r="DL276" s="19"/>
      <c r="DM276" s="19"/>
      <c r="DN276" s="19"/>
      <c r="DO276" s="19"/>
      <c r="DP276" s="19"/>
      <c r="DQ276" s="19"/>
      <c r="DR276" s="19"/>
      <c r="DS276" s="19"/>
      <c r="DT276" s="19"/>
      <c r="DU276" s="19"/>
      <c r="DV276" s="19"/>
      <c r="DW276" s="19"/>
      <c r="DX276" s="19"/>
      <c r="DY276" s="19"/>
      <c r="DZ276" s="19"/>
      <c r="EA276" s="19"/>
      <c r="EB276" s="19"/>
      <c r="EC276" s="19"/>
      <c r="ED276" s="19"/>
      <c r="EE276" s="19"/>
      <c r="EF276" s="19"/>
      <c r="EG276" s="19"/>
      <c r="EH276" s="19"/>
      <c r="EI276" s="19"/>
      <c r="EJ276" s="19"/>
      <c r="EK276" s="19"/>
      <c r="EL276" s="19"/>
      <c r="EM276" s="19"/>
      <c r="EN276" s="19"/>
      <c r="EO276" s="19"/>
      <c r="EP276" s="19"/>
      <c r="EQ276" s="19"/>
      <c r="ER276" s="19"/>
      <c r="ES276" s="19"/>
      <c r="ET276" s="19"/>
      <c r="EU276" s="19"/>
      <c r="EV276" s="19"/>
      <c r="EW276" s="19"/>
      <c r="EX276" s="19"/>
      <c r="EY276" s="19"/>
      <c r="EZ276" s="19"/>
      <c r="FA276" s="19"/>
      <c r="FB276" s="19"/>
      <c r="FC276" s="19"/>
      <c r="FD276" s="19"/>
      <c r="FE276" s="19"/>
      <c r="FF276" s="19"/>
      <c r="FG276" s="19"/>
      <c r="FH276" s="19"/>
      <c r="FI276" s="19"/>
      <c r="FJ276" s="19"/>
      <c r="FK276" s="19"/>
      <c r="FL276" s="20" t="s">
        <v>1008</v>
      </c>
      <c r="FM276" s="20" t="s">
        <v>278</v>
      </c>
      <c r="FN276" s="19"/>
      <c r="FO276" s="19"/>
      <c r="FP276" s="19"/>
      <c r="FQ276" s="19"/>
      <c r="FR276" s="19"/>
      <c r="FS276" s="19"/>
      <c r="FT276" s="19"/>
      <c r="FU276" s="19"/>
      <c r="FV276" s="19"/>
      <c r="FW276" s="19"/>
      <c r="FX276" s="19"/>
      <c r="FY276" s="19"/>
      <c r="FZ276" s="19"/>
      <c r="GA276" s="19"/>
      <c r="GB276" s="19"/>
      <c r="GC276" s="19"/>
      <c r="GD276" s="19"/>
      <c r="GE276" s="19"/>
      <c r="GF276" s="19"/>
      <c r="GG276" s="19"/>
      <c r="GH276" s="19"/>
      <c r="GI276" s="19"/>
      <c r="GJ276" s="19"/>
      <c r="GK276" s="19"/>
      <c r="GL276" s="19"/>
      <c r="GM276" s="19"/>
      <c r="GN276" s="19"/>
      <c r="GO276" s="19"/>
      <c r="GP276" s="19"/>
      <c r="GQ276" s="19"/>
      <c r="GR276" s="19"/>
      <c r="GS276" s="19"/>
      <c r="GT276" s="19"/>
      <c r="GU276" s="19"/>
      <c r="GV276" s="19"/>
      <c r="GW276" s="19"/>
      <c r="GX276" s="19"/>
      <c r="GY276" s="19"/>
      <c r="GZ276" s="19"/>
      <c r="HA276" s="19"/>
    </row>
    <row r="277" spans="1:209" ht="23.25" customHeight="1" x14ac:dyDescent="0.15">
      <c r="A277" s="26">
        <v>44659.87706885417</v>
      </c>
      <c r="B277" s="27" t="s">
        <v>6</v>
      </c>
      <c r="C277" s="27" t="s">
        <v>10</v>
      </c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7" t="s">
        <v>1000</v>
      </c>
      <c r="AO277" s="27" t="s">
        <v>1012</v>
      </c>
      <c r="AP277" s="27" t="s">
        <v>751</v>
      </c>
      <c r="AQ277" s="27" t="s">
        <v>318</v>
      </c>
      <c r="AR277" s="29">
        <v>44477</v>
      </c>
      <c r="AS277" s="29">
        <v>44544</v>
      </c>
      <c r="AT277" s="27" t="s">
        <v>252</v>
      </c>
      <c r="AU277" s="27" t="s">
        <v>252</v>
      </c>
      <c r="AV277" s="27">
        <v>0</v>
      </c>
      <c r="AW277" s="30" t="s">
        <v>1013</v>
      </c>
      <c r="AX277" s="28"/>
      <c r="AY277" s="28"/>
      <c r="AZ277" s="28"/>
      <c r="BA277" s="28"/>
      <c r="BB277" s="28"/>
      <c r="BC277" s="28"/>
      <c r="BD277" s="28"/>
      <c r="BE277" s="28"/>
      <c r="BF277" s="28"/>
      <c r="BG277" s="28"/>
      <c r="BH277" s="28"/>
      <c r="BI277" s="28"/>
      <c r="BJ277" s="28"/>
      <c r="BK277" s="28"/>
      <c r="BL277" s="28"/>
      <c r="BM277" s="28"/>
      <c r="BN277" s="28"/>
      <c r="BO277" s="28"/>
      <c r="BP277" s="28"/>
      <c r="BQ277" s="28"/>
      <c r="BR277" s="28"/>
      <c r="BS277" s="28"/>
      <c r="BT277" s="28"/>
      <c r="BU277" s="28"/>
      <c r="BV277" s="28"/>
      <c r="BW277" s="28"/>
      <c r="BX277" s="28"/>
      <c r="BY277" s="19"/>
      <c r="BZ277" s="19"/>
      <c r="CA277" s="19"/>
      <c r="CB277" s="19"/>
      <c r="CC277" s="19"/>
      <c r="CD277" s="19"/>
      <c r="CE277" s="19"/>
      <c r="CF277" s="19"/>
      <c r="CG277" s="19"/>
      <c r="CH277" s="19"/>
      <c r="CI277" s="19"/>
      <c r="CJ277" s="19"/>
      <c r="CK277" s="19"/>
      <c r="CL277" s="19"/>
      <c r="CM277" s="19"/>
      <c r="CN277" s="19"/>
      <c r="CO277" s="19"/>
      <c r="CP277" s="19"/>
      <c r="CQ277" s="19"/>
      <c r="CR277" s="19"/>
      <c r="CS277" s="19"/>
      <c r="CT277" s="19"/>
      <c r="CU277" s="19"/>
      <c r="CV277" s="19"/>
      <c r="CW277" s="19"/>
      <c r="CX277" s="19"/>
      <c r="CY277" s="19"/>
      <c r="CZ277" s="19"/>
      <c r="DA277" s="19"/>
      <c r="DB277" s="19"/>
      <c r="DC277" s="19"/>
      <c r="DD277" s="19"/>
      <c r="DE277" s="19"/>
      <c r="DF277" s="19"/>
      <c r="DG277" s="19"/>
      <c r="DH277" s="19"/>
      <c r="DI277" s="19"/>
      <c r="DJ277" s="19"/>
      <c r="DK277" s="19"/>
      <c r="DL277" s="19"/>
      <c r="DM277" s="19"/>
      <c r="DN277" s="19"/>
      <c r="DO277" s="19"/>
      <c r="DP277" s="19"/>
      <c r="DQ277" s="19"/>
      <c r="DR277" s="19"/>
      <c r="DS277" s="19"/>
      <c r="DT277" s="19"/>
      <c r="DU277" s="19"/>
      <c r="DV277" s="19"/>
      <c r="DW277" s="19"/>
      <c r="DX277" s="19"/>
      <c r="DY277" s="19"/>
      <c r="DZ277" s="19"/>
      <c r="EA277" s="19"/>
      <c r="EB277" s="19"/>
      <c r="EC277" s="19"/>
      <c r="ED277" s="19"/>
      <c r="EE277" s="19"/>
      <c r="EF277" s="19"/>
      <c r="EG277" s="19"/>
      <c r="EH277" s="19"/>
      <c r="EI277" s="19"/>
      <c r="EJ277" s="19"/>
      <c r="EK277" s="19"/>
      <c r="EL277" s="19"/>
      <c r="EM277" s="19"/>
      <c r="EN277" s="19"/>
      <c r="EO277" s="19"/>
      <c r="EP277" s="19"/>
      <c r="EQ277" s="19"/>
      <c r="ER277" s="19"/>
      <c r="ES277" s="19"/>
      <c r="ET277" s="19"/>
      <c r="EU277" s="19"/>
      <c r="EV277" s="19"/>
      <c r="EW277" s="19"/>
      <c r="EX277" s="19"/>
      <c r="EY277" s="19"/>
      <c r="EZ277" s="19"/>
      <c r="FA277" s="19"/>
      <c r="FB277" s="19"/>
      <c r="FC277" s="19"/>
      <c r="FD277" s="19"/>
      <c r="FE277" s="19"/>
      <c r="FF277" s="19"/>
      <c r="FG277" s="19"/>
      <c r="FH277" s="19"/>
      <c r="FI277" s="19"/>
      <c r="FJ277" s="19"/>
      <c r="FK277" s="19"/>
      <c r="FL277" s="20" t="s">
        <v>1003</v>
      </c>
      <c r="FM277" s="20" t="s">
        <v>273</v>
      </c>
      <c r="FN277" s="19"/>
      <c r="FO277" s="19"/>
      <c r="FP277" s="19"/>
      <c r="FQ277" s="19"/>
      <c r="FR277" s="19"/>
      <c r="FS277" s="19"/>
      <c r="FT277" s="19"/>
      <c r="FU277" s="19"/>
      <c r="FV277" s="19"/>
      <c r="FW277" s="19"/>
      <c r="FX277" s="19"/>
      <c r="FY277" s="19"/>
      <c r="FZ277" s="19"/>
      <c r="GA277" s="19"/>
      <c r="GB277" s="19"/>
      <c r="GC277" s="19"/>
      <c r="GD277" s="19"/>
      <c r="GE277" s="19"/>
      <c r="GF277" s="19"/>
      <c r="GG277" s="19"/>
      <c r="GH277" s="19"/>
      <c r="GI277" s="19"/>
      <c r="GJ277" s="19"/>
      <c r="GK277" s="19"/>
      <c r="GL277" s="19"/>
      <c r="GM277" s="19"/>
      <c r="GN277" s="19"/>
      <c r="GO277" s="19"/>
      <c r="GP277" s="19"/>
      <c r="GQ277" s="19"/>
      <c r="GR277" s="19"/>
      <c r="GS277" s="19"/>
      <c r="GT277" s="19"/>
      <c r="GU277" s="19"/>
      <c r="GV277" s="19"/>
      <c r="GW277" s="19"/>
      <c r="GX277" s="19"/>
      <c r="GY277" s="19"/>
      <c r="GZ277" s="19"/>
      <c r="HA277" s="19"/>
    </row>
    <row r="278" spans="1:209" ht="23.25" customHeight="1" x14ac:dyDescent="0.15">
      <c r="A278" s="26">
        <v>44659.880509560186</v>
      </c>
      <c r="B278" s="27" t="s">
        <v>6</v>
      </c>
      <c r="C278" s="27" t="s">
        <v>11</v>
      </c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  <c r="AX278" s="27" t="s">
        <v>1014</v>
      </c>
      <c r="AY278" s="27" t="s">
        <v>1005</v>
      </c>
      <c r="AZ278" s="27" t="s">
        <v>1015</v>
      </c>
      <c r="BA278" s="27" t="s">
        <v>1016</v>
      </c>
      <c r="BB278" s="27">
        <v>2</v>
      </c>
      <c r="BC278" s="29">
        <v>44166</v>
      </c>
      <c r="BD278" s="29">
        <v>44239</v>
      </c>
      <c r="BE278" s="29">
        <v>44239</v>
      </c>
      <c r="BF278" s="27">
        <v>100</v>
      </c>
      <c r="BG278" s="27" t="s">
        <v>1017</v>
      </c>
      <c r="BH278" s="30" t="s">
        <v>1018</v>
      </c>
      <c r="BI278" s="28"/>
      <c r="BJ278" s="28"/>
      <c r="BK278" s="28"/>
      <c r="BL278" s="28"/>
      <c r="BM278" s="28"/>
      <c r="BN278" s="28"/>
      <c r="BO278" s="28"/>
      <c r="BP278" s="28"/>
      <c r="BQ278" s="28"/>
      <c r="BR278" s="28"/>
      <c r="BS278" s="28"/>
      <c r="BT278" s="28"/>
      <c r="BU278" s="28"/>
      <c r="BV278" s="28"/>
      <c r="BW278" s="28"/>
      <c r="BX278" s="28"/>
      <c r="BY278" s="19"/>
      <c r="BZ278" s="19"/>
      <c r="CA278" s="19"/>
      <c r="CB278" s="19"/>
      <c r="CC278" s="19"/>
      <c r="CD278" s="19"/>
      <c r="CE278" s="19"/>
      <c r="CF278" s="19"/>
      <c r="CG278" s="19"/>
      <c r="CH278" s="19"/>
      <c r="CI278" s="19"/>
      <c r="CJ278" s="19"/>
      <c r="CK278" s="19"/>
      <c r="CL278" s="19"/>
      <c r="CM278" s="19"/>
      <c r="CN278" s="19"/>
      <c r="CO278" s="19"/>
      <c r="CP278" s="19"/>
      <c r="CQ278" s="19"/>
      <c r="CR278" s="19"/>
      <c r="CS278" s="19"/>
      <c r="CT278" s="19"/>
      <c r="CU278" s="19"/>
      <c r="CV278" s="19"/>
      <c r="CW278" s="19"/>
      <c r="CX278" s="19"/>
      <c r="CY278" s="19"/>
      <c r="CZ278" s="19"/>
      <c r="DA278" s="19"/>
      <c r="DB278" s="19"/>
      <c r="DC278" s="19"/>
      <c r="DD278" s="19"/>
      <c r="DE278" s="19"/>
      <c r="DF278" s="19"/>
      <c r="DG278" s="19"/>
      <c r="DH278" s="19"/>
      <c r="DI278" s="19"/>
      <c r="DJ278" s="19"/>
      <c r="DK278" s="19"/>
      <c r="DL278" s="19"/>
      <c r="DM278" s="19"/>
      <c r="DN278" s="19"/>
      <c r="DO278" s="19"/>
      <c r="DP278" s="19"/>
      <c r="DQ278" s="19"/>
      <c r="DR278" s="19"/>
      <c r="DS278" s="19"/>
      <c r="DT278" s="19"/>
      <c r="DU278" s="19"/>
      <c r="DV278" s="19"/>
      <c r="DW278" s="19"/>
      <c r="DX278" s="19"/>
      <c r="DY278" s="19"/>
      <c r="DZ278" s="19"/>
      <c r="EA278" s="19"/>
      <c r="EB278" s="19"/>
      <c r="EC278" s="19"/>
      <c r="ED278" s="19"/>
      <c r="EE278" s="19"/>
      <c r="EF278" s="19"/>
      <c r="EG278" s="19"/>
      <c r="EH278" s="19"/>
      <c r="EI278" s="19"/>
      <c r="EJ278" s="19"/>
      <c r="EK278" s="19"/>
      <c r="EL278" s="19"/>
      <c r="EM278" s="19"/>
      <c r="EN278" s="19"/>
      <c r="EO278" s="19"/>
      <c r="EP278" s="19"/>
      <c r="EQ278" s="19"/>
      <c r="ER278" s="19"/>
      <c r="ES278" s="19"/>
      <c r="ET278" s="19"/>
      <c r="EU278" s="19"/>
      <c r="EV278" s="19"/>
      <c r="EW278" s="19"/>
      <c r="EX278" s="19"/>
      <c r="EY278" s="19"/>
      <c r="EZ278" s="19"/>
      <c r="FA278" s="19"/>
      <c r="FB278" s="19"/>
      <c r="FC278" s="19"/>
      <c r="FD278" s="19"/>
      <c r="FE278" s="19"/>
      <c r="FF278" s="19"/>
      <c r="FG278" s="19"/>
      <c r="FH278" s="19"/>
      <c r="FI278" s="19"/>
      <c r="FJ278" s="19"/>
      <c r="FK278" s="19"/>
      <c r="FL278" s="20" t="s">
        <v>1008</v>
      </c>
      <c r="FM278" s="20" t="s">
        <v>255</v>
      </c>
      <c r="FN278" s="19"/>
      <c r="FO278" s="19"/>
      <c r="FP278" s="19"/>
      <c r="FQ278" s="19"/>
      <c r="FR278" s="19"/>
      <c r="FS278" s="19"/>
      <c r="FT278" s="19"/>
      <c r="FU278" s="19"/>
      <c r="FV278" s="19"/>
      <c r="FW278" s="19"/>
      <c r="FX278" s="19"/>
      <c r="FY278" s="19"/>
      <c r="FZ278" s="19"/>
      <c r="GA278" s="19"/>
      <c r="GB278" s="19"/>
      <c r="GC278" s="19"/>
      <c r="GD278" s="19"/>
      <c r="GE278" s="19"/>
      <c r="GF278" s="19"/>
      <c r="GG278" s="19"/>
      <c r="GH278" s="19"/>
      <c r="GI278" s="19"/>
      <c r="GJ278" s="19"/>
      <c r="GK278" s="19"/>
      <c r="GL278" s="19"/>
      <c r="GM278" s="19"/>
      <c r="GN278" s="19"/>
      <c r="GO278" s="19"/>
      <c r="GP278" s="19"/>
      <c r="GQ278" s="19"/>
      <c r="GR278" s="19"/>
      <c r="GS278" s="19"/>
      <c r="GT278" s="19"/>
      <c r="GU278" s="19"/>
      <c r="GV278" s="19"/>
      <c r="GW278" s="19"/>
      <c r="GX278" s="19"/>
      <c r="GY278" s="19"/>
      <c r="GZ278" s="19"/>
      <c r="HA278" s="19"/>
    </row>
    <row r="279" spans="1:209" ht="23.25" customHeight="1" x14ac:dyDescent="0.15">
      <c r="A279" s="26">
        <v>44659.881464178237</v>
      </c>
      <c r="B279" s="27" t="s">
        <v>6</v>
      </c>
      <c r="C279" s="27" t="s">
        <v>11</v>
      </c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  <c r="AX279" s="27" t="s">
        <v>1019</v>
      </c>
      <c r="AY279" s="27" t="s">
        <v>1020</v>
      </c>
      <c r="AZ279" s="27" t="s">
        <v>1021</v>
      </c>
      <c r="BA279" s="27" t="s">
        <v>1022</v>
      </c>
      <c r="BB279" s="27" t="s">
        <v>448</v>
      </c>
      <c r="BC279" s="29">
        <v>43983</v>
      </c>
      <c r="BD279" s="29">
        <v>44075</v>
      </c>
      <c r="BE279" s="29">
        <v>44084</v>
      </c>
      <c r="BF279" s="27">
        <v>92</v>
      </c>
      <c r="BG279" s="27" t="s">
        <v>1023</v>
      </c>
      <c r="BH279" s="30" t="s">
        <v>1024</v>
      </c>
      <c r="BI279" s="28"/>
      <c r="BJ279" s="28"/>
      <c r="BK279" s="28"/>
      <c r="BL279" s="28"/>
      <c r="BM279" s="28"/>
      <c r="BN279" s="28"/>
      <c r="BO279" s="28"/>
      <c r="BP279" s="28"/>
      <c r="BQ279" s="28"/>
      <c r="BR279" s="28"/>
      <c r="BS279" s="28"/>
      <c r="BT279" s="28"/>
      <c r="BU279" s="28"/>
      <c r="BV279" s="28"/>
      <c r="BW279" s="28"/>
      <c r="BX279" s="28"/>
      <c r="BY279" s="19"/>
      <c r="BZ279" s="19"/>
      <c r="CA279" s="19"/>
      <c r="CB279" s="19"/>
      <c r="CC279" s="19"/>
      <c r="CD279" s="19"/>
      <c r="CE279" s="19"/>
      <c r="CF279" s="19"/>
      <c r="CG279" s="19"/>
      <c r="CH279" s="19"/>
      <c r="CI279" s="19"/>
      <c r="CJ279" s="19"/>
      <c r="CK279" s="19"/>
      <c r="CL279" s="19"/>
      <c r="CM279" s="19"/>
      <c r="CN279" s="19"/>
      <c r="CO279" s="19"/>
      <c r="CP279" s="19"/>
      <c r="CQ279" s="19"/>
      <c r="CR279" s="19"/>
      <c r="CS279" s="19"/>
      <c r="CT279" s="19"/>
      <c r="CU279" s="19"/>
      <c r="CV279" s="19"/>
      <c r="CW279" s="19"/>
      <c r="CX279" s="19"/>
      <c r="CY279" s="19"/>
      <c r="CZ279" s="19"/>
      <c r="DA279" s="19"/>
      <c r="DB279" s="19"/>
      <c r="DC279" s="19"/>
      <c r="DD279" s="19"/>
      <c r="DE279" s="19"/>
      <c r="DF279" s="19"/>
      <c r="DG279" s="19"/>
      <c r="DH279" s="19"/>
      <c r="DI279" s="19"/>
      <c r="DJ279" s="19"/>
      <c r="DK279" s="19"/>
      <c r="DL279" s="19"/>
      <c r="DM279" s="19"/>
      <c r="DN279" s="19"/>
      <c r="DO279" s="19"/>
      <c r="DP279" s="19"/>
      <c r="DQ279" s="19"/>
      <c r="DR279" s="19"/>
      <c r="DS279" s="19"/>
      <c r="DT279" s="19"/>
      <c r="DU279" s="19"/>
      <c r="DV279" s="19"/>
      <c r="DW279" s="19"/>
      <c r="DX279" s="19"/>
      <c r="DY279" s="19"/>
      <c r="DZ279" s="19"/>
      <c r="EA279" s="19"/>
      <c r="EB279" s="19"/>
      <c r="EC279" s="19"/>
      <c r="ED279" s="19"/>
      <c r="EE279" s="19"/>
      <c r="EF279" s="19"/>
      <c r="EG279" s="19"/>
      <c r="EH279" s="19"/>
      <c r="EI279" s="19"/>
      <c r="EJ279" s="19"/>
      <c r="EK279" s="19"/>
      <c r="EL279" s="19"/>
      <c r="EM279" s="19"/>
      <c r="EN279" s="19"/>
      <c r="EO279" s="19"/>
      <c r="EP279" s="19"/>
      <c r="EQ279" s="19"/>
      <c r="ER279" s="19"/>
      <c r="ES279" s="19"/>
      <c r="ET279" s="19"/>
      <c r="EU279" s="19"/>
      <c r="EV279" s="19"/>
      <c r="EW279" s="19"/>
      <c r="EX279" s="19"/>
      <c r="EY279" s="19"/>
      <c r="EZ279" s="19"/>
      <c r="FA279" s="19"/>
      <c r="FB279" s="19"/>
      <c r="FC279" s="19"/>
      <c r="FD279" s="19"/>
      <c r="FE279" s="19"/>
      <c r="FF279" s="19"/>
      <c r="FG279" s="19"/>
      <c r="FH279" s="19"/>
      <c r="FI279" s="19"/>
      <c r="FJ279" s="19"/>
      <c r="FK279" s="19"/>
      <c r="FL279" s="20" t="s">
        <v>1025</v>
      </c>
      <c r="FM279" s="20" t="s">
        <v>255</v>
      </c>
      <c r="FN279" s="19"/>
      <c r="FO279" s="19"/>
      <c r="FP279" s="19"/>
      <c r="FQ279" s="19"/>
      <c r="FR279" s="19"/>
      <c r="FS279" s="19"/>
      <c r="FT279" s="19"/>
      <c r="FU279" s="19"/>
      <c r="FV279" s="19"/>
      <c r="FW279" s="19"/>
      <c r="FX279" s="19"/>
      <c r="FY279" s="19"/>
      <c r="FZ279" s="19"/>
      <c r="GA279" s="19"/>
      <c r="GB279" s="19"/>
      <c r="GC279" s="19"/>
      <c r="GD279" s="19"/>
      <c r="GE279" s="19"/>
      <c r="GF279" s="19"/>
      <c r="GG279" s="19"/>
      <c r="GH279" s="19"/>
      <c r="GI279" s="19"/>
      <c r="GJ279" s="19"/>
      <c r="GK279" s="19"/>
      <c r="GL279" s="19"/>
      <c r="GM279" s="19"/>
      <c r="GN279" s="19"/>
      <c r="GO279" s="19"/>
      <c r="GP279" s="19"/>
      <c r="GQ279" s="19"/>
      <c r="GR279" s="19"/>
      <c r="GS279" s="19"/>
      <c r="GT279" s="19"/>
      <c r="GU279" s="19"/>
      <c r="GV279" s="19"/>
      <c r="GW279" s="19"/>
      <c r="GX279" s="19"/>
      <c r="GY279" s="19"/>
      <c r="GZ279" s="19"/>
      <c r="HA279" s="19"/>
    </row>
    <row r="280" spans="1:209" ht="23.25" customHeight="1" x14ac:dyDescent="0.15">
      <c r="A280" s="26">
        <v>44659.892764641205</v>
      </c>
      <c r="B280" s="27" t="s">
        <v>6</v>
      </c>
      <c r="C280" s="27" t="s">
        <v>11</v>
      </c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  <c r="AX280" s="27" t="s">
        <v>1014</v>
      </c>
      <c r="AY280" s="27" t="s">
        <v>1005</v>
      </c>
      <c r="AZ280" s="27" t="s">
        <v>1026</v>
      </c>
      <c r="BA280" s="27" t="s">
        <v>1027</v>
      </c>
      <c r="BB280" s="27">
        <v>0</v>
      </c>
      <c r="BC280" s="29">
        <v>43991</v>
      </c>
      <c r="BD280" s="29">
        <v>43991</v>
      </c>
      <c r="BE280" s="29">
        <v>43991</v>
      </c>
      <c r="BF280" s="27">
        <v>100</v>
      </c>
      <c r="BG280" s="27" t="s">
        <v>1028</v>
      </c>
      <c r="BH280" s="30" t="s">
        <v>1029</v>
      </c>
      <c r="BI280" s="28"/>
      <c r="BJ280" s="28"/>
      <c r="BK280" s="28"/>
      <c r="BL280" s="28"/>
      <c r="BM280" s="28"/>
      <c r="BN280" s="28"/>
      <c r="BO280" s="28"/>
      <c r="BP280" s="28"/>
      <c r="BQ280" s="28"/>
      <c r="BR280" s="28"/>
      <c r="BS280" s="28"/>
      <c r="BT280" s="28"/>
      <c r="BU280" s="28"/>
      <c r="BV280" s="28"/>
      <c r="BW280" s="28"/>
      <c r="BX280" s="28"/>
      <c r="BY280" s="19"/>
      <c r="BZ280" s="19"/>
      <c r="CA280" s="19"/>
      <c r="CB280" s="19"/>
      <c r="CC280" s="19"/>
      <c r="CD280" s="19"/>
      <c r="CE280" s="19"/>
      <c r="CF280" s="19"/>
      <c r="CG280" s="19"/>
      <c r="CH280" s="19"/>
      <c r="CI280" s="19"/>
      <c r="CJ280" s="19"/>
      <c r="CK280" s="19"/>
      <c r="CL280" s="19"/>
      <c r="CM280" s="19"/>
      <c r="CN280" s="19"/>
      <c r="CO280" s="19"/>
      <c r="CP280" s="19"/>
      <c r="CQ280" s="19"/>
      <c r="CR280" s="19"/>
      <c r="CS280" s="19"/>
      <c r="CT280" s="19"/>
      <c r="CU280" s="19"/>
      <c r="CV280" s="19"/>
      <c r="CW280" s="19"/>
      <c r="CX280" s="19"/>
      <c r="CY280" s="19"/>
      <c r="CZ280" s="19"/>
      <c r="DA280" s="19"/>
      <c r="DB280" s="19"/>
      <c r="DC280" s="19"/>
      <c r="DD280" s="19"/>
      <c r="DE280" s="19"/>
      <c r="DF280" s="19"/>
      <c r="DG280" s="19"/>
      <c r="DH280" s="19"/>
      <c r="DI280" s="19"/>
      <c r="DJ280" s="19"/>
      <c r="DK280" s="19"/>
      <c r="DL280" s="19"/>
      <c r="DM280" s="19"/>
      <c r="DN280" s="19"/>
      <c r="DO280" s="19"/>
      <c r="DP280" s="19"/>
      <c r="DQ280" s="19"/>
      <c r="DR280" s="19"/>
      <c r="DS280" s="19"/>
      <c r="DT280" s="19"/>
      <c r="DU280" s="19"/>
      <c r="DV280" s="19"/>
      <c r="DW280" s="19"/>
      <c r="DX280" s="19"/>
      <c r="DY280" s="19"/>
      <c r="DZ280" s="19"/>
      <c r="EA280" s="19"/>
      <c r="EB280" s="19"/>
      <c r="EC280" s="19"/>
      <c r="ED280" s="19"/>
      <c r="EE280" s="19"/>
      <c r="EF280" s="19"/>
      <c r="EG280" s="19"/>
      <c r="EH280" s="19"/>
      <c r="EI280" s="19"/>
      <c r="EJ280" s="19"/>
      <c r="EK280" s="19"/>
      <c r="EL280" s="19"/>
      <c r="EM280" s="19"/>
      <c r="EN280" s="19"/>
      <c r="EO280" s="19"/>
      <c r="EP280" s="19"/>
      <c r="EQ280" s="19"/>
      <c r="ER280" s="19"/>
      <c r="ES280" s="19"/>
      <c r="ET280" s="19"/>
      <c r="EU280" s="19"/>
      <c r="EV280" s="19"/>
      <c r="EW280" s="19"/>
      <c r="EX280" s="19"/>
      <c r="EY280" s="19"/>
      <c r="EZ280" s="19"/>
      <c r="FA280" s="19"/>
      <c r="FB280" s="19"/>
      <c r="FC280" s="19"/>
      <c r="FD280" s="19"/>
      <c r="FE280" s="19"/>
      <c r="FF280" s="19"/>
      <c r="FG280" s="19"/>
      <c r="FH280" s="19"/>
      <c r="FI280" s="19"/>
      <c r="FJ280" s="19"/>
      <c r="FK280" s="19"/>
      <c r="FL280" s="20" t="s">
        <v>1008</v>
      </c>
      <c r="FM280" s="20" t="s">
        <v>255</v>
      </c>
      <c r="FN280" s="19"/>
      <c r="FO280" s="19"/>
      <c r="FP280" s="19"/>
      <c r="FQ280" s="19"/>
      <c r="FR280" s="19"/>
      <c r="FS280" s="19"/>
      <c r="FT280" s="19"/>
      <c r="FU280" s="19"/>
      <c r="FV280" s="19"/>
      <c r="FW280" s="19"/>
      <c r="FX280" s="19"/>
      <c r="FY280" s="19"/>
      <c r="FZ280" s="19"/>
      <c r="GA280" s="19"/>
      <c r="GB280" s="19"/>
      <c r="GC280" s="19"/>
      <c r="GD280" s="19"/>
      <c r="GE280" s="19"/>
      <c r="GF280" s="19"/>
      <c r="GG280" s="19"/>
      <c r="GH280" s="19"/>
      <c r="GI280" s="19"/>
      <c r="GJ280" s="19"/>
      <c r="GK280" s="19"/>
      <c r="GL280" s="19"/>
      <c r="GM280" s="19"/>
      <c r="GN280" s="19"/>
      <c r="GO280" s="19"/>
      <c r="GP280" s="19"/>
      <c r="GQ280" s="19"/>
      <c r="GR280" s="19"/>
      <c r="GS280" s="19"/>
      <c r="GT280" s="19"/>
      <c r="GU280" s="19"/>
      <c r="GV280" s="19"/>
      <c r="GW280" s="19"/>
      <c r="GX280" s="19"/>
      <c r="GY280" s="19"/>
      <c r="GZ280" s="19"/>
      <c r="HA280" s="19"/>
    </row>
    <row r="281" spans="1:209" ht="23.25" customHeight="1" x14ac:dyDescent="0.15">
      <c r="A281" s="26">
        <v>44659.898655509256</v>
      </c>
      <c r="B281" s="27" t="s">
        <v>6</v>
      </c>
      <c r="C281" s="27" t="s">
        <v>11</v>
      </c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  <c r="AX281" s="27" t="s">
        <v>996</v>
      </c>
      <c r="AY281" s="27" t="s">
        <v>997</v>
      </c>
      <c r="AZ281" s="27" t="s">
        <v>349</v>
      </c>
      <c r="BA281" s="27" t="s">
        <v>407</v>
      </c>
      <c r="BB281" s="27" t="s">
        <v>550</v>
      </c>
      <c r="BC281" s="29">
        <v>43615</v>
      </c>
      <c r="BD281" s="29">
        <v>44660</v>
      </c>
      <c r="BE281" s="29">
        <v>43677</v>
      </c>
      <c r="BF281" s="27">
        <v>100</v>
      </c>
      <c r="BG281" s="27" t="s">
        <v>1030</v>
      </c>
      <c r="BH281" s="30" t="s">
        <v>1031</v>
      </c>
      <c r="BI281" s="28"/>
      <c r="BJ281" s="28"/>
      <c r="BK281" s="28"/>
      <c r="BL281" s="28"/>
      <c r="BM281" s="28"/>
      <c r="BN281" s="28"/>
      <c r="BO281" s="28"/>
      <c r="BP281" s="28"/>
      <c r="BQ281" s="28"/>
      <c r="BR281" s="28"/>
      <c r="BS281" s="28"/>
      <c r="BT281" s="28"/>
      <c r="BU281" s="28"/>
      <c r="BV281" s="28"/>
      <c r="BW281" s="28"/>
      <c r="BX281" s="28"/>
      <c r="BY281" s="19"/>
      <c r="BZ281" s="19"/>
      <c r="CA281" s="19"/>
      <c r="CB281" s="19"/>
      <c r="CC281" s="19"/>
      <c r="CD281" s="19"/>
      <c r="CE281" s="19"/>
      <c r="CF281" s="19"/>
      <c r="CG281" s="19"/>
      <c r="CH281" s="19"/>
      <c r="CI281" s="19"/>
      <c r="CJ281" s="19"/>
      <c r="CK281" s="19"/>
      <c r="CL281" s="19"/>
      <c r="CM281" s="19"/>
      <c r="CN281" s="19"/>
      <c r="CO281" s="19"/>
      <c r="CP281" s="19"/>
      <c r="CQ281" s="19"/>
      <c r="CR281" s="19"/>
      <c r="CS281" s="19"/>
      <c r="CT281" s="19"/>
      <c r="CU281" s="19"/>
      <c r="CV281" s="19"/>
      <c r="CW281" s="19"/>
      <c r="CX281" s="19"/>
      <c r="CY281" s="19"/>
      <c r="CZ281" s="19"/>
      <c r="DA281" s="19"/>
      <c r="DB281" s="19"/>
      <c r="DC281" s="19"/>
      <c r="DD281" s="19"/>
      <c r="DE281" s="19"/>
      <c r="DF281" s="19"/>
      <c r="DG281" s="19"/>
      <c r="DH281" s="19"/>
      <c r="DI281" s="19"/>
      <c r="DJ281" s="19"/>
      <c r="DK281" s="19"/>
      <c r="DL281" s="19"/>
      <c r="DM281" s="19"/>
      <c r="DN281" s="19"/>
      <c r="DO281" s="19"/>
      <c r="DP281" s="19"/>
      <c r="DQ281" s="19"/>
      <c r="DR281" s="19"/>
      <c r="DS281" s="19"/>
      <c r="DT281" s="19"/>
      <c r="DU281" s="19"/>
      <c r="DV281" s="19"/>
      <c r="DW281" s="19"/>
      <c r="DX281" s="19"/>
      <c r="DY281" s="19"/>
      <c r="DZ281" s="19"/>
      <c r="EA281" s="19"/>
      <c r="EB281" s="19"/>
      <c r="EC281" s="19"/>
      <c r="ED281" s="19"/>
      <c r="EE281" s="19"/>
      <c r="EF281" s="19"/>
      <c r="EG281" s="19"/>
      <c r="EH281" s="19"/>
      <c r="EI281" s="19"/>
      <c r="EJ281" s="19"/>
      <c r="EK281" s="19"/>
      <c r="EL281" s="19"/>
      <c r="EM281" s="19"/>
      <c r="EN281" s="19"/>
      <c r="EO281" s="19"/>
      <c r="EP281" s="19"/>
      <c r="EQ281" s="19"/>
      <c r="ER281" s="19"/>
      <c r="ES281" s="19"/>
      <c r="ET281" s="19"/>
      <c r="EU281" s="19"/>
      <c r="EV281" s="19"/>
      <c r="EW281" s="19"/>
      <c r="EX281" s="19"/>
      <c r="EY281" s="19"/>
      <c r="EZ281" s="19"/>
      <c r="FA281" s="19"/>
      <c r="FB281" s="19"/>
      <c r="FC281" s="19"/>
      <c r="FD281" s="19"/>
      <c r="FE281" s="19"/>
      <c r="FF281" s="19"/>
      <c r="FG281" s="19"/>
      <c r="FH281" s="19"/>
      <c r="FI281" s="19"/>
      <c r="FJ281" s="19"/>
      <c r="FK281" s="19"/>
      <c r="FL281" s="20" t="s">
        <v>999</v>
      </c>
      <c r="FM281" s="20" t="s">
        <v>255</v>
      </c>
      <c r="FN281" s="19"/>
      <c r="FO281" s="19"/>
      <c r="FP281" s="19"/>
      <c r="FQ281" s="19"/>
      <c r="FR281" s="19"/>
      <c r="FS281" s="19"/>
      <c r="FT281" s="19"/>
      <c r="FU281" s="19"/>
      <c r="FV281" s="19"/>
      <c r="FW281" s="19"/>
      <c r="FX281" s="19"/>
      <c r="FY281" s="19"/>
      <c r="FZ281" s="19"/>
      <c r="GA281" s="19"/>
      <c r="GB281" s="19"/>
      <c r="GC281" s="19"/>
      <c r="GD281" s="19"/>
      <c r="GE281" s="19"/>
      <c r="GF281" s="19"/>
      <c r="GG281" s="19"/>
      <c r="GH281" s="19"/>
      <c r="GI281" s="19"/>
      <c r="GJ281" s="19"/>
      <c r="GK281" s="19"/>
      <c r="GL281" s="19"/>
      <c r="GM281" s="19"/>
      <c r="GN281" s="19"/>
      <c r="GO281" s="19"/>
      <c r="GP281" s="19"/>
      <c r="GQ281" s="19"/>
      <c r="GR281" s="19"/>
      <c r="GS281" s="19"/>
      <c r="GT281" s="19"/>
      <c r="GU281" s="19"/>
      <c r="GV281" s="19"/>
      <c r="GW281" s="19"/>
      <c r="GX281" s="19"/>
      <c r="GY281" s="19"/>
      <c r="GZ281" s="19"/>
      <c r="HA281" s="19"/>
    </row>
    <row r="282" spans="1:209" ht="23.25" customHeight="1" x14ac:dyDescent="0.15">
      <c r="A282" s="26">
        <v>44659.901843692132</v>
      </c>
      <c r="B282" s="27" t="s">
        <v>6</v>
      </c>
      <c r="C282" s="27" t="s">
        <v>11</v>
      </c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  <c r="AX282" s="27" t="s">
        <v>1000</v>
      </c>
      <c r="AY282" s="27" t="s">
        <v>1012</v>
      </c>
      <c r="AZ282" s="27" t="s">
        <v>600</v>
      </c>
      <c r="BA282" s="27" t="s">
        <v>307</v>
      </c>
      <c r="BB282" s="27" t="s">
        <v>1032</v>
      </c>
      <c r="BC282" s="29">
        <v>44652</v>
      </c>
      <c r="BD282" s="29">
        <v>44681</v>
      </c>
      <c r="BE282" s="29">
        <v>44624</v>
      </c>
      <c r="BF282" s="27">
        <v>100</v>
      </c>
      <c r="BG282" s="27" t="s">
        <v>337</v>
      </c>
      <c r="BH282" s="30" t="s">
        <v>1033</v>
      </c>
      <c r="BI282" s="28"/>
      <c r="BJ282" s="28"/>
      <c r="BK282" s="28"/>
      <c r="BL282" s="28"/>
      <c r="BM282" s="28"/>
      <c r="BN282" s="28"/>
      <c r="BO282" s="28"/>
      <c r="BP282" s="28"/>
      <c r="BQ282" s="28"/>
      <c r="BR282" s="28"/>
      <c r="BS282" s="28"/>
      <c r="BT282" s="28"/>
      <c r="BU282" s="28"/>
      <c r="BV282" s="28"/>
      <c r="BW282" s="28"/>
      <c r="BX282" s="28"/>
      <c r="BY282" s="19"/>
      <c r="BZ282" s="19"/>
      <c r="CA282" s="19"/>
      <c r="CB282" s="19"/>
      <c r="CC282" s="19"/>
      <c r="CD282" s="19"/>
      <c r="CE282" s="19"/>
      <c r="CF282" s="19"/>
      <c r="CG282" s="19"/>
      <c r="CH282" s="19"/>
      <c r="CI282" s="19"/>
      <c r="CJ282" s="19"/>
      <c r="CK282" s="19"/>
      <c r="CL282" s="19"/>
      <c r="CM282" s="19"/>
      <c r="CN282" s="19"/>
      <c r="CO282" s="19"/>
      <c r="CP282" s="19"/>
      <c r="CQ282" s="19"/>
      <c r="CR282" s="19"/>
      <c r="CS282" s="19"/>
      <c r="CT282" s="19"/>
      <c r="CU282" s="19"/>
      <c r="CV282" s="19"/>
      <c r="CW282" s="19"/>
      <c r="CX282" s="19"/>
      <c r="CY282" s="19"/>
      <c r="CZ282" s="19"/>
      <c r="DA282" s="19"/>
      <c r="DB282" s="19"/>
      <c r="DC282" s="19"/>
      <c r="DD282" s="19"/>
      <c r="DE282" s="19"/>
      <c r="DF282" s="19"/>
      <c r="DG282" s="19"/>
      <c r="DH282" s="19"/>
      <c r="DI282" s="19"/>
      <c r="DJ282" s="19"/>
      <c r="DK282" s="19"/>
      <c r="DL282" s="19"/>
      <c r="DM282" s="19"/>
      <c r="DN282" s="19"/>
      <c r="DO282" s="19"/>
      <c r="DP282" s="19"/>
      <c r="DQ282" s="19"/>
      <c r="DR282" s="19"/>
      <c r="DS282" s="19"/>
      <c r="DT282" s="19"/>
      <c r="DU282" s="19"/>
      <c r="DV282" s="19"/>
      <c r="DW282" s="19"/>
      <c r="DX282" s="19"/>
      <c r="DY282" s="19"/>
      <c r="DZ282" s="19"/>
      <c r="EA282" s="19"/>
      <c r="EB282" s="19"/>
      <c r="EC282" s="19"/>
      <c r="ED282" s="19"/>
      <c r="EE282" s="19"/>
      <c r="EF282" s="19"/>
      <c r="EG282" s="19"/>
      <c r="EH282" s="19"/>
      <c r="EI282" s="19"/>
      <c r="EJ282" s="19"/>
      <c r="EK282" s="19"/>
      <c r="EL282" s="19"/>
      <c r="EM282" s="19"/>
      <c r="EN282" s="19"/>
      <c r="EO282" s="19"/>
      <c r="EP282" s="19"/>
      <c r="EQ282" s="19"/>
      <c r="ER282" s="19"/>
      <c r="ES282" s="19"/>
      <c r="ET282" s="19"/>
      <c r="EU282" s="19"/>
      <c r="EV282" s="19"/>
      <c r="EW282" s="19"/>
      <c r="EX282" s="19"/>
      <c r="EY282" s="19"/>
      <c r="EZ282" s="19"/>
      <c r="FA282" s="19"/>
      <c r="FB282" s="19"/>
      <c r="FC282" s="19"/>
      <c r="FD282" s="19"/>
      <c r="FE282" s="19"/>
      <c r="FF282" s="19"/>
      <c r="FG282" s="19"/>
      <c r="FH282" s="19"/>
      <c r="FI282" s="19"/>
      <c r="FJ282" s="19"/>
      <c r="FK282" s="19"/>
      <c r="FL282" s="20" t="s">
        <v>1003</v>
      </c>
      <c r="FM282" s="20" t="s">
        <v>255</v>
      </c>
      <c r="FN282" s="19"/>
      <c r="FO282" s="19"/>
      <c r="FP282" s="19"/>
      <c r="FQ282" s="19"/>
      <c r="FR282" s="19"/>
      <c r="FS282" s="19"/>
      <c r="FT282" s="19"/>
      <c r="FU282" s="19"/>
      <c r="FV282" s="19"/>
      <c r="FW282" s="19"/>
      <c r="FX282" s="19"/>
      <c r="FY282" s="19"/>
      <c r="FZ282" s="19"/>
      <c r="GA282" s="19"/>
      <c r="GB282" s="19"/>
      <c r="GC282" s="19"/>
      <c r="GD282" s="19"/>
      <c r="GE282" s="19"/>
      <c r="GF282" s="19"/>
      <c r="GG282" s="19"/>
      <c r="GH282" s="19"/>
      <c r="GI282" s="19"/>
      <c r="GJ282" s="19"/>
      <c r="GK282" s="19"/>
      <c r="GL282" s="19"/>
      <c r="GM282" s="19"/>
      <c r="GN282" s="19"/>
      <c r="GO282" s="19"/>
      <c r="GP282" s="19"/>
      <c r="GQ282" s="19"/>
      <c r="GR282" s="19"/>
      <c r="GS282" s="19"/>
      <c r="GT282" s="19"/>
      <c r="GU282" s="19"/>
      <c r="GV282" s="19"/>
      <c r="GW282" s="19"/>
      <c r="GX282" s="19"/>
      <c r="GY282" s="19"/>
      <c r="GZ282" s="19"/>
      <c r="HA282" s="19"/>
    </row>
    <row r="283" spans="1:209" ht="23.25" customHeight="1" x14ac:dyDescent="0.15">
      <c r="A283" s="26">
        <v>44659.904066319446</v>
      </c>
      <c r="B283" s="27" t="s">
        <v>6</v>
      </c>
      <c r="C283" s="27" t="s">
        <v>11</v>
      </c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  <c r="AX283" s="27" t="s">
        <v>1034</v>
      </c>
      <c r="AY283" s="27" t="s">
        <v>1035</v>
      </c>
      <c r="AZ283" s="27" t="s">
        <v>1036</v>
      </c>
      <c r="BA283" s="27" t="s">
        <v>1037</v>
      </c>
      <c r="BB283" s="27" t="s">
        <v>308</v>
      </c>
      <c r="BC283" s="29">
        <v>44322</v>
      </c>
      <c r="BD283" s="29">
        <v>44353</v>
      </c>
      <c r="BE283" s="29">
        <v>44383</v>
      </c>
      <c r="BF283" s="27">
        <v>88</v>
      </c>
      <c r="BG283" s="27" t="s">
        <v>1038</v>
      </c>
      <c r="BH283" s="30" t="s">
        <v>1039</v>
      </c>
      <c r="BI283" s="28"/>
      <c r="BJ283" s="28"/>
      <c r="BK283" s="28"/>
      <c r="BL283" s="28"/>
      <c r="BM283" s="28"/>
      <c r="BN283" s="28"/>
      <c r="BO283" s="28"/>
      <c r="BP283" s="28"/>
      <c r="BQ283" s="28"/>
      <c r="BR283" s="28"/>
      <c r="BS283" s="28"/>
      <c r="BT283" s="28"/>
      <c r="BU283" s="28"/>
      <c r="BV283" s="28"/>
      <c r="BW283" s="28"/>
      <c r="BX283" s="28"/>
      <c r="BY283" s="19"/>
      <c r="BZ283" s="19"/>
      <c r="CA283" s="19"/>
      <c r="CB283" s="19"/>
      <c r="CC283" s="19"/>
      <c r="CD283" s="19"/>
      <c r="CE283" s="19"/>
      <c r="CF283" s="19"/>
      <c r="CG283" s="19"/>
      <c r="CH283" s="19"/>
      <c r="CI283" s="19"/>
      <c r="CJ283" s="19"/>
      <c r="CK283" s="19"/>
      <c r="CL283" s="19"/>
      <c r="CM283" s="19"/>
      <c r="CN283" s="19"/>
      <c r="CO283" s="19"/>
      <c r="CP283" s="19"/>
      <c r="CQ283" s="19"/>
      <c r="CR283" s="19"/>
      <c r="CS283" s="19"/>
      <c r="CT283" s="19"/>
      <c r="CU283" s="19"/>
      <c r="CV283" s="19"/>
      <c r="CW283" s="19"/>
      <c r="CX283" s="19"/>
      <c r="CY283" s="19"/>
      <c r="CZ283" s="19"/>
      <c r="DA283" s="19"/>
      <c r="DB283" s="19"/>
      <c r="DC283" s="19"/>
      <c r="DD283" s="19"/>
      <c r="DE283" s="19"/>
      <c r="DF283" s="19"/>
      <c r="DG283" s="19"/>
      <c r="DH283" s="19"/>
      <c r="DI283" s="19"/>
      <c r="DJ283" s="19"/>
      <c r="DK283" s="19"/>
      <c r="DL283" s="19"/>
      <c r="DM283" s="19"/>
      <c r="DN283" s="19"/>
      <c r="DO283" s="19"/>
      <c r="DP283" s="19"/>
      <c r="DQ283" s="19"/>
      <c r="DR283" s="19"/>
      <c r="DS283" s="19"/>
      <c r="DT283" s="19"/>
      <c r="DU283" s="19"/>
      <c r="DV283" s="19"/>
      <c r="DW283" s="19"/>
      <c r="DX283" s="19"/>
      <c r="DY283" s="19"/>
      <c r="DZ283" s="19"/>
      <c r="EA283" s="19"/>
      <c r="EB283" s="19"/>
      <c r="EC283" s="19"/>
      <c r="ED283" s="19"/>
      <c r="EE283" s="19"/>
      <c r="EF283" s="19"/>
      <c r="EG283" s="19"/>
      <c r="EH283" s="19"/>
      <c r="EI283" s="19"/>
      <c r="EJ283" s="19"/>
      <c r="EK283" s="19"/>
      <c r="EL283" s="19"/>
      <c r="EM283" s="19"/>
      <c r="EN283" s="19"/>
      <c r="EO283" s="19"/>
      <c r="EP283" s="19"/>
      <c r="EQ283" s="19"/>
      <c r="ER283" s="19"/>
      <c r="ES283" s="19"/>
      <c r="ET283" s="19"/>
      <c r="EU283" s="19"/>
      <c r="EV283" s="19"/>
      <c r="EW283" s="19"/>
      <c r="EX283" s="19"/>
      <c r="EY283" s="19"/>
      <c r="EZ283" s="19"/>
      <c r="FA283" s="19"/>
      <c r="FB283" s="19"/>
      <c r="FC283" s="19"/>
      <c r="FD283" s="19"/>
      <c r="FE283" s="19"/>
      <c r="FF283" s="19"/>
      <c r="FG283" s="19"/>
      <c r="FH283" s="19"/>
      <c r="FI283" s="19"/>
      <c r="FJ283" s="19"/>
      <c r="FK283" s="19"/>
      <c r="FL283" s="20" t="s">
        <v>1040</v>
      </c>
      <c r="FM283" s="20" t="s">
        <v>255</v>
      </c>
      <c r="FN283" s="19"/>
      <c r="FO283" s="19"/>
      <c r="FP283" s="19"/>
      <c r="FQ283" s="19"/>
      <c r="FR283" s="19"/>
      <c r="FS283" s="19"/>
      <c r="FT283" s="19"/>
      <c r="FU283" s="19"/>
      <c r="FV283" s="19"/>
      <c r="FW283" s="19"/>
      <c r="FX283" s="19"/>
      <c r="FY283" s="19"/>
      <c r="FZ283" s="19"/>
      <c r="GA283" s="19"/>
      <c r="GB283" s="19"/>
      <c r="GC283" s="19"/>
      <c r="GD283" s="19"/>
      <c r="GE283" s="19"/>
      <c r="GF283" s="19"/>
      <c r="GG283" s="19"/>
      <c r="GH283" s="19"/>
      <c r="GI283" s="19"/>
      <c r="GJ283" s="19"/>
      <c r="GK283" s="19"/>
      <c r="GL283" s="19"/>
      <c r="GM283" s="19"/>
      <c r="GN283" s="19"/>
      <c r="GO283" s="19"/>
      <c r="GP283" s="19"/>
      <c r="GQ283" s="19"/>
      <c r="GR283" s="19"/>
      <c r="GS283" s="19"/>
      <c r="GT283" s="19"/>
      <c r="GU283" s="19"/>
      <c r="GV283" s="19"/>
      <c r="GW283" s="19"/>
      <c r="GX283" s="19"/>
      <c r="GY283" s="19"/>
      <c r="GZ283" s="19"/>
      <c r="HA283" s="19"/>
    </row>
    <row r="284" spans="1:209" ht="23.25" customHeight="1" x14ac:dyDescent="0.15">
      <c r="A284" s="26">
        <v>44659.907919942125</v>
      </c>
      <c r="B284" s="27" t="s">
        <v>6</v>
      </c>
      <c r="C284" s="27" t="s">
        <v>11</v>
      </c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  <c r="AX284" s="27" t="s">
        <v>1034</v>
      </c>
      <c r="AY284" s="27" t="s">
        <v>1035</v>
      </c>
      <c r="AZ284" s="27" t="s">
        <v>1041</v>
      </c>
      <c r="BA284" s="27" t="s">
        <v>1042</v>
      </c>
      <c r="BB284" s="27" t="s">
        <v>308</v>
      </c>
      <c r="BC284" s="29">
        <v>44320</v>
      </c>
      <c r="BD284" s="29">
        <v>44381</v>
      </c>
      <c r="BE284" s="29">
        <v>44290</v>
      </c>
      <c r="BF284" s="27">
        <v>90</v>
      </c>
      <c r="BG284" s="27" t="s">
        <v>1038</v>
      </c>
      <c r="BH284" s="30" t="s">
        <v>1043</v>
      </c>
      <c r="BI284" s="28"/>
      <c r="BJ284" s="28"/>
      <c r="BK284" s="28"/>
      <c r="BL284" s="28"/>
      <c r="BM284" s="28"/>
      <c r="BN284" s="28"/>
      <c r="BO284" s="28"/>
      <c r="BP284" s="28"/>
      <c r="BQ284" s="28"/>
      <c r="BR284" s="28"/>
      <c r="BS284" s="28"/>
      <c r="BT284" s="28"/>
      <c r="BU284" s="28"/>
      <c r="BV284" s="28"/>
      <c r="BW284" s="28"/>
      <c r="BX284" s="28"/>
      <c r="BY284" s="19"/>
      <c r="BZ284" s="19"/>
      <c r="CA284" s="19"/>
      <c r="CB284" s="19"/>
      <c r="CC284" s="19"/>
      <c r="CD284" s="19"/>
      <c r="CE284" s="19"/>
      <c r="CF284" s="19"/>
      <c r="CG284" s="19"/>
      <c r="CH284" s="19"/>
      <c r="CI284" s="19"/>
      <c r="CJ284" s="19"/>
      <c r="CK284" s="19"/>
      <c r="CL284" s="19"/>
      <c r="CM284" s="19"/>
      <c r="CN284" s="19"/>
      <c r="CO284" s="19"/>
      <c r="CP284" s="19"/>
      <c r="CQ284" s="19"/>
      <c r="CR284" s="19"/>
      <c r="CS284" s="19"/>
      <c r="CT284" s="19"/>
      <c r="CU284" s="19"/>
      <c r="CV284" s="19"/>
      <c r="CW284" s="19"/>
      <c r="CX284" s="19"/>
      <c r="CY284" s="19"/>
      <c r="CZ284" s="19"/>
      <c r="DA284" s="19"/>
      <c r="DB284" s="19"/>
      <c r="DC284" s="19"/>
      <c r="DD284" s="19"/>
      <c r="DE284" s="19"/>
      <c r="DF284" s="19"/>
      <c r="DG284" s="19"/>
      <c r="DH284" s="19"/>
      <c r="DI284" s="19"/>
      <c r="DJ284" s="19"/>
      <c r="DK284" s="19"/>
      <c r="DL284" s="19"/>
      <c r="DM284" s="19"/>
      <c r="DN284" s="19"/>
      <c r="DO284" s="19"/>
      <c r="DP284" s="19"/>
      <c r="DQ284" s="19"/>
      <c r="DR284" s="19"/>
      <c r="DS284" s="19"/>
      <c r="DT284" s="19"/>
      <c r="DU284" s="19"/>
      <c r="DV284" s="19"/>
      <c r="DW284" s="19"/>
      <c r="DX284" s="19"/>
      <c r="DY284" s="19"/>
      <c r="DZ284" s="19"/>
      <c r="EA284" s="19"/>
      <c r="EB284" s="19"/>
      <c r="EC284" s="19"/>
      <c r="ED284" s="19"/>
      <c r="EE284" s="19"/>
      <c r="EF284" s="19"/>
      <c r="EG284" s="19"/>
      <c r="EH284" s="19"/>
      <c r="EI284" s="19"/>
      <c r="EJ284" s="19"/>
      <c r="EK284" s="19"/>
      <c r="EL284" s="19"/>
      <c r="EM284" s="19"/>
      <c r="EN284" s="19"/>
      <c r="EO284" s="19"/>
      <c r="EP284" s="19"/>
      <c r="EQ284" s="19"/>
      <c r="ER284" s="19"/>
      <c r="ES284" s="19"/>
      <c r="ET284" s="19"/>
      <c r="EU284" s="19"/>
      <c r="EV284" s="19"/>
      <c r="EW284" s="19"/>
      <c r="EX284" s="19"/>
      <c r="EY284" s="19"/>
      <c r="EZ284" s="19"/>
      <c r="FA284" s="19"/>
      <c r="FB284" s="19"/>
      <c r="FC284" s="19"/>
      <c r="FD284" s="19"/>
      <c r="FE284" s="19"/>
      <c r="FF284" s="19"/>
      <c r="FG284" s="19"/>
      <c r="FH284" s="19"/>
      <c r="FI284" s="19"/>
      <c r="FJ284" s="19"/>
      <c r="FK284" s="19"/>
      <c r="FL284" s="20" t="s">
        <v>1040</v>
      </c>
      <c r="FM284" s="20" t="s">
        <v>255</v>
      </c>
      <c r="FN284" s="19"/>
      <c r="FO284" s="19"/>
      <c r="FP284" s="19"/>
      <c r="FQ284" s="19"/>
      <c r="FR284" s="19"/>
      <c r="FS284" s="19"/>
      <c r="FT284" s="19"/>
      <c r="FU284" s="19"/>
      <c r="FV284" s="19"/>
      <c r="FW284" s="19"/>
      <c r="FX284" s="19"/>
      <c r="FY284" s="19"/>
      <c r="FZ284" s="19"/>
      <c r="GA284" s="19"/>
      <c r="GB284" s="19"/>
      <c r="GC284" s="19"/>
      <c r="GD284" s="19"/>
      <c r="GE284" s="19"/>
      <c r="GF284" s="19"/>
      <c r="GG284" s="19"/>
      <c r="GH284" s="19"/>
      <c r="GI284" s="19"/>
      <c r="GJ284" s="19"/>
      <c r="GK284" s="19"/>
      <c r="GL284" s="19"/>
      <c r="GM284" s="19"/>
      <c r="GN284" s="19"/>
      <c r="GO284" s="19"/>
      <c r="GP284" s="19"/>
      <c r="GQ284" s="19"/>
      <c r="GR284" s="19"/>
      <c r="GS284" s="19"/>
      <c r="GT284" s="19"/>
      <c r="GU284" s="19"/>
      <c r="GV284" s="19"/>
      <c r="GW284" s="19"/>
      <c r="GX284" s="19"/>
      <c r="GY284" s="19"/>
      <c r="GZ284" s="19"/>
      <c r="HA284" s="19"/>
    </row>
    <row r="285" spans="1:209" ht="23.25" customHeight="1" x14ac:dyDescent="0.15">
      <c r="A285" s="26">
        <v>44659.908196759265</v>
      </c>
      <c r="B285" s="27" t="s">
        <v>6</v>
      </c>
      <c r="C285" s="27" t="s">
        <v>11</v>
      </c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  <c r="AX285" s="27" t="s">
        <v>1000</v>
      </c>
      <c r="AY285" s="27" t="s">
        <v>1012</v>
      </c>
      <c r="AZ285" s="27" t="s">
        <v>617</v>
      </c>
      <c r="BA285" s="27" t="s">
        <v>335</v>
      </c>
      <c r="BB285" s="27" t="s">
        <v>624</v>
      </c>
      <c r="BC285" s="29">
        <v>43928</v>
      </c>
      <c r="BD285" s="29">
        <v>43958</v>
      </c>
      <c r="BE285" s="29">
        <v>43958</v>
      </c>
      <c r="BF285" s="27">
        <v>100</v>
      </c>
      <c r="BG285" s="27" t="s">
        <v>337</v>
      </c>
      <c r="BH285" s="30" t="s">
        <v>1044</v>
      </c>
      <c r="BI285" s="28"/>
      <c r="BJ285" s="28"/>
      <c r="BK285" s="28"/>
      <c r="BL285" s="28"/>
      <c r="BM285" s="28"/>
      <c r="BN285" s="28"/>
      <c r="BO285" s="28"/>
      <c r="BP285" s="28"/>
      <c r="BQ285" s="28"/>
      <c r="BR285" s="28"/>
      <c r="BS285" s="28"/>
      <c r="BT285" s="28"/>
      <c r="BU285" s="28"/>
      <c r="BV285" s="28"/>
      <c r="BW285" s="28"/>
      <c r="BX285" s="28"/>
      <c r="BY285" s="19"/>
      <c r="BZ285" s="19"/>
      <c r="CA285" s="19"/>
      <c r="CB285" s="19"/>
      <c r="CC285" s="19"/>
      <c r="CD285" s="19"/>
      <c r="CE285" s="19"/>
      <c r="CF285" s="19"/>
      <c r="CG285" s="19"/>
      <c r="CH285" s="19"/>
      <c r="CI285" s="19"/>
      <c r="CJ285" s="19"/>
      <c r="CK285" s="19"/>
      <c r="CL285" s="19"/>
      <c r="CM285" s="19"/>
      <c r="CN285" s="19"/>
      <c r="CO285" s="19"/>
      <c r="CP285" s="19"/>
      <c r="CQ285" s="19"/>
      <c r="CR285" s="19"/>
      <c r="CS285" s="19"/>
      <c r="CT285" s="19"/>
      <c r="CU285" s="19"/>
      <c r="CV285" s="19"/>
      <c r="CW285" s="19"/>
      <c r="CX285" s="19"/>
      <c r="CY285" s="19"/>
      <c r="CZ285" s="19"/>
      <c r="DA285" s="19"/>
      <c r="DB285" s="19"/>
      <c r="DC285" s="19"/>
      <c r="DD285" s="19"/>
      <c r="DE285" s="19"/>
      <c r="DF285" s="19"/>
      <c r="DG285" s="19"/>
      <c r="DH285" s="19"/>
      <c r="DI285" s="19"/>
      <c r="DJ285" s="19"/>
      <c r="DK285" s="19"/>
      <c r="DL285" s="19"/>
      <c r="DM285" s="19"/>
      <c r="DN285" s="19"/>
      <c r="DO285" s="19"/>
      <c r="DP285" s="19"/>
      <c r="DQ285" s="19"/>
      <c r="DR285" s="19"/>
      <c r="DS285" s="19"/>
      <c r="DT285" s="19"/>
      <c r="DU285" s="19"/>
      <c r="DV285" s="19"/>
      <c r="DW285" s="19"/>
      <c r="DX285" s="19"/>
      <c r="DY285" s="19"/>
      <c r="DZ285" s="19"/>
      <c r="EA285" s="19"/>
      <c r="EB285" s="19"/>
      <c r="EC285" s="19"/>
      <c r="ED285" s="19"/>
      <c r="EE285" s="19"/>
      <c r="EF285" s="19"/>
      <c r="EG285" s="19"/>
      <c r="EH285" s="19"/>
      <c r="EI285" s="19"/>
      <c r="EJ285" s="19"/>
      <c r="EK285" s="19"/>
      <c r="EL285" s="19"/>
      <c r="EM285" s="19"/>
      <c r="EN285" s="19"/>
      <c r="EO285" s="19"/>
      <c r="EP285" s="19"/>
      <c r="EQ285" s="19"/>
      <c r="ER285" s="19"/>
      <c r="ES285" s="19"/>
      <c r="ET285" s="19"/>
      <c r="EU285" s="19"/>
      <c r="EV285" s="19"/>
      <c r="EW285" s="19"/>
      <c r="EX285" s="19"/>
      <c r="EY285" s="19"/>
      <c r="EZ285" s="19"/>
      <c r="FA285" s="19"/>
      <c r="FB285" s="19"/>
      <c r="FC285" s="19"/>
      <c r="FD285" s="19"/>
      <c r="FE285" s="19"/>
      <c r="FF285" s="19"/>
      <c r="FG285" s="19"/>
      <c r="FH285" s="19"/>
      <c r="FI285" s="19"/>
      <c r="FJ285" s="19"/>
      <c r="FK285" s="19"/>
      <c r="FL285" s="20" t="s">
        <v>1003</v>
      </c>
      <c r="FM285" s="20" t="s">
        <v>321</v>
      </c>
      <c r="FN285" s="19"/>
      <c r="FO285" s="19"/>
      <c r="FP285" s="19"/>
      <c r="FQ285" s="19"/>
      <c r="FR285" s="19"/>
      <c r="FS285" s="19"/>
      <c r="FT285" s="19"/>
      <c r="FU285" s="19"/>
      <c r="FV285" s="19"/>
      <c r="FW285" s="19"/>
      <c r="FX285" s="19"/>
      <c r="FY285" s="19"/>
      <c r="FZ285" s="19"/>
      <c r="GA285" s="19"/>
      <c r="GB285" s="19"/>
      <c r="GC285" s="19"/>
      <c r="GD285" s="19"/>
      <c r="GE285" s="19"/>
      <c r="GF285" s="19"/>
      <c r="GG285" s="19"/>
      <c r="GH285" s="19"/>
      <c r="GI285" s="19"/>
      <c r="GJ285" s="19"/>
      <c r="GK285" s="19"/>
      <c r="GL285" s="19"/>
      <c r="GM285" s="19"/>
      <c r="GN285" s="19"/>
      <c r="GO285" s="19"/>
      <c r="GP285" s="19"/>
      <c r="GQ285" s="19"/>
      <c r="GR285" s="19"/>
      <c r="GS285" s="19"/>
      <c r="GT285" s="19"/>
      <c r="GU285" s="19"/>
      <c r="GV285" s="19"/>
      <c r="GW285" s="19"/>
      <c r="GX285" s="19"/>
      <c r="GY285" s="19"/>
      <c r="GZ285" s="19"/>
      <c r="HA285" s="19"/>
    </row>
    <row r="286" spans="1:209" ht="23.25" customHeight="1" x14ac:dyDescent="0.15">
      <c r="A286" s="26">
        <v>44659.911794085652</v>
      </c>
      <c r="B286" s="27" t="s">
        <v>6</v>
      </c>
      <c r="C286" s="27" t="s">
        <v>11</v>
      </c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  <c r="AX286" s="27" t="s">
        <v>428</v>
      </c>
      <c r="AY286" s="27" t="s">
        <v>429</v>
      </c>
      <c r="AZ286" s="27" t="s">
        <v>1045</v>
      </c>
      <c r="BA286" s="27" t="s">
        <v>1046</v>
      </c>
      <c r="BB286" s="27" t="s">
        <v>624</v>
      </c>
      <c r="BC286" s="29">
        <v>44420</v>
      </c>
      <c r="BD286" s="29">
        <v>44451</v>
      </c>
      <c r="BE286" s="29">
        <v>44451</v>
      </c>
      <c r="BF286" s="27">
        <v>90</v>
      </c>
      <c r="BG286" s="27" t="s">
        <v>470</v>
      </c>
      <c r="BH286" s="30" t="s">
        <v>1047</v>
      </c>
      <c r="BI286" s="28"/>
      <c r="BJ286" s="28"/>
      <c r="BK286" s="28"/>
      <c r="BL286" s="28"/>
      <c r="BM286" s="28"/>
      <c r="BN286" s="28"/>
      <c r="BO286" s="28"/>
      <c r="BP286" s="28"/>
      <c r="BQ286" s="28"/>
      <c r="BR286" s="28"/>
      <c r="BS286" s="28"/>
      <c r="BT286" s="28"/>
      <c r="BU286" s="28"/>
      <c r="BV286" s="28"/>
      <c r="BW286" s="28"/>
      <c r="BX286" s="28"/>
      <c r="BY286" s="19"/>
      <c r="BZ286" s="19"/>
      <c r="CA286" s="19"/>
      <c r="CB286" s="19"/>
      <c r="CC286" s="19"/>
      <c r="CD286" s="19"/>
      <c r="CE286" s="19"/>
      <c r="CF286" s="19"/>
      <c r="CG286" s="19"/>
      <c r="CH286" s="19"/>
      <c r="CI286" s="19"/>
      <c r="CJ286" s="19"/>
      <c r="CK286" s="19"/>
      <c r="CL286" s="19"/>
      <c r="CM286" s="19"/>
      <c r="CN286" s="19"/>
      <c r="CO286" s="19"/>
      <c r="CP286" s="19"/>
      <c r="CQ286" s="19"/>
      <c r="CR286" s="19"/>
      <c r="CS286" s="19"/>
      <c r="CT286" s="19"/>
      <c r="CU286" s="19"/>
      <c r="CV286" s="19"/>
      <c r="CW286" s="19"/>
      <c r="CX286" s="19"/>
      <c r="CY286" s="19"/>
      <c r="CZ286" s="19"/>
      <c r="DA286" s="19"/>
      <c r="DB286" s="19"/>
      <c r="DC286" s="19"/>
      <c r="DD286" s="19"/>
      <c r="DE286" s="19"/>
      <c r="DF286" s="19"/>
      <c r="DG286" s="19"/>
      <c r="DH286" s="19"/>
      <c r="DI286" s="19"/>
      <c r="DJ286" s="19"/>
      <c r="DK286" s="19"/>
      <c r="DL286" s="19"/>
      <c r="DM286" s="19"/>
      <c r="DN286" s="19"/>
      <c r="DO286" s="19"/>
      <c r="DP286" s="19"/>
      <c r="DQ286" s="19"/>
      <c r="DR286" s="19"/>
      <c r="DS286" s="19"/>
      <c r="DT286" s="19"/>
      <c r="DU286" s="19"/>
      <c r="DV286" s="19"/>
      <c r="DW286" s="19"/>
      <c r="DX286" s="19"/>
      <c r="DY286" s="19"/>
      <c r="DZ286" s="19"/>
      <c r="EA286" s="19"/>
      <c r="EB286" s="19"/>
      <c r="EC286" s="19"/>
      <c r="ED286" s="19"/>
      <c r="EE286" s="19"/>
      <c r="EF286" s="19"/>
      <c r="EG286" s="19"/>
      <c r="EH286" s="19"/>
      <c r="EI286" s="19"/>
      <c r="EJ286" s="19"/>
      <c r="EK286" s="19"/>
      <c r="EL286" s="19"/>
      <c r="EM286" s="19"/>
      <c r="EN286" s="19"/>
      <c r="EO286" s="19"/>
      <c r="EP286" s="19"/>
      <c r="EQ286" s="19"/>
      <c r="ER286" s="19"/>
      <c r="ES286" s="19"/>
      <c r="ET286" s="19"/>
      <c r="EU286" s="19"/>
      <c r="EV286" s="19"/>
      <c r="EW286" s="19"/>
      <c r="EX286" s="19"/>
      <c r="EY286" s="19"/>
      <c r="EZ286" s="19"/>
      <c r="FA286" s="19"/>
      <c r="FB286" s="19"/>
      <c r="FC286" s="19"/>
      <c r="FD286" s="19"/>
      <c r="FE286" s="19"/>
      <c r="FF286" s="19"/>
      <c r="FG286" s="19"/>
      <c r="FH286" s="19"/>
      <c r="FI286" s="19"/>
      <c r="FJ286" s="19"/>
      <c r="FK286" s="19"/>
      <c r="FL286" s="20" t="s">
        <v>434</v>
      </c>
      <c r="FM286" s="20" t="s">
        <v>278</v>
      </c>
      <c r="FN286" s="19"/>
      <c r="FO286" s="19"/>
      <c r="FP286" s="19"/>
      <c r="FQ286" s="19"/>
      <c r="FR286" s="19"/>
      <c r="FS286" s="19"/>
      <c r="FT286" s="19"/>
      <c r="FU286" s="19"/>
      <c r="FV286" s="19"/>
      <c r="FW286" s="19"/>
      <c r="FX286" s="19"/>
      <c r="FY286" s="19"/>
      <c r="FZ286" s="19"/>
      <c r="GA286" s="19"/>
      <c r="GB286" s="19"/>
      <c r="GC286" s="19"/>
      <c r="GD286" s="19"/>
      <c r="GE286" s="19"/>
      <c r="GF286" s="19"/>
      <c r="GG286" s="19"/>
      <c r="GH286" s="19"/>
      <c r="GI286" s="19"/>
      <c r="GJ286" s="19"/>
      <c r="GK286" s="19"/>
      <c r="GL286" s="19"/>
      <c r="GM286" s="19"/>
      <c r="GN286" s="19"/>
      <c r="GO286" s="19"/>
      <c r="GP286" s="19"/>
      <c r="GQ286" s="19"/>
      <c r="GR286" s="19"/>
      <c r="GS286" s="19"/>
      <c r="GT286" s="19"/>
      <c r="GU286" s="19"/>
      <c r="GV286" s="19"/>
      <c r="GW286" s="19"/>
      <c r="GX286" s="19"/>
      <c r="GY286" s="19"/>
      <c r="GZ286" s="19"/>
      <c r="HA286" s="19"/>
    </row>
    <row r="287" spans="1:209" ht="23.25" customHeight="1" x14ac:dyDescent="0.15">
      <c r="A287" s="26">
        <v>44659.913642476851</v>
      </c>
      <c r="B287" s="27" t="s">
        <v>6</v>
      </c>
      <c r="C287" s="27" t="s">
        <v>11</v>
      </c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  <c r="AX287" s="27" t="s">
        <v>428</v>
      </c>
      <c r="AY287" s="27" t="s">
        <v>429</v>
      </c>
      <c r="AZ287" s="27" t="s">
        <v>1048</v>
      </c>
      <c r="BA287" s="27" t="s">
        <v>1049</v>
      </c>
      <c r="BB287" s="27" t="s">
        <v>656</v>
      </c>
      <c r="BC287" s="29">
        <v>44350</v>
      </c>
      <c r="BD287" s="29">
        <v>44350</v>
      </c>
      <c r="BE287" s="29">
        <v>44350</v>
      </c>
      <c r="BF287" s="27">
        <v>90</v>
      </c>
      <c r="BG287" s="27" t="s">
        <v>470</v>
      </c>
      <c r="BH287" s="30" t="s">
        <v>1050</v>
      </c>
      <c r="BI287" s="28"/>
      <c r="BJ287" s="28"/>
      <c r="BK287" s="28"/>
      <c r="BL287" s="28"/>
      <c r="BM287" s="28"/>
      <c r="BN287" s="28"/>
      <c r="BO287" s="28"/>
      <c r="BP287" s="28"/>
      <c r="BQ287" s="28"/>
      <c r="BR287" s="28"/>
      <c r="BS287" s="28"/>
      <c r="BT287" s="28"/>
      <c r="BU287" s="28"/>
      <c r="BV287" s="28"/>
      <c r="BW287" s="28"/>
      <c r="BX287" s="28"/>
      <c r="BY287" s="19"/>
      <c r="BZ287" s="19"/>
      <c r="CA287" s="19"/>
      <c r="CB287" s="19"/>
      <c r="CC287" s="19"/>
      <c r="CD287" s="19"/>
      <c r="CE287" s="19"/>
      <c r="CF287" s="19"/>
      <c r="CG287" s="19"/>
      <c r="CH287" s="19"/>
      <c r="CI287" s="19"/>
      <c r="CJ287" s="19"/>
      <c r="CK287" s="19"/>
      <c r="CL287" s="19"/>
      <c r="CM287" s="19"/>
      <c r="CN287" s="19"/>
      <c r="CO287" s="19"/>
      <c r="CP287" s="19"/>
      <c r="CQ287" s="19"/>
      <c r="CR287" s="19"/>
      <c r="CS287" s="19"/>
      <c r="CT287" s="19"/>
      <c r="CU287" s="19"/>
      <c r="CV287" s="19"/>
      <c r="CW287" s="19"/>
      <c r="CX287" s="19"/>
      <c r="CY287" s="19"/>
      <c r="CZ287" s="19"/>
      <c r="DA287" s="19"/>
      <c r="DB287" s="19"/>
      <c r="DC287" s="19"/>
      <c r="DD287" s="19"/>
      <c r="DE287" s="19"/>
      <c r="DF287" s="19"/>
      <c r="DG287" s="19"/>
      <c r="DH287" s="19"/>
      <c r="DI287" s="19"/>
      <c r="DJ287" s="19"/>
      <c r="DK287" s="19"/>
      <c r="DL287" s="19"/>
      <c r="DM287" s="19"/>
      <c r="DN287" s="19"/>
      <c r="DO287" s="19"/>
      <c r="DP287" s="19"/>
      <c r="DQ287" s="19"/>
      <c r="DR287" s="19"/>
      <c r="DS287" s="19"/>
      <c r="DT287" s="19"/>
      <c r="DU287" s="19"/>
      <c r="DV287" s="19"/>
      <c r="DW287" s="19"/>
      <c r="DX287" s="19"/>
      <c r="DY287" s="19"/>
      <c r="DZ287" s="19"/>
      <c r="EA287" s="19"/>
      <c r="EB287" s="19"/>
      <c r="EC287" s="19"/>
      <c r="ED287" s="19"/>
      <c r="EE287" s="19"/>
      <c r="EF287" s="19"/>
      <c r="EG287" s="19"/>
      <c r="EH287" s="19"/>
      <c r="EI287" s="19"/>
      <c r="EJ287" s="19"/>
      <c r="EK287" s="19"/>
      <c r="EL287" s="19"/>
      <c r="EM287" s="19"/>
      <c r="EN287" s="19"/>
      <c r="EO287" s="19"/>
      <c r="EP287" s="19"/>
      <c r="EQ287" s="19"/>
      <c r="ER287" s="19"/>
      <c r="ES287" s="19"/>
      <c r="ET287" s="19"/>
      <c r="EU287" s="19"/>
      <c r="EV287" s="19"/>
      <c r="EW287" s="19"/>
      <c r="EX287" s="19"/>
      <c r="EY287" s="19"/>
      <c r="EZ287" s="19"/>
      <c r="FA287" s="19"/>
      <c r="FB287" s="19"/>
      <c r="FC287" s="19"/>
      <c r="FD287" s="19"/>
      <c r="FE287" s="19"/>
      <c r="FF287" s="19"/>
      <c r="FG287" s="19"/>
      <c r="FH287" s="19"/>
      <c r="FI287" s="19"/>
      <c r="FJ287" s="19"/>
      <c r="FK287" s="19"/>
      <c r="FL287" s="20" t="s">
        <v>434</v>
      </c>
      <c r="FM287" s="20" t="s">
        <v>339</v>
      </c>
      <c r="FN287" s="19"/>
      <c r="FO287" s="19"/>
      <c r="FP287" s="19"/>
      <c r="FQ287" s="19"/>
      <c r="FR287" s="19"/>
      <c r="FS287" s="19"/>
      <c r="FT287" s="19"/>
      <c r="FU287" s="19"/>
      <c r="FV287" s="19"/>
      <c r="FW287" s="19"/>
      <c r="FX287" s="19"/>
      <c r="FY287" s="19"/>
      <c r="FZ287" s="19"/>
      <c r="GA287" s="19"/>
      <c r="GB287" s="19"/>
      <c r="GC287" s="19"/>
      <c r="GD287" s="19"/>
      <c r="GE287" s="19"/>
      <c r="GF287" s="19"/>
      <c r="GG287" s="19"/>
      <c r="GH287" s="19"/>
      <c r="GI287" s="19"/>
      <c r="GJ287" s="19"/>
      <c r="GK287" s="19"/>
      <c r="GL287" s="19"/>
      <c r="GM287" s="19"/>
      <c r="GN287" s="19"/>
      <c r="GO287" s="19"/>
      <c r="GP287" s="19"/>
      <c r="GQ287" s="19"/>
      <c r="GR287" s="19"/>
      <c r="GS287" s="19"/>
      <c r="GT287" s="19"/>
      <c r="GU287" s="19"/>
      <c r="GV287" s="19"/>
      <c r="GW287" s="19"/>
      <c r="GX287" s="19"/>
      <c r="GY287" s="19"/>
      <c r="GZ287" s="19"/>
      <c r="HA287" s="19"/>
    </row>
    <row r="288" spans="1:209" ht="23.25" customHeight="1" x14ac:dyDescent="0.15">
      <c r="A288" s="26">
        <v>44659.914185960646</v>
      </c>
      <c r="B288" s="27" t="s">
        <v>6</v>
      </c>
      <c r="C288" s="27" t="s">
        <v>11</v>
      </c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  <c r="AX288" s="27" t="s">
        <v>1034</v>
      </c>
      <c r="AY288" s="27" t="s">
        <v>1035</v>
      </c>
      <c r="AZ288" s="27" t="s">
        <v>1051</v>
      </c>
      <c r="BA288" s="27" t="s">
        <v>1042</v>
      </c>
      <c r="BB288" s="27" t="s">
        <v>493</v>
      </c>
      <c r="BC288" s="29">
        <v>44371</v>
      </c>
      <c r="BD288" s="29">
        <v>44401</v>
      </c>
      <c r="BE288" s="29">
        <v>44310</v>
      </c>
      <c r="BF288" s="27">
        <v>91</v>
      </c>
      <c r="BG288" s="27" t="s">
        <v>1052</v>
      </c>
      <c r="BH288" s="30" t="s">
        <v>1053</v>
      </c>
      <c r="BI288" s="28"/>
      <c r="BJ288" s="28"/>
      <c r="BK288" s="28"/>
      <c r="BL288" s="28"/>
      <c r="BM288" s="28"/>
      <c r="BN288" s="28"/>
      <c r="BO288" s="28"/>
      <c r="BP288" s="28"/>
      <c r="BQ288" s="28"/>
      <c r="BR288" s="28"/>
      <c r="BS288" s="28"/>
      <c r="BT288" s="28"/>
      <c r="BU288" s="28"/>
      <c r="BV288" s="28"/>
      <c r="BW288" s="28"/>
      <c r="BX288" s="28"/>
      <c r="BY288" s="19"/>
      <c r="BZ288" s="19"/>
      <c r="CA288" s="19"/>
      <c r="CB288" s="19"/>
      <c r="CC288" s="19"/>
      <c r="CD288" s="19"/>
      <c r="CE288" s="19"/>
      <c r="CF288" s="19"/>
      <c r="CG288" s="19"/>
      <c r="CH288" s="19"/>
      <c r="CI288" s="19"/>
      <c r="CJ288" s="19"/>
      <c r="CK288" s="19"/>
      <c r="CL288" s="19"/>
      <c r="CM288" s="19"/>
      <c r="CN288" s="19"/>
      <c r="CO288" s="19"/>
      <c r="CP288" s="19"/>
      <c r="CQ288" s="19"/>
      <c r="CR288" s="19"/>
      <c r="CS288" s="19"/>
      <c r="CT288" s="19"/>
      <c r="CU288" s="19"/>
      <c r="CV288" s="19"/>
      <c r="CW288" s="19"/>
      <c r="CX288" s="19"/>
      <c r="CY288" s="19"/>
      <c r="CZ288" s="19"/>
      <c r="DA288" s="19"/>
      <c r="DB288" s="19"/>
      <c r="DC288" s="19"/>
      <c r="DD288" s="19"/>
      <c r="DE288" s="19"/>
      <c r="DF288" s="19"/>
      <c r="DG288" s="19"/>
      <c r="DH288" s="19"/>
      <c r="DI288" s="19"/>
      <c r="DJ288" s="19"/>
      <c r="DK288" s="19"/>
      <c r="DL288" s="19"/>
      <c r="DM288" s="19"/>
      <c r="DN288" s="19"/>
      <c r="DO288" s="19"/>
      <c r="DP288" s="19"/>
      <c r="DQ288" s="19"/>
      <c r="DR288" s="19"/>
      <c r="DS288" s="19"/>
      <c r="DT288" s="19"/>
      <c r="DU288" s="19"/>
      <c r="DV288" s="19"/>
      <c r="DW288" s="19"/>
      <c r="DX288" s="19"/>
      <c r="DY288" s="19"/>
      <c r="DZ288" s="19"/>
      <c r="EA288" s="19"/>
      <c r="EB288" s="19"/>
      <c r="EC288" s="19"/>
      <c r="ED288" s="19"/>
      <c r="EE288" s="19"/>
      <c r="EF288" s="19"/>
      <c r="EG288" s="19"/>
      <c r="EH288" s="19"/>
      <c r="EI288" s="19"/>
      <c r="EJ288" s="19"/>
      <c r="EK288" s="19"/>
      <c r="EL288" s="19"/>
      <c r="EM288" s="19"/>
      <c r="EN288" s="19"/>
      <c r="EO288" s="19"/>
      <c r="EP288" s="19"/>
      <c r="EQ288" s="19"/>
      <c r="ER288" s="19"/>
      <c r="ES288" s="19"/>
      <c r="ET288" s="19"/>
      <c r="EU288" s="19"/>
      <c r="EV288" s="19"/>
      <c r="EW288" s="19"/>
      <c r="EX288" s="19"/>
      <c r="EY288" s="19"/>
      <c r="EZ288" s="19"/>
      <c r="FA288" s="19"/>
      <c r="FB288" s="19"/>
      <c r="FC288" s="19"/>
      <c r="FD288" s="19"/>
      <c r="FE288" s="19"/>
      <c r="FF288" s="19"/>
      <c r="FG288" s="19"/>
      <c r="FH288" s="19"/>
      <c r="FI288" s="19"/>
      <c r="FJ288" s="19"/>
      <c r="FK288" s="19"/>
      <c r="FL288" s="20" t="s">
        <v>1040</v>
      </c>
      <c r="FM288" s="20" t="s">
        <v>255</v>
      </c>
      <c r="FN288" s="19"/>
      <c r="FO288" s="19"/>
      <c r="FP288" s="19"/>
      <c r="FQ288" s="19"/>
      <c r="FR288" s="19"/>
      <c r="FS288" s="19"/>
      <c r="FT288" s="19"/>
      <c r="FU288" s="19"/>
      <c r="FV288" s="19"/>
      <c r="FW288" s="19"/>
      <c r="FX288" s="19"/>
      <c r="FY288" s="19"/>
      <c r="FZ288" s="19"/>
      <c r="GA288" s="19"/>
      <c r="GB288" s="19"/>
      <c r="GC288" s="19"/>
      <c r="GD288" s="19"/>
      <c r="GE288" s="19"/>
      <c r="GF288" s="19"/>
      <c r="GG288" s="19"/>
      <c r="GH288" s="19"/>
      <c r="GI288" s="19"/>
      <c r="GJ288" s="19"/>
      <c r="GK288" s="19"/>
      <c r="GL288" s="19"/>
      <c r="GM288" s="19"/>
      <c r="GN288" s="19"/>
      <c r="GO288" s="19"/>
      <c r="GP288" s="19"/>
      <c r="GQ288" s="19"/>
      <c r="GR288" s="19"/>
      <c r="GS288" s="19"/>
      <c r="GT288" s="19"/>
      <c r="GU288" s="19"/>
      <c r="GV288" s="19"/>
      <c r="GW288" s="19"/>
      <c r="GX288" s="19"/>
      <c r="GY288" s="19"/>
      <c r="GZ288" s="19"/>
      <c r="HA288" s="19"/>
    </row>
    <row r="289" spans="1:209" ht="23.25" customHeight="1" x14ac:dyDescent="0.15">
      <c r="A289" s="26">
        <v>44659.916091550927</v>
      </c>
      <c r="B289" s="27" t="s">
        <v>6</v>
      </c>
      <c r="C289" s="27" t="s">
        <v>11</v>
      </c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  <c r="AX289" s="27" t="s">
        <v>1000</v>
      </c>
      <c r="AY289" s="27" t="s">
        <v>1012</v>
      </c>
      <c r="AZ289" s="27" t="s">
        <v>617</v>
      </c>
      <c r="BA289" s="27" t="s">
        <v>335</v>
      </c>
      <c r="BB289" s="27" t="s">
        <v>624</v>
      </c>
      <c r="BC289" s="29">
        <v>44287</v>
      </c>
      <c r="BD289" s="29">
        <v>44317</v>
      </c>
      <c r="BE289" s="29">
        <v>44317</v>
      </c>
      <c r="BF289" s="27">
        <v>100</v>
      </c>
      <c r="BG289" s="27" t="s">
        <v>337</v>
      </c>
      <c r="BH289" s="30" t="s">
        <v>1054</v>
      </c>
      <c r="BI289" s="28"/>
      <c r="BJ289" s="28"/>
      <c r="BK289" s="28"/>
      <c r="BL289" s="28"/>
      <c r="BM289" s="28"/>
      <c r="BN289" s="28"/>
      <c r="BO289" s="28"/>
      <c r="BP289" s="28"/>
      <c r="BQ289" s="28"/>
      <c r="BR289" s="28"/>
      <c r="BS289" s="28"/>
      <c r="BT289" s="28"/>
      <c r="BU289" s="28"/>
      <c r="BV289" s="28"/>
      <c r="BW289" s="28"/>
      <c r="BX289" s="28"/>
      <c r="BY289" s="19"/>
      <c r="BZ289" s="19"/>
      <c r="CA289" s="19"/>
      <c r="CB289" s="19"/>
      <c r="CC289" s="19"/>
      <c r="CD289" s="19"/>
      <c r="CE289" s="19"/>
      <c r="CF289" s="19"/>
      <c r="CG289" s="19"/>
      <c r="CH289" s="19"/>
      <c r="CI289" s="19"/>
      <c r="CJ289" s="19"/>
      <c r="CK289" s="19"/>
      <c r="CL289" s="19"/>
      <c r="CM289" s="19"/>
      <c r="CN289" s="19"/>
      <c r="CO289" s="19"/>
      <c r="CP289" s="19"/>
      <c r="CQ289" s="19"/>
      <c r="CR289" s="19"/>
      <c r="CS289" s="19"/>
      <c r="CT289" s="19"/>
      <c r="CU289" s="19"/>
      <c r="CV289" s="19"/>
      <c r="CW289" s="19"/>
      <c r="CX289" s="19"/>
      <c r="CY289" s="19"/>
      <c r="CZ289" s="19"/>
      <c r="DA289" s="19"/>
      <c r="DB289" s="19"/>
      <c r="DC289" s="19"/>
      <c r="DD289" s="19"/>
      <c r="DE289" s="19"/>
      <c r="DF289" s="19"/>
      <c r="DG289" s="19"/>
      <c r="DH289" s="19"/>
      <c r="DI289" s="19"/>
      <c r="DJ289" s="19"/>
      <c r="DK289" s="19"/>
      <c r="DL289" s="19"/>
      <c r="DM289" s="19"/>
      <c r="DN289" s="19"/>
      <c r="DO289" s="19"/>
      <c r="DP289" s="19"/>
      <c r="DQ289" s="19"/>
      <c r="DR289" s="19"/>
      <c r="DS289" s="19"/>
      <c r="DT289" s="19"/>
      <c r="DU289" s="19"/>
      <c r="DV289" s="19"/>
      <c r="DW289" s="19"/>
      <c r="DX289" s="19"/>
      <c r="DY289" s="19"/>
      <c r="DZ289" s="19"/>
      <c r="EA289" s="19"/>
      <c r="EB289" s="19"/>
      <c r="EC289" s="19"/>
      <c r="ED289" s="19"/>
      <c r="EE289" s="19"/>
      <c r="EF289" s="19"/>
      <c r="EG289" s="19"/>
      <c r="EH289" s="19"/>
      <c r="EI289" s="19"/>
      <c r="EJ289" s="19"/>
      <c r="EK289" s="19"/>
      <c r="EL289" s="19"/>
      <c r="EM289" s="19"/>
      <c r="EN289" s="19"/>
      <c r="EO289" s="19"/>
      <c r="EP289" s="19"/>
      <c r="EQ289" s="19"/>
      <c r="ER289" s="19"/>
      <c r="ES289" s="19"/>
      <c r="ET289" s="19"/>
      <c r="EU289" s="19"/>
      <c r="EV289" s="19"/>
      <c r="EW289" s="19"/>
      <c r="EX289" s="19"/>
      <c r="EY289" s="19"/>
      <c r="EZ289" s="19"/>
      <c r="FA289" s="19"/>
      <c r="FB289" s="19"/>
      <c r="FC289" s="19"/>
      <c r="FD289" s="19"/>
      <c r="FE289" s="19"/>
      <c r="FF289" s="19"/>
      <c r="FG289" s="19"/>
      <c r="FH289" s="19"/>
      <c r="FI289" s="19"/>
      <c r="FJ289" s="19"/>
      <c r="FK289" s="19"/>
      <c r="FL289" s="20" t="s">
        <v>1003</v>
      </c>
      <c r="FM289" s="20" t="s">
        <v>321</v>
      </c>
      <c r="FN289" s="19"/>
      <c r="FO289" s="19"/>
      <c r="FP289" s="19"/>
      <c r="FQ289" s="19"/>
      <c r="FR289" s="19"/>
      <c r="FS289" s="19"/>
      <c r="FT289" s="19"/>
      <c r="FU289" s="19"/>
      <c r="FV289" s="19"/>
      <c r="FW289" s="19"/>
      <c r="FX289" s="19"/>
      <c r="FY289" s="19"/>
      <c r="FZ289" s="19"/>
      <c r="GA289" s="19"/>
      <c r="GB289" s="19"/>
      <c r="GC289" s="19"/>
      <c r="GD289" s="19"/>
      <c r="GE289" s="19"/>
      <c r="GF289" s="19"/>
      <c r="GG289" s="19"/>
      <c r="GH289" s="19"/>
      <c r="GI289" s="19"/>
      <c r="GJ289" s="19"/>
      <c r="GK289" s="19"/>
      <c r="GL289" s="19"/>
      <c r="GM289" s="19"/>
      <c r="GN289" s="19"/>
      <c r="GO289" s="19"/>
      <c r="GP289" s="19"/>
      <c r="GQ289" s="19"/>
      <c r="GR289" s="19"/>
      <c r="GS289" s="19"/>
      <c r="GT289" s="19"/>
      <c r="GU289" s="19"/>
      <c r="GV289" s="19"/>
      <c r="GW289" s="19"/>
      <c r="GX289" s="19"/>
      <c r="GY289" s="19"/>
      <c r="GZ289" s="19"/>
      <c r="HA289" s="19"/>
    </row>
    <row r="290" spans="1:209" ht="23.25" customHeight="1" x14ac:dyDescent="0.15">
      <c r="A290" s="26">
        <v>44659.917319583328</v>
      </c>
      <c r="B290" s="27" t="s">
        <v>6</v>
      </c>
      <c r="C290" s="27" t="s">
        <v>10</v>
      </c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7" t="s">
        <v>1055</v>
      </c>
      <c r="AO290" s="27" t="s">
        <v>1035</v>
      </c>
      <c r="AP290" s="27" t="s">
        <v>1056</v>
      </c>
      <c r="AQ290" s="27" t="s">
        <v>346</v>
      </c>
      <c r="AR290" s="29">
        <v>44490</v>
      </c>
      <c r="AS290" s="29">
        <v>44551</v>
      </c>
      <c r="AT290" s="27" t="s">
        <v>252</v>
      </c>
      <c r="AU290" s="27" t="s">
        <v>252</v>
      </c>
      <c r="AV290" s="27">
        <v>0</v>
      </c>
      <c r="AW290" s="30" t="s">
        <v>1057</v>
      </c>
      <c r="AX290" s="28"/>
      <c r="AY290" s="28"/>
      <c r="AZ290" s="28"/>
      <c r="BA290" s="28"/>
      <c r="BB290" s="28"/>
      <c r="BC290" s="28"/>
      <c r="BD290" s="28"/>
      <c r="BE290" s="28"/>
      <c r="BF290" s="28"/>
      <c r="BG290" s="28"/>
      <c r="BH290" s="28"/>
      <c r="BI290" s="28"/>
      <c r="BJ290" s="28"/>
      <c r="BK290" s="28"/>
      <c r="BL290" s="28"/>
      <c r="BM290" s="28"/>
      <c r="BN290" s="28"/>
      <c r="BO290" s="28"/>
      <c r="BP290" s="28"/>
      <c r="BQ290" s="28"/>
      <c r="BR290" s="28"/>
      <c r="BS290" s="28"/>
      <c r="BT290" s="28"/>
      <c r="BU290" s="28"/>
      <c r="BV290" s="28"/>
      <c r="BW290" s="28"/>
      <c r="BX290" s="28"/>
      <c r="BY290" s="19"/>
      <c r="BZ290" s="19"/>
      <c r="CA290" s="19"/>
      <c r="CB290" s="19"/>
      <c r="CC290" s="19"/>
      <c r="CD290" s="19"/>
      <c r="CE290" s="19"/>
      <c r="CF290" s="19"/>
      <c r="CG290" s="19"/>
      <c r="CH290" s="19"/>
      <c r="CI290" s="19"/>
      <c r="CJ290" s="19"/>
      <c r="CK290" s="19"/>
      <c r="CL290" s="19"/>
      <c r="CM290" s="19"/>
      <c r="CN290" s="19"/>
      <c r="CO290" s="19"/>
      <c r="CP290" s="19"/>
      <c r="CQ290" s="19"/>
      <c r="CR290" s="19"/>
      <c r="CS290" s="19"/>
      <c r="CT290" s="19"/>
      <c r="CU290" s="19"/>
      <c r="CV290" s="19"/>
      <c r="CW290" s="19"/>
      <c r="CX290" s="19"/>
      <c r="CY290" s="19"/>
      <c r="CZ290" s="19"/>
      <c r="DA290" s="19"/>
      <c r="DB290" s="19"/>
      <c r="DC290" s="19"/>
      <c r="DD290" s="19"/>
      <c r="DE290" s="19"/>
      <c r="DF290" s="19"/>
      <c r="DG290" s="19"/>
      <c r="DH290" s="19"/>
      <c r="DI290" s="19"/>
      <c r="DJ290" s="19"/>
      <c r="DK290" s="19"/>
      <c r="DL290" s="19"/>
      <c r="DM290" s="19"/>
      <c r="DN290" s="19"/>
      <c r="DO290" s="19"/>
      <c r="DP290" s="19"/>
      <c r="DQ290" s="19"/>
      <c r="DR290" s="19"/>
      <c r="DS290" s="19"/>
      <c r="DT290" s="19"/>
      <c r="DU290" s="19"/>
      <c r="DV290" s="19"/>
      <c r="DW290" s="19"/>
      <c r="DX290" s="19"/>
      <c r="DY290" s="19"/>
      <c r="DZ290" s="19"/>
      <c r="EA290" s="19"/>
      <c r="EB290" s="19"/>
      <c r="EC290" s="19"/>
      <c r="ED290" s="19"/>
      <c r="EE290" s="19"/>
      <c r="EF290" s="19"/>
      <c r="EG290" s="19"/>
      <c r="EH290" s="19"/>
      <c r="EI290" s="19"/>
      <c r="EJ290" s="19"/>
      <c r="EK290" s="19"/>
      <c r="EL290" s="19"/>
      <c r="EM290" s="19"/>
      <c r="EN290" s="19"/>
      <c r="EO290" s="19"/>
      <c r="EP290" s="19"/>
      <c r="EQ290" s="19"/>
      <c r="ER290" s="19"/>
      <c r="ES290" s="19"/>
      <c r="ET290" s="19"/>
      <c r="EU290" s="19"/>
      <c r="EV290" s="19"/>
      <c r="EW290" s="19"/>
      <c r="EX290" s="19"/>
      <c r="EY290" s="19"/>
      <c r="EZ290" s="19"/>
      <c r="FA290" s="19"/>
      <c r="FB290" s="19"/>
      <c r="FC290" s="19"/>
      <c r="FD290" s="19"/>
      <c r="FE290" s="19"/>
      <c r="FF290" s="19"/>
      <c r="FG290" s="19"/>
      <c r="FH290" s="19"/>
      <c r="FI290" s="19"/>
      <c r="FJ290" s="19"/>
      <c r="FK290" s="19"/>
      <c r="FL290" s="20" t="s">
        <v>1040</v>
      </c>
      <c r="FM290" s="20" t="s">
        <v>255</v>
      </c>
      <c r="FN290" s="19"/>
      <c r="FO290" s="19"/>
      <c r="FP290" s="19"/>
      <c r="FQ290" s="19"/>
      <c r="FR290" s="19"/>
      <c r="FS290" s="19"/>
      <c r="FT290" s="19"/>
      <c r="FU290" s="19"/>
      <c r="FV290" s="19"/>
      <c r="FW290" s="19"/>
      <c r="FX290" s="19"/>
      <c r="FY290" s="19"/>
      <c r="FZ290" s="19"/>
      <c r="GA290" s="19"/>
      <c r="GB290" s="19"/>
      <c r="GC290" s="19"/>
      <c r="GD290" s="19"/>
      <c r="GE290" s="19"/>
      <c r="GF290" s="19"/>
      <c r="GG290" s="19"/>
      <c r="GH290" s="19"/>
      <c r="GI290" s="19"/>
      <c r="GJ290" s="19"/>
      <c r="GK290" s="19"/>
      <c r="GL290" s="19"/>
      <c r="GM290" s="19"/>
      <c r="GN290" s="19"/>
      <c r="GO290" s="19"/>
      <c r="GP290" s="19"/>
      <c r="GQ290" s="19"/>
      <c r="GR290" s="19"/>
      <c r="GS290" s="19"/>
      <c r="GT290" s="19"/>
      <c r="GU290" s="19"/>
      <c r="GV290" s="19"/>
      <c r="GW290" s="19"/>
      <c r="GX290" s="19"/>
      <c r="GY290" s="19"/>
      <c r="GZ290" s="19"/>
      <c r="HA290" s="19"/>
    </row>
    <row r="291" spans="1:209" ht="23.25" customHeight="1" x14ac:dyDescent="0.15">
      <c r="A291" s="26">
        <v>44659.91888143518</v>
      </c>
      <c r="B291" s="27" t="s">
        <v>6</v>
      </c>
      <c r="C291" s="27" t="s">
        <v>11</v>
      </c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  <c r="AX291" s="27" t="s">
        <v>1000</v>
      </c>
      <c r="AY291" s="27" t="s">
        <v>1012</v>
      </c>
      <c r="AZ291" s="27" t="s">
        <v>500</v>
      </c>
      <c r="BA291" s="27" t="s">
        <v>335</v>
      </c>
      <c r="BB291" s="27" t="s">
        <v>698</v>
      </c>
      <c r="BC291" s="29">
        <v>44287</v>
      </c>
      <c r="BD291" s="29">
        <v>44317</v>
      </c>
      <c r="BE291" s="29">
        <v>44287</v>
      </c>
      <c r="BF291" s="27">
        <v>100</v>
      </c>
      <c r="BG291" s="27" t="s">
        <v>556</v>
      </c>
      <c r="BH291" s="30" t="s">
        <v>1058</v>
      </c>
      <c r="BI291" s="28"/>
      <c r="BJ291" s="28"/>
      <c r="BK291" s="28"/>
      <c r="BL291" s="28"/>
      <c r="BM291" s="28"/>
      <c r="BN291" s="28"/>
      <c r="BO291" s="28"/>
      <c r="BP291" s="28"/>
      <c r="BQ291" s="28"/>
      <c r="BR291" s="28"/>
      <c r="BS291" s="28"/>
      <c r="BT291" s="28"/>
      <c r="BU291" s="28"/>
      <c r="BV291" s="28"/>
      <c r="BW291" s="28"/>
      <c r="BX291" s="28"/>
      <c r="BY291" s="19"/>
      <c r="BZ291" s="19"/>
      <c r="CA291" s="19"/>
      <c r="CB291" s="19"/>
      <c r="CC291" s="19"/>
      <c r="CD291" s="19"/>
      <c r="CE291" s="19"/>
      <c r="CF291" s="19"/>
      <c r="CG291" s="19"/>
      <c r="CH291" s="19"/>
      <c r="CI291" s="19"/>
      <c r="CJ291" s="19"/>
      <c r="CK291" s="19"/>
      <c r="CL291" s="19"/>
      <c r="CM291" s="19"/>
      <c r="CN291" s="19"/>
      <c r="CO291" s="19"/>
      <c r="CP291" s="19"/>
      <c r="CQ291" s="19"/>
      <c r="CR291" s="19"/>
      <c r="CS291" s="19"/>
      <c r="CT291" s="19"/>
      <c r="CU291" s="19"/>
      <c r="CV291" s="19"/>
      <c r="CW291" s="19"/>
      <c r="CX291" s="19"/>
      <c r="CY291" s="19"/>
      <c r="CZ291" s="19"/>
      <c r="DA291" s="19"/>
      <c r="DB291" s="19"/>
      <c r="DC291" s="19"/>
      <c r="DD291" s="19"/>
      <c r="DE291" s="19"/>
      <c r="DF291" s="19"/>
      <c r="DG291" s="19"/>
      <c r="DH291" s="19"/>
      <c r="DI291" s="19"/>
      <c r="DJ291" s="19"/>
      <c r="DK291" s="19"/>
      <c r="DL291" s="19"/>
      <c r="DM291" s="19"/>
      <c r="DN291" s="19"/>
      <c r="DO291" s="19"/>
      <c r="DP291" s="19"/>
      <c r="DQ291" s="19"/>
      <c r="DR291" s="19"/>
      <c r="DS291" s="19"/>
      <c r="DT291" s="19"/>
      <c r="DU291" s="19"/>
      <c r="DV291" s="19"/>
      <c r="DW291" s="19"/>
      <c r="DX291" s="19"/>
      <c r="DY291" s="19"/>
      <c r="DZ291" s="19"/>
      <c r="EA291" s="19"/>
      <c r="EB291" s="19"/>
      <c r="EC291" s="19"/>
      <c r="ED291" s="19"/>
      <c r="EE291" s="19"/>
      <c r="EF291" s="19"/>
      <c r="EG291" s="19"/>
      <c r="EH291" s="19"/>
      <c r="EI291" s="19"/>
      <c r="EJ291" s="19"/>
      <c r="EK291" s="19"/>
      <c r="EL291" s="19"/>
      <c r="EM291" s="19"/>
      <c r="EN291" s="19"/>
      <c r="EO291" s="19"/>
      <c r="EP291" s="19"/>
      <c r="EQ291" s="19"/>
      <c r="ER291" s="19"/>
      <c r="ES291" s="19"/>
      <c r="ET291" s="19"/>
      <c r="EU291" s="19"/>
      <c r="EV291" s="19"/>
      <c r="EW291" s="19"/>
      <c r="EX291" s="19"/>
      <c r="EY291" s="19"/>
      <c r="EZ291" s="19"/>
      <c r="FA291" s="19"/>
      <c r="FB291" s="19"/>
      <c r="FC291" s="19"/>
      <c r="FD291" s="19"/>
      <c r="FE291" s="19"/>
      <c r="FF291" s="19"/>
      <c r="FG291" s="19"/>
      <c r="FH291" s="19"/>
      <c r="FI291" s="19"/>
      <c r="FJ291" s="19"/>
      <c r="FK291" s="19"/>
      <c r="FL291" s="20" t="s">
        <v>1003</v>
      </c>
      <c r="FM291" s="20" t="s">
        <v>321</v>
      </c>
      <c r="FN291" s="19"/>
      <c r="FO291" s="19"/>
      <c r="FP291" s="19"/>
      <c r="FQ291" s="19"/>
      <c r="FR291" s="19"/>
      <c r="FS291" s="19"/>
      <c r="FT291" s="19"/>
      <c r="FU291" s="19"/>
      <c r="FV291" s="19"/>
      <c r="FW291" s="19"/>
      <c r="FX291" s="19"/>
      <c r="FY291" s="19"/>
      <c r="FZ291" s="19"/>
      <c r="GA291" s="19"/>
      <c r="GB291" s="19"/>
      <c r="GC291" s="19"/>
      <c r="GD291" s="19"/>
      <c r="GE291" s="19"/>
      <c r="GF291" s="19"/>
      <c r="GG291" s="19"/>
      <c r="GH291" s="19"/>
      <c r="GI291" s="19"/>
      <c r="GJ291" s="19"/>
      <c r="GK291" s="19"/>
      <c r="GL291" s="19"/>
      <c r="GM291" s="19"/>
      <c r="GN291" s="19"/>
      <c r="GO291" s="19"/>
      <c r="GP291" s="19"/>
      <c r="GQ291" s="19"/>
      <c r="GR291" s="19"/>
      <c r="GS291" s="19"/>
      <c r="GT291" s="19"/>
      <c r="GU291" s="19"/>
      <c r="GV291" s="19"/>
      <c r="GW291" s="19"/>
      <c r="GX291" s="19"/>
      <c r="GY291" s="19"/>
      <c r="GZ291" s="19"/>
      <c r="HA291" s="19"/>
    </row>
    <row r="292" spans="1:209" ht="23.25" customHeight="1" x14ac:dyDescent="0.15">
      <c r="A292" s="26">
        <v>44659.920450069447</v>
      </c>
      <c r="B292" s="27" t="s">
        <v>6</v>
      </c>
      <c r="C292" s="27" t="s">
        <v>11</v>
      </c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  <c r="AX292" s="27" t="s">
        <v>1000</v>
      </c>
      <c r="AY292" s="27" t="s">
        <v>1012</v>
      </c>
      <c r="AZ292" s="27" t="s">
        <v>354</v>
      </c>
      <c r="BA292" s="27" t="s">
        <v>335</v>
      </c>
      <c r="BB292" s="27" t="s">
        <v>698</v>
      </c>
      <c r="BC292" s="29">
        <v>44287</v>
      </c>
      <c r="BD292" s="29">
        <v>44287</v>
      </c>
      <c r="BE292" s="29">
        <v>44287</v>
      </c>
      <c r="BF292" s="27">
        <v>100</v>
      </c>
      <c r="BG292" s="27" t="s">
        <v>556</v>
      </c>
      <c r="BH292" s="30" t="s">
        <v>1059</v>
      </c>
      <c r="BI292" s="28"/>
      <c r="BJ292" s="28"/>
      <c r="BK292" s="28"/>
      <c r="BL292" s="28"/>
      <c r="BM292" s="28"/>
      <c r="BN292" s="28"/>
      <c r="BO292" s="28"/>
      <c r="BP292" s="28"/>
      <c r="BQ292" s="28"/>
      <c r="BR292" s="28"/>
      <c r="BS292" s="28"/>
      <c r="BT292" s="28"/>
      <c r="BU292" s="28"/>
      <c r="BV292" s="28"/>
      <c r="BW292" s="28"/>
      <c r="BX292" s="28"/>
      <c r="BY292" s="19"/>
      <c r="BZ292" s="19"/>
      <c r="CA292" s="19"/>
      <c r="CB292" s="19"/>
      <c r="CC292" s="19"/>
      <c r="CD292" s="19"/>
      <c r="CE292" s="19"/>
      <c r="CF292" s="19"/>
      <c r="CG292" s="19"/>
      <c r="CH292" s="19"/>
      <c r="CI292" s="19"/>
      <c r="CJ292" s="19"/>
      <c r="CK292" s="19"/>
      <c r="CL292" s="19"/>
      <c r="CM292" s="19"/>
      <c r="CN292" s="19"/>
      <c r="CO292" s="19"/>
      <c r="CP292" s="19"/>
      <c r="CQ292" s="19"/>
      <c r="CR292" s="19"/>
      <c r="CS292" s="19"/>
      <c r="CT292" s="19"/>
      <c r="CU292" s="19"/>
      <c r="CV292" s="19"/>
      <c r="CW292" s="19"/>
      <c r="CX292" s="19"/>
      <c r="CY292" s="19"/>
      <c r="CZ292" s="19"/>
      <c r="DA292" s="19"/>
      <c r="DB292" s="19"/>
      <c r="DC292" s="19"/>
      <c r="DD292" s="19"/>
      <c r="DE292" s="19"/>
      <c r="DF292" s="19"/>
      <c r="DG292" s="19"/>
      <c r="DH292" s="19"/>
      <c r="DI292" s="19"/>
      <c r="DJ292" s="19"/>
      <c r="DK292" s="19"/>
      <c r="DL292" s="19"/>
      <c r="DM292" s="19"/>
      <c r="DN292" s="19"/>
      <c r="DO292" s="19"/>
      <c r="DP292" s="19"/>
      <c r="DQ292" s="19"/>
      <c r="DR292" s="19"/>
      <c r="DS292" s="19"/>
      <c r="DT292" s="19"/>
      <c r="DU292" s="19"/>
      <c r="DV292" s="19"/>
      <c r="DW292" s="19"/>
      <c r="DX292" s="19"/>
      <c r="DY292" s="19"/>
      <c r="DZ292" s="19"/>
      <c r="EA292" s="19"/>
      <c r="EB292" s="19"/>
      <c r="EC292" s="19"/>
      <c r="ED292" s="19"/>
      <c r="EE292" s="19"/>
      <c r="EF292" s="19"/>
      <c r="EG292" s="19"/>
      <c r="EH292" s="19"/>
      <c r="EI292" s="19"/>
      <c r="EJ292" s="19"/>
      <c r="EK292" s="19"/>
      <c r="EL292" s="19"/>
      <c r="EM292" s="19"/>
      <c r="EN292" s="19"/>
      <c r="EO292" s="19"/>
      <c r="EP292" s="19"/>
      <c r="EQ292" s="19"/>
      <c r="ER292" s="19"/>
      <c r="ES292" s="19"/>
      <c r="ET292" s="19"/>
      <c r="EU292" s="19"/>
      <c r="EV292" s="19"/>
      <c r="EW292" s="19"/>
      <c r="EX292" s="19"/>
      <c r="EY292" s="19"/>
      <c r="EZ292" s="19"/>
      <c r="FA292" s="19"/>
      <c r="FB292" s="19"/>
      <c r="FC292" s="19"/>
      <c r="FD292" s="19"/>
      <c r="FE292" s="19"/>
      <c r="FF292" s="19"/>
      <c r="FG292" s="19"/>
      <c r="FH292" s="19"/>
      <c r="FI292" s="19"/>
      <c r="FJ292" s="19"/>
      <c r="FK292" s="19"/>
      <c r="FL292" s="20" t="s">
        <v>1003</v>
      </c>
      <c r="FM292" s="20" t="s">
        <v>321</v>
      </c>
      <c r="FN292" s="19"/>
      <c r="FO292" s="19"/>
      <c r="FP292" s="19"/>
      <c r="FQ292" s="19"/>
      <c r="FR292" s="19"/>
      <c r="FS292" s="19"/>
      <c r="FT292" s="19"/>
      <c r="FU292" s="19"/>
      <c r="FV292" s="19"/>
      <c r="FW292" s="19"/>
      <c r="FX292" s="19"/>
      <c r="FY292" s="19"/>
      <c r="FZ292" s="19"/>
      <c r="GA292" s="19"/>
      <c r="GB292" s="19"/>
      <c r="GC292" s="19"/>
      <c r="GD292" s="19"/>
      <c r="GE292" s="19"/>
      <c r="GF292" s="19"/>
      <c r="GG292" s="19"/>
      <c r="GH292" s="19"/>
      <c r="GI292" s="19"/>
      <c r="GJ292" s="19"/>
      <c r="GK292" s="19"/>
      <c r="GL292" s="19"/>
      <c r="GM292" s="19"/>
      <c r="GN292" s="19"/>
      <c r="GO292" s="19"/>
      <c r="GP292" s="19"/>
      <c r="GQ292" s="19"/>
      <c r="GR292" s="19"/>
      <c r="GS292" s="19"/>
      <c r="GT292" s="19"/>
      <c r="GU292" s="19"/>
      <c r="GV292" s="19"/>
      <c r="GW292" s="19"/>
      <c r="GX292" s="19"/>
      <c r="GY292" s="19"/>
      <c r="GZ292" s="19"/>
      <c r="HA292" s="19"/>
    </row>
    <row r="293" spans="1:209" ht="23.25" customHeight="1" x14ac:dyDescent="0.15">
      <c r="A293" s="26">
        <v>44659.923394699072</v>
      </c>
      <c r="B293" s="27" t="s">
        <v>6</v>
      </c>
      <c r="C293" s="27" t="s">
        <v>17</v>
      </c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  <c r="AX293" s="28"/>
      <c r="AY293" s="28"/>
      <c r="AZ293" s="28"/>
      <c r="BA293" s="28"/>
      <c r="BB293" s="28"/>
      <c r="BC293" s="28"/>
      <c r="BD293" s="28"/>
      <c r="BE293" s="28"/>
      <c r="BF293" s="28"/>
      <c r="BG293" s="28"/>
      <c r="BH293" s="28"/>
      <c r="BI293" s="28"/>
      <c r="BJ293" s="28"/>
      <c r="BK293" s="28"/>
      <c r="BL293" s="28"/>
      <c r="BM293" s="28"/>
      <c r="BN293" s="28"/>
      <c r="BO293" s="28"/>
      <c r="BP293" s="28"/>
      <c r="BQ293" s="28"/>
      <c r="BR293" s="28"/>
      <c r="BS293" s="28"/>
      <c r="BT293" s="28"/>
      <c r="BU293" s="28"/>
      <c r="BV293" s="28"/>
      <c r="BW293" s="28"/>
      <c r="BX293" s="28"/>
      <c r="BY293" s="19"/>
      <c r="BZ293" s="19"/>
      <c r="CA293" s="19"/>
      <c r="CB293" s="19"/>
      <c r="CC293" s="19"/>
      <c r="CD293" s="19"/>
      <c r="CE293" s="19"/>
      <c r="CF293" s="19"/>
      <c r="CG293" s="19"/>
      <c r="CH293" s="19"/>
      <c r="CI293" s="19"/>
      <c r="CJ293" s="19"/>
      <c r="CK293" s="19"/>
      <c r="CL293" s="19"/>
      <c r="CM293" s="19"/>
      <c r="CN293" s="19"/>
      <c r="CO293" s="19"/>
      <c r="CP293" s="19"/>
      <c r="CQ293" s="19"/>
      <c r="CR293" s="19"/>
      <c r="CS293" s="19"/>
      <c r="CT293" s="19"/>
      <c r="CU293" s="19"/>
      <c r="CV293" s="19"/>
      <c r="CW293" s="19"/>
      <c r="CX293" s="19"/>
      <c r="CY293" s="19"/>
      <c r="CZ293" s="19"/>
      <c r="DA293" s="19"/>
      <c r="DB293" s="19"/>
      <c r="DC293" s="19"/>
      <c r="DD293" s="19"/>
      <c r="DE293" s="19"/>
      <c r="DF293" s="19"/>
      <c r="DG293" s="19"/>
      <c r="DH293" s="19"/>
      <c r="DI293" s="19"/>
      <c r="DJ293" s="19"/>
      <c r="DK293" s="19"/>
      <c r="DL293" s="19"/>
      <c r="DM293" s="19"/>
      <c r="DN293" s="19"/>
      <c r="DO293" s="19"/>
      <c r="DP293" s="19"/>
      <c r="DQ293" s="19"/>
      <c r="DR293" s="19"/>
      <c r="DS293" s="19"/>
      <c r="DT293" s="19"/>
      <c r="DU293" s="19"/>
      <c r="DV293" s="19"/>
      <c r="DW293" s="19"/>
      <c r="DX293" s="20" t="s">
        <v>1055</v>
      </c>
      <c r="DY293" s="20" t="s">
        <v>1035</v>
      </c>
      <c r="DZ293" s="20" t="s">
        <v>154</v>
      </c>
      <c r="EA293" s="20" t="s">
        <v>1060</v>
      </c>
      <c r="EB293" s="21">
        <v>44128</v>
      </c>
      <c r="EC293" s="20" t="s">
        <v>1061</v>
      </c>
      <c r="ED293" s="22" t="s">
        <v>1062</v>
      </c>
      <c r="EE293" s="19"/>
      <c r="EF293" s="19"/>
      <c r="EG293" s="19"/>
      <c r="EH293" s="19"/>
      <c r="EI293" s="19"/>
      <c r="EJ293" s="19"/>
      <c r="EK293" s="19"/>
      <c r="EL293" s="19"/>
      <c r="EM293" s="19"/>
      <c r="EN293" s="19"/>
      <c r="EO293" s="19"/>
      <c r="EP293" s="19"/>
      <c r="EQ293" s="19"/>
      <c r="ER293" s="19"/>
      <c r="ES293" s="19"/>
      <c r="ET293" s="19"/>
      <c r="EU293" s="19"/>
      <c r="EV293" s="19"/>
      <c r="EW293" s="19"/>
      <c r="EX293" s="19"/>
      <c r="EY293" s="19"/>
      <c r="EZ293" s="19"/>
      <c r="FA293" s="19"/>
      <c r="FB293" s="19"/>
      <c r="FC293" s="19"/>
      <c r="FD293" s="19"/>
      <c r="FE293" s="19"/>
      <c r="FF293" s="19"/>
      <c r="FG293" s="19"/>
      <c r="FH293" s="19"/>
      <c r="FI293" s="19"/>
      <c r="FJ293" s="19"/>
      <c r="FK293" s="19"/>
      <c r="FL293" s="20" t="s">
        <v>1040</v>
      </c>
      <c r="FM293" s="20" t="s">
        <v>255</v>
      </c>
      <c r="FN293" s="19"/>
      <c r="FO293" s="19"/>
      <c r="FP293" s="19"/>
      <c r="FQ293" s="19"/>
      <c r="FR293" s="19"/>
      <c r="FS293" s="19"/>
      <c r="FT293" s="19"/>
      <c r="FU293" s="19"/>
      <c r="FV293" s="19"/>
      <c r="FW293" s="19"/>
      <c r="FX293" s="19"/>
      <c r="FY293" s="19"/>
      <c r="FZ293" s="19"/>
      <c r="GA293" s="19"/>
      <c r="GB293" s="19"/>
      <c r="GC293" s="19"/>
      <c r="GD293" s="19"/>
      <c r="GE293" s="19"/>
      <c r="GF293" s="19"/>
      <c r="GG293" s="19"/>
      <c r="GH293" s="19"/>
      <c r="GI293" s="19"/>
      <c r="GJ293" s="19"/>
      <c r="GK293" s="19"/>
      <c r="GL293" s="19"/>
      <c r="GM293" s="19"/>
      <c r="GN293" s="19"/>
      <c r="GO293" s="19"/>
      <c r="GP293" s="19"/>
      <c r="GQ293" s="19"/>
      <c r="GR293" s="19"/>
      <c r="GS293" s="19"/>
      <c r="GT293" s="19"/>
      <c r="GU293" s="19"/>
      <c r="GV293" s="19"/>
      <c r="GW293" s="19"/>
      <c r="GX293" s="19"/>
      <c r="GY293" s="19"/>
      <c r="GZ293" s="19"/>
      <c r="HA293" s="19"/>
    </row>
    <row r="294" spans="1:209" ht="23.25" customHeight="1" x14ac:dyDescent="0.15">
      <c r="A294" s="26">
        <v>44659.923720763887</v>
      </c>
      <c r="B294" s="27" t="s">
        <v>6</v>
      </c>
      <c r="C294" s="27" t="s">
        <v>11</v>
      </c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  <c r="AX294" s="27" t="s">
        <v>1000</v>
      </c>
      <c r="AY294" s="27" t="s">
        <v>1012</v>
      </c>
      <c r="AZ294" s="27" t="s">
        <v>590</v>
      </c>
      <c r="BA294" s="27" t="s">
        <v>335</v>
      </c>
      <c r="BB294" s="27" t="s">
        <v>698</v>
      </c>
      <c r="BC294" s="29">
        <v>44348</v>
      </c>
      <c r="BD294" s="29">
        <v>44378</v>
      </c>
      <c r="BE294" s="29">
        <v>44378</v>
      </c>
      <c r="BF294" s="27">
        <v>100</v>
      </c>
      <c r="BG294" s="27" t="s">
        <v>520</v>
      </c>
      <c r="BH294" s="30" t="s">
        <v>1063</v>
      </c>
      <c r="BI294" s="28"/>
      <c r="BJ294" s="28"/>
      <c r="BK294" s="28"/>
      <c r="BL294" s="28"/>
      <c r="BM294" s="28"/>
      <c r="BN294" s="28"/>
      <c r="BO294" s="28"/>
      <c r="BP294" s="28"/>
      <c r="BQ294" s="28"/>
      <c r="BR294" s="28"/>
      <c r="BS294" s="28"/>
      <c r="BT294" s="28"/>
      <c r="BU294" s="28"/>
      <c r="BV294" s="28"/>
      <c r="BW294" s="28"/>
      <c r="BX294" s="28"/>
      <c r="BY294" s="19"/>
      <c r="BZ294" s="19"/>
      <c r="CA294" s="19"/>
      <c r="CB294" s="19"/>
      <c r="CC294" s="19"/>
      <c r="CD294" s="19"/>
      <c r="CE294" s="19"/>
      <c r="CF294" s="19"/>
      <c r="CG294" s="19"/>
      <c r="CH294" s="19"/>
      <c r="CI294" s="19"/>
      <c r="CJ294" s="19"/>
      <c r="CK294" s="19"/>
      <c r="CL294" s="19"/>
      <c r="CM294" s="19"/>
      <c r="CN294" s="19"/>
      <c r="CO294" s="19"/>
      <c r="CP294" s="19"/>
      <c r="CQ294" s="19"/>
      <c r="CR294" s="19"/>
      <c r="CS294" s="19"/>
      <c r="CT294" s="19"/>
      <c r="CU294" s="19"/>
      <c r="CV294" s="19"/>
      <c r="CW294" s="19"/>
      <c r="CX294" s="19"/>
      <c r="CY294" s="19"/>
      <c r="CZ294" s="19"/>
      <c r="DA294" s="19"/>
      <c r="DB294" s="19"/>
      <c r="DC294" s="19"/>
      <c r="DD294" s="19"/>
      <c r="DE294" s="19"/>
      <c r="DF294" s="19"/>
      <c r="DG294" s="19"/>
      <c r="DH294" s="19"/>
      <c r="DI294" s="19"/>
      <c r="DJ294" s="19"/>
      <c r="DK294" s="19"/>
      <c r="DL294" s="19"/>
      <c r="DM294" s="19"/>
      <c r="DN294" s="19"/>
      <c r="DO294" s="19"/>
      <c r="DP294" s="19"/>
      <c r="DQ294" s="19"/>
      <c r="DR294" s="19"/>
      <c r="DS294" s="19"/>
      <c r="DT294" s="19"/>
      <c r="DU294" s="19"/>
      <c r="DV294" s="19"/>
      <c r="DW294" s="19"/>
      <c r="DX294" s="19"/>
      <c r="DY294" s="19"/>
      <c r="DZ294" s="19"/>
      <c r="EA294" s="19"/>
      <c r="EB294" s="19"/>
      <c r="EC294" s="19"/>
      <c r="ED294" s="19"/>
      <c r="EE294" s="19"/>
      <c r="EF294" s="19"/>
      <c r="EG294" s="19"/>
      <c r="EH294" s="19"/>
      <c r="EI294" s="19"/>
      <c r="EJ294" s="19"/>
      <c r="EK294" s="19"/>
      <c r="EL294" s="19"/>
      <c r="EM294" s="19"/>
      <c r="EN294" s="19"/>
      <c r="EO294" s="19"/>
      <c r="EP294" s="19"/>
      <c r="EQ294" s="19"/>
      <c r="ER294" s="19"/>
      <c r="ES294" s="19"/>
      <c r="ET294" s="19"/>
      <c r="EU294" s="19"/>
      <c r="EV294" s="19"/>
      <c r="EW294" s="19"/>
      <c r="EX294" s="19"/>
      <c r="EY294" s="19"/>
      <c r="EZ294" s="19"/>
      <c r="FA294" s="19"/>
      <c r="FB294" s="19"/>
      <c r="FC294" s="19"/>
      <c r="FD294" s="19"/>
      <c r="FE294" s="19"/>
      <c r="FF294" s="19"/>
      <c r="FG294" s="19"/>
      <c r="FH294" s="19"/>
      <c r="FI294" s="19"/>
      <c r="FJ294" s="19"/>
      <c r="FK294" s="19"/>
      <c r="FL294" s="20" t="s">
        <v>1003</v>
      </c>
      <c r="FM294" s="20" t="s">
        <v>339</v>
      </c>
      <c r="FN294" s="19"/>
      <c r="FO294" s="19"/>
      <c r="FP294" s="19"/>
      <c r="FQ294" s="19"/>
      <c r="FR294" s="19"/>
      <c r="FS294" s="19"/>
      <c r="FT294" s="19"/>
      <c r="FU294" s="19"/>
      <c r="FV294" s="19"/>
      <c r="FW294" s="19"/>
      <c r="FX294" s="19"/>
      <c r="FY294" s="19"/>
      <c r="FZ294" s="19"/>
      <c r="GA294" s="19"/>
      <c r="GB294" s="19"/>
      <c r="GC294" s="19"/>
      <c r="GD294" s="19"/>
      <c r="GE294" s="19"/>
      <c r="GF294" s="19"/>
      <c r="GG294" s="19"/>
      <c r="GH294" s="19"/>
      <c r="GI294" s="19"/>
      <c r="GJ294" s="19"/>
      <c r="GK294" s="19"/>
      <c r="GL294" s="19"/>
      <c r="GM294" s="19"/>
      <c r="GN294" s="19"/>
      <c r="GO294" s="19"/>
      <c r="GP294" s="19"/>
      <c r="GQ294" s="19"/>
      <c r="GR294" s="19"/>
      <c r="GS294" s="19"/>
      <c r="GT294" s="19"/>
      <c r="GU294" s="19"/>
      <c r="GV294" s="19"/>
      <c r="GW294" s="19"/>
      <c r="GX294" s="19"/>
      <c r="GY294" s="19"/>
      <c r="GZ294" s="19"/>
      <c r="HA294" s="19"/>
    </row>
    <row r="295" spans="1:209" ht="23.25" customHeight="1" x14ac:dyDescent="0.15">
      <c r="A295" s="26">
        <v>44659.92613043981</v>
      </c>
      <c r="B295" s="27" t="s">
        <v>6</v>
      </c>
      <c r="C295" s="27" t="s">
        <v>11</v>
      </c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  <c r="AX295" s="27" t="s">
        <v>986</v>
      </c>
      <c r="AY295" s="27" t="s">
        <v>987</v>
      </c>
      <c r="AZ295" s="27" t="s">
        <v>1064</v>
      </c>
      <c r="BA295" s="27" t="s">
        <v>343</v>
      </c>
      <c r="BB295" s="27" t="s">
        <v>1065</v>
      </c>
      <c r="BC295" s="29">
        <v>43983</v>
      </c>
      <c r="BD295" s="29">
        <v>44075</v>
      </c>
      <c r="BE295" s="29">
        <v>44084</v>
      </c>
      <c r="BF295" s="27">
        <v>80</v>
      </c>
      <c r="BG295" s="27" t="s">
        <v>1066</v>
      </c>
      <c r="BH295" s="30" t="s">
        <v>1067</v>
      </c>
      <c r="BI295" s="28"/>
      <c r="BJ295" s="28"/>
      <c r="BK295" s="28"/>
      <c r="BL295" s="28"/>
      <c r="BM295" s="28"/>
      <c r="BN295" s="28"/>
      <c r="BO295" s="28"/>
      <c r="BP295" s="28"/>
      <c r="BQ295" s="28"/>
      <c r="BR295" s="28"/>
      <c r="BS295" s="28"/>
      <c r="BT295" s="28"/>
      <c r="BU295" s="28"/>
      <c r="BV295" s="28"/>
      <c r="BW295" s="28"/>
      <c r="BX295" s="28"/>
      <c r="BY295" s="19"/>
      <c r="BZ295" s="19"/>
      <c r="CA295" s="19"/>
      <c r="CB295" s="19"/>
      <c r="CC295" s="19"/>
      <c r="CD295" s="19"/>
      <c r="CE295" s="19"/>
      <c r="CF295" s="19"/>
      <c r="CG295" s="19"/>
      <c r="CH295" s="19"/>
      <c r="CI295" s="19"/>
      <c r="CJ295" s="19"/>
      <c r="CK295" s="19"/>
      <c r="CL295" s="19"/>
      <c r="CM295" s="19"/>
      <c r="CN295" s="19"/>
      <c r="CO295" s="19"/>
      <c r="CP295" s="19"/>
      <c r="CQ295" s="19"/>
      <c r="CR295" s="19"/>
      <c r="CS295" s="19"/>
      <c r="CT295" s="19"/>
      <c r="CU295" s="19"/>
      <c r="CV295" s="19"/>
      <c r="CW295" s="19"/>
      <c r="CX295" s="19"/>
      <c r="CY295" s="19"/>
      <c r="CZ295" s="19"/>
      <c r="DA295" s="19"/>
      <c r="DB295" s="19"/>
      <c r="DC295" s="19"/>
      <c r="DD295" s="19"/>
      <c r="DE295" s="19"/>
      <c r="DF295" s="19"/>
      <c r="DG295" s="19"/>
      <c r="DH295" s="19"/>
      <c r="DI295" s="19"/>
      <c r="DJ295" s="19"/>
      <c r="DK295" s="19"/>
      <c r="DL295" s="19"/>
      <c r="DM295" s="19"/>
      <c r="DN295" s="19"/>
      <c r="DO295" s="19"/>
      <c r="DP295" s="19"/>
      <c r="DQ295" s="19"/>
      <c r="DR295" s="19"/>
      <c r="DS295" s="19"/>
      <c r="DT295" s="19"/>
      <c r="DU295" s="19"/>
      <c r="DV295" s="19"/>
      <c r="DW295" s="19"/>
      <c r="DX295" s="19"/>
      <c r="DY295" s="19"/>
      <c r="DZ295" s="19"/>
      <c r="EA295" s="19"/>
      <c r="EB295" s="19"/>
      <c r="EC295" s="19"/>
      <c r="ED295" s="19"/>
      <c r="EE295" s="19"/>
      <c r="EF295" s="19"/>
      <c r="EG295" s="19"/>
      <c r="EH295" s="19"/>
      <c r="EI295" s="19"/>
      <c r="EJ295" s="19"/>
      <c r="EK295" s="19"/>
      <c r="EL295" s="19"/>
      <c r="EM295" s="19"/>
      <c r="EN295" s="19"/>
      <c r="EO295" s="19"/>
      <c r="EP295" s="19"/>
      <c r="EQ295" s="19"/>
      <c r="ER295" s="19"/>
      <c r="ES295" s="19"/>
      <c r="ET295" s="19"/>
      <c r="EU295" s="19"/>
      <c r="EV295" s="19"/>
      <c r="EW295" s="19"/>
      <c r="EX295" s="19"/>
      <c r="EY295" s="19"/>
      <c r="EZ295" s="19"/>
      <c r="FA295" s="19"/>
      <c r="FB295" s="19"/>
      <c r="FC295" s="19"/>
      <c r="FD295" s="19"/>
      <c r="FE295" s="19"/>
      <c r="FF295" s="19"/>
      <c r="FG295" s="19"/>
      <c r="FH295" s="19"/>
      <c r="FI295" s="19"/>
      <c r="FJ295" s="19"/>
      <c r="FK295" s="19"/>
      <c r="FL295" s="20" t="s">
        <v>991</v>
      </c>
      <c r="FM295" s="20" t="s">
        <v>255</v>
      </c>
      <c r="FN295" s="19"/>
      <c r="FO295" s="19"/>
      <c r="FP295" s="19"/>
      <c r="FQ295" s="19"/>
      <c r="FR295" s="19"/>
      <c r="FS295" s="19"/>
      <c r="FT295" s="19"/>
      <c r="FU295" s="19"/>
      <c r="FV295" s="19"/>
      <c r="FW295" s="19"/>
      <c r="FX295" s="19"/>
      <c r="FY295" s="19"/>
      <c r="FZ295" s="19"/>
      <c r="GA295" s="19"/>
      <c r="GB295" s="19"/>
      <c r="GC295" s="19"/>
      <c r="GD295" s="19"/>
      <c r="GE295" s="19"/>
      <c r="GF295" s="19"/>
      <c r="GG295" s="19"/>
      <c r="GH295" s="19"/>
      <c r="GI295" s="19"/>
      <c r="GJ295" s="19"/>
      <c r="GK295" s="19"/>
      <c r="GL295" s="19"/>
      <c r="GM295" s="19"/>
      <c r="GN295" s="19"/>
      <c r="GO295" s="19"/>
      <c r="GP295" s="19"/>
      <c r="GQ295" s="19"/>
      <c r="GR295" s="19"/>
      <c r="GS295" s="19"/>
      <c r="GT295" s="19"/>
      <c r="GU295" s="19"/>
      <c r="GV295" s="19"/>
      <c r="GW295" s="19"/>
      <c r="GX295" s="19"/>
      <c r="GY295" s="19"/>
      <c r="GZ295" s="19"/>
      <c r="HA295" s="19"/>
    </row>
    <row r="296" spans="1:209" ht="23.25" customHeight="1" x14ac:dyDescent="0.15">
      <c r="A296" s="26">
        <v>44659.927567303239</v>
      </c>
      <c r="B296" s="27" t="s">
        <v>6</v>
      </c>
      <c r="C296" s="27" t="s">
        <v>11</v>
      </c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  <c r="AX296" s="27" t="s">
        <v>986</v>
      </c>
      <c r="AY296" s="27" t="s">
        <v>987</v>
      </c>
      <c r="AZ296" s="27" t="s">
        <v>1068</v>
      </c>
      <c r="BA296" s="27" t="s">
        <v>343</v>
      </c>
      <c r="BB296" s="27" t="s">
        <v>448</v>
      </c>
      <c r="BC296" s="29">
        <v>43983</v>
      </c>
      <c r="BD296" s="29">
        <v>44075</v>
      </c>
      <c r="BE296" s="29">
        <v>44084</v>
      </c>
      <c r="BF296" s="27">
        <v>80</v>
      </c>
      <c r="BG296" s="27" t="s">
        <v>1069</v>
      </c>
      <c r="BH296" s="30" t="s">
        <v>1070</v>
      </c>
      <c r="BI296" s="28"/>
      <c r="BJ296" s="28"/>
      <c r="BK296" s="28"/>
      <c r="BL296" s="28"/>
      <c r="BM296" s="28"/>
      <c r="BN296" s="28"/>
      <c r="BO296" s="28"/>
      <c r="BP296" s="28"/>
      <c r="BQ296" s="28"/>
      <c r="BR296" s="28"/>
      <c r="BS296" s="28"/>
      <c r="BT296" s="28"/>
      <c r="BU296" s="28"/>
      <c r="BV296" s="28"/>
      <c r="BW296" s="28"/>
      <c r="BX296" s="28"/>
      <c r="BY296" s="19"/>
      <c r="BZ296" s="19"/>
      <c r="CA296" s="19"/>
      <c r="CB296" s="19"/>
      <c r="CC296" s="19"/>
      <c r="CD296" s="19"/>
      <c r="CE296" s="19"/>
      <c r="CF296" s="19"/>
      <c r="CG296" s="19"/>
      <c r="CH296" s="19"/>
      <c r="CI296" s="19"/>
      <c r="CJ296" s="19"/>
      <c r="CK296" s="19"/>
      <c r="CL296" s="19"/>
      <c r="CM296" s="19"/>
      <c r="CN296" s="19"/>
      <c r="CO296" s="19"/>
      <c r="CP296" s="19"/>
      <c r="CQ296" s="19"/>
      <c r="CR296" s="19"/>
      <c r="CS296" s="19"/>
      <c r="CT296" s="19"/>
      <c r="CU296" s="19"/>
      <c r="CV296" s="19"/>
      <c r="CW296" s="19"/>
      <c r="CX296" s="19"/>
      <c r="CY296" s="19"/>
      <c r="CZ296" s="19"/>
      <c r="DA296" s="19"/>
      <c r="DB296" s="19"/>
      <c r="DC296" s="19"/>
      <c r="DD296" s="19"/>
      <c r="DE296" s="19"/>
      <c r="DF296" s="19"/>
      <c r="DG296" s="19"/>
      <c r="DH296" s="19"/>
      <c r="DI296" s="19"/>
      <c r="DJ296" s="19"/>
      <c r="DK296" s="19"/>
      <c r="DL296" s="19"/>
      <c r="DM296" s="19"/>
      <c r="DN296" s="19"/>
      <c r="DO296" s="19"/>
      <c r="DP296" s="19"/>
      <c r="DQ296" s="19"/>
      <c r="DR296" s="19"/>
      <c r="DS296" s="19"/>
      <c r="DT296" s="19"/>
      <c r="DU296" s="19"/>
      <c r="DV296" s="19"/>
      <c r="DW296" s="19"/>
      <c r="DX296" s="19"/>
      <c r="DY296" s="19"/>
      <c r="DZ296" s="19"/>
      <c r="EA296" s="19"/>
      <c r="EB296" s="19"/>
      <c r="EC296" s="19"/>
      <c r="ED296" s="19"/>
      <c r="EE296" s="19"/>
      <c r="EF296" s="19"/>
      <c r="EG296" s="19"/>
      <c r="EH296" s="19"/>
      <c r="EI296" s="19"/>
      <c r="EJ296" s="19"/>
      <c r="EK296" s="19"/>
      <c r="EL296" s="19"/>
      <c r="EM296" s="19"/>
      <c r="EN296" s="19"/>
      <c r="EO296" s="19"/>
      <c r="EP296" s="19"/>
      <c r="EQ296" s="19"/>
      <c r="ER296" s="19"/>
      <c r="ES296" s="19"/>
      <c r="ET296" s="19"/>
      <c r="EU296" s="19"/>
      <c r="EV296" s="19"/>
      <c r="EW296" s="19"/>
      <c r="EX296" s="19"/>
      <c r="EY296" s="19"/>
      <c r="EZ296" s="19"/>
      <c r="FA296" s="19"/>
      <c r="FB296" s="19"/>
      <c r="FC296" s="19"/>
      <c r="FD296" s="19"/>
      <c r="FE296" s="19"/>
      <c r="FF296" s="19"/>
      <c r="FG296" s="19"/>
      <c r="FH296" s="19"/>
      <c r="FI296" s="19"/>
      <c r="FJ296" s="19"/>
      <c r="FK296" s="19"/>
      <c r="FL296" s="20" t="s">
        <v>991</v>
      </c>
      <c r="FM296" s="20" t="s">
        <v>255</v>
      </c>
      <c r="FN296" s="19"/>
      <c r="FO296" s="19"/>
      <c r="FP296" s="19"/>
      <c r="FQ296" s="19"/>
      <c r="FR296" s="19"/>
      <c r="FS296" s="19"/>
      <c r="FT296" s="19"/>
      <c r="FU296" s="19"/>
      <c r="FV296" s="19"/>
      <c r="FW296" s="19"/>
      <c r="FX296" s="19"/>
      <c r="FY296" s="19"/>
      <c r="FZ296" s="19"/>
      <c r="GA296" s="19"/>
      <c r="GB296" s="19"/>
      <c r="GC296" s="19"/>
      <c r="GD296" s="19"/>
      <c r="GE296" s="19"/>
      <c r="GF296" s="19"/>
      <c r="GG296" s="19"/>
      <c r="GH296" s="19"/>
      <c r="GI296" s="19"/>
      <c r="GJ296" s="19"/>
      <c r="GK296" s="19"/>
      <c r="GL296" s="19"/>
      <c r="GM296" s="19"/>
      <c r="GN296" s="19"/>
      <c r="GO296" s="19"/>
      <c r="GP296" s="19"/>
      <c r="GQ296" s="19"/>
      <c r="GR296" s="19"/>
      <c r="GS296" s="19"/>
      <c r="GT296" s="19"/>
      <c r="GU296" s="19"/>
      <c r="GV296" s="19"/>
      <c r="GW296" s="19"/>
      <c r="GX296" s="19"/>
      <c r="GY296" s="19"/>
      <c r="GZ296" s="19"/>
      <c r="HA296" s="19"/>
    </row>
    <row r="297" spans="1:209" ht="23.25" customHeight="1" x14ac:dyDescent="0.15">
      <c r="A297" s="26">
        <v>44659.92817353009</v>
      </c>
      <c r="B297" s="27" t="s">
        <v>6</v>
      </c>
      <c r="C297" s="27" t="s">
        <v>11</v>
      </c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  <c r="AX297" s="27" t="s">
        <v>1000</v>
      </c>
      <c r="AY297" s="27" t="s">
        <v>1012</v>
      </c>
      <c r="AZ297" s="27" t="s">
        <v>1071</v>
      </c>
      <c r="BA297" s="27" t="s">
        <v>1072</v>
      </c>
      <c r="BB297" s="27" t="s">
        <v>1073</v>
      </c>
      <c r="BC297" s="29">
        <v>43979</v>
      </c>
      <c r="BD297" s="29">
        <v>43979</v>
      </c>
      <c r="BE297" s="29">
        <v>43979</v>
      </c>
      <c r="BF297" s="27">
        <v>100</v>
      </c>
      <c r="BG297" s="27" t="s">
        <v>520</v>
      </c>
      <c r="BH297" s="30" t="s">
        <v>1074</v>
      </c>
      <c r="BI297" s="28"/>
      <c r="BJ297" s="28"/>
      <c r="BK297" s="28"/>
      <c r="BL297" s="28"/>
      <c r="BM297" s="28"/>
      <c r="BN297" s="28"/>
      <c r="BO297" s="28"/>
      <c r="BP297" s="28"/>
      <c r="BQ297" s="28"/>
      <c r="BR297" s="28"/>
      <c r="BS297" s="28"/>
      <c r="BT297" s="28"/>
      <c r="BU297" s="28"/>
      <c r="BV297" s="28"/>
      <c r="BW297" s="28"/>
      <c r="BX297" s="28"/>
      <c r="BY297" s="19"/>
      <c r="BZ297" s="19"/>
      <c r="CA297" s="19"/>
      <c r="CB297" s="19"/>
      <c r="CC297" s="19"/>
      <c r="CD297" s="19"/>
      <c r="CE297" s="19"/>
      <c r="CF297" s="19"/>
      <c r="CG297" s="19"/>
      <c r="CH297" s="19"/>
      <c r="CI297" s="19"/>
      <c r="CJ297" s="19"/>
      <c r="CK297" s="19"/>
      <c r="CL297" s="19"/>
      <c r="CM297" s="19"/>
      <c r="CN297" s="19"/>
      <c r="CO297" s="19"/>
      <c r="CP297" s="19"/>
      <c r="CQ297" s="19"/>
      <c r="CR297" s="19"/>
      <c r="CS297" s="19"/>
      <c r="CT297" s="19"/>
      <c r="CU297" s="19"/>
      <c r="CV297" s="19"/>
      <c r="CW297" s="19"/>
      <c r="CX297" s="19"/>
      <c r="CY297" s="19"/>
      <c r="CZ297" s="19"/>
      <c r="DA297" s="19"/>
      <c r="DB297" s="19"/>
      <c r="DC297" s="19"/>
      <c r="DD297" s="19"/>
      <c r="DE297" s="19"/>
      <c r="DF297" s="19"/>
      <c r="DG297" s="19"/>
      <c r="DH297" s="19"/>
      <c r="DI297" s="19"/>
      <c r="DJ297" s="19"/>
      <c r="DK297" s="19"/>
      <c r="DL297" s="19"/>
      <c r="DM297" s="19"/>
      <c r="DN297" s="19"/>
      <c r="DO297" s="19"/>
      <c r="DP297" s="19"/>
      <c r="DQ297" s="19"/>
      <c r="DR297" s="19"/>
      <c r="DS297" s="19"/>
      <c r="DT297" s="19"/>
      <c r="DU297" s="19"/>
      <c r="DV297" s="19"/>
      <c r="DW297" s="19"/>
      <c r="DX297" s="19"/>
      <c r="DY297" s="19"/>
      <c r="DZ297" s="19"/>
      <c r="EA297" s="19"/>
      <c r="EB297" s="19"/>
      <c r="EC297" s="19"/>
      <c r="ED297" s="19"/>
      <c r="EE297" s="19"/>
      <c r="EF297" s="19"/>
      <c r="EG297" s="19"/>
      <c r="EH297" s="19"/>
      <c r="EI297" s="19"/>
      <c r="EJ297" s="19"/>
      <c r="EK297" s="19"/>
      <c r="EL297" s="19"/>
      <c r="EM297" s="19"/>
      <c r="EN297" s="19"/>
      <c r="EO297" s="19"/>
      <c r="EP297" s="19"/>
      <c r="EQ297" s="19"/>
      <c r="ER297" s="19"/>
      <c r="ES297" s="19"/>
      <c r="ET297" s="19"/>
      <c r="EU297" s="19"/>
      <c r="EV297" s="19"/>
      <c r="EW297" s="19"/>
      <c r="EX297" s="19"/>
      <c r="EY297" s="19"/>
      <c r="EZ297" s="19"/>
      <c r="FA297" s="19"/>
      <c r="FB297" s="19"/>
      <c r="FC297" s="19"/>
      <c r="FD297" s="19"/>
      <c r="FE297" s="19"/>
      <c r="FF297" s="19"/>
      <c r="FG297" s="19"/>
      <c r="FH297" s="19"/>
      <c r="FI297" s="19"/>
      <c r="FJ297" s="19"/>
      <c r="FK297" s="19"/>
      <c r="FL297" s="20" t="s">
        <v>1003</v>
      </c>
      <c r="FM297" s="20" t="s">
        <v>321</v>
      </c>
      <c r="FN297" s="19"/>
      <c r="FO297" s="19"/>
      <c r="FP297" s="19"/>
      <c r="FQ297" s="19"/>
      <c r="FR297" s="19"/>
      <c r="FS297" s="19"/>
      <c r="FT297" s="19"/>
      <c r="FU297" s="19"/>
      <c r="FV297" s="19"/>
      <c r="FW297" s="19"/>
      <c r="FX297" s="19"/>
      <c r="FY297" s="19"/>
      <c r="FZ297" s="19"/>
      <c r="GA297" s="19"/>
      <c r="GB297" s="19"/>
      <c r="GC297" s="19"/>
      <c r="GD297" s="19"/>
      <c r="GE297" s="19"/>
      <c r="GF297" s="19"/>
      <c r="GG297" s="19"/>
      <c r="GH297" s="19"/>
      <c r="GI297" s="19"/>
      <c r="GJ297" s="19"/>
      <c r="GK297" s="19"/>
      <c r="GL297" s="19"/>
      <c r="GM297" s="19"/>
      <c r="GN297" s="19"/>
      <c r="GO297" s="19"/>
      <c r="GP297" s="19"/>
      <c r="GQ297" s="19"/>
      <c r="GR297" s="19"/>
      <c r="GS297" s="19"/>
      <c r="GT297" s="19"/>
      <c r="GU297" s="19"/>
      <c r="GV297" s="19"/>
      <c r="GW297" s="19"/>
      <c r="GX297" s="19"/>
      <c r="GY297" s="19"/>
      <c r="GZ297" s="19"/>
      <c r="HA297" s="19"/>
    </row>
    <row r="298" spans="1:209" ht="23.25" customHeight="1" x14ac:dyDescent="0.15">
      <c r="A298" s="26">
        <v>44659.929005810191</v>
      </c>
      <c r="B298" s="27" t="s">
        <v>6</v>
      </c>
      <c r="C298" s="27" t="s">
        <v>11</v>
      </c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  <c r="AX298" s="27" t="s">
        <v>986</v>
      </c>
      <c r="AY298" s="27" t="s">
        <v>987</v>
      </c>
      <c r="AZ298" s="27" t="s">
        <v>1075</v>
      </c>
      <c r="BA298" s="27" t="s">
        <v>343</v>
      </c>
      <c r="BB298" s="27" t="s">
        <v>448</v>
      </c>
      <c r="BC298" s="29">
        <v>43983</v>
      </c>
      <c r="BD298" s="29">
        <v>44075</v>
      </c>
      <c r="BE298" s="29">
        <v>44084</v>
      </c>
      <c r="BF298" s="27">
        <v>80</v>
      </c>
      <c r="BG298" s="27" t="s">
        <v>1069</v>
      </c>
      <c r="BH298" s="30" t="s">
        <v>1076</v>
      </c>
      <c r="BI298" s="28"/>
      <c r="BJ298" s="28"/>
      <c r="BK298" s="28"/>
      <c r="BL298" s="28"/>
      <c r="BM298" s="28"/>
      <c r="BN298" s="28"/>
      <c r="BO298" s="28"/>
      <c r="BP298" s="28"/>
      <c r="BQ298" s="28"/>
      <c r="BR298" s="28"/>
      <c r="BS298" s="28"/>
      <c r="BT298" s="28"/>
      <c r="BU298" s="28"/>
      <c r="BV298" s="28"/>
      <c r="BW298" s="28"/>
      <c r="BX298" s="28"/>
      <c r="BY298" s="19"/>
      <c r="BZ298" s="19"/>
      <c r="CA298" s="19"/>
      <c r="CB298" s="19"/>
      <c r="CC298" s="19"/>
      <c r="CD298" s="19"/>
      <c r="CE298" s="19"/>
      <c r="CF298" s="19"/>
      <c r="CG298" s="19"/>
      <c r="CH298" s="19"/>
      <c r="CI298" s="19"/>
      <c r="CJ298" s="19"/>
      <c r="CK298" s="19"/>
      <c r="CL298" s="19"/>
      <c r="CM298" s="19"/>
      <c r="CN298" s="19"/>
      <c r="CO298" s="19"/>
      <c r="CP298" s="19"/>
      <c r="CQ298" s="19"/>
      <c r="CR298" s="19"/>
      <c r="CS298" s="19"/>
      <c r="CT298" s="19"/>
      <c r="CU298" s="19"/>
      <c r="CV298" s="19"/>
      <c r="CW298" s="19"/>
      <c r="CX298" s="19"/>
      <c r="CY298" s="19"/>
      <c r="CZ298" s="19"/>
      <c r="DA298" s="19"/>
      <c r="DB298" s="19"/>
      <c r="DC298" s="19"/>
      <c r="DD298" s="19"/>
      <c r="DE298" s="19"/>
      <c r="DF298" s="19"/>
      <c r="DG298" s="19"/>
      <c r="DH298" s="19"/>
      <c r="DI298" s="19"/>
      <c r="DJ298" s="19"/>
      <c r="DK298" s="19"/>
      <c r="DL298" s="19"/>
      <c r="DM298" s="19"/>
      <c r="DN298" s="19"/>
      <c r="DO298" s="19"/>
      <c r="DP298" s="19"/>
      <c r="DQ298" s="19"/>
      <c r="DR298" s="19"/>
      <c r="DS298" s="19"/>
      <c r="DT298" s="19"/>
      <c r="DU298" s="19"/>
      <c r="DV298" s="19"/>
      <c r="DW298" s="19"/>
      <c r="DX298" s="19"/>
      <c r="DY298" s="19"/>
      <c r="DZ298" s="19"/>
      <c r="EA298" s="19"/>
      <c r="EB298" s="19"/>
      <c r="EC298" s="19"/>
      <c r="ED298" s="19"/>
      <c r="EE298" s="19"/>
      <c r="EF298" s="19"/>
      <c r="EG298" s="19"/>
      <c r="EH298" s="19"/>
      <c r="EI298" s="19"/>
      <c r="EJ298" s="19"/>
      <c r="EK298" s="19"/>
      <c r="EL298" s="19"/>
      <c r="EM298" s="19"/>
      <c r="EN298" s="19"/>
      <c r="EO298" s="19"/>
      <c r="EP298" s="19"/>
      <c r="EQ298" s="19"/>
      <c r="ER298" s="19"/>
      <c r="ES298" s="19"/>
      <c r="ET298" s="19"/>
      <c r="EU298" s="19"/>
      <c r="EV298" s="19"/>
      <c r="EW298" s="19"/>
      <c r="EX298" s="19"/>
      <c r="EY298" s="19"/>
      <c r="EZ298" s="19"/>
      <c r="FA298" s="19"/>
      <c r="FB298" s="19"/>
      <c r="FC298" s="19"/>
      <c r="FD298" s="19"/>
      <c r="FE298" s="19"/>
      <c r="FF298" s="19"/>
      <c r="FG298" s="19"/>
      <c r="FH298" s="19"/>
      <c r="FI298" s="19"/>
      <c r="FJ298" s="19"/>
      <c r="FK298" s="19"/>
      <c r="FL298" s="20" t="s">
        <v>991</v>
      </c>
      <c r="FM298" s="20" t="s">
        <v>255</v>
      </c>
      <c r="FN298" s="19"/>
      <c r="FO298" s="19"/>
      <c r="FP298" s="19"/>
      <c r="FQ298" s="19"/>
      <c r="FR298" s="19"/>
      <c r="FS298" s="19"/>
      <c r="FT298" s="19"/>
      <c r="FU298" s="19"/>
      <c r="FV298" s="19"/>
      <c r="FW298" s="19"/>
      <c r="FX298" s="19"/>
      <c r="FY298" s="19"/>
      <c r="FZ298" s="19"/>
      <c r="GA298" s="19"/>
      <c r="GB298" s="19"/>
      <c r="GC298" s="19"/>
      <c r="GD298" s="19"/>
      <c r="GE298" s="19"/>
      <c r="GF298" s="19"/>
      <c r="GG298" s="19"/>
      <c r="GH298" s="19"/>
      <c r="GI298" s="19"/>
      <c r="GJ298" s="19"/>
      <c r="GK298" s="19"/>
      <c r="GL298" s="19"/>
      <c r="GM298" s="19"/>
      <c r="GN298" s="19"/>
      <c r="GO298" s="19"/>
      <c r="GP298" s="19"/>
      <c r="GQ298" s="19"/>
      <c r="GR298" s="19"/>
      <c r="GS298" s="19"/>
      <c r="GT298" s="19"/>
      <c r="GU298" s="19"/>
      <c r="GV298" s="19"/>
      <c r="GW298" s="19"/>
      <c r="GX298" s="19"/>
      <c r="GY298" s="19"/>
      <c r="GZ298" s="19"/>
      <c r="HA298" s="19"/>
    </row>
    <row r="299" spans="1:209" ht="23.25" customHeight="1" x14ac:dyDescent="0.15">
      <c r="A299" s="26">
        <v>44659.929619814815</v>
      </c>
      <c r="B299" s="27" t="s">
        <v>6</v>
      </c>
      <c r="C299" s="27" t="s">
        <v>10</v>
      </c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7" t="s">
        <v>1077</v>
      </c>
      <c r="AO299" s="27" t="s">
        <v>1078</v>
      </c>
      <c r="AP299" s="27" t="s">
        <v>1079</v>
      </c>
      <c r="AQ299" s="27" t="s">
        <v>1080</v>
      </c>
      <c r="AR299" s="29">
        <v>43992</v>
      </c>
      <c r="AS299" s="29">
        <v>44042</v>
      </c>
      <c r="AT299" s="27" t="s">
        <v>252</v>
      </c>
      <c r="AU299" s="27" t="s">
        <v>252</v>
      </c>
      <c r="AV299" s="27">
        <v>0</v>
      </c>
      <c r="AW299" s="30" t="s">
        <v>1081</v>
      </c>
      <c r="AX299" s="28"/>
      <c r="AY299" s="28"/>
      <c r="AZ299" s="28"/>
      <c r="BA299" s="28"/>
      <c r="BB299" s="28"/>
      <c r="BC299" s="28"/>
      <c r="BD299" s="28"/>
      <c r="BE299" s="28"/>
      <c r="BF299" s="28"/>
      <c r="BG299" s="28"/>
      <c r="BH299" s="28"/>
      <c r="BI299" s="28"/>
      <c r="BJ299" s="28"/>
      <c r="BK299" s="28"/>
      <c r="BL299" s="28"/>
      <c r="BM299" s="28"/>
      <c r="BN299" s="28"/>
      <c r="BO299" s="28"/>
      <c r="BP299" s="28"/>
      <c r="BQ299" s="28"/>
      <c r="BR299" s="28"/>
      <c r="BS299" s="28"/>
      <c r="BT299" s="28"/>
      <c r="BU299" s="28"/>
      <c r="BV299" s="28"/>
      <c r="BW299" s="28"/>
      <c r="BX299" s="28"/>
      <c r="BY299" s="19"/>
      <c r="BZ299" s="19"/>
      <c r="CA299" s="19"/>
      <c r="CB299" s="19"/>
      <c r="CC299" s="19"/>
      <c r="CD299" s="19"/>
      <c r="CE299" s="19"/>
      <c r="CF299" s="19"/>
      <c r="CG299" s="19"/>
      <c r="CH299" s="19"/>
      <c r="CI299" s="19"/>
      <c r="CJ299" s="19"/>
      <c r="CK299" s="19"/>
      <c r="CL299" s="19"/>
      <c r="CM299" s="19"/>
      <c r="CN299" s="19"/>
      <c r="CO299" s="19"/>
      <c r="CP299" s="19"/>
      <c r="CQ299" s="19"/>
      <c r="CR299" s="19"/>
      <c r="CS299" s="19"/>
      <c r="CT299" s="19"/>
      <c r="CU299" s="19"/>
      <c r="CV299" s="19"/>
      <c r="CW299" s="19"/>
      <c r="CX299" s="19"/>
      <c r="CY299" s="19"/>
      <c r="CZ299" s="19"/>
      <c r="DA299" s="19"/>
      <c r="DB299" s="19"/>
      <c r="DC299" s="19"/>
      <c r="DD299" s="19"/>
      <c r="DE299" s="19"/>
      <c r="DF299" s="19"/>
      <c r="DG299" s="19"/>
      <c r="DH299" s="19"/>
      <c r="DI299" s="19"/>
      <c r="DJ299" s="19"/>
      <c r="DK299" s="19"/>
      <c r="DL299" s="19"/>
      <c r="DM299" s="19"/>
      <c r="DN299" s="19"/>
      <c r="DO299" s="19"/>
      <c r="DP299" s="19"/>
      <c r="DQ299" s="19"/>
      <c r="DR299" s="19"/>
      <c r="DS299" s="19"/>
      <c r="DT299" s="19"/>
      <c r="DU299" s="19"/>
      <c r="DV299" s="19"/>
      <c r="DW299" s="19"/>
      <c r="DX299" s="19"/>
      <c r="DY299" s="19"/>
      <c r="DZ299" s="19"/>
      <c r="EA299" s="19"/>
      <c r="EB299" s="19"/>
      <c r="EC299" s="19"/>
      <c r="ED299" s="19"/>
      <c r="EE299" s="19"/>
      <c r="EF299" s="19"/>
      <c r="EG299" s="19"/>
      <c r="EH299" s="19"/>
      <c r="EI299" s="19"/>
      <c r="EJ299" s="19"/>
      <c r="EK299" s="19"/>
      <c r="EL299" s="19"/>
      <c r="EM299" s="19"/>
      <c r="EN299" s="19"/>
      <c r="EO299" s="19"/>
      <c r="EP299" s="19"/>
      <c r="EQ299" s="19"/>
      <c r="ER299" s="19"/>
      <c r="ES299" s="19"/>
      <c r="ET299" s="19"/>
      <c r="EU299" s="19"/>
      <c r="EV299" s="19"/>
      <c r="EW299" s="19"/>
      <c r="EX299" s="19"/>
      <c r="EY299" s="19"/>
      <c r="EZ299" s="19"/>
      <c r="FA299" s="19"/>
      <c r="FB299" s="19"/>
      <c r="FC299" s="19"/>
      <c r="FD299" s="19"/>
      <c r="FE299" s="19"/>
      <c r="FF299" s="19"/>
      <c r="FG299" s="19"/>
      <c r="FH299" s="19"/>
      <c r="FI299" s="19"/>
      <c r="FJ299" s="19"/>
      <c r="FK299" s="19"/>
      <c r="FL299" s="20" t="s">
        <v>1082</v>
      </c>
      <c r="FM299" s="20" t="s">
        <v>255</v>
      </c>
      <c r="FN299" s="19"/>
      <c r="FO299" s="19"/>
      <c r="FP299" s="19"/>
      <c r="FQ299" s="19"/>
      <c r="FR299" s="19"/>
      <c r="FS299" s="19"/>
      <c r="FT299" s="19"/>
      <c r="FU299" s="19"/>
      <c r="FV299" s="19"/>
      <c r="FW299" s="19"/>
      <c r="FX299" s="19"/>
      <c r="FY299" s="19"/>
      <c r="FZ299" s="19"/>
      <c r="GA299" s="19"/>
      <c r="GB299" s="19"/>
      <c r="GC299" s="19"/>
      <c r="GD299" s="19"/>
      <c r="GE299" s="19"/>
      <c r="GF299" s="19"/>
      <c r="GG299" s="19"/>
      <c r="GH299" s="19"/>
      <c r="GI299" s="19"/>
      <c r="GJ299" s="19"/>
      <c r="GK299" s="19"/>
      <c r="GL299" s="19"/>
      <c r="GM299" s="19"/>
      <c r="GN299" s="19"/>
      <c r="GO299" s="19"/>
      <c r="GP299" s="19"/>
      <c r="GQ299" s="19"/>
      <c r="GR299" s="19"/>
      <c r="GS299" s="19"/>
      <c r="GT299" s="19"/>
      <c r="GU299" s="19"/>
      <c r="GV299" s="19"/>
      <c r="GW299" s="19"/>
      <c r="GX299" s="19"/>
      <c r="GY299" s="19"/>
      <c r="GZ299" s="19"/>
      <c r="HA299" s="19"/>
    </row>
    <row r="300" spans="1:209" ht="23.25" customHeight="1" x14ac:dyDescent="0.15">
      <c r="A300" s="26">
        <v>44659.933340335643</v>
      </c>
      <c r="B300" s="27" t="s">
        <v>6</v>
      </c>
      <c r="C300" s="27" t="s">
        <v>11</v>
      </c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  <c r="AX300" s="27" t="s">
        <v>1083</v>
      </c>
      <c r="AY300" s="27" t="s">
        <v>1078</v>
      </c>
      <c r="AZ300" s="27" t="s">
        <v>1084</v>
      </c>
      <c r="BA300" s="27" t="s">
        <v>1085</v>
      </c>
      <c r="BB300" s="27" t="s">
        <v>1086</v>
      </c>
      <c r="BC300" s="29">
        <v>43952</v>
      </c>
      <c r="BD300" s="29">
        <v>43986</v>
      </c>
      <c r="BE300" s="29">
        <v>43986</v>
      </c>
      <c r="BF300" s="27">
        <v>88</v>
      </c>
      <c r="BG300" s="27" t="s">
        <v>520</v>
      </c>
      <c r="BH300" s="30" t="s">
        <v>1087</v>
      </c>
      <c r="BI300" s="28"/>
      <c r="BJ300" s="28"/>
      <c r="BK300" s="28"/>
      <c r="BL300" s="28"/>
      <c r="BM300" s="28"/>
      <c r="BN300" s="28"/>
      <c r="BO300" s="28"/>
      <c r="BP300" s="28"/>
      <c r="BQ300" s="28"/>
      <c r="BR300" s="28"/>
      <c r="BS300" s="28"/>
      <c r="BT300" s="28"/>
      <c r="BU300" s="28"/>
      <c r="BV300" s="28"/>
      <c r="BW300" s="28"/>
      <c r="BX300" s="28"/>
      <c r="BY300" s="19"/>
      <c r="BZ300" s="19"/>
      <c r="CA300" s="19"/>
      <c r="CB300" s="19"/>
      <c r="CC300" s="19"/>
      <c r="CD300" s="19"/>
      <c r="CE300" s="19"/>
      <c r="CF300" s="19"/>
      <c r="CG300" s="19"/>
      <c r="CH300" s="19"/>
      <c r="CI300" s="19"/>
      <c r="CJ300" s="19"/>
      <c r="CK300" s="19"/>
      <c r="CL300" s="19"/>
      <c r="CM300" s="19"/>
      <c r="CN300" s="19"/>
      <c r="CO300" s="19"/>
      <c r="CP300" s="19"/>
      <c r="CQ300" s="19"/>
      <c r="CR300" s="19"/>
      <c r="CS300" s="19"/>
      <c r="CT300" s="19"/>
      <c r="CU300" s="19"/>
      <c r="CV300" s="19"/>
      <c r="CW300" s="19"/>
      <c r="CX300" s="19"/>
      <c r="CY300" s="19"/>
      <c r="CZ300" s="19"/>
      <c r="DA300" s="19"/>
      <c r="DB300" s="19"/>
      <c r="DC300" s="19"/>
      <c r="DD300" s="19"/>
      <c r="DE300" s="19"/>
      <c r="DF300" s="19"/>
      <c r="DG300" s="19"/>
      <c r="DH300" s="19"/>
      <c r="DI300" s="19"/>
      <c r="DJ300" s="19"/>
      <c r="DK300" s="19"/>
      <c r="DL300" s="19"/>
      <c r="DM300" s="19"/>
      <c r="DN300" s="19"/>
      <c r="DO300" s="19"/>
      <c r="DP300" s="19"/>
      <c r="DQ300" s="19"/>
      <c r="DR300" s="19"/>
      <c r="DS300" s="19"/>
      <c r="DT300" s="19"/>
      <c r="DU300" s="19"/>
      <c r="DV300" s="19"/>
      <c r="DW300" s="19"/>
      <c r="DX300" s="19"/>
      <c r="DY300" s="19"/>
      <c r="DZ300" s="19"/>
      <c r="EA300" s="19"/>
      <c r="EB300" s="19"/>
      <c r="EC300" s="19"/>
      <c r="ED300" s="19"/>
      <c r="EE300" s="19"/>
      <c r="EF300" s="19"/>
      <c r="EG300" s="19"/>
      <c r="EH300" s="19"/>
      <c r="EI300" s="19"/>
      <c r="EJ300" s="19"/>
      <c r="EK300" s="19"/>
      <c r="EL300" s="19"/>
      <c r="EM300" s="19"/>
      <c r="EN300" s="19"/>
      <c r="EO300" s="19"/>
      <c r="EP300" s="19"/>
      <c r="EQ300" s="19"/>
      <c r="ER300" s="19"/>
      <c r="ES300" s="19"/>
      <c r="ET300" s="19"/>
      <c r="EU300" s="19"/>
      <c r="EV300" s="19"/>
      <c r="EW300" s="19"/>
      <c r="EX300" s="19"/>
      <c r="EY300" s="19"/>
      <c r="EZ300" s="19"/>
      <c r="FA300" s="19"/>
      <c r="FB300" s="19"/>
      <c r="FC300" s="19"/>
      <c r="FD300" s="19"/>
      <c r="FE300" s="19"/>
      <c r="FF300" s="19"/>
      <c r="FG300" s="19"/>
      <c r="FH300" s="19"/>
      <c r="FI300" s="19"/>
      <c r="FJ300" s="19"/>
      <c r="FK300" s="19"/>
      <c r="FL300" s="20" t="s">
        <v>1082</v>
      </c>
      <c r="FM300" s="20" t="s">
        <v>255</v>
      </c>
      <c r="FN300" s="19"/>
      <c r="FO300" s="19"/>
      <c r="FP300" s="19"/>
      <c r="FQ300" s="19"/>
      <c r="FR300" s="19"/>
      <c r="FS300" s="19"/>
      <c r="FT300" s="19"/>
      <c r="FU300" s="19"/>
      <c r="FV300" s="19"/>
      <c r="FW300" s="19"/>
      <c r="FX300" s="19"/>
      <c r="FY300" s="19"/>
      <c r="FZ300" s="19"/>
      <c r="GA300" s="19"/>
      <c r="GB300" s="19"/>
      <c r="GC300" s="19"/>
      <c r="GD300" s="19"/>
      <c r="GE300" s="19"/>
      <c r="GF300" s="19"/>
      <c r="GG300" s="19"/>
      <c r="GH300" s="19"/>
      <c r="GI300" s="19"/>
      <c r="GJ300" s="19"/>
      <c r="GK300" s="19"/>
      <c r="GL300" s="19"/>
      <c r="GM300" s="19"/>
      <c r="GN300" s="19"/>
      <c r="GO300" s="19"/>
      <c r="GP300" s="19"/>
      <c r="GQ300" s="19"/>
      <c r="GR300" s="19"/>
      <c r="GS300" s="19"/>
      <c r="GT300" s="19"/>
      <c r="GU300" s="19"/>
      <c r="GV300" s="19"/>
      <c r="GW300" s="19"/>
      <c r="GX300" s="19"/>
      <c r="GY300" s="19"/>
      <c r="GZ300" s="19"/>
      <c r="HA300" s="19"/>
    </row>
    <row r="301" spans="1:209" ht="23.25" customHeight="1" x14ac:dyDescent="0.15">
      <c r="A301" s="26">
        <v>44659.934911886579</v>
      </c>
      <c r="B301" s="27" t="s">
        <v>6</v>
      </c>
      <c r="C301" s="27" t="s">
        <v>11</v>
      </c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  <c r="AX301" s="27" t="s">
        <v>1000</v>
      </c>
      <c r="AY301" s="27" t="s">
        <v>1012</v>
      </c>
      <c r="AZ301" s="27" t="s">
        <v>828</v>
      </c>
      <c r="BA301" s="27" t="s">
        <v>343</v>
      </c>
      <c r="BB301" s="27" t="s">
        <v>698</v>
      </c>
      <c r="BC301" s="29">
        <v>44434</v>
      </c>
      <c r="BD301" s="29">
        <v>44465</v>
      </c>
      <c r="BE301" s="29">
        <v>44465</v>
      </c>
      <c r="BF301" s="27">
        <v>100</v>
      </c>
      <c r="BG301" s="27" t="s">
        <v>520</v>
      </c>
      <c r="BH301" s="30" t="s">
        <v>1088</v>
      </c>
      <c r="BI301" s="28"/>
      <c r="BJ301" s="28"/>
      <c r="BK301" s="28"/>
      <c r="BL301" s="28"/>
      <c r="BM301" s="28"/>
      <c r="BN301" s="28"/>
      <c r="BO301" s="28"/>
      <c r="BP301" s="28"/>
      <c r="BQ301" s="28"/>
      <c r="BR301" s="28"/>
      <c r="BS301" s="28"/>
      <c r="BT301" s="28"/>
      <c r="BU301" s="28"/>
      <c r="BV301" s="28"/>
      <c r="BW301" s="28"/>
      <c r="BX301" s="28"/>
      <c r="BY301" s="19"/>
      <c r="BZ301" s="19"/>
      <c r="CA301" s="19"/>
      <c r="CB301" s="19"/>
      <c r="CC301" s="19"/>
      <c r="CD301" s="19"/>
      <c r="CE301" s="19"/>
      <c r="CF301" s="19"/>
      <c r="CG301" s="19"/>
      <c r="CH301" s="19"/>
      <c r="CI301" s="19"/>
      <c r="CJ301" s="19"/>
      <c r="CK301" s="19"/>
      <c r="CL301" s="19"/>
      <c r="CM301" s="19"/>
      <c r="CN301" s="19"/>
      <c r="CO301" s="19"/>
      <c r="CP301" s="19"/>
      <c r="CQ301" s="19"/>
      <c r="CR301" s="19"/>
      <c r="CS301" s="19"/>
      <c r="CT301" s="19"/>
      <c r="CU301" s="19"/>
      <c r="CV301" s="19"/>
      <c r="CW301" s="19"/>
      <c r="CX301" s="19"/>
      <c r="CY301" s="19"/>
      <c r="CZ301" s="19"/>
      <c r="DA301" s="19"/>
      <c r="DB301" s="19"/>
      <c r="DC301" s="19"/>
      <c r="DD301" s="19"/>
      <c r="DE301" s="19"/>
      <c r="DF301" s="19"/>
      <c r="DG301" s="19"/>
      <c r="DH301" s="19"/>
      <c r="DI301" s="19"/>
      <c r="DJ301" s="19"/>
      <c r="DK301" s="19"/>
      <c r="DL301" s="19"/>
      <c r="DM301" s="19"/>
      <c r="DN301" s="19"/>
      <c r="DO301" s="19"/>
      <c r="DP301" s="19"/>
      <c r="DQ301" s="19"/>
      <c r="DR301" s="19"/>
      <c r="DS301" s="19"/>
      <c r="DT301" s="19"/>
      <c r="DU301" s="19"/>
      <c r="DV301" s="19"/>
      <c r="DW301" s="19"/>
      <c r="DX301" s="19"/>
      <c r="DY301" s="19"/>
      <c r="DZ301" s="19"/>
      <c r="EA301" s="19"/>
      <c r="EB301" s="19"/>
      <c r="EC301" s="19"/>
      <c r="ED301" s="19"/>
      <c r="EE301" s="19"/>
      <c r="EF301" s="19"/>
      <c r="EG301" s="19"/>
      <c r="EH301" s="19"/>
      <c r="EI301" s="19"/>
      <c r="EJ301" s="19"/>
      <c r="EK301" s="19"/>
      <c r="EL301" s="19"/>
      <c r="EM301" s="19"/>
      <c r="EN301" s="19"/>
      <c r="EO301" s="19"/>
      <c r="EP301" s="19"/>
      <c r="EQ301" s="19"/>
      <c r="ER301" s="19"/>
      <c r="ES301" s="19"/>
      <c r="ET301" s="19"/>
      <c r="EU301" s="19"/>
      <c r="EV301" s="19"/>
      <c r="EW301" s="19"/>
      <c r="EX301" s="19"/>
      <c r="EY301" s="19"/>
      <c r="EZ301" s="19"/>
      <c r="FA301" s="19"/>
      <c r="FB301" s="19"/>
      <c r="FC301" s="19"/>
      <c r="FD301" s="19"/>
      <c r="FE301" s="19"/>
      <c r="FF301" s="19"/>
      <c r="FG301" s="19"/>
      <c r="FH301" s="19"/>
      <c r="FI301" s="19"/>
      <c r="FJ301" s="19"/>
      <c r="FK301" s="19"/>
      <c r="FL301" s="20" t="s">
        <v>1003</v>
      </c>
      <c r="FM301" s="20" t="s">
        <v>278</v>
      </c>
      <c r="FN301" s="19"/>
      <c r="FO301" s="19"/>
      <c r="FP301" s="19"/>
      <c r="FQ301" s="19"/>
      <c r="FR301" s="19"/>
      <c r="FS301" s="19"/>
      <c r="FT301" s="19"/>
      <c r="FU301" s="19"/>
      <c r="FV301" s="19"/>
      <c r="FW301" s="19"/>
      <c r="FX301" s="19"/>
      <c r="FY301" s="19"/>
      <c r="FZ301" s="19"/>
      <c r="GA301" s="19"/>
      <c r="GB301" s="19"/>
      <c r="GC301" s="19"/>
      <c r="GD301" s="19"/>
      <c r="GE301" s="19"/>
      <c r="GF301" s="19"/>
      <c r="GG301" s="19"/>
      <c r="GH301" s="19"/>
      <c r="GI301" s="19"/>
      <c r="GJ301" s="19"/>
      <c r="GK301" s="19"/>
      <c r="GL301" s="19"/>
      <c r="GM301" s="19"/>
      <c r="GN301" s="19"/>
      <c r="GO301" s="19"/>
      <c r="GP301" s="19"/>
      <c r="GQ301" s="19"/>
      <c r="GR301" s="19"/>
      <c r="GS301" s="19"/>
      <c r="GT301" s="19"/>
      <c r="GU301" s="19"/>
      <c r="GV301" s="19"/>
      <c r="GW301" s="19"/>
      <c r="GX301" s="19"/>
      <c r="GY301" s="19"/>
      <c r="GZ301" s="19"/>
      <c r="HA301" s="19"/>
    </row>
    <row r="302" spans="1:209" ht="23.25" customHeight="1" x14ac:dyDescent="0.15">
      <c r="A302" s="26">
        <v>44659.935703599534</v>
      </c>
      <c r="B302" s="27" t="s">
        <v>6</v>
      </c>
      <c r="C302" s="27" t="s">
        <v>11</v>
      </c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  <c r="AX302" s="27" t="s">
        <v>1083</v>
      </c>
      <c r="AY302" s="27" t="s">
        <v>1078</v>
      </c>
      <c r="AZ302" s="27" t="s">
        <v>1089</v>
      </c>
      <c r="BA302" s="27" t="s">
        <v>1090</v>
      </c>
      <c r="BB302" s="27" t="s">
        <v>408</v>
      </c>
      <c r="BC302" s="29">
        <v>43952</v>
      </c>
      <c r="BD302" s="29">
        <v>43984</v>
      </c>
      <c r="BE302" s="29">
        <v>43984</v>
      </c>
      <c r="BF302" s="27">
        <v>90</v>
      </c>
      <c r="BG302" s="27" t="s">
        <v>520</v>
      </c>
      <c r="BH302" s="30" t="s">
        <v>1091</v>
      </c>
      <c r="BI302" s="28"/>
      <c r="BJ302" s="28"/>
      <c r="BK302" s="28"/>
      <c r="BL302" s="28"/>
      <c r="BM302" s="28"/>
      <c r="BN302" s="28"/>
      <c r="BO302" s="28"/>
      <c r="BP302" s="28"/>
      <c r="BQ302" s="28"/>
      <c r="BR302" s="28"/>
      <c r="BS302" s="28"/>
      <c r="BT302" s="28"/>
      <c r="BU302" s="28"/>
      <c r="BV302" s="28"/>
      <c r="BW302" s="28"/>
      <c r="BX302" s="28"/>
      <c r="BY302" s="19"/>
      <c r="BZ302" s="19"/>
      <c r="CA302" s="19"/>
      <c r="CB302" s="19"/>
      <c r="CC302" s="19"/>
      <c r="CD302" s="19"/>
      <c r="CE302" s="19"/>
      <c r="CF302" s="19"/>
      <c r="CG302" s="19"/>
      <c r="CH302" s="19"/>
      <c r="CI302" s="19"/>
      <c r="CJ302" s="19"/>
      <c r="CK302" s="19"/>
      <c r="CL302" s="19"/>
      <c r="CM302" s="19"/>
      <c r="CN302" s="19"/>
      <c r="CO302" s="19"/>
      <c r="CP302" s="19"/>
      <c r="CQ302" s="19"/>
      <c r="CR302" s="19"/>
      <c r="CS302" s="19"/>
      <c r="CT302" s="19"/>
      <c r="CU302" s="19"/>
      <c r="CV302" s="19"/>
      <c r="CW302" s="19"/>
      <c r="CX302" s="19"/>
      <c r="CY302" s="19"/>
      <c r="CZ302" s="19"/>
      <c r="DA302" s="19"/>
      <c r="DB302" s="19"/>
      <c r="DC302" s="19"/>
      <c r="DD302" s="19"/>
      <c r="DE302" s="19"/>
      <c r="DF302" s="19"/>
      <c r="DG302" s="19"/>
      <c r="DH302" s="19"/>
      <c r="DI302" s="19"/>
      <c r="DJ302" s="19"/>
      <c r="DK302" s="19"/>
      <c r="DL302" s="19"/>
      <c r="DM302" s="19"/>
      <c r="DN302" s="19"/>
      <c r="DO302" s="19"/>
      <c r="DP302" s="19"/>
      <c r="DQ302" s="19"/>
      <c r="DR302" s="19"/>
      <c r="DS302" s="19"/>
      <c r="DT302" s="19"/>
      <c r="DU302" s="19"/>
      <c r="DV302" s="19"/>
      <c r="DW302" s="19"/>
      <c r="DX302" s="19"/>
      <c r="DY302" s="19"/>
      <c r="DZ302" s="19"/>
      <c r="EA302" s="19"/>
      <c r="EB302" s="19"/>
      <c r="EC302" s="19"/>
      <c r="ED302" s="19"/>
      <c r="EE302" s="19"/>
      <c r="EF302" s="19"/>
      <c r="EG302" s="19"/>
      <c r="EH302" s="19"/>
      <c r="EI302" s="19"/>
      <c r="EJ302" s="19"/>
      <c r="EK302" s="19"/>
      <c r="EL302" s="19"/>
      <c r="EM302" s="19"/>
      <c r="EN302" s="19"/>
      <c r="EO302" s="19"/>
      <c r="EP302" s="19"/>
      <c r="EQ302" s="19"/>
      <c r="ER302" s="19"/>
      <c r="ES302" s="19"/>
      <c r="ET302" s="19"/>
      <c r="EU302" s="19"/>
      <c r="EV302" s="19"/>
      <c r="EW302" s="19"/>
      <c r="EX302" s="19"/>
      <c r="EY302" s="19"/>
      <c r="EZ302" s="19"/>
      <c r="FA302" s="19"/>
      <c r="FB302" s="19"/>
      <c r="FC302" s="19"/>
      <c r="FD302" s="19"/>
      <c r="FE302" s="19"/>
      <c r="FF302" s="19"/>
      <c r="FG302" s="19"/>
      <c r="FH302" s="19"/>
      <c r="FI302" s="19"/>
      <c r="FJ302" s="19"/>
      <c r="FK302" s="19"/>
      <c r="FL302" s="20" t="s">
        <v>1082</v>
      </c>
      <c r="FM302" s="20" t="s">
        <v>255</v>
      </c>
      <c r="FN302" s="19"/>
      <c r="FO302" s="19"/>
      <c r="FP302" s="19"/>
      <c r="FQ302" s="19"/>
      <c r="FR302" s="19"/>
      <c r="FS302" s="19"/>
      <c r="FT302" s="19"/>
      <c r="FU302" s="19"/>
      <c r="FV302" s="19"/>
      <c r="FW302" s="19"/>
      <c r="FX302" s="19"/>
      <c r="FY302" s="19"/>
      <c r="FZ302" s="19"/>
      <c r="GA302" s="19"/>
      <c r="GB302" s="19"/>
      <c r="GC302" s="19"/>
      <c r="GD302" s="19"/>
      <c r="GE302" s="19"/>
      <c r="GF302" s="19"/>
      <c r="GG302" s="19"/>
      <c r="GH302" s="19"/>
      <c r="GI302" s="19"/>
      <c r="GJ302" s="19"/>
      <c r="GK302" s="19"/>
      <c r="GL302" s="19"/>
      <c r="GM302" s="19"/>
      <c r="GN302" s="19"/>
      <c r="GO302" s="19"/>
      <c r="GP302" s="19"/>
      <c r="GQ302" s="19"/>
      <c r="GR302" s="19"/>
      <c r="GS302" s="19"/>
      <c r="GT302" s="19"/>
      <c r="GU302" s="19"/>
      <c r="GV302" s="19"/>
      <c r="GW302" s="19"/>
      <c r="GX302" s="19"/>
      <c r="GY302" s="19"/>
      <c r="GZ302" s="19"/>
      <c r="HA302" s="19"/>
    </row>
    <row r="303" spans="1:209" ht="23.25" customHeight="1" x14ac:dyDescent="0.15">
      <c r="A303" s="26">
        <v>44659.936508449071</v>
      </c>
      <c r="B303" s="27" t="s">
        <v>6</v>
      </c>
      <c r="C303" s="27" t="s">
        <v>11</v>
      </c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  <c r="AX303" s="27" t="s">
        <v>1000</v>
      </c>
      <c r="AY303" s="27" t="s">
        <v>1012</v>
      </c>
      <c r="AZ303" s="27" t="s">
        <v>1092</v>
      </c>
      <c r="BA303" s="27" t="s">
        <v>343</v>
      </c>
      <c r="BB303" s="27" t="s">
        <v>698</v>
      </c>
      <c r="BC303" s="29">
        <v>44438</v>
      </c>
      <c r="BD303" s="29">
        <v>44469</v>
      </c>
      <c r="BE303" s="29">
        <v>44469</v>
      </c>
      <c r="BF303" s="27">
        <v>100</v>
      </c>
      <c r="BG303" s="27" t="s">
        <v>520</v>
      </c>
      <c r="BH303" s="30" t="s">
        <v>1093</v>
      </c>
      <c r="BI303" s="28"/>
      <c r="BJ303" s="28"/>
      <c r="BK303" s="28"/>
      <c r="BL303" s="28"/>
      <c r="BM303" s="28"/>
      <c r="BN303" s="28"/>
      <c r="BO303" s="28"/>
      <c r="BP303" s="28"/>
      <c r="BQ303" s="28"/>
      <c r="BR303" s="28"/>
      <c r="BS303" s="28"/>
      <c r="BT303" s="28"/>
      <c r="BU303" s="28"/>
      <c r="BV303" s="28"/>
      <c r="BW303" s="28"/>
      <c r="BX303" s="28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19"/>
      <c r="DU303" s="19"/>
      <c r="DV303" s="19"/>
      <c r="DW303" s="19"/>
      <c r="DX303" s="19"/>
      <c r="DY303" s="19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20" t="s">
        <v>1003</v>
      </c>
      <c r="FM303" s="20" t="s">
        <v>278</v>
      </c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</row>
    <row r="304" spans="1:209" ht="23.25" customHeight="1" x14ac:dyDescent="0.15">
      <c r="A304" s="26">
        <v>44659.937646481485</v>
      </c>
      <c r="B304" s="27" t="s">
        <v>6</v>
      </c>
      <c r="C304" s="27" t="s">
        <v>11</v>
      </c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  <c r="AX304" s="27" t="s">
        <v>1083</v>
      </c>
      <c r="AY304" s="27" t="s">
        <v>1078</v>
      </c>
      <c r="AZ304" s="27" t="s">
        <v>1094</v>
      </c>
      <c r="BA304" s="27" t="s">
        <v>1090</v>
      </c>
      <c r="BB304" s="27" t="s">
        <v>408</v>
      </c>
      <c r="BC304" s="29">
        <v>43952</v>
      </c>
      <c r="BD304" s="29">
        <v>43984</v>
      </c>
      <c r="BE304" s="29">
        <v>43984</v>
      </c>
      <c r="BF304" s="27">
        <v>87</v>
      </c>
      <c r="BG304" s="27" t="s">
        <v>520</v>
      </c>
      <c r="BH304" s="30" t="s">
        <v>1095</v>
      </c>
      <c r="BI304" s="28"/>
      <c r="BJ304" s="28"/>
      <c r="BK304" s="28"/>
      <c r="BL304" s="28"/>
      <c r="BM304" s="28"/>
      <c r="BN304" s="28"/>
      <c r="BO304" s="28"/>
      <c r="BP304" s="28"/>
      <c r="BQ304" s="28"/>
      <c r="BR304" s="28"/>
      <c r="BS304" s="28"/>
      <c r="BT304" s="28"/>
      <c r="BU304" s="28"/>
      <c r="BV304" s="28"/>
      <c r="BW304" s="28"/>
      <c r="BX304" s="28"/>
      <c r="BY304" s="19"/>
      <c r="BZ304" s="19"/>
      <c r="CA304" s="19"/>
      <c r="CB304" s="19"/>
      <c r="CC304" s="19"/>
      <c r="CD304" s="19"/>
      <c r="CE304" s="19"/>
      <c r="CF304" s="19"/>
      <c r="CG304" s="19"/>
      <c r="CH304" s="19"/>
      <c r="CI304" s="19"/>
      <c r="CJ304" s="19"/>
      <c r="CK304" s="19"/>
      <c r="CL304" s="19"/>
      <c r="CM304" s="19"/>
      <c r="CN304" s="19"/>
      <c r="CO304" s="19"/>
      <c r="CP304" s="19"/>
      <c r="CQ304" s="19"/>
      <c r="CR304" s="19"/>
      <c r="CS304" s="19"/>
      <c r="CT304" s="19"/>
      <c r="CU304" s="19"/>
      <c r="CV304" s="19"/>
      <c r="CW304" s="19"/>
      <c r="CX304" s="19"/>
      <c r="CY304" s="19"/>
      <c r="CZ304" s="19"/>
      <c r="DA304" s="19"/>
      <c r="DB304" s="19"/>
      <c r="DC304" s="19"/>
      <c r="DD304" s="19"/>
      <c r="DE304" s="19"/>
      <c r="DF304" s="19"/>
      <c r="DG304" s="19"/>
      <c r="DH304" s="19"/>
      <c r="DI304" s="19"/>
      <c r="DJ304" s="19"/>
      <c r="DK304" s="19"/>
      <c r="DL304" s="19"/>
      <c r="DM304" s="19"/>
      <c r="DN304" s="19"/>
      <c r="DO304" s="19"/>
      <c r="DP304" s="19"/>
      <c r="DQ304" s="19"/>
      <c r="DR304" s="19"/>
      <c r="DS304" s="19"/>
      <c r="DT304" s="19"/>
      <c r="DU304" s="19"/>
      <c r="DV304" s="19"/>
      <c r="DW304" s="19"/>
      <c r="DX304" s="19"/>
      <c r="DY304" s="19"/>
      <c r="DZ304" s="19"/>
      <c r="EA304" s="19"/>
      <c r="EB304" s="19"/>
      <c r="EC304" s="19"/>
      <c r="ED304" s="19"/>
      <c r="EE304" s="19"/>
      <c r="EF304" s="19"/>
      <c r="EG304" s="19"/>
      <c r="EH304" s="19"/>
      <c r="EI304" s="19"/>
      <c r="EJ304" s="19"/>
      <c r="EK304" s="19"/>
      <c r="EL304" s="19"/>
      <c r="EM304" s="19"/>
      <c r="EN304" s="19"/>
      <c r="EO304" s="19"/>
      <c r="EP304" s="19"/>
      <c r="EQ304" s="19"/>
      <c r="ER304" s="19"/>
      <c r="ES304" s="19"/>
      <c r="ET304" s="19"/>
      <c r="EU304" s="19"/>
      <c r="EV304" s="19"/>
      <c r="EW304" s="19"/>
      <c r="EX304" s="19"/>
      <c r="EY304" s="19"/>
      <c r="EZ304" s="19"/>
      <c r="FA304" s="19"/>
      <c r="FB304" s="19"/>
      <c r="FC304" s="19"/>
      <c r="FD304" s="19"/>
      <c r="FE304" s="19"/>
      <c r="FF304" s="19"/>
      <c r="FG304" s="19"/>
      <c r="FH304" s="19"/>
      <c r="FI304" s="19"/>
      <c r="FJ304" s="19"/>
      <c r="FK304" s="19"/>
      <c r="FL304" s="20" t="s">
        <v>1082</v>
      </c>
      <c r="FM304" s="20" t="s">
        <v>255</v>
      </c>
      <c r="FN304" s="19"/>
      <c r="FO304" s="19"/>
      <c r="FP304" s="19"/>
      <c r="FQ304" s="19"/>
      <c r="FR304" s="19"/>
      <c r="FS304" s="19"/>
      <c r="FT304" s="19"/>
      <c r="FU304" s="19"/>
      <c r="FV304" s="19"/>
      <c r="FW304" s="19"/>
      <c r="FX304" s="19"/>
      <c r="FY304" s="19"/>
      <c r="FZ304" s="19"/>
      <c r="GA304" s="19"/>
      <c r="GB304" s="19"/>
      <c r="GC304" s="19"/>
      <c r="GD304" s="19"/>
      <c r="GE304" s="19"/>
      <c r="GF304" s="19"/>
      <c r="GG304" s="19"/>
      <c r="GH304" s="19"/>
      <c r="GI304" s="19"/>
      <c r="GJ304" s="19"/>
      <c r="GK304" s="19"/>
      <c r="GL304" s="19"/>
      <c r="GM304" s="19"/>
      <c r="GN304" s="19"/>
      <c r="GO304" s="19"/>
      <c r="GP304" s="19"/>
      <c r="GQ304" s="19"/>
      <c r="GR304" s="19"/>
      <c r="GS304" s="19"/>
      <c r="GT304" s="19"/>
      <c r="GU304" s="19"/>
      <c r="GV304" s="19"/>
      <c r="GW304" s="19"/>
      <c r="GX304" s="19"/>
      <c r="GY304" s="19"/>
      <c r="GZ304" s="19"/>
      <c r="HA304" s="19"/>
    </row>
    <row r="305" spans="1:209" ht="23.25" customHeight="1" x14ac:dyDescent="0.15">
      <c r="A305" s="26">
        <v>44659.938011990744</v>
      </c>
      <c r="B305" s="27" t="s">
        <v>6</v>
      </c>
      <c r="C305" s="27" t="s">
        <v>11</v>
      </c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  <c r="AX305" s="27" t="s">
        <v>1000</v>
      </c>
      <c r="AY305" s="27" t="s">
        <v>1012</v>
      </c>
      <c r="AZ305" s="27" t="s">
        <v>1096</v>
      </c>
      <c r="BA305" s="27" t="s">
        <v>343</v>
      </c>
      <c r="BB305" s="27" t="s">
        <v>698</v>
      </c>
      <c r="BC305" s="29">
        <v>44438</v>
      </c>
      <c r="BD305" s="29">
        <v>44469</v>
      </c>
      <c r="BE305" s="29">
        <v>44469</v>
      </c>
      <c r="BF305" s="27">
        <v>100</v>
      </c>
      <c r="BG305" s="27" t="s">
        <v>520</v>
      </c>
      <c r="BH305" s="30" t="s">
        <v>1097</v>
      </c>
      <c r="BI305" s="28"/>
      <c r="BJ305" s="28"/>
      <c r="BK305" s="28"/>
      <c r="BL305" s="28"/>
      <c r="BM305" s="28"/>
      <c r="BN305" s="28"/>
      <c r="BO305" s="28"/>
      <c r="BP305" s="28"/>
      <c r="BQ305" s="28"/>
      <c r="BR305" s="28"/>
      <c r="BS305" s="28"/>
      <c r="BT305" s="28"/>
      <c r="BU305" s="28"/>
      <c r="BV305" s="28"/>
      <c r="BW305" s="28"/>
      <c r="BX305" s="28"/>
      <c r="BY305" s="19"/>
      <c r="BZ305" s="19"/>
      <c r="CA305" s="19"/>
      <c r="CB305" s="19"/>
      <c r="CC305" s="19"/>
      <c r="CD305" s="19"/>
      <c r="CE305" s="19"/>
      <c r="CF305" s="19"/>
      <c r="CG305" s="19"/>
      <c r="CH305" s="19"/>
      <c r="CI305" s="19"/>
      <c r="CJ305" s="19"/>
      <c r="CK305" s="19"/>
      <c r="CL305" s="19"/>
      <c r="CM305" s="19"/>
      <c r="CN305" s="19"/>
      <c r="CO305" s="19"/>
      <c r="CP305" s="19"/>
      <c r="CQ305" s="19"/>
      <c r="CR305" s="19"/>
      <c r="CS305" s="19"/>
      <c r="CT305" s="19"/>
      <c r="CU305" s="19"/>
      <c r="CV305" s="19"/>
      <c r="CW305" s="19"/>
      <c r="CX305" s="19"/>
      <c r="CY305" s="19"/>
      <c r="CZ305" s="19"/>
      <c r="DA305" s="19"/>
      <c r="DB305" s="19"/>
      <c r="DC305" s="19"/>
      <c r="DD305" s="19"/>
      <c r="DE305" s="19"/>
      <c r="DF305" s="19"/>
      <c r="DG305" s="19"/>
      <c r="DH305" s="19"/>
      <c r="DI305" s="19"/>
      <c r="DJ305" s="19"/>
      <c r="DK305" s="19"/>
      <c r="DL305" s="19"/>
      <c r="DM305" s="19"/>
      <c r="DN305" s="19"/>
      <c r="DO305" s="19"/>
      <c r="DP305" s="19"/>
      <c r="DQ305" s="19"/>
      <c r="DR305" s="19"/>
      <c r="DS305" s="19"/>
      <c r="DT305" s="19"/>
      <c r="DU305" s="19"/>
      <c r="DV305" s="19"/>
      <c r="DW305" s="19"/>
      <c r="DX305" s="19"/>
      <c r="DY305" s="19"/>
      <c r="DZ305" s="19"/>
      <c r="EA305" s="19"/>
      <c r="EB305" s="19"/>
      <c r="EC305" s="19"/>
      <c r="ED305" s="19"/>
      <c r="EE305" s="19"/>
      <c r="EF305" s="19"/>
      <c r="EG305" s="19"/>
      <c r="EH305" s="19"/>
      <c r="EI305" s="19"/>
      <c r="EJ305" s="19"/>
      <c r="EK305" s="19"/>
      <c r="EL305" s="19"/>
      <c r="EM305" s="19"/>
      <c r="EN305" s="19"/>
      <c r="EO305" s="19"/>
      <c r="EP305" s="19"/>
      <c r="EQ305" s="19"/>
      <c r="ER305" s="19"/>
      <c r="ES305" s="19"/>
      <c r="ET305" s="19"/>
      <c r="EU305" s="19"/>
      <c r="EV305" s="19"/>
      <c r="EW305" s="19"/>
      <c r="EX305" s="19"/>
      <c r="EY305" s="19"/>
      <c r="EZ305" s="19"/>
      <c r="FA305" s="19"/>
      <c r="FB305" s="19"/>
      <c r="FC305" s="19"/>
      <c r="FD305" s="19"/>
      <c r="FE305" s="19"/>
      <c r="FF305" s="19"/>
      <c r="FG305" s="19"/>
      <c r="FH305" s="19"/>
      <c r="FI305" s="19"/>
      <c r="FJ305" s="19"/>
      <c r="FK305" s="19"/>
      <c r="FL305" s="20" t="s">
        <v>1003</v>
      </c>
      <c r="FM305" s="20" t="s">
        <v>278</v>
      </c>
      <c r="FN305" s="19"/>
      <c r="FO305" s="19"/>
      <c r="FP305" s="19"/>
      <c r="FQ305" s="19"/>
      <c r="FR305" s="19"/>
      <c r="FS305" s="19"/>
      <c r="FT305" s="19"/>
      <c r="FU305" s="19"/>
      <c r="FV305" s="19"/>
      <c r="FW305" s="19"/>
      <c r="FX305" s="19"/>
      <c r="FY305" s="19"/>
      <c r="FZ305" s="19"/>
      <c r="GA305" s="19"/>
      <c r="GB305" s="19"/>
      <c r="GC305" s="19"/>
      <c r="GD305" s="19"/>
      <c r="GE305" s="19"/>
      <c r="GF305" s="19"/>
      <c r="GG305" s="19"/>
      <c r="GH305" s="19"/>
      <c r="GI305" s="19"/>
      <c r="GJ305" s="19"/>
      <c r="GK305" s="19"/>
      <c r="GL305" s="19"/>
      <c r="GM305" s="19"/>
      <c r="GN305" s="19"/>
      <c r="GO305" s="19"/>
      <c r="GP305" s="19"/>
      <c r="GQ305" s="19"/>
      <c r="GR305" s="19"/>
      <c r="GS305" s="19"/>
      <c r="GT305" s="19"/>
      <c r="GU305" s="19"/>
      <c r="GV305" s="19"/>
      <c r="GW305" s="19"/>
      <c r="GX305" s="19"/>
      <c r="GY305" s="19"/>
      <c r="GZ305" s="19"/>
      <c r="HA305" s="19"/>
    </row>
    <row r="306" spans="1:209" ht="23.25" customHeight="1" x14ac:dyDescent="0.15">
      <c r="A306" s="26">
        <v>44659.939295520831</v>
      </c>
      <c r="B306" s="27" t="s">
        <v>6</v>
      </c>
      <c r="C306" s="27" t="s">
        <v>11</v>
      </c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7" t="s">
        <v>1083</v>
      </c>
      <c r="AY306" s="27" t="s">
        <v>1078</v>
      </c>
      <c r="AZ306" s="27" t="s">
        <v>1098</v>
      </c>
      <c r="BA306" s="27" t="s">
        <v>1090</v>
      </c>
      <c r="BB306" s="27" t="s">
        <v>408</v>
      </c>
      <c r="BC306" s="29">
        <v>43952</v>
      </c>
      <c r="BD306" s="29">
        <v>43982</v>
      </c>
      <c r="BE306" s="29">
        <v>43982</v>
      </c>
      <c r="BF306" s="27">
        <v>80</v>
      </c>
      <c r="BG306" s="27" t="s">
        <v>520</v>
      </c>
      <c r="BH306" s="30" t="s">
        <v>1099</v>
      </c>
      <c r="BI306" s="28"/>
      <c r="BJ306" s="28"/>
      <c r="BK306" s="28"/>
      <c r="BL306" s="28"/>
      <c r="BM306" s="28"/>
      <c r="BN306" s="28"/>
      <c r="BO306" s="28"/>
      <c r="BP306" s="28"/>
      <c r="BQ306" s="28"/>
      <c r="BR306" s="28"/>
      <c r="BS306" s="28"/>
      <c r="BT306" s="28"/>
      <c r="BU306" s="28"/>
      <c r="BV306" s="28"/>
      <c r="BW306" s="28"/>
      <c r="BX306" s="28"/>
      <c r="BY306" s="19"/>
      <c r="BZ306" s="19"/>
      <c r="CA306" s="19"/>
      <c r="CB306" s="19"/>
      <c r="CC306" s="19"/>
      <c r="CD306" s="19"/>
      <c r="CE306" s="19"/>
      <c r="CF306" s="19"/>
      <c r="CG306" s="19"/>
      <c r="CH306" s="19"/>
      <c r="CI306" s="19"/>
      <c r="CJ306" s="19"/>
      <c r="CK306" s="19"/>
      <c r="CL306" s="19"/>
      <c r="CM306" s="19"/>
      <c r="CN306" s="19"/>
      <c r="CO306" s="19"/>
      <c r="CP306" s="19"/>
      <c r="CQ306" s="19"/>
      <c r="CR306" s="19"/>
      <c r="CS306" s="19"/>
      <c r="CT306" s="19"/>
      <c r="CU306" s="19"/>
      <c r="CV306" s="19"/>
      <c r="CW306" s="19"/>
      <c r="CX306" s="19"/>
      <c r="CY306" s="19"/>
      <c r="CZ306" s="19"/>
      <c r="DA306" s="19"/>
      <c r="DB306" s="19"/>
      <c r="DC306" s="19"/>
      <c r="DD306" s="19"/>
      <c r="DE306" s="19"/>
      <c r="DF306" s="19"/>
      <c r="DG306" s="19"/>
      <c r="DH306" s="19"/>
      <c r="DI306" s="19"/>
      <c r="DJ306" s="19"/>
      <c r="DK306" s="19"/>
      <c r="DL306" s="19"/>
      <c r="DM306" s="19"/>
      <c r="DN306" s="19"/>
      <c r="DO306" s="19"/>
      <c r="DP306" s="19"/>
      <c r="DQ306" s="19"/>
      <c r="DR306" s="19"/>
      <c r="DS306" s="19"/>
      <c r="DT306" s="19"/>
      <c r="DU306" s="19"/>
      <c r="DV306" s="19"/>
      <c r="DW306" s="19"/>
      <c r="DX306" s="19"/>
      <c r="DY306" s="19"/>
      <c r="DZ306" s="19"/>
      <c r="EA306" s="19"/>
      <c r="EB306" s="19"/>
      <c r="EC306" s="19"/>
      <c r="ED306" s="19"/>
      <c r="EE306" s="19"/>
      <c r="EF306" s="19"/>
      <c r="EG306" s="19"/>
      <c r="EH306" s="19"/>
      <c r="EI306" s="19"/>
      <c r="EJ306" s="19"/>
      <c r="EK306" s="19"/>
      <c r="EL306" s="19"/>
      <c r="EM306" s="19"/>
      <c r="EN306" s="19"/>
      <c r="EO306" s="19"/>
      <c r="EP306" s="19"/>
      <c r="EQ306" s="19"/>
      <c r="ER306" s="19"/>
      <c r="ES306" s="19"/>
      <c r="ET306" s="19"/>
      <c r="EU306" s="19"/>
      <c r="EV306" s="19"/>
      <c r="EW306" s="19"/>
      <c r="EX306" s="19"/>
      <c r="EY306" s="19"/>
      <c r="EZ306" s="19"/>
      <c r="FA306" s="19"/>
      <c r="FB306" s="19"/>
      <c r="FC306" s="19"/>
      <c r="FD306" s="19"/>
      <c r="FE306" s="19"/>
      <c r="FF306" s="19"/>
      <c r="FG306" s="19"/>
      <c r="FH306" s="19"/>
      <c r="FI306" s="19"/>
      <c r="FJ306" s="19"/>
      <c r="FK306" s="19"/>
      <c r="FL306" s="20" t="s">
        <v>1082</v>
      </c>
      <c r="FM306" s="20" t="s">
        <v>255</v>
      </c>
      <c r="FN306" s="19"/>
      <c r="FO306" s="19"/>
      <c r="FP306" s="19"/>
      <c r="FQ306" s="19"/>
      <c r="FR306" s="19"/>
      <c r="FS306" s="19"/>
      <c r="FT306" s="19"/>
      <c r="FU306" s="19"/>
      <c r="FV306" s="19"/>
      <c r="FW306" s="19"/>
      <c r="FX306" s="19"/>
      <c r="FY306" s="19"/>
      <c r="FZ306" s="19"/>
      <c r="GA306" s="19"/>
      <c r="GB306" s="19"/>
      <c r="GC306" s="19"/>
      <c r="GD306" s="19"/>
      <c r="GE306" s="19"/>
      <c r="GF306" s="19"/>
      <c r="GG306" s="19"/>
      <c r="GH306" s="19"/>
      <c r="GI306" s="19"/>
      <c r="GJ306" s="19"/>
      <c r="GK306" s="19"/>
      <c r="GL306" s="19"/>
      <c r="GM306" s="19"/>
      <c r="GN306" s="19"/>
      <c r="GO306" s="19"/>
      <c r="GP306" s="19"/>
      <c r="GQ306" s="19"/>
      <c r="GR306" s="19"/>
      <c r="GS306" s="19"/>
      <c r="GT306" s="19"/>
      <c r="GU306" s="19"/>
      <c r="GV306" s="19"/>
      <c r="GW306" s="19"/>
      <c r="GX306" s="19"/>
      <c r="GY306" s="19"/>
      <c r="GZ306" s="19"/>
      <c r="HA306" s="19"/>
    </row>
    <row r="307" spans="1:209" ht="23.25" customHeight="1" x14ac:dyDescent="0.15">
      <c r="A307" s="26">
        <v>44659.94078837963</v>
      </c>
      <c r="B307" s="27" t="s">
        <v>6</v>
      </c>
      <c r="C307" s="27" t="s">
        <v>11</v>
      </c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  <c r="AX307" s="27" t="s">
        <v>1083</v>
      </c>
      <c r="AY307" s="27" t="s">
        <v>1078</v>
      </c>
      <c r="AZ307" s="27" t="s">
        <v>1100</v>
      </c>
      <c r="BA307" s="27" t="s">
        <v>1090</v>
      </c>
      <c r="BB307" s="27" t="s">
        <v>408</v>
      </c>
      <c r="BC307" s="29">
        <v>43952</v>
      </c>
      <c r="BD307" s="29">
        <v>43984</v>
      </c>
      <c r="BE307" s="29">
        <v>43984</v>
      </c>
      <c r="BF307" s="27">
        <v>78</v>
      </c>
      <c r="BG307" s="27" t="s">
        <v>520</v>
      </c>
      <c r="BH307" s="30" t="s">
        <v>1101</v>
      </c>
      <c r="BI307" s="28"/>
      <c r="BJ307" s="28"/>
      <c r="BK307" s="28"/>
      <c r="BL307" s="28"/>
      <c r="BM307" s="28"/>
      <c r="BN307" s="28"/>
      <c r="BO307" s="28"/>
      <c r="BP307" s="28"/>
      <c r="BQ307" s="28"/>
      <c r="BR307" s="28"/>
      <c r="BS307" s="28"/>
      <c r="BT307" s="28"/>
      <c r="BU307" s="28"/>
      <c r="BV307" s="28"/>
      <c r="BW307" s="28"/>
      <c r="BX307" s="28"/>
      <c r="BY307" s="19"/>
      <c r="BZ307" s="19"/>
      <c r="CA307" s="19"/>
      <c r="CB307" s="19"/>
      <c r="CC307" s="19"/>
      <c r="CD307" s="19"/>
      <c r="CE307" s="19"/>
      <c r="CF307" s="19"/>
      <c r="CG307" s="19"/>
      <c r="CH307" s="19"/>
      <c r="CI307" s="19"/>
      <c r="CJ307" s="19"/>
      <c r="CK307" s="19"/>
      <c r="CL307" s="19"/>
      <c r="CM307" s="19"/>
      <c r="CN307" s="19"/>
      <c r="CO307" s="19"/>
      <c r="CP307" s="19"/>
      <c r="CQ307" s="19"/>
      <c r="CR307" s="19"/>
      <c r="CS307" s="19"/>
      <c r="CT307" s="19"/>
      <c r="CU307" s="19"/>
      <c r="CV307" s="19"/>
      <c r="CW307" s="19"/>
      <c r="CX307" s="19"/>
      <c r="CY307" s="19"/>
      <c r="CZ307" s="19"/>
      <c r="DA307" s="19"/>
      <c r="DB307" s="19"/>
      <c r="DC307" s="19"/>
      <c r="DD307" s="19"/>
      <c r="DE307" s="19"/>
      <c r="DF307" s="19"/>
      <c r="DG307" s="19"/>
      <c r="DH307" s="19"/>
      <c r="DI307" s="19"/>
      <c r="DJ307" s="19"/>
      <c r="DK307" s="19"/>
      <c r="DL307" s="19"/>
      <c r="DM307" s="19"/>
      <c r="DN307" s="19"/>
      <c r="DO307" s="19"/>
      <c r="DP307" s="19"/>
      <c r="DQ307" s="19"/>
      <c r="DR307" s="19"/>
      <c r="DS307" s="19"/>
      <c r="DT307" s="19"/>
      <c r="DU307" s="19"/>
      <c r="DV307" s="19"/>
      <c r="DW307" s="19"/>
      <c r="DX307" s="19"/>
      <c r="DY307" s="19"/>
      <c r="DZ307" s="19"/>
      <c r="EA307" s="19"/>
      <c r="EB307" s="19"/>
      <c r="EC307" s="19"/>
      <c r="ED307" s="19"/>
      <c r="EE307" s="19"/>
      <c r="EF307" s="19"/>
      <c r="EG307" s="19"/>
      <c r="EH307" s="19"/>
      <c r="EI307" s="19"/>
      <c r="EJ307" s="19"/>
      <c r="EK307" s="19"/>
      <c r="EL307" s="19"/>
      <c r="EM307" s="19"/>
      <c r="EN307" s="19"/>
      <c r="EO307" s="19"/>
      <c r="EP307" s="19"/>
      <c r="EQ307" s="19"/>
      <c r="ER307" s="19"/>
      <c r="ES307" s="19"/>
      <c r="ET307" s="19"/>
      <c r="EU307" s="19"/>
      <c r="EV307" s="19"/>
      <c r="EW307" s="19"/>
      <c r="EX307" s="19"/>
      <c r="EY307" s="19"/>
      <c r="EZ307" s="19"/>
      <c r="FA307" s="19"/>
      <c r="FB307" s="19"/>
      <c r="FC307" s="19"/>
      <c r="FD307" s="19"/>
      <c r="FE307" s="19"/>
      <c r="FF307" s="19"/>
      <c r="FG307" s="19"/>
      <c r="FH307" s="19"/>
      <c r="FI307" s="19"/>
      <c r="FJ307" s="19"/>
      <c r="FK307" s="19"/>
      <c r="FL307" s="20" t="s">
        <v>1082</v>
      </c>
      <c r="FM307" s="20" t="s">
        <v>255</v>
      </c>
      <c r="FN307" s="19"/>
      <c r="FO307" s="19"/>
      <c r="FP307" s="19"/>
      <c r="FQ307" s="19"/>
      <c r="FR307" s="19"/>
      <c r="FS307" s="19"/>
      <c r="FT307" s="19"/>
      <c r="FU307" s="19"/>
      <c r="FV307" s="19"/>
      <c r="FW307" s="19"/>
      <c r="FX307" s="19"/>
      <c r="FY307" s="19"/>
      <c r="FZ307" s="19"/>
      <c r="GA307" s="19"/>
      <c r="GB307" s="19"/>
      <c r="GC307" s="19"/>
      <c r="GD307" s="19"/>
      <c r="GE307" s="19"/>
      <c r="GF307" s="19"/>
      <c r="GG307" s="19"/>
      <c r="GH307" s="19"/>
      <c r="GI307" s="19"/>
      <c r="GJ307" s="19"/>
      <c r="GK307" s="19"/>
      <c r="GL307" s="19"/>
      <c r="GM307" s="19"/>
      <c r="GN307" s="19"/>
      <c r="GO307" s="19"/>
      <c r="GP307" s="19"/>
      <c r="GQ307" s="19"/>
      <c r="GR307" s="19"/>
      <c r="GS307" s="19"/>
      <c r="GT307" s="19"/>
      <c r="GU307" s="19"/>
      <c r="GV307" s="19"/>
      <c r="GW307" s="19"/>
      <c r="GX307" s="19"/>
      <c r="GY307" s="19"/>
      <c r="GZ307" s="19"/>
      <c r="HA307" s="19"/>
    </row>
    <row r="308" spans="1:209" ht="23.25" customHeight="1" x14ac:dyDescent="0.15">
      <c r="A308" s="26">
        <v>44659.942271018517</v>
      </c>
      <c r="B308" s="27" t="s">
        <v>6</v>
      </c>
      <c r="C308" s="27" t="s">
        <v>11</v>
      </c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  <c r="AX308" s="27" t="s">
        <v>1083</v>
      </c>
      <c r="AY308" s="27" t="s">
        <v>1078</v>
      </c>
      <c r="AZ308" s="27" t="s">
        <v>1102</v>
      </c>
      <c r="BA308" s="27" t="s">
        <v>343</v>
      </c>
      <c r="BB308" s="27" t="s">
        <v>408</v>
      </c>
      <c r="BC308" s="29">
        <v>43929</v>
      </c>
      <c r="BD308" s="29">
        <v>43960</v>
      </c>
      <c r="BE308" s="29">
        <v>43960</v>
      </c>
      <c r="BF308" s="27">
        <v>89</v>
      </c>
      <c r="BG308" s="27" t="s">
        <v>520</v>
      </c>
      <c r="BH308" s="30" t="s">
        <v>1103</v>
      </c>
      <c r="BI308" s="28"/>
      <c r="BJ308" s="28"/>
      <c r="BK308" s="28"/>
      <c r="BL308" s="28"/>
      <c r="BM308" s="28"/>
      <c r="BN308" s="28"/>
      <c r="BO308" s="28"/>
      <c r="BP308" s="28"/>
      <c r="BQ308" s="28"/>
      <c r="BR308" s="28"/>
      <c r="BS308" s="28"/>
      <c r="BT308" s="28"/>
      <c r="BU308" s="28"/>
      <c r="BV308" s="28"/>
      <c r="BW308" s="28"/>
      <c r="BX308" s="28"/>
      <c r="BY308" s="19"/>
      <c r="BZ308" s="19"/>
      <c r="CA308" s="19"/>
      <c r="CB308" s="19"/>
      <c r="CC308" s="19"/>
      <c r="CD308" s="19"/>
      <c r="CE308" s="19"/>
      <c r="CF308" s="19"/>
      <c r="CG308" s="19"/>
      <c r="CH308" s="19"/>
      <c r="CI308" s="19"/>
      <c r="CJ308" s="19"/>
      <c r="CK308" s="19"/>
      <c r="CL308" s="19"/>
      <c r="CM308" s="19"/>
      <c r="CN308" s="19"/>
      <c r="CO308" s="19"/>
      <c r="CP308" s="19"/>
      <c r="CQ308" s="19"/>
      <c r="CR308" s="19"/>
      <c r="CS308" s="19"/>
      <c r="CT308" s="19"/>
      <c r="CU308" s="19"/>
      <c r="CV308" s="19"/>
      <c r="CW308" s="19"/>
      <c r="CX308" s="19"/>
      <c r="CY308" s="19"/>
      <c r="CZ308" s="19"/>
      <c r="DA308" s="19"/>
      <c r="DB308" s="19"/>
      <c r="DC308" s="19"/>
      <c r="DD308" s="19"/>
      <c r="DE308" s="19"/>
      <c r="DF308" s="19"/>
      <c r="DG308" s="19"/>
      <c r="DH308" s="19"/>
      <c r="DI308" s="19"/>
      <c r="DJ308" s="19"/>
      <c r="DK308" s="19"/>
      <c r="DL308" s="19"/>
      <c r="DM308" s="19"/>
      <c r="DN308" s="19"/>
      <c r="DO308" s="19"/>
      <c r="DP308" s="19"/>
      <c r="DQ308" s="19"/>
      <c r="DR308" s="19"/>
      <c r="DS308" s="19"/>
      <c r="DT308" s="19"/>
      <c r="DU308" s="19"/>
      <c r="DV308" s="19"/>
      <c r="DW308" s="19"/>
      <c r="DX308" s="19"/>
      <c r="DY308" s="19"/>
      <c r="DZ308" s="19"/>
      <c r="EA308" s="19"/>
      <c r="EB308" s="19"/>
      <c r="EC308" s="19"/>
      <c r="ED308" s="19"/>
      <c r="EE308" s="19"/>
      <c r="EF308" s="19"/>
      <c r="EG308" s="19"/>
      <c r="EH308" s="19"/>
      <c r="EI308" s="19"/>
      <c r="EJ308" s="19"/>
      <c r="EK308" s="19"/>
      <c r="EL308" s="19"/>
      <c r="EM308" s="19"/>
      <c r="EN308" s="19"/>
      <c r="EO308" s="19"/>
      <c r="EP308" s="19"/>
      <c r="EQ308" s="19"/>
      <c r="ER308" s="19"/>
      <c r="ES308" s="19"/>
      <c r="ET308" s="19"/>
      <c r="EU308" s="19"/>
      <c r="EV308" s="19"/>
      <c r="EW308" s="19"/>
      <c r="EX308" s="19"/>
      <c r="EY308" s="19"/>
      <c r="EZ308" s="19"/>
      <c r="FA308" s="19"/>
      <c r="FB308" s="19"/>
      <c r="FC308" s="19"/>
      <c r="FD308" s="19"/>
      <c r="FE308" s="19"/>
      <c r="FF308" s="19"/>
      <c r="FG308" s="19"/>
      <c r="FH308" s="19"/>
      <c r="FI308" s="19"/>
      <c r="FJ308" s="19"/>
      <c r="FK308" s="19"/>
      <c r="FL308" s="20" t="s">
        <v>1082</v>
      </c>
      <c r="FM308" s="20" t="s">
        <v>255</v>
      </c>
      <c r="FN308" s="19"/>
      <c r="FO308" s="19"/>
      <c r="FP308" s="19"/>
      <c r="FQ308" s="19"/>
      <c r="FR308" s="19"/>
      <c r="FS308" s="19"/>
      <c r="FT308" s="19"/>
      <c r="FU308" s="19"/>
      <c r="FV308" s="19"/>
      <c r="FW308" s="19"/>
      <c r="FX308" s="19"/>
      <c r="FY308" s="19"/>
      <c r="FZ308" s="19"/>
      <c r="GA308" s="19"/>
      <c r="GB308" s="19"/>
      <c r="GC308" s="19"/>
      <c r="GD308" s="19"/>
      <c r="GE308" s="19"/>
      <c r="GF308" s="19"/>
      <c r="GG308" s="19"/>
      <c r="GH308" s="19"/>
      <c r="GI308" s="19"/>
      <c r="GJ308" s="19"/>
      <c r="GK308" s="19"/>
      <c r="GL308" s="19"/>
      <c r="GM308" s="19"/>
      <c r="GN308" s="19"/>
      <c r="GO308" s="19"/>
      <c r="GP308" s="19"/>
      <c r="GQ308" s="19"/>
      <c r="GR308" s="19"/>
      <c r="GS308" s="19"/>
      <c r="GT308" s="19"/>
      <c r="GU308" s="19"/>
      <c r="GV308" s="19"/>
      <c r="GW308" s="19"/>
      <c r="GX308" s="19"/>
      <c r="GY308" s="19"/>
      <c r="GZ308" s="19"/>
      <c r="HA308" s="19"/>
    </row>
    <row r="309" spans="1:209" ht="23.25" customHeight="1" x14ac:dyDescent="0.15">
      <c r="A309" s="26">
        <v>44659.947074479162</v>
      </c>
      <c r="B309" s="27" t="s">
        <v>6</v>
      </c>
      <c r="C309" s="27" t="s">
        <v>17</v>
      </c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  <c r="AX309" s="28"/>
      <c r="AY309" s="28"/>
      <c r="AZ309" s="28"/>
      <c r="BA309" s="28"/>
      <c r="BB309" s="28"/>
      <c r="BC309" s="28"/>
      <c r="BD309" s="28"/>
      <c r="BE309" s="28"/>
      <c r="BF309" s="28"/>
      <c r="BG309" s="28"/>
      <c r="BH309" s="28"/>
      <c r="BI309" s="28"/>
      <c r="BJ309" s="28"/>
      <c r="BK309" s="28"/>
      <c r="BL309" s="28"/>
      <c r="BM309" s="28"/>
      <c r="BN309" s="28"/>
      <c r="BO309" s="28"/>
      <c r="BP309" s="28"/>
      <c r="BQ309" s="28"/>
      <c r="BR309" s="28"/>
      <c r="BS309" s="28"/>
      <c r="BT309" s="28"/>
      <c r="BU309" s="28"/>
      <c r="BV309" s="28"/>
      <c r="BW309" s="28"/>
      <c r="BX309" s="28"/>
      <c r="BY309" s="19"/>
      <c r="BZ309" s="19"/>
      <c r="CA309" s="19"/>
      <c r="CB309" s="19"/>
      <c r="CC309" s="19"/>
      <c r="CD309" s="19"/>
      <c r="CE309" s="19"/>
      <c r="CF309" s="19"/>
      <c r="CG309" s="19"/>
      <c r="CH309" s="19"/>
      <c r="CI309" s="19"/>
      <c r="CJ309" s="19"/>
      <c r="CK309" s="19"/>
      <c r="CL309" s="19"/>
      <c r="CM309" s="19"/>
      <c r="CN309" s="19"/>
      <c r="CO309" s="19"/>
      <c r="CP309" s="19"/>
      <c r="CQ309" s="19"/>
      <c r="CR309" s="19"/>
      <c r="CS309" s="19"/>
      <c r="CT309" s="19"/>
      <c r="CU309" s="19"/>
      <c r="CV309" s="19"/>
      <c r="CW309" s="19"/>
      <c r="CX309" s="19"/>
      <c r="CY309" s="19"/>
      <c r="CZ309" s="19"/>
      <c r="DA309" s="19"/>
      <c r="DB309" s="19"/>
      <c r="DC309" s="19"/>
      <c r="DD309" s="19"/>
      <c r="DE309" s="19"/>
      <c r="DF309" s="19"/>
      <c r="DG309" s="19"/>
      <c r="DH309" s="19"/>
      <c r="DI309" s="19"/>
      <c r="DJ309" s="19"/>
      <c r="DK309" s="19"/>
      <c r="DL309" s="19"/>
      <c r="DM309" s="19"/>
      <c r="DN309" s="19"/>
      <c r="DO309" s="19"/>
      <c r="DP309" s="19"/>
      <c r="DQ309" s="19"/>
      <c r="DR309" s="19"/>
      <c r="DS309" s="19"/>
      <c r="DT309" s="19"/>
      <c r="DU309" s="19"/>
      <c r="DV309" s="19"/>
      <c r="DW309" s="19"/>
      <c r="DX309" s="20" t="s">
        <v>1104</v>
      </c>
      <c r="DY309" s="20" t="s">
        <v>1078</v>
      </c>
      <c r="DZ309" s="20" t="s">
        <v>145</v>
      </c>
      <c r="EA309" s="20" t="s">
        <v>1105</v>
      </c>
      <c r="EB309" s="21">
        <v>43330</v>
      </c>
      <c r="EC309" s="20" t="s">
        <v>1106</v>
      </c>
      <c r="ED309" s="22" t="s">
        <v>1107</v>
      </c>
      <c r="EE309" s="19"/>
      <c r="EF309" s="19"/>
      <c r="EG309" s="19"/>
      <c r="EH309" s="19"/>
      <c r="EI309" s="19"/>
      <c r="EJ309" s="19"/>
      <c r="EK309" s="19"/>
      <c r="EL309" s="19"/>
      <c r="EM309" s="19"/>
      <c r="EN309" s="19"/>
      <c r="EO309" s="19"/>
      <c r="EP309" s="19"/>
      <c r="EQ309" s="19"/>
      <c r="ER309" s="19"/>
      <c r="ES309" s="19"/>
      <c r="ET309" s="19"/>
      <c r="EU309" s="19"/>
      <c r="EV309" s="19"/>
      <c r="EW309" s="19"/>
      <c r="EX309" s="19"/>
      <c r="EY309" s="19"/>
      <c r="EZ309" s="19"/>
      <c r="FA309" s="19"/>
      <c r="FB309" s="19"/>
      <c r="FC309" s="19"/>
      <c r="FD309" s="19"/>
      <c r="FE309" s="19"/>
      <c r="FF309" s="19"/>
      <c r="FG309" s="19"/>
      <c r="FH309" s="19"/>
      <c r="FI309" s="19"/>
      <c r="FJ309" s="19"/>
      <c r="FK309" s="19"/>
      <c r="FL309" s="20" t="s">
        <v>1082</v>
      </c>
      <c r="FM309" s="20" t="s">
        <v>255</v>
      </c>
      <c r="FN309" s="19"/>
      <c r="FO309" s="19"/>
      <c r="FP309" s="19"/>
      <c r="FQ309" s="19"/>
      <c r="FR309" s="19"/>
      <c r="FS309" s="19"/>
      <c r="FT309" s="19"/>
      <c r="FU309" s="19"/>
      <c r="FV309" s="19"/>
      <c r="FW309" s="19"/>
      <c r="FX309" s="19"/>
      <c r="FY309" s="19"/>
      <c r="FZ309" s="19"/>
      <c r="GA309" s="19"/>
      <c r="GB309" s="19"/>
      <c r="GC309" s="19"/>
      <c r="GD309" s="19"/>
      <c r="GE309" s="19"/>
      <c r="GF309" s="19"/>
      <c r="GG309" s="19"/>
      <c r="GH309" s="19"/>
      <c r="GI309" s="19"/>
      <c r="GJ309" s="19"/>
      <c r="GK309" s="19"/>
      <c r="GL309" s="19"/>
      <c r="GM309" s="19"/>
      <c r="GN309" s="19"/>
      <c r="GO309" s="19"/>
      <c r="GP309" s="19"/>
      <c r="GQ309" s="19"/>
      <c r="GR309" s="19"/>
      <c r="GS309" s="19"/>
      <c r="GT309" s="19"/>
      <c r="GU309" s="19"/>
      <c r="GV309" s="19"/>
      <c r="GW309" s="19"/>
      <c r="GX309" s="19"/>
      <c r="GY309" s="19"/>
      <c r="GZ309" s="19"/>
      <c r="HA309" s="19"/>
    </row>
    <row r="310" spans="1:209" ht="23.25" customHeight="1" x14ac:dyDescent="0.15">
      <c r="A310" s="26">
        <v>44659.949287835647</v>
      </c>
      <c r="B310" s="27" t="s">
        <v>6</v>
      </c>
      <c r="C310" s="27" t="s">
        <v>17</v>
      </c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  <c r="BD310" s="28"/>
      <c r="BE310" s="28"/>
      <c r="BF310" s="28"/>
      <c r="BG310" s="28"/>
      <c r="BH310" s="28"/>
      <c r="BI310" s="28"/>
      <c r="BJ310" s="28"/>
      <c r="BK310" s="28"/>
      <c r="BL310" s="28"/>
      <c r="BM310" s="28"/>
      <c r="BN310" s="28"/>
      <c r="BO310" s="28"/>
      <c r="BP310" s="28"/>
      <c r="BQ310" s="28"/>
      <c r="BR310" s="28"/>
      <c r="BS310" s="28"/>
      <c r="BT310" s="28"/>
      <c r="BU310" s="28"/>
      <c r="BV310" s="28"/>
      <c r="BW310" s="28"/>
      <c r="BX310" s="28"/>
      <c r="BY310" s="19"/>
      <c r="BZ310" s="19"/>
      <c r="CA310" s="19"/>
      <c r="CB310" s="19"/>
      <c r="CC310" s="19"/>
      <c r="CD310" s="19"/>
      <c r="CE310" s="19"/>
      <c r="CF310" s="19"/>
      <c r="CG310" s="19"/>
      <c r="CH310" s="19"/>
      <c r="CI310" s="19"/>
      <c r="CJ310" s="19"/>
      <c r="CK310" s="19"/>
      <c r="CL310" s="19"/>
      <c r="CM310" s="19"/>
      <c r="CN310" s="19"/>
      <c r="CO310" s="19"/>
      <c r="CP310" s="19"/>
      <c r="CQ310" s="19"/>
      <c r="CR310" s="19"/>
      <c r="CS310" s="19"/>
      <c r="CT310" s="19"/>
      <c r="CU310" s="19"/>
      <c r="CV310" s="19"/>
      <c r="CW310" s="19"/>
      <c r="CX310" s="19"/>
      <c r="CY310" s="19"/>
      <c r="CZ310" s="19"/>
      <c r="DA310" s="19"/>
      <c r="DB310" s="19"/>
      <c r="DC310" s="19"/>
      <c r="DD310" s="19"/>
      <c r="DE310" s="19"/>
      <c r="DF310" s="19"/>
      <c r="DG310" s="19"/>
      <c r="DH310" s="19"/>
      <c r="DI310" s="19"/>
      <c r="DJ310" s="19"/>
      <c r="DK310" s="19"/>
      <c r="DL310" s="19"/>
      <c r="DM310" s="19"/>
      <c r="DN310" s="19"/>
      <c r="DO310" s="19"/>
      <c r="DP310" s="19"/>
      <c r="DQ310" s="19"/>
      <c r="DR310" s="19"/>
      <c r="DS310" s="19"/>
      <c r="DT310" s="19"/>
      <c r="DU310" s="19"/>
      <c r="DV310" s="19"/>
      <c r="DW310" s="19"/>
      <c r="DX310" s="20" t="s">
        <v>1108</v>
      </c>
      <c r="DY310" s="20" t="s">
        <v>1078</v>
      </c>
      <c r="DZ310" s="20" t="s">
        <v>145</v>
      </c>
      <c r="EA310" s="20" t="s">
        <v>1109</v>
      </c>
      <c r="EB310" s="21">
        <v>43452</v>
      </c>
      <c r="EC310" s="20" t="s">
        <v>1110</v>
      </c>
      <c r="ED310" s="22" t="s">
        <v>1111</v>
      </c>
      <c r="EE310" s="19"/>
      <c r="EF310" s="19"/>
      <c r="EG310" s="19"/>
      <c r="EH310" s="19"/>
      <c r="EI310" s="19"/>
      <c r="EJ310" s="19"/>
      <c r="EK310" s="19"/>
      <c r="EL310" s="19"/>
      <c r="EM310" s="19"/>
      <c r="EN310" s="19"/>
      <c r="EO310" s="19"/>
      <c r="EP310" s="19"/>
      <c r="EQ310" s="19"/>
      <c r="ER310" s="19"/>
      <c r="ES310" s="19"/>
      <c r="ET310" s="19"/>
      <c r="EU310" s="19"/>
      <c r="EV310" s="19"/>
      <c r="EW310" s="19"/>
      <c r="EX310" s="19"/>
      <c r="EY310" s="19"/>
      <c r="EZ310" s="19"/>
      <c r="FA310" s="19"/>
      <c r="FB310" s="19"/>
      <c r="FC310" s="19"/>
      <c r="FD310" s="19"/>
      <c r="FE310" s="19"/>
      <c r="FF310" s="19"/>
      <c r="FG310" s="19"/>
      <c r="FH310" s="19"/>
      <c r="FI310" s="19"/>
      <c r="FJ310" s="19"/>
      <c r="FK310" s="19"/>
      <c r="FL310" s="20" t="s">
        <v>1082</v>
      </c>
      <c r="FM310" s="20" t="s">
        <v>255</v>
      </c>
      <c r="FN310" s="19"/>
      <c r="FO310" s="19"/>
      <c r="FP310" s="19"/>
      <c r="FQ310" s="19"/>
      <c r="FR310" s="19"/>
      <c r="FS310" s="19"/>
      <c r="FT310" s="19"/>
      <c r="FU310" s="19"/>
      <c r="FV310" s="19"/>
      <c r="FW310" s="19"/>
      <c r="FX310" s="19"/>
      <c r="FY310" s="19"/>
      <c r="FZ310" s="19"/>
      <c r="GA310" s="19"/>
      <c r="GB310" s="19"/>
      <c r="GC310" s="19"/>
      <c r="GD310" s="19"/>
      <c r="GE310" s="19"/>
      <c r="GF310" s="19"/>
      <c r="GG310" s="19"/>
      <c r="GH310" s="19"/>
      <c r="GI310" s="19"/>
      <c r="GJ310" s="19"/>
      <c r="GK310" s="19"/>
      <c r="GL310" s="19"/>
      <c r="GM310" s="19"/>
      <c r="GN310" s="19"/>
      <c r="GO310" s="19"/>
      <c r="GP310" s="19"/>
      <c r="GQ310" s="19"/>
      <c r="GR310" s="19"/>
      <c r="GS310" s="19"/>
      <c r="GT310" s="19"/>
      <c r="GU310" s="19"/>
      <c r="GV310" s="19"/>
      <c r="GW310" s="19"/>
      <c r="GX310" s="19"/>
      <c r="GY310" s="19"/>
      <c r="GZ310" s="19"/>
      <c r="HA310" s="19"/>
    </row>
    <row r="311" spans="1:209" ht="23.25" customHeight="1" x14ac:dyDescent="0.15">
      <c r="A311" s="26">
        <v>44659.953780891199</v>
      </c>
      <c r="B311" s="27" t="s">
        <v>6</v>
      </c>
      <c r="C311" s="27" t="s">
        <v>11</v>
      </c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  <c r="AX311" s="27" t="s">
        <v>1083</v>
      </c>
      <c r="AY311" s="27" t="s">
        <v>1078</v>
      </c>
      <c r="AZ311" s="27" t="s">
        <v>549</v>
      </c>
      <c r="BA311" s="27" t="s">
        <v>1112</v>
      </c>
      <c r="BB311" s="27" t="s">
        <v>1113</v>
      </c>
      <c r="BC311" s="29">
        <v>43237</v>
      </c>
      <c r="BD311" s="29">
        <v>43284</v>
      </c>
      <c r="BE311" s="29">
        <v>43348</v>
      </c>
      <c r="BF311" s="27">
        <v>74</v>
      </c>
      <c r="BG311" s="27" t="s">
        <v>520</v>
      </c>
      <c r="BH311" s="30" t="s">
        <v>1114</v>
      </c>
      <c r="BI311" s="28"/>
      <c r="BJ311" s="28"/>
      <c r="BK311" s="28"/>
      <c r="BL311" s="28"/>
      <c r="BM311" s="28"/>
      <c r="BN311" s="28"/>
      <c r="BO311" s="28"/>
      <c r="BP311" s="28"/>
      <c r="BQ311" s="28"/>
      <c r="BR311" s="28"/>
      <c r="BS311" s="28"/>
      <c r="BT311" s="28"/>
      <c r="BU311" s="28"/>
      <c r="BV311" s="28"/>
      <c r="BW311" s="28"/>
      <c r="BX311" s="28"/>
      <c r="BY311" s="19"/>
      <c r="BZ311" s="19"/>
      <c r="CA311" s="19"/>
      <c r="CB311" s="19"/>
      <c r="CC311" s="19"/>
      <c r="CD311" s="19"/>
      <c r="CE311" s="19"/>
      <c r="CF311" s="19"/>
      <c r="CG311" s="19"/>
      <c r="CH311" s="19"/>
      <c r="CI311" s="19"/>
      <c r="CJ311" s="19"/>
      <c r="CK311" s="19"/>
      <c r="CL311" s="19"/>
      <c r="CM311" s="19"/>
      <c r="CN311" s="19"/>
      <c r="CO311" s="19"/>
      <c r="CP311" s="19"/>
      <c r="CQ311" s="19"/>
      <c r="CR311" s="19"/>
      <c r="CS311" s="19"/>
      <c r="CT311" s="19"/>
      <c r="CU311" s="19"/>
      <c r="CV311" s="19"/>
      <c r="CW311" s="19"/>
      <c r="CX311" s="19"/>
      <c r="CY311" s="19"/>
      <c r="CZ311" s="19"/>
      <c r="DA311" s="19"/>
      <c r="DB311" s="19"/>
      <c r="DC311" s="19"/>
      <c r="DD311" s="19"/>
      <c r="DE311" s="19"/>
      <c r="DF311" s="19"/>
      <c r="DG311" s="19"/>
      <c r="DH311" s="19"/>
      <c r="DI311" s="19"/>
      <c r="DJ311" s="19"/>
      <c r="DK311" s="19"/>
      <c r="DL311" s="19"/>
      <c r="DM311" s="19"/>
      <c r="DN311" s="19"/>
      <c r="DO311" s="19"/>
      <c r="DP311" s="19"/>
      <c r="DQ311" s="19"/>
      <c r="DR311" s="19"/>
      <c r="DS311" s="19"/>
      <c r="DT311" s="19"/>
      <c r="DU311" s="19"/>
      <c r="DV311" s="19"/>
      <c r="DW311" s="19"/>
      <c r="DX311" s="19"/>
      <c r="DY311" s="19"/>
      <c r="DZ311" s="19"/>
      <c r="EA311" s="19"/>
      <c r="EB311" s="19"/>
      <c r="EC311" s="19"/>
      <c r="ED311" s="19"/>
      <c r="EE311" s="19"/>
      <c r="EF311" s="19"/>
      <c r="EG311" s="19"/>
      <c r="EH311" s="19"/>
      <c r="EI311" s="19"/>
      <c r="EJ311" s="19"/>
      <c r="EK311" s="19"/>
      <c r="EL311" s="19"/>
      <c r="EM311" s="19"/>
      <c r="EN311" s="19"/>
      <c r="EO311" s="19"/>
      <c r="EP311" s="19"/>
      <c r="EQ311" s="19"/>
      <c r="ER311" s="19"/>
      <c r="ES311" s="19"/>
      <c r="ET311" s="19"/>
      <c r="EU311" s="19"/>
      <c r="EV311" s="19"/>
      <c r="EW311" s="19"/>
      <c r="EX311" s="19"/>
      <c r="EY311" s="19"/>
      <c r="EZ311" s="19"/>
      <c r="FA311" s="19"/>
      <c r="FB311" s="19"/>
      <c r="FC311" s="19"/>
      <c r="FD311" s="19"/>
      <c r="FE311" s="19"/>
      <c r="FF311" s="19"/>
      <c r="FG311" s="19"/>
      <c r="FH311" s="19"/>
      <c r="FI311" s="19"/>
      <c r="FJ311" s="19"/>
      <c r="FK311" s="19"/>
      <c r="FL311" s="20" t="s">
        <v>1082</v>
      </c>
      <c r="FM311" s="20" t="s">
        <v>255</v>
      </c>
      <c r="FN311" s="19"/>
      <c r="FO311" s="19"/>
      <c r="FP311" s="19"/>
      <c r="FQ311" s="19"/>
      <c r="FR311" s="19"/>
      <c r="FS311" s="19"/>
      <c r="FT311" s="19"/>
      <c r="FU311" s="19"/>
      <c r="FV311" s="19"/>
      <c r="FW311" s="19"/>
      <c r="FX311" s="19"/>
      <c r="FY311" s="19"/>
      <c r="FZ311" s="19"/>
      <c r="GA311" s="19"/>
      <c r="GB311" s="19"/>
      <c r="GC311" s="19"/>
      <c r="GD311" s="19"/>
      <c r="GE311" s="19"/>
      <c r="GF311" s="19"/>
      <c r="GG311" s="19"/>
      <c r="GH311" s="19"/>
      <c r="GI311" s="19"/>
      <c r="GJ311" s="19"/>
      <c r="GK311" s="19"/>
      <c r="GL311" s="19"/>
      <c r="GM311" s="19"/>
      <c r="GN311" s="19"/>
      <c r="GO311" s="19"/>
      <c r="GP311" s="19"/>
      <c r="GQ311" s="19"/>
      <c r="GR311" s="19"/>
      <c r="GS311" s="19"/>
      <c r="GT311" s="19"/>
      <c r="GU311" s="19"/>
      <c r="GV311" s="19"/>
      <c r="GW311" s="19"/>
      <c r="GX311" s="19"/>
      <c r="GY311" s="19"/>
      <c r="GZ311" s="19"/>
      <c r="HA311" s="19"/>
    </row>
    <row r="312" spans="1:209" ht="23.25" customHeight="1" x14ac:dyDescent="0.15">
      <c r="A312" s="26">
        <v>44659.969681979172</v>
      </c>
      <c r="B312" s="27" t="s">
        <v>6</v>
      </c>
      <c r="C312" s="27" t="s">
        <v>22</v>
      </c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  <c r="AX312" s="28"/>
      <c r="AY312" s="28"/>
      <c r="AZ312" s="28"/>
      <c r="BA312" s="28"/>
      <c r="BB312" s="28"/>
      <c r="BC312" s="28"/>
      <c r="BD312" s="28"/>
      <c r="BE312" s="28"/>
      <c r="BF312" s="28"/>
      <c r="BG312" s="28"/>
      <c r="BH312" s="28"/>
      <c r="BI312" s="28"/>
      <c r="BJ312" s="28"/>
      <c r="BK312" s="28"/>
      <c r="BL312" s="28"/>
      <c r="BM312" s="28"/>
      <c r="BN312" s="28"/>
      <c r="BO312" s="28"/>
      <c r="BP312" s="28"/>
      <c r="BQ312" s="28"/>
      <c r="BR312" s="28"/>
      <c r="BS312" s="28"/>
      <c r="BT312" s="28"/>
      <c r="BU312" s="28"/>
      <c r="BV312" s="28"/>
      <c r="BW312" s="28"/>
      <c r="BX312" s="28"/>
      <c r="BY312" s="19"/>
      <c r="BZ312" s="19"/>
      <c r="CA312" s="19"/>
      <c r="CB312" s="19"/>
      <c r="CC312" s="19"/>
      <c r="CD312" s="19"/>
      <c r="CE312" s="19"/>
      <c r="CF312" s="19"/>
      <c r="CG312" s="19"/>
      <c r="CH312" s="19"/>
      <c r="CI312" s="19"/>
      <c r="CJ312" s="19"/>
      <c r="CK312" s="19"/>
      <c r="CL312" s="19"/>
      <c r="CM312" s="19"/>
      <c r="CN312" s="19"/>
      <c r="CO312" s="19"/>
      <c r="CP312" s="19"/>
      <c r="CQ312" s="19"/>
      <c r="CR312" s="19"/>
      <c r="CS312" s="19"/>
      <c r="CT312" s="19"/>
      <c r="CU312" s="19"/>
      <c r="CV312" s="19"/>
      <c r="CW312" s="19"/>
      <c r="CX312" s="19"/>
      <c r="CY312" s="19"/>
      <c r="CZ312" s="19"/>
      <c r="DA312" s="19"/>
      <c r="DB312" s="19"/>
      <c r="DC312" s="19"/>
      <c r="DD312" s="19"/>
      <c r="DE312" s="19"/>
      <c r="DF312" s="19"/>
      <c r="DG312" s="19"/>
      <c r="DH312" s="19"/>
      <c r="DI312" s="19"/>
      <c r="DJ312" s="19"/>
      <c r="DK312" s="19"/>
      <c r="DL312" s="19"/>
      <c r="DM312" s="19"/>
      <c r="DN312" s="19"/>
      <c r="DO312" s="19"/>
      <c r="DP312" s="19"/>
      <c r="DQ312" s="19"/>
      <c r="DR312" s="19"/>
      <c r="DS312" s="19"/>
      <c r="DT312" s="19"/>
      <c r="DU312" s="19"/>
      <c r="DV312" s="19"/>
      <c r="DW312" s="19"/>
      <c r="DX312" s="19"/>
      <c r="DY312" s="19"/>
      <c r="DZ312" s="19"/>
      <c r="EA312" s="19"/>
      <c r="EB312" s="19"/>
      <c r="EC312" s="19"/>
      <c r="ED312" s="19"/>
      <c r="EE312" s="19"/>
      <c r="EF312" s="19"/>
      <c r="EG312" s="19"/>
      <c r="EH312" s="19"/>
      <c r="EI312" s="19"/>
      <c r="EJ312" s="19"/>
      <c r="EK312" s="19"/>
      <c r="EL312" s="19"/>
      <c r="EM312" s="19"/>
      <c r="EN312" s="19"/>
      <c r="EO312" s="19"/>
      <c r="EP312" s="19"/>
      <c r="EQ312" s="19"/>
      <c r="ER312" s="19"/>
      <c r="ES312" s="19"/>
      <c r="ET312" s="19"/>
      <c r="EU312" s="19"/>
      <c r="EV312" s="19"/>
      <c r="EW312" s="19"/>
      <c r="EX312" s="19"/>
      <c r="EY312" s="19"/>
      <c r="EZ312" s="19"/>
      <c r="FA312" s="19"/>
      <c r="FB312" s="19"/>
      <c r="FC312" s="19"/>
      <c r="FD312" s="19"/>
      <c r="FE312" s="19"/>
      <c r="FF312" s="19"/>
      <c r="FG312" s="19"/>
      <c r="FH312" s="19"/>
      <c r="FI312" s="19"/>
      <c r="FJ312" s="19"/>
      <c r="FK312" s="19"/>
      <c r="FL312" s="20" t="s">
        <v>1082</v>
      </c>
      <c r="FM312" s="20" t="s">
        <v>255</v>
      </c>
      <c r="FN312" s="19"/>
      <c r="FO312" s="19"/>
      <c r="FP312" s="19"/>
      <c r="FQ312" s="19"/>
      <c r="FR312" s="19"/>
      <c r="FS312" s="19"/>
      <c r="FT312" s="19"/>
      <c r="FU312" s="19"/>
      <c r="FV312" s="19"/>
      <c r="FW312" s="19"/>
      <c r="FX312" s="19"/>
      <c r="FY312" s="19"/>
      <c r="FZ312" s="19"/>
      <c r="GA312" s="19"/>
      <c r="GB312" s="19"/>
      <c r="GC312" s="19"/>
      <c r="GD312" s="19"/>
      <c r="GE312" s="19"/>
      <c r="GF312" s="20" t="s">
        <v>1115</v>
      </c>
      <c r="GG312" s="20" t="s">
        <v>1078</v>
      </c>
      <c r="GH312" s="20" t="s">
        <v>1116</v>
      </c>
      <c r="GI312" s="21">
        <v>44633</v>
      </c>
      <c r="GJ312" s="22" t="s">
        <v>1117</v>
      </c>
      <c r="GK312" s="20" t="s">
        <v>653</v>
      </c>
      <c r="GL312" s="20">
        <v>6</v>
      </c>
      <c r="GM312" s="19"/>
      <c r="GN312" s="19"/>
      <c r="GO312" s="19"/>
      <c r="GP312" s="19"/>
      <c r="GQ312" s="19"/>
      <c r="GR312" s="19"/>
      <c r="GS312" s="19"/>
      <c r="GT312" s="19"/>
      <c r="GU312" s="19"/>
      <c r="GV312" s="19"/>
      <c r="GW312" s="19"/>
      <c r="GX312" s="19"/>
      <c r="GY312" s="19"/>
      <c r="GZ312" s="19"/>
      <c r="HA312" s="19"/>
    </row>
    <row r="313" spans="1:209" ht="23.25" customHeight="1" x14ac:dyDescent="0.15">
      <c r="A313" s="26">
        <v>44659.972781805554</v>
      </c>
      <c r="B313" s="27" t="s">
        <v>6</v>
      </c>
      <c r="C313" s="27" t="s">
        <v>22</v>
      </c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  <c r="AX313" s="28"/>
      <c r="AY313" s="28"/>
      <c r="AZ313" s="28"/>
      <c r="BA313" s="28"/>
      <c r="BB313" s="28"/>
      <c r="BC313" s="28"/>
      <c r="BD313" s="28"/>
      <c r="BE313" s="28"/>
      <c r="BF313" s="28"/>
      <c r="BG313" s="28"/>
      <c r="BH313" s="28"/>
      <c r="BI313" s="28"/>
      <c r="BJ313" s="28"/>
      <c r="BK313" s="28"/>
      <c r="BL313" s="28"/>
      <c r="BM313" s="28"/>
      <c r="BN313" s="28"/>
      <c r="BO313" s="28"/>
      <c r="BP313" s="28"/>
      <c r="BQ313" s="28"/>
      <c r="BR313" s="28"/>
      <c r="BS313" s="28"/>
      <c r="BT313" s="28"/>
      <c r="BU313" s="28"/>
      <c r="BV313" s="28"/>
      <c r="BW313" s="28"/>
      <c r="BX313" s="28"/>
      <c r="BY313" s="19"/>
      <c r="BZ313" s="19"/>
      <c r="CA313" s="19"/>
      <c r="CB313" s="19"/>
      <c r="CC313" s="19"/>
      <c r="CD313" s="19"/>
      <c r="CE313" s="19"/>
      <c r="CF313" s="19"/>
      <c r="CG313" s="19"/>
      <c r="CH313" s="19"/>
      <c r="CI313" s="19"/>
      <c r="CJ313" s="19"/>
      <c r="CK313" s="19"/>
      <c r="CL313" s="19"/>
      <c r="CM313" s="19"/>
      <c r="CN313" s="19"/>
      <c r="CO313" s="19"/>
      <c r="CP313" s="19"/>
      <c r="CQ313" s="19"/>
      <c r="CR313" s="19"/>
      <c r="CS313" s="19"/>
      <c r="CT313" s="19"/>
      <c r="CU313" s="19"/>
      <c r="CV313" s="19"/>
      <c r="CW313" s="19"/>
      <c r="CX313" s="19"/>
      <c r="CY313" s="19"/>
      <c r="CZ313" s="19"/>
      <c r="DA313" s="19"/>
      <c r="DB313" s="19"/>
      <c r="DC313" s="19"/>
      <c r="DD313" s="19"/>
      <c r="DE313" s="19"/>
      <c r="DF313" s="19"/>
      <c r="DG313" s="19"/>
      <c r="DH313" s="19"/>
      <c r="DI313" s="19"/>
      <c r="DJ313" s="19"/>
      <c r="DK313" s="19"/>
      <c r="DL313" s="19"/>
      <c r="DM313" s="19"/>
      <c r="DN313" s="19"/>
      <c r="DO313" s="19"/>
      <c r="DP313" s="19"/>
      <c r="DQ313" s="19"/>
      <c r="DR313" s="19"/>
      <c r="DS313" s="19"/>
      <c r="DT313" s="19"/>
      <c r="DU313" s="19"/>
      <c r="DV313" s="19"/>
      <c r="DW313" s="19"/>
      <c r="DX313" s="19"/>
      <c r="DY313" s="19"/>
      <c r="DZ313" s="19"/>
      <c r="EA313" s="19"/>
      <c r="EB313" s="19"/>
      <c r="EC313" s="19"/>
      <c r="ED313" s="19"/>
      <c r="EE313" s="19"/>
      <c r="EF313" s="19"/>
      <c r="EG313" s="19"/>
      <c r="EH313" s="19"/>
      <c r="EI313" s="19"/>
      <c r="EJ313" s="19"/>
      <c r="EK313" s="19"/>
      <c r="EL313" s="19"/>
      <c r="EM313" s="19"/>
      <c r="EN313" s="19"/>
      <c r="EO313" s="19"/>
      <c r="EP313" s="19"/>
      <c r="EQ313" s="19"/>
      <c r="ER313" s="19"/>
      <c r="ES313" s="19"/>
      <c r="ET313" s="19"/>
      <c r="EU313" s="19"/>
      <c r="EV313" s="19"/>
      <c r="EW313" s="19"/>
      <c r="EX313" s="19"/>
      <c r="EY313" s="19"/>
      <c r="EZ313" s="19"/>
      <c r="FA313" s="19"/>
      <c r="FB313" s="19"/>
      <c r="FC313" s="19"/>
      <c r="FD313" s="19"/>
      <c r="FE313" s="19"/>
      <c r="FF313" s="19"/>
      <c r="FG313" s="19"/>
      <c r="FH313" s="19"/>
      <c r="FI313" s="19"/>
      <c r="FJ313" s="19"/>
      <c r="FK313" s="19"/>
      <c r="FL313" s="20" t="s">
        <v>1082</v>
      </c>
      <c r="FM313" s="20" t="s">
        <v>255</v>
      </c>
      <c r="FN313" s="19"/>
      <c r="FO313" s="19"/>
      <c r="FP313" s="19"/>
      <c r="FQ313" s="19"/>
      <c r="FR313" s="19"/>
      <c r="FS313" s="19"/>
      <c r="FT313" s="19"/>
      <c r="FU313" s="19"/>
      <c r="FV313" s="19"/>
      <c r="FW313" s="19"/>
      <c r="FX313" s="19"/>
      <c r="FY313" s="19"/>
      <c r="FZ313" s="19"/>
      <c r="GA313" s="19"/>
      <c r="GB313" s="19"/>
      <c r="GC313" s="19"/>
      <c r="GD313" s="19"/>
      <c r="GE313" s="19"/>
      <c r="GF313" s="20" t="s">
        <v>1118</v>
      </c>
      <c r="GG313" s="20" t="s">
        <v>1078</v>
      </c>
      <c r="GH313" s="20" t="s">
        <v>249</v>
      </c>
      <c r="GI313" s="21">
        <v>44575</v>
      </c>
      <c r="GJ313" s="22" t="s">
        <v>1119</v>
      </c>
      <c r="GK313" s="20" t="s">
        <v>520</v>
      </c>
      <c r="GL313" s="20">
        <v>4</v>
      </c>
      <c r="GM313" s="19"/>
      <c r="GN313" s="19"/>
      <c r="GO313" s="19"/>
      <c r="GP313" s="19"/>
      <c r="GQ313" s="19"/>
      <c r="GR313" s="19"/>
      <c r="GS313" s="19"/>
      <c r="GT313" s="19"/>
      <c r="GU313" s="19"/>
      <c r="GV313" s="19"/>
      <c r="GW313" s="19"/>
      <c r="GX313" s="19"/>
      <c r="GY313" s="19"/>
      <c r="GZ313" s="19"/>
      <c r="HA313" s="19"/>
    </row>
    <row r="314" spans="1:209" ht="23.25" customHeight="1" x14ac:dyDescent="0.15">
      <c r="A314" s="26">
        <v>44659.978710196759</v>
      </c>
      <c r="B314" s="27" t="s">
        <v>6</v>
      </c>
      <c r="C314" s="27" t="s">
        <v>20</v>
      </c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  <c r="BD314" s="28"/>
      <c r="BE314" s="28"/>
      <c r="BF314" s="28"/>
      <c r="BG314" s="28"/>
      <c r="BH314" s="28"/>
      <c r="BI314" s="28"/>
      <c r="BJ314" s="28"/>
      <c r="BK314" s="28"/>
      <c r="BL314" s="28"/>
      <c r="BM314" s="28"/>
      <c r="BN314" s="28"/>
      <c r="BO314" s="28"/>
      <c r="BP314" s="28"/>
      <c r="BQ314" s="28"/>
      <c r="BR314" s="28"/>
      <c r="BS314" s="28"/>
      <c r="BT314" s="28"/>
      <c r="BU314" s="28"/>
      <c r="BV314" s="28"/>
      <c r="BW314" s="28"/>
      <c r="BX314" s="28"/>
      <c r="BY314" s="19"/>
      <c r="BZ314" s="19"/>
      <c r="CA314" s="19"/>
      <c r="CB314" s="19"/>
      <c r="CC314" s="19"/>
      <c r="CD314" s="19"/>
      <c r="CE314" s="19"/>
      <c r="CF314" s="19"/>
      <c r="CG314" s="19"/>
      <c r="CH314" s="19"/>
      <c r="CI314" s="19"/>
      <c r="CJ314" s="19"/>
      <c r="CK314" s="19"/>
      <c r="CL314" s="19"/>
      <c r="CM314" s="19"/>
      <c r="CN314" s="19"/>
      <c r="CO314" s="19"/>
      <c r="CP314" s="19"/>
      <c r="CQ314" s="19"/>
      <c r="CR314" s="19"/>
      <c r="CS314" s="19"/>
      <c r="CT314" s="19"/>
      <c r="CU314" s="19"/>
      <c r="CV314" s="19"/>
      <c r="CW314" s="19"/>
      <c r="CX314" s="19"/>
      <c r="CY314" s="19"/>
      <c r="CZ314" s="19"/>
      <c r="DA314" s="19"/>
      <c r="DB314" s="19"/>
      <c r="DC314" s="19"/>
      <c r="DD314" s="19"/>
      <c r="DE314" s="19"/>
      <c r="DF314" s="19"/>
      <c r="DG314" s="19"/>
      <c r="DH314" s="19"/>
      <c r="DI314" s="19"/>
      <c r="DJ314" s="19"/>
      <c r="DK314" s="19"/>
      <c r="DL314" s="19"/>
      <c r="DM314" s="19"/>
      <c r="DN314" s="19"/>
      <c r="DO314" s="19"/>
      <c r="DP314" s="19"/>
      <c r="DQ314" s="19"/>
      <c r="DR314" s="19"/>
      <c r="DS314" s="19"/>
      <c r="DT314" s="19"/>
      <c r="DU314" s="19"/>
      <c r="DV314" s="19"/>
      <c r="DW314" s="19"/>
      <c r="DX314" s="19"/>
      <c r="DY314" s="19"/>
      <c r="DZ314" s="19"/>
      <c r="EA314" s="19"/>
      <c r="EB314" s="19"/>
      <c r="EC314" s="19"/>
      <c r="ED314" s="19"/>
      <c r="EE314" s="19"/>
      <c r="EF314" s="19"/>
      <c r="EG314" s="19"/>
      <c r="EH314" s="19"/>
      <c r="EI314" s="19"/>
      <c r="EJ314" s="19"/>
      <c r="EK314" s="19"/>
      <c r="EL314" s="19"/>
      <c r="EM314" s="19"/>
      <c r="EN314" s="19"/>
      <c r="EO314" s="19"/>
      <c r="EP314" s="19"/>
      <c r="EQ314" s="19"/>
      <c r="ER314" s="19"/>
      <c r="ES314" s="19"/>
      <c r="ET314" s="19"/>
      <c r="EU314" s="19"/>
      <c r="EV314" s="19"/>
      <c r="EW314" s="19"/>
      <c r="EX314" s="19"/>
      <c r="EY314" s="19"/>
      <c r="EZ314" s="19"/>
      <c r="FA314" s="19"/>
      <c r="FB314" s="19"/>
      <c r="FC314" s="19"/>
      <c r="FD314" s="19"/>
      <c r="FE314" s="19"/>
      <c r="FF314" s="19"/>
      <c r="FG314" s="19"/>
      <c r="FH314" s="19"/>
      <c r="FI314" s="19"/>
      <c r="FJ314" s="19"/>
      <c r="FK314" s="19"/>
      <c r="FL314" s="20" t="s">
        <v>1082</v>
      </c>
      <c r="FM314" s="20" t="s">
        <v>255</v>
      </c>
      <c r="FN314" s="19"/>
      <c r="FO314" s="19"/>
      <c r="FP314" s="19"/>
      <c r="FQ314" s="19"/>
      <c r="FR314" s="19"/>
      <c r="FS314" s="19"/>
      <c r="FT314" s="20" t="s">
        <v>1120</v>
      </c>
      <c r="FU314" s="20" t="s">
        <v>1078</v>
      </c>
      <c r="FV314" s="20" t="s">
        <v>1121</v>
      </c>
      <c r="FW314" s="21">
        <v>43547</v>
      </c>
      <c r="FX314" s="20" t="s">
        <v>1122</v>
      </c>
      <c r="FY314" s="22" t="s">
        <v>1123</v>
      </c>
      <c r="FZ314" s="19"/>
      <c r="GA314" s="19"/>
      <c r="GB314" s="19"/>
      <c r="GC314" s="19"/>
      <c r="GD314" s="19"/>
      <c r="GE314" s="19"/>
      <c r="GF314" s="19"/>
      <c r="GG314" s="19"/>
      <c r="GH314" s="19"/>
      <c r="GI314" s="19"/>
      <c r="GJ314" s="19"/>
      <c r="GK314" s="19"/>
      <c r="GL314" s="19"/>
      <c r="GM314" s="19"/>
      <c r="GN314" s="19"/>
      <c r="GO314" s="19"/>
      <c r="GP314" s="19"/>
      <c r="GQ314" s="19"/>
      <c r="GR314" s="19"/>
      <c r="GS314" s="19"/>
      <c r="GT314" s="19"/>
      <c r="GU314" s="19"/>
      <c r="GV314" s="19"/>
      <c r="GW314" s="19"/>
      <c r="GX314" s="19"/>
      <c r="GY314" s="19"/>
      <c r="GZ314" s="19"/>
      <c r="HA314" s="19"/>
    </row>
    <row r="315" spans="1:209" ht="23.25" customHeight="1" x14ac:dyDescent="0.15">
      <c r="A315" s="26">
        <v>44659.980784942134</v>
      </c>
      <c r="B315" s="27" t="s">
        <v>6</v>
      </c>
      <c r="C315" s="27" t="s">
        <v>17</v>
      </c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  <c r="BE315" s="28"/>
      <c r="BF315" s="28"/>
      <c r="BG315" s="28"/>
      <c r="BH315" s="28"/>
      <c r="BI315" s="28"/>
      <c r="BJ315" s="28"/>
      <c r="BK315" s="28"/>
      <c r="BL315" s="28"/>
      <c r="BM315" s="28"/>
      <c r="BN315" s="28"/>
      <c r="BO315" s="28"/>
      <c r="BP315" s="28"/>
      <c r="BQ315" s="28"/>
      <c r="BR315" s="28"/>
      <c r="BS315" s="28"/>
      <c r="BT315" s="28"/>
      <c r="BU315" s="28"/>
      <c r="BV315" s="28"/>
      <c r="BW315" s="28"/>
      <c r="BX315" s="28"/>
      <c r="BY315" s="19"/>
      <c r="BZ315" s="19"/>
      <c r="CA315" s="19"/>
      <c r="CB315" s="19"/>
      <c r="CC315" s="19"/>
      <c r="CD315" s="19"/>
      <c r="CE315" s="19"/>
      <c r="CF315" s="19"/>
      <c r="CG315" s="19"/>
      <c r="CH315" s="19"/>
      <c r="CI315" s="19"/>
      <c r="CJ315" s="19"/>
      <c r="CK315" s="19"/>
      <c r="CL315" s="19"/>
      <c r="CM315" s="19"/>
      <c r="CN315" s="19"/>
      <c r="CO315" s="19"/>
      <c r="CP315" s="19"/>
      <c r="CQ315" s="19"/>
      <c r="CR315" s="19"/>
      <c r="CS315" s="19"/>
      <c r="CT315" s="19"/>
      <c r="CU315" s="19"/>
      <c r="CV315" s="19"/>
      <c r="CW315" s="19"/>
      <c r="CX315" s="19"/>
      <c r="CY315" s="19"/>
      <c r="CZ315" s="19"/>
      <c r="DA315" s="19"/>
      <c r="DB315" s="19"/>
      <c r="DC315" s="19"/>
      <c r="DD315" s="19"/>
      <c r="DE315" s="19"/>
      <c r="DF315" s="19"/>
      <c r="DG315" s="19"/>
      <c r="DH315" s="19"/>
      <c r="DI315" s="19"/>
      <c r="DJ315" s="19"/>
      <c r="DK315" s="19"/>
      <c r="DL315" s="19"/>
      <c r="DM315" s="19"/>
      <c r="DN315" s="19"/>
      <c r="DO315" s="19"/>
      <c r="DP315" s="19"/>
      <c r="DQ315" s="19"/>
      <c r="DR315" s="19"/>
      <c r="DS315" s="19"/>
      <c r="DT315" s="19"/>
      <c r="DU315" s="19"/>
      <c r="DV315" s="19"/>
      <c r="DW315" s="19"/>
      <c r="DX315" s="20" t="s">
        <v>1120</v>
      </c>
      <c r="DY315" s="20" t="s">
        <v>1078</v>
      </c>
      <c r="DZ315" s="20" t="s">
        <v>145</v>
      </c>
      <c r="EA315" s="20" t="s">
        <v>1124</v>
      </c>
      <c r="EB315" s="21">
        <v>43323</v>
      </c>
      <c r="EC315" s="20" t="s">
        <v>1125</v>
      </c>
      <c r="ED315" s="22" t="s">
        <v>1126</v>
      </c>
      <c r="EE315" s="19"/>
      <c r="EF315" s="19"/>
      <c r="EG315" s="19"/>
      <c r="EH315" s="19"/>
      <c r="EI315" s="19"/>
      <c r="EJ315" s="19"/>
      <c r="EK315" s="19"/>
      <c r="EL315" s="19"/>
      <c r="EM315" s="19"/>
      <c r="EN315" s="19"/>
      <c r="EO315" s="19"/>
      <c r="EP315" s="19"/>
      <c r="EQ315" s="19"/>
      <c r="ER315" s="19"/>
      <c r="ES315" s="19"/>
      <c r="ET315" s="19"/>
      <c r="EU315" s="19"/>
      <c r="EV315" s="19"/>
      <c r="EW315" s="19"/>
      <c r="EX315" s="19"/>
      <c r="EY315" s="19"/>
      <c r="EZ315" s="19"/>
      <c r="FA315" s="19"/>
      <c r="FB315" s="19"/>
      <c r="FC315" s="19"/>
      <c r="FD315" s="19"/>
      <c r="FE315" s="19"/>
      <c r="FF315" s="19"/>
      <c r="FG315" s="19"/>
      <c r="FH315" s="19"/>
      <c r="FI315" s="19"/>
      <c r="FJ315" s="19"/>
      <c r="FK315" s="19"/>
      <c r="FL315" s="20" t="s">
        <v>1082</v>
      </c>
      <c r="FM315" s="20" t="s">
        <v>255</v>
      </c>
      <c r="FN315" s="19"/>
      <c r="FO315" s="19"/>
      <c r="FP315" s="19"/>
      <c r="FQ315" s="19"/>
      <c r="FR315" s="19"/>
      <c r="FS315" s="19"/>
      <c r="FT315" s="19"/>
      <c r="FU315" s="19"/>
      <c r="FV315" s="19"/>
      <c r="FW315" s="19"/>
      <c r="FX315" s="19"/>
      <c r="FY315" s="19"/>
      <c r="FZ315" s="19"/>
      <c r="GA315" s="19"/>
      <c r="GB315" s="19"/>
      <c r="GC315" s="19"/>
      <c r="GD315" s="19"/>
      <c r="GE315" s="19"/>
      <c r="GF315" s="19"/>
      <c r="GG315" s="19"/>
      <c r="GH315" s="19"/>
      <c r="GI315" s="19"/>
      <c r="GJ315" s="19"/>
      <c r="GK315" s="19"/>
      <c r="GL315" s="19"/>
      <c r="GM315" s="19"/>
      <c r="GN315" s="19"/>
      <c r="GO315" s="19"/>
      <c r="GP315" s="19"/>
      <c r="GQ315" s="19"/>
      <c r="GR315" s="19"/>
      <c r="GS315" s="19"/>
      <c r="GT315" s="19"/>
      <c r="GU315" s="19"/>
      <c r="GV315" s="19"/>
      <c r="GW315" s="19"/>
      <c r="GX315" s="19"/>
      <c r="GY315" s="19"/>
      <c r="GZ315" s="19"/>
      <c r="HA315" s="19"/>
    </row>
    <row r="316" spans="1:209" ht="23.25" customHeight="1" x14ac:dyDescent="0.15">
      <c r="A316" s="26">
        <v>44659.99006895833</v>
      </c>
      <c r="B316" s="27" t="s">
        <v>6</v>
      </c>
      <c r="C316" s="27" t="s">
        <v>12</v>
      </c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  <c r="BD316" s="28"/>
      <c r="BE316" s="28"/>
      <c r="BF316" s="28"/>
      <c r="BG316" s="28"/>
      <c r="BH316" s="28"/>
      <c r="BI316" s="27" t="s">
        <v>1127</v>
      </c>
      <c r="BJ316" s="27" t="s">
        <v>388</v>
      </c>
      <c r="BK316" s="27" t="s">
        <v>154</v>
      </c>
      <c r="BL316" s="27" t="s">
        <v>167</v>
      </c>
      <c r="BM316" s="27" t="s">
        <v>1128</v>
      </c>
      <c r="BN316" s="27">
        <v>2</v>
      </c>
      <c r="BO316" s="29">
        <v>43694</v>
      </c>
      <c r="BP316" s="29">
        <v>43695</v>
      </c>
      <c r="BQ316" s="27" t="s">
        <v>1129</v>
      </c>
      <c r="BR316" s="27" t="s">
        <v>1130</v>
      </c>
      <c r="BS316" s="27" t="s">
        <v>271</v>
      </c>
      <c r="BT316" s="27" t="s">
        <v>151</v>
      </c>
      <c r="BU316" s="27">
        <v>0</v>
      </c>
      <c r="BV316" s="30" t="s">
        <v>1131</v>
      </c>
      <c r="BW316" s="28"/>
      <c r="BX316" s="28"/>
      <c r="BY316" s="19"/>
      <c r="BZ316" s="19"/>
      <c r="CA316" s="19"/>
      <c r="CB316" s="19"/>
      <c r="CC316" s="19"/>
      <c r="CD316" s="19"/>
      <c r="CE316" s="19"/>
      <c r="CF316" s="19"/>
      <c r="CG316" s="19"/>
      <c r="CH316" s="19"/>
      <c r="CI316" s="19"/>
      <c r="CJ316" s="19"/>
      <c r="CK316" s="19"/>
      <c r="CL316" s="19"/>
      <c r="CM316" s="19"/>
      <c r="CN316" s="19"/>
      <c r="CO316" s="19"/>
      <c r="CP316" s="19"/>
      <c r="CQ316" s="19"/>
      <c r="CR316" s="19"/>
      <c r="CS316" s="19"/>
      <c r="CT316" s="19"/>
      <c r="CU316" s="19"/>
      <c r="CV316" s="19"/>
      <c r="CW316" s="19"/>
      <c r="CX316" s="19"/>
      <c r="CY316" s="19"/>
      <c r="CZ316" s="19"/>
      <c r="DA316" s="19"/>
      <c r="DB316" s="19"/>
      <c r="DC316" s="19"/>
      <c r="DD316" s="19"/>
      <c r="DE316" s="19"/>
      <c r="DF316" s="19"/>
      <c r="DG316" s="19"/>
      <c r="DH316" s="19"/>
      <c r="DI316" s="19"/>
      <c r="DJ316" s="19"/>
      <c r="DK316" s="19"/>
      <c r="DL316" s="19"/>
      <c r="DM316" s="19"/>
      <c r="DN316" s="19"/>
      <c r="DO316" s="19"/>
      <c r="DP316" s="19"/>
      <c r="DQ316" s="19"/>
      <c r="DR316" s="19"/>
      <c r="DS316" s="19"/>
      <c r="DT316" s="19"/>
      <c r="DU316" s="19"/>
      <c r="DV316" s="19"/>
      <c r="DW316" s="19"/>
      <c r="DX316" s="19"/>
      <c r="DY316" s="19"/>
      <c r="DZ316" s="19"/>
      <c r="EA316" s="19"/>
      <c r="EB316" s="19"/>
      <c r="EC316" s="19"/>
      <c r="ED316" s="19"/>
      <c r="EE316" s="19"/>
      <c r="EF316" s="19"/>
      <c r="EG316" s="19"/>
      <c r="EH316" s="19"/>
      <c r="EI316" s="19"/>
      <c r="EJ316" s="19"/>
      <c r="EK316" s="19"/>
      <c r="EL316" s="19"/>
      <c r="EM316" s="19"/>
      <c r="EN316" s="19"/>
      <c r="EO316" s="19"/>
      <c r="EP316" s="19"/>
      <c r="EQ316" s="19"/>
      <c r="ER316" s="19"/>
      <c r="ES316" s="19"/>
      <c r="ET316" s="19"/>
      <c r="EU316" s="19"/>
      <c r="EV316" s="19"/>
      <c r="EW316" s="19"/>
      <c r="EX316" s="19"/>
      <c r="EY316" s="19"/>
      <c r="EZ316" s="19"/>
      <c r="FA316" s="19"/>
      <c r="FB316" s="19"/>
      <c r="FC316" s="19"/>
      <c r="FD316" s="19"/>
      <c r="FE316" s="19"/>
      <c r="FF316" s="19"/>
      <c r="FG316" s="19"/>
      <c r="FH316" s="19"/>
      <c r="FI316" s="19"/>
      <c r="FJ316" s="19"/>
      <c r="FK316" s="19"/>
      <c r="FL316" s="20" t="s">
        <v>391</v>
      </c>
      <c r="FM316" s="20" t="s">
        <v>321</v>
      </c>
      <c r="FN316" s="19"/>
      <c r="FO316" s="19"/>
      <c r="FP316" s="19"/>
      <c r="FQ316" s="19"/>
      <c r="FR316" s="19"/>
      <c r="FS316" s="19"/>
      <c r="FT316" s="19"/>
      <c r="FU316" s="19"/>
      <c r="FV316" s="19"/>
      <c r="FW316" s="19"/>
      <c r="FX316" s="19"/>
      <c r="FY316" s="19"/>
      <c r="FZ316" s="19"/>
      <c r="GA316" s="19"/>
      <c r="GB316" s="19"/>
      <c r="GC316" s="19"/>
      <c r="GD316" s="19"/>
      <c r="GE316" s="19"/>
      <c r="GF316" s="19"/>
      <c r="GG316" s="19"/>
      <c r="GH316" s="19"/>
      <c r="GI316" s="19"/>
      <c r="GJ316" s="19"/>
      <c r="GK316" s="19"/>
      <c r="GL316" s="19"/>
      <c r="GM316" s="19"/>
      <c r="GN316" s="19"/>
      <c r="GO316" s="19"/>
      <c r="GP316" s="19"/>
      <c r="GQ316" s="19"/>
      <c r="GR316" s="19"/>
      <c r="GS316" s="19"/>
      <c r="GT316" s="19"/>
      <c r="GU316" s="19"/>
      <c r="GV316" s="19"/>
      <c r="GW316" s="19"/>
      <c r="GX316" s="19"/>
      <c r="GY316" s="19"/>
      <c r="GZ316" s="19"/>
      <c r="HA316" s="19"/>
    </row>
    <row r="317" spans="1:209" ht="23.25" customHeight="1" x14ac:dyDescent="0.15">
      <c r="A317" s="26">
        <v>44660.027824513891</v>
      </c>
      <c r="B317" s="27" t="s">
        <v>6</v>
      </c>
      <c r="C317" s="27" t="s">
        <v>10</v>
      </c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7" t="s">
        <v>1132</v>
      </c>
      <c r="AO317" s="27" t="s">
        <v>1133</v>
      </c>
      <c r="AP317" s="27" t="s">
        <v>982</v>
      </c>
      <c r="AQ317" s="27" t="s">
        <v>415</v>
      </c>
      <c r="AR317" s="29">
        <v>44547</v>
      </c>
      <c r="AS317" s="29">
        <v>44651</v>
      </c>
      <c r="AT317" s="27" t="s">
        <v>251</v>
      </c>
      <c r="AU317" s="27" t="s">
        <v>252</v>
      </c>
      <c r="AV317" s="27">
        <v>0</v>
      </c>
      <c r="AW317" s="30" t="s">
        <v>1134</v>
      </c>
      <c r="AX317" s="28"/>
      <c r="AY317" s="28"/>
      <c r="AZ317" s="28"/>
      <c r="BA317" s="28"/>
      <c r="BB317" s="28"/>
      <c r="BC317" s="28"/>
      <c r="BD317" s="28"/>
      <c r="BE317" s="28"/>
      <c r="BF317" s="28"/>
      <c r="BG317" s="28"/>
      <c r="BH317" s="28"/>
      <c r="BI317" s="28"/>
      <c r="BJ317" s="28"/>
      <c r="BK317" s="28"/>
      <c r="BL317" s="28"/>
      <c r="BM317" s="28"/>
      <c r="BN317" s="28"/>
      <c r="BO317" s="28"/>
      <c r="BP317" s="28"/>
      <c r="BQ317" s="28"/>
      <c r="BR317" s="28"/>
      <c r="BS317" s="28"/>
      <c r="BT317" s="28"/>
      <c r="BU317" s="28"/>
      <c r="BV317" s="28"/>
      <c r="BW317" s="28"/>
      <c r="BX317" s="28"/>
      <c r="BY317" s="19"/>
      <c r="BZ317" s="19"/>
      <c r="CA317" s="19"/>
      <c r="CB317" s="19"/>
      <c r="CC317" s="19"/>
      <c r="CD317" s="19"/>
      <c r="CE317" s="19"/>
      <c r="CF317" s="19"/>
      <c r="CG317" s="19"/>
      <c r="CH317" s="19"/>
      <c r="CI317" s="19"/>
      <c r="CJ317" s="19"/>
      <c r="CK317" s="19"/>
      <c r="CL317" s="19"/>
      <c r="CM317" s="19"/>
      <c r="CN317" s="19"/>
      <c r="CO317" s="19"/>
      <c r="CP317" s="19"/>
      <c r="CQ317" s="19"/>
      <c r="CR317" s="19"/>
      <c r="CS317" s="19"/>
      <c r="CT317" s="19"/>
      <c r="CU317" s="19"/>
      <c r="CV317" s="19"/>
      <c r="CW317" s="19"/>
      <c r="CX317" s="19"/>
      <c r="CY317" s="19"/>
      <c r="CZ317" s="19"/>
      <c r="DA317" s="19"/>
      <c r="DB317" s="19"/>
      <c r="DC317" s="19"/>
      <c r="DD317" s="19"/>
      <c r="DE317" s="19"/>
      <c r="DF317" s="19"/>
      <c r="DG317" s="19"/>
      <c r="DH317" s="19"/>
      <c r="DI317" s="19"/>
      <c r="DJ317" s="19"/>
      <c r="DK317" s="19"/>
      <c r="DL317" s="19"/>
      <c r="DM317" s="19"/>
      <c r="DN317" s="19"/>
      <c r="DO317" s="19"/>
      <c r="DP317" s="19"/>
      <c r="DQ317" s="19"/>
      <c r="DR317" s="19"/>
      <c r="DS317" s="19"/>
      <c r="DT317" s="19"/>
      <c r="DU317" s="19"/>
      <c r="DV317" s="19"/>
      <c r="DW317" s="19"/>
      <c r="DX317" s="19"/>
      <c r="DY317" s="19"/>
      <c r="DZ317" s="19"/>
      <c r="EA317" s="19"/>
      <c r="EB317" s="19"/>
      <c r="EC317" s="19"/>
      <c r="ED317" s="19"/>
      <c r="EE317" s="19"/>
      <c r="EF317" s="19"/>
      <c r="EG317" s="19"/>
      <c r="EH317" s="19"/>
      <c r="EI317" s="19"/>
      <c r="EJ317" s="19"/>
      <c r="EK317" s="19"/>
      <c r="EL317" s="19"/>
      <c r="EM317" s="19"/>
      <c r="EN317" s="19"/>
      <c r="EO317" s="19"/>
      <c r="EP317" s="19"/>
      <c r="EQ317" s="19"/>
      <c r="ER317" s="19"/>
      <c r="ES317" s="19"/>
      <c r="ET317" s="19"/>
      <c r="EU317" s="19"/>
      <c r="EV317" s="19"/>
      <c r="EW317" s="19"/>
      <c r="EX317" s="19"/>
      <c r="EY317" s="19"/>
      <c r="EZ317" s="19"/>
      <c r="FA317" s="19"/>
      <c r="FB317" s="19"/>
      <c r="FC317" s="19"/>
      <c r="FD317" s="19"/>
      <c r="FE317" s="19"/>
      <c r="FF317" s="19"/>
      <c r="FG317" s="19"/>
      <c r="FH317" s="19"/>
      <c r="FI317" s="19"/>
      <c r="FJ317" s="19"/>
      <c r="FK317" s="19"/>
      <c r="FL317" s="20" t="s">
        <v>1135</v>
      </c>
      <c r="FM317" s="20" t="s">
        <v>255</v>
      </c>
      <c r="FN317" s="19"/>
      <c r="FO317" s="19"/>
      <c r="FP317" s="19"/>
      <c r="FQ317" s="19"/>
      <c r="FR317" s="19"/>
      <c r="FS317" s="19"/>
      <c r="FT317" s="19"/>
      <c r="FU317" s="19"/>
      <c r="FV317" s="19"/>
      <c r="FW317" s="19"/>
      <c r="FX317" s="19"/>
      <c r="FY317" s="19"/>
      <c r="FZ317" s="19"/>
      <c r="GA317" s="19"/>
      <c r="GB317" s="19"/>
      <c r="GC317" s="19"/>
      <c r="GD317" s="19"/>
      <c r="GE317" s="19"/>
      <c r="GF317" s="19"/>
      <c r="GG317" s="19"/>
      <c r="GH317" s="19"/>
      <c r="GI317" s="19"/>
      <c r="GJ317" s="19"/>
      <c r="GK317" s="19"/>
      <c r="GL317" s="19"/>
      <c r="GM317" s="19"/>
      <c r="GN317" s="19"/>
      <c r="GO317" s="19"/>
      <c r="GP317" s="19"/>
      <c r="GQ317" s="19"/>
      <c r="GR317" s="19"/>
      <c r="GS317" s="19"/>
      <c r="GT317" s="19"/>
      <c r="GU317" s="19"/>
      <c r="GV317" s="19"/>
      <c r="GW317" s="19"/>
      <c r="GX317" s="19"/>
      <c r="GY317" s="19"/>
      <c r="GZ317" s="19"/>
      <c r="HA317" s="19"/>
    </row>
    <row r="318" spans="1:209" ht="23.25" customHeight="1" x14ac:dyDescent="0.15">
      <c r="A318" s="26">
        <v>44660.099172905087</v>
      </c>
      <c r="B318" s="27" t="s">
        <v>6</v>
      </c>
      <c r="C318" s="17" t="s">
        <v>13</v>
      </c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  <c r="BE318" s="28"/>
      <c r="BF318" s="28"/>
      <c r="BG318" s="28"/>
      <c r="BH318" s="28"/>
      <c r="BI318" s="28"/>
      <c r="BJ318" s="28"/>
      <c r="BK318" s="28"/>
      <c r="BL318" s="28"/>
      <c r="BM318" s="28"/>
      <c r="BN318" s="28"/>
      <c r="BO318" s="28"/>
      <c r="BP318" s="28"/>
      <c r="BQ318" s="28"/>
      <c r="BR318" s="28"/>
      <c r="BS318" s="28"/>
      <c r="BT318" s="28"/>
      <c r="BU318" s="28"/>
      <c r="BV318" s="28"/>
      <c r="BW318" s="27" t="s">
        <v>996</v>
      </c>
      <c r="BX318" s="27" t="s">
        <v>997</v>
      </c>
      <c r="BY318" s="19"/>
      <c r="BZ318" s="20" t="s">
        <v>154</v>
      </c>
      <c r="CA318" s="20" t="s">
        <v>1136</v>
      </c>
      <c r="CB318" s="20" t="s">
        <v>1137</v>
      </c>
      <c r="CC318" s="20" t="s">
        <v>1138</v>
      </c>
      <c r="CD318" s="21">
        <v>44750</v>
      </c>
      <c r="CE318" s="21">
        <v>44843</v>
      </c>
      <c r="CF318" s="20">
        <v>87</v>
      </c>
      <c r="CG318" s="22" t="s">
        <v>1139</v>
      </c>
      <c r="CH318" s="19"/>
      <c r="CI318" s="19"/>
      <c r="CJ318" s="19"/>
      <c r="CK318" s="19"/>
      <c r="CL318" s="19"/>
      <c r="CM318" s="19"/>
      <c r="CN318" s="19"/>
      <c r="CO318" s="19"/>
      <c r="CP318" s="19"/>
      <c r="CQ318" s="19"/>
      <c r="CR318" s="19"/>
      <c r="CS318" s="19"/>
      <c r="CT318" s="19"/>
      <c r="CU318" s="19"/>
      <c r="CV318" s="19"/>
      <c r="CW318" s="19"/>
      <c r="CX318" s="19"/>
      <c r="CY318" s="19"/>
      <c r="CZ318" s="19"/>
      <c r="DA318" s="19"/>
      <c r="DB318" s="19"/>
      <c r="DC318" s="19"/>
      <c r="DD318" s="19"/>
      <c r="DE318" s="19"/>
      <c r="DF318" s="19"/>
      <c r="DG318" s="19"/>
      <c r="DH318" s="19"/>
      <c r="DI318" s="19"/>
      <c r="DJ318" s="19"/>
      <c r="DK318" s="19"/>
      <c r="DL318" s="19"/>
      <c r="DM318" s="19"/>
      <c r="DN318" s="19"/>
      <c r="DO318" s="19"/>
      <c r="DP318" s="19"/>
      <c r="DQ318" s="19"/>
      <c r="DR318" s="19"/>
      <c r="DS318" s="19"/>
      <c r="DT318" s="19"/>
      <c r="DU318" s="19"/>
      <c r="DV318" s="19"/>
      <c r="DW318" s="19"/>
      <c r="DX318" s="19"/>
      <c r="DY318" s="19"/>
      <c r="DZ318" s="19"/>
      <c r="EA318" s="19"/>
      <c r="EB318" s="19"/>
      <c r="EC318" s="19"/>
      <c r="ED318" s="19"/>
      <c r="EE318" s="19"/>
      <c r="EF318" s="19"/>
      <c r="EG318" s="19"/>
      <c r="EH318" s="19"/>
      <c r="EI318" s="19"/>
      <c r="EJ318" s="19"/>
      <c r="EK318" s="19"/>
      <c r="EL318" s="19"/>
      <c r="EM318" s="19"/>
      <c r="EN318" s="19"/>
      <c r="EO318" s="19"/>
      <c r="EP318" s="19"/>
      <c r="EQ318" s="19"/>
      <c r="ER318" s="19"/>
      <c r="ES318" s="19"/>
      <c r="ET318" s="19"/>
      <c r="EU318" s="19"/>
      <c r="EV318" s="19"/>
      <c r="EW318" s="19"/>
      <c r="EX318" s="19"/>
      <c r="EY318" s="19"/>
      <c r="EZ318" s="19"/>
      <c r="FA318" s="19"/>
      <c r="FB318" s="19"/>
      <c r="FC318" s="19"/>
      <c r="FD318" s="19"/>
      <c r="FE318" s="19"/>
      <c r="FF318" s="19"/>
      <c r="FG318" s="19"/>
      <c r="FH318" s="19"/>
      <c r="FI318" s="19"/>
      <c r="FJ318" s="19"/>
      <c r="FK318" s="19"/>
      <c r="FL318" s="20" t="s">
        <v>999</v>
      </c>
      <c r="FM318" s="20" t="s">
        <v>255</v>
      </c>
      <c r="FN318" s="19"/>
      <c r="FO318" s="19"/>
      <c r="FP318" s="19"/>
      <c r="FQ318" s="19"/>
      <c r="FR318" s="19"/>
      <c r="FS318" s="19"/>
      <c r="FT318" s="19"/>
      <c r="FU318" s="19"/>
      <c r="FV318" s="19"/>
      <c r="FW318" s="19"/>
      <c r="FX318" s="19"/>
      <c r="FY318" s="19"/>
      <c r="FZ318" s="19"/>
      <c r="GA318" s="19"/>
      <c r="GB318" s="19"/>
      <c r="GC318" s="19"/>
      <c r="GD318" s="19"/>
      <c r="GE318" s="19"/>
      <c r="GF318" s="19"/>
      <c r="GG318" s="19"/>
      <c r="GH318" s="19"/>
      <c r="GI318" s="19"/>
      <c r="GJ318" s="19"/>
      <c r="GK318" s="19"/>
      <c r="GL318" s="19"/>
      <c r="GM318" s="19"/>
      <c r="GN318" s="19"/>
      <c r="GO318" s="19"/>
      <c r="GP318" s="19"/>
      <c r="GQ318" s="19"/>
      <c r="GR318" s="19"/>
      <c r="GS318" s="19"/>
      <c r="GT318" s="19"/>
      <c r="GU318" s="19"/>
      <c r="GV318" s="19"/>
      <c r="GW318" s="19"/>
      <c r="GX318" s="19"/>
      <c r="GY318" s="19"/>
      <c r="GZ318" s="19"/>
      <c r="HA318" s="19"/>
    </row>
    <row r="319" spans="1:209" ht="23.25" customHeight="1" x14ac:dyDescent="0.15">
      <c r="A319" s="26">
        <v>44660.333277673606</v>
      </c>
      <c r="B319" s="27" t="s">
        <v>6</v>
      </c>
      <c r="C319" s="27" t="s">
        <v>11</v>
      </c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7" t="s">
        <v>1140</v>
      </c>
      <c r="AY319" s="27" t="s">
        <v>1141</v>
      </c>
      <c r="AZ319" s="27" t="s">
        <v>497</v>
      </c>
      <c r="BA319" s="27" t="s">
        <v>579</v>
      </c>
      <c r="BB319" s="27" t="s">
        <v>493</v>
      </c>
      <c r="BC319" s="29">
        <v>44516</v>
      </c>
      <c r="BD319" s="29">
        <v>44546</v>
      </c>
      <c r="BE319" s="29">
        <v>44546</v>
      </c>
      <c r="BF319" s="27">
        <v>100</v>
      </c>
      <c r="BG319" s="27" t="s">
        <v>1142</v>
      </c>
      <c r="BH319" s="30" t="s">
        <v>1143</v>
      </c>
      <c r="BI319" s="28"/>
      <c r="BJ319" s="28"/>
      <c r="BK319" s="28"/>
      <c r="BL319" s="28"/>
      <c r="BM319" s="28"/>
      <c r="BN319" s="28"/>
      <c r="BO319" s="28"/>
      <c r="BP319" s="28"/>
      <c r="BQ319" s="28"/>
      <c r="BR319" s="28"/>
      <c r="BS319" s="28"/>
      <c r="BT319" s="28"/>
      <c r="BU319" s="28"/>
      <c r="BV319" s="28"/>
      <c r="BW319" s="28"/>
      <c r="BX319" s="28"/>
      <c r="BY319" s="19"/>
      <c r="BZ319" s="19"/>
      <c r="CA319" s="19"/>
      <c r="CB319" s="19"/>
      <c r="CC319" s="19"/>
      <c r="CD319" s="19"/>
      <c r="CE319" s="19"/>
      <c r="CF319" s="19"/>
      <c r="CG319" s="19"/>
      <c r="CH319" s="19"/>
      <c r="CI319" s="19"/>
      <c r="CJ319" s="19"/>
      <c r="CK319" s="19"/>
      <c r="CL319" s="19"/>
      <c r="CM319" s="19"/>
      <c r="CN319" s="19"/>
      <c r="CO319" s="19"/>
      <c r="CP319" s="19"/>
      <c r="CQ319" s="19"/>
      <c r="CR319" s="19"/>
      <c r="CS319" s="19"/>
      <c r="CT319" s="19"/>
      <c r="CU319" s="19"/>
      <c r="CV319" s="19"/>
      <c r="CW319" s="19"/>
      <c r="CX319" s="19"/>
      <c r="CY319" s="19"/>
      <c r="CZ319" s="19"/>
      <c r="DA319" s="19"/>
      <c r="DB319" s="19"/>
      <c r="DC319" s="19"/>
      <c r="DD319" s="19"/>
      <c r="DE319" s="19"/>
      <c r="DF319" s="19"/>
      <c r="DG319" s="19"/>
      <c r="DH319" s="19"/>
      <c r="DI319" s="19"/>
      <c r="DJ319" s="19"/>
      <c r="DK319" s="19"/>
      <c r="DL319" s="19"/>
      <c r="DM319" s="19"/>
      <c r="DN319" s="19"/>
      <c r="DO319" s="19"/>
      <c r="DP319" s="19"/>
      <c r="DQ319" s="19"/>
      <c r="DR319" s="19"/>
      <c r="DS319" s="19"/>
      <c r="DT319" s="19"/>
      <c r="DU319" s="19"/>
      <c r="DV319" s="19"/>
      <c r="DW319" s="19"/>
      <c r="DX319" s="19"/>
      <c r="DY319" s="19"/>
      <c r="DZ319" s="19"/>
      <c r="EA319" s="19"/>
      <c r="EB319" s="19"/>
      <c r="EC319" s="19"/>
      <c r="ED319" s="19"/>
      <c r="EE319" s="19"/>
      <c r="EF319" s="19"/>
      <c r="EG319" s="19"/>
      <c r="EH319" s="19"/>
      <c r="EI319" s="19"/>
      <c r="EJ319" s="19"/>
      <c r="EK319" s="19"/>
      <c r="EL319" s="19"/>
      <c r="EM319" s="19"/>
      <c r="EN319" s="19"/>
      <c r="EO319" s="19"/>
      <c r="EP319" s="19"/>
      <c r="EQ319" s="19"/>
      <c r="ER319" s="19"/>
      <c r="ES319" s="19"/>
      <c r="ET319" s="19"/>
      <c r="EU319" s="19"/>
      <c r="EV319" s="19"/>
      <c r="EW319" s="19"/>
      <c r="EX319" s="19"/>
      <c r="EY319" s="19"/>
      <c r="EZ319" s="19"/>
      <c r="FA319" s="19"/>
      <c r="FB319" s="19"/>
      <c r="FC319" s="19"/>
      <c r="FD319" s="19"/>
      <c r="FE319" s="19"/>
      <c r="FF319" s="19"/>
      <c r="FG319" s="19"/>
      <c r="FH319" s="19"/>
      <c r="FI319" s="19"/>
      <c r="FJ319" s="19"/>
      <c r="FK319" s="19"/>
      <c r="FL319" s="20" t="s">
        <v>1144</v>
      </c>
      <c r="FM319" s="20" t="s">
        <v>255</v>
      </c>
      <c r="FN319" s="19"/>
      <c r="FO319" s="19"/>
      <c r="FP319" s="19"/>
      <c r="FQ319" s="19"/>
      <c r="FR319" s="19"/>
      <c r="FS319" s="19"/>
      <c r="FT319" s="19"/>
      <c r="FU319" s="19"/>
      <c r="FV319" s="19"/>
      <c r="FW319" s="19"/>
      <c r="FX319" s="19"/>
      <c r="FY319" s="19"/>
      <c r="FZ319" s="19"/>
      <c r="GA319" s="19"/>
      <c r="GB319" s="19"/>
      <c r="GC319" s="19"/>
      <c r="GD319" s="19"/>
      <c r="GE319" s="19"/>
      <c r="GF319" s="19"/>
      <c r="GG319" s="19"/>
      <c r="GH319" s="19"/>
      <c r="GI319" s="19"/>
      <c r="GJ319" s="19"/>
      <c r="GK319" s="19"/>
      <c r="GL319" s="19"/>
      <c r="GM319" s="19"/>
      <c r="GN319" s="19"/>
      <c r="GO319" s="19"/>
      <c r="GP319" s="19"/>
      <c r="GQ319" s="19"/>
      <c r="GR319" s="19"/>
      <c r="GS319" s="19"/>
      <c r="GT319" s="19"/>
      <c r="GU319" s="19"/>
      <c r="GV319" s="19"/>
      <c r="GW319" s="19"/>
      <c r="GX319" s="19"/>
      <c r="GY319" s="19"/>
      <c r="GZ319" s="19"/>
      <c r="HA319" s="19"/>
    </row>
    <row r="320" spans="1:209" ht="23.25" customHeight="1" x14ac:dyDescent="0.15">
      <c r="A320" s="26">
        <v>44660.3370125</v>
      </c>
      <c r="B320" s="27" t="s">
        <v>6</v>
      </c>
      <c r="C320" s="17" t="s">
        <v>13</v>
      </c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  <c r="BD320" s="28"/>
      <c r="BE320" s="28"/>
      <c r="BF320" s="28"/>
      <c r="BG320" s="28"/>
      <c r="BH320" s="28"/>
      <c r="BI320" s="28"/>
      <c r="BJ320" s="28"/>
      <c r="BK320" s="28"/>
      <c r="BL320" s="28"/>
      <c r="BM320" s="28"/>
      <c r="BN320" s="28"/>
      <c r="BO320" s="28"/>
      <c r="BP320" s="28"/>
      <c r="BQ320" s="28"/>
      <c r="BR320" s="28"/>
      <c r="BS320" s="28"/>
      <c r="BT320" s="28"/>
      <c r="BU320" s="28"/>
      <c r="BV320" s="28"/>
      <c r="BW320" s="27" t="s">
        <v>1145</v>
      </c>
      <c r="BX320" s="27" t="s">
        <v>1146</v>
      </c>
      <c r="BY320" s="19"/>
      <c r="BZ320" s="20" t="s">
        <v>166</v>
      </c>
      <c r="CA320" s="20" t="s">
        <v>1147</v>
      </c>
      <c r="CB320" s="20" t="s">
        <v>1148</v>
      </c>
      <c r="CC320" s="20" t="s">
        <v>473</v>
      </c>
      <c r="CD320" s="21">
        <v>44201</v>
      </c>
      <c r="CE320" s="21">
        <v>44656</v>
      </c>
      <c r="CF320" s="20">
        <v>70</v>
      </c>
      <c r="CG320" s="22" t="s">
        <v>1149</v>
      </c>
      <c r="CH320" s="19"/>
      <c r="CI320" s="19"/>
      <c r="CJ320" s="19"/>
      <c r="CK320" s="19"/>
      <c r="CL320" s="19"/>
      <c r="CM320" s="19"/>
      <c r="CN320" s="19"/>
      <c r="CO320" s="19"/>
      <c r="CP320" s="19"/>
      <c r="CQ320" s="19"/>
      <c r="CR320" s="19"/>
      <c r="CS320" s="19"/>
      <c r="CT320" s="19"/>
      <c r="CU320" s="19"/>
      <c r="CV320" s="19"/>
      <c r="CW320" s="19"/>
      <c r="CX320" s="19"/>
      <c r="CY320" s="19"/>
      <c r="CZ320" s="19"/>
      <c r="DA320" s="19"/>
      <c r="DB320" s="19"/>
      <c r="DC320" s="19"/>
      <c r="DD320" s="19"/>
      <c r="DE320" s="19"/>
      <c r="DF320" s="19"/>
      <c r="DG320" s="19"/>
      <c r="DH320" s="19"/>
      <c r="DI320" s="19"/>
      <c r="DJ320" s="19"/>
      <c r="DK320" s="19"/>
      <c r="DL320" s="19"/>
      <c r="DM320" s="19"/>
      <c r="DN320" s="19"/>
      <c r="DO320" s="19"/>
      <c r="DP320" s="19"/>
      <c r="DQ320" s="19"/>
      <c r="DR320" s="19"/>
      <c r="DS320" s="19"/>
      <c r="DT320" s="19"/>
      <c r="DU320" s="19"/>
      <c r="DV320" s="19"/>
      <c r="DW320" s="19"/>
      <c r="DX320" s="19"/>
      <c r="DY320" s="19"/>
      <c r="DZ320" s="19"/>
      <c r="EA320" s="19"/>
      <c r="EB320" s="19"/>
      <c r="EC320" s="19"/>
      <c r="ED320" s="19"/>
      <c r="EE320" s="19"/>
      <c r="EF320" s="19"/>
      <c r="EG320" s="19"/>
      <c r="EH320" s="19"/>
      <c r="EI320" s="19"/>
      <c r="EJ320" s="19"/>
      <c r="EK320" s="19"/>
      <c r="EL320" s="19"/>
      <c r="EM320" s="19"/>
      <c r="EN320" s="19"/>
      <c r="EO320" s="19"/>
      <c r="EP320" s="19"/>
      <c r="EQ320" s="19"/>
      <c r="ER320" s="19"/>
      <c r="ES320" s="19"/>
      <c r="ET320" s="19"/>
      <c r="EU320" s="19"/>
      <c r="EV320" s="19"/>
      <c r="EW320" s="19"/>
      <c r="EX320" s="19"/>
      <c r="EY320" s="19"/>
      <c r="EZ320" s="19"/>
      <c r="FA320" s="19"/>
      <c r="FB320" s="19"/>
      <c r="FC320" s="19"/>
      <c r="FD320" s="19"/>
      <c r="FE320" s="19"/>
      <c r="FF320" s="19"/>
      <c r="FG320" s="19"/>
      <c r="FH320" s="19"/>
      <c r="FI320" s="19"/>
      <c r="FJ320" s="19"/>
      <c r="FK320" s="19"/>
      <c r="FL320" s="20" t="s">
        <v>1150</v>
      </c>
      <c r="FM320" s="20" t="s">
        <v>321</v>
      </c>
      <c r="FN320" s="19"/>
      <c r="FO320" s="19"/>
      <c r="FP320" s="19"/>
      <c r="FQ320" s="19"/>
      <c r="FR320" s="19"/>
      <c r="FS320" s="19"/>
      <c r="FT320" s="19"/>
      <c r="FU320" s="19"/>
      <c r="FV320" s="19"/>
      <c r="FW320" s="19"/>
      <c r="FX320" s="19"/>
      <c r="FY320" s="19"/>
      <c r="FZ320" s="19"/>
      <c r="GA320" s="19"/>
      <c r="GB320" s="19"/>
      <c r="GC320" s="19"/>
      <c r="GD320" s="19"/>
      <c r="GE320" s="19"/>
      <c r="GF320" s="19"/>
      <c r="GG320" s="19"/>
      <c r="GH320" s="19"/>
      <c r="GI320" s="19"/>
      <c r="GJ320" s="19"/>
      <c r="GK320" s="19"/>
      <c r="GL320" s="19"/>
      <c r="GM320" s="19"/>
      <c r="GN320" s="19"/>
      <c r="GO320" s="19"/>
      <c r="GP320" s="19"/>
      <c r="GQ320" s="19"/>
      <c r="GR320" s="19"/>
      <c r="GS320" s="19"/>
      <c r="GT320" s="19"/>
      <c r="GU320" s="19"/>
      <c r="GV320" s="19"/>
      <c r="GW320" s="19"/>
      <c r="GX320" s="19"/>
      <c r="GY320" s="19"/>
      <c r="GZ320" s="19"/>
      <c r="HA320" s="19"/>
    </row>
    <row r="321" spans="1:209" ht="23.25" customHeight="1" x14ac:dyDescent="0.15">
      <c r="A321" s="26">
        <v>44660.337823900467</v>
      </c>
      <c r="B321" s="27" t="s">
        <v>6</v>
      </c>
      <c r="C321" s="27" t="s">
        <v>10</v>
      </c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7" t="s">
        <v>400</v>
      </c>
      <c r="AO321" s="27" t="s">
        <v>1151</v>
      </c>
      <c r="AP321" s="27" t="s">
        <v>1152</v>
      </c>
      <c r="AQ321" s="27" t="s">
        <v>308</v>
      </c>
      <c r="AR321" s="29">
        <v>44068</v>
      </c>
      <c r="AS321" s="29">
        <v>44129</v>
      </c>
      <c r="AT321" s="27" t="s">
        <v>252</v>
      </c>
      <c r="AU321" s="27" t="s">
        <v>251</v>
      </c>
      <c r="AV321" s="27">
        <v>2000</v>
      </c>
      <c r="AW321" s="30" t="s">
        <v>1153</v>
      </c>
      <c r="AX321" s="28"/>
      <c r="AY321" s="28"/>
      <c r="AZ321" s="28"/>
      <c r="BA321" s="28"/>
      <c r="BB321" s="28"/>
      <c r="BC321" s="28"/>
      <c r="BD321" s="28"/>
      <c r="BE321" s="28"/>
      <c r="BF321" s="28"/>
      <c r="BG321" s="28"/>
      <c r="BH321" s="28"/>
      <c r="BI321" s="28"/>
      <c r="BJ321" s="28"/>
      <c r="BK321" s="28"/>
      <c r="BL321" s="28"/>
      <c r="BM321" s="28"/>
      <c r="BN321" s="28"/>
      <c r="BO321" s="28"/>
      <c r="BP321" s="28"/>
      <c r="BQ321" s="28"/>
      <c r="BR321" s="28"/>
      <c r="BS321" s="28"/>
      <c r="BT321" s="28"/>
      <c r="BU321" s="28"/>
      <c r="BV321" s="28"/>
      <c r="BW321" s="28"/>
      <c r="BX321" s="28"/>
      <c r="BY321" s="19"/>
      <c r="BZ321" s="19"/>
      <c r="CA321" s="19"/>
      <c r="CB321" s="19"/>
      <c r="CC321" s="19"/>
      <c r="CD321" s="19"/>
      <c r="CE321" s="19"/>
      <c r="CF321" s="19"/>
      <c r="CG321" s="19"/>
      <c r="CH321" s="19"/>
      <c r="CI321" s="19"/>
      <c r="CJ321" s="19"/>
      <c r="CK321" s="19"/>
      <c r="CL321" s="19"/>
      <c r="CM321" s="19"/>
      <c r="CN321" s="19"/>
      <c r="CO321" s="19"/>
      <c r="CP321" s="19"/>
      <c r="CQ321" s="19"/>
      <c r="CR321" s="19"/>
      <c r="CS321" s="19"/>
      <c r="CT321" s="19"/>
      <c r="CU321" s="19"/>
      <c r="CV321" s="19"/>
      <c r="CW321" s="19"/>
      <c r="CX321" s="19"/>
      <c r="CY321" s="19"/>
      <c r="CZ321" s="19"/>
      <c r="DA321" s="19"/>
      <c r="DB321" s="19"/>
      <c r="DC321" s="19"/>
      <c r="DD321" s="19"/>
      <c r="DE321" s="19"/>
      <c r="DF321" s="19"/>
      <c r="DG321" s="19"/>
      <c r="DH321" s="19"/>
      <c r="DI321" s="19"/>
      <c r="DJ321" s="19"/>
      <c r="DK321" s="19"/>
      <c r="DL321" s="19"/>
      <c r="DM321" s="19"/>
      <c r="DN321" s="19"/>
      <c r="DO321" s="19"/>
      <c r="DP321" s="19"/>
      <c r="DQ321" s="19"/>
      <c r="DR321" s="19"/>
      <c r="DS321" s="19"/>
      <c r="DT321" s="19"/>
      <c r="DU321" s="19"/>
      <c r="DV321" s="19"/>
      <c r="DW321" s="19"/>
      <c r="DX321" s="19"/>
      <c r="DY321" s="19"/>
      <c r="DZ321" s="19"/>
      <c r="EA321" s="19"/>
      <c r="EB321" s="19"/>
      <c r="EC321" s="19"/>
      <c r="ED321" s="19"/>
      <c r="EE321" s="19"/>
      <c r="EF321" s="19"/>
      <c r="EG321" s="19"/>
      <c r="EH321" s="19"/>
      <c r="EI321" s="19"/>
      <c r="EJ321" s="19"/>
      <c r="EK321" s="19"/>
      <c r="EL321" s="19"/>
      <c r="EM321" s="19"/>
      <c r="EN321" s="19"/>
      <c r="EO321" s="19"/>
      <c r="EP321" s="19"/>
      <c r="EQ321" s="19"/>
      <c r="ER321" s="19"/>
      <c r="ES321" s="19"/>
      <c r="ET321" s="19"/>
      <c r="EU321" s="19"/>
      <c r="EV321" s="19"/>
      <c r="EW321" s="19"/>
      <c r="EX321" s="19"/>
      <c r="EY321" s="19"/>
      <c r="EZ321" s="19"/>
      <c r="FA321" s="19"/>
      <c r="FB321" s="19"/>
      <c r="FC321" s="19"/>
      <c r="FD321" s="19"/>
      <c r="FE321" s="19"/>
      <c r="FF321" s="19"/>
      <c r="FG321" s="19"/>
      <c r="FH321" s="19"/>
      <c r="FI321" s="19"/>
      <c r="FJ321" s="19"/>
      <c r="FK321" s="19"/>
      <c r="FL321" s="20" t="s">
        <v>403</v>
      </c>
      <c r="FM321" s="20" t="s">
        <v>255</v>
      </c>
      <c r="FN321" s="19"/>
      <c r="FO321" s="19"/>
      <c r="FP321" s="19"/>
      <c r="FQ321" s="19"/>
      <c r="FR321" s="19"/>
      <c r="FS321" s="19"/>
      <c r="FT321" s="19"/>
      <c r="FU321" s="19"/>
      <c r="FV321" s="19"/>
      <c r="FW321" s="19"/>
      <c r="FX321" s="19"/>
      <c r="FY321" s="19"/>
      <c r="FZ321" s="19"/>
      <c r="GA321" s="19"/>
      <c r="GB321" s="19"/>
      <c r="GC321" s="19"/>
      <c r="GD321" s="19"/>
      <c r="GE321" s="19"/>
      <c r="GF321" s="19"/>
      <c r="GG321" s="19"/>
      <c r="GH321" s="19"/>
      <c r="GI321" s="19"/>
      <c r="GJ321" s="19"/>
      <c r="GK321" s="19"/>
      <c r="GL321" s="19"/>
      <c r="GM321" s="19"/>
      <c r="GN321" s="19"/>
      <c r="GO321" s="19"/>
      <c r="GP321" s="19"/>
      <c r="GQ321" s="19"/>
      <c r="GR321" s="19"/>
      <c r="GS321" s="19"/>
      <c r="GT321" s="19"/>
      <c r="GU321" s="19"/>
      <c r="GV321" s="19"/>
      <c r="GW321" s="19"/>
      <c r="GX321" s="19"/>
      <c r="GY321" s="19"/>
      <c r="GZ321" s="19"/>
      <c r="HA321" s="19"/>
    </row>
    <row r="322" spans="1:209" ht="23.25" customHeight="1" x14ac:dyDescent="0.15">
      <c r="A322" s="26">
        <v>44660.338461354171</v>
      </c>
      <c r="B322" s="27" t="s">
        <v>6</v>
      </c>
      <c r="C322" s="27" t="s">
        <v>11</v>
      </c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  <c r="AX322" s="27" t="s">
        <v>1154</v>
      </c>
      <c r="AY322" s="27" t="s">
        <v>1155</v>
      </c>
      <c r="AZ322" s="27" t="s">
        <v>1156</v>
      </c>
      <c r="BA322" s="27" t="s">
        <v>1157</v>
      </c>
      <c r="BB322" s="27" t="s">
        <v>1158</v>
      </c>
      <c r="BC322" s="29">
        <v>44348</v>
      </c>
      <c r="BD322" s="29">
        <v>44408</v>
      </c>
      <c r="BE322" s="29">
        <v>44408</v>
      </c>
      <c r="BF322" s="27">
        <v>87</v>
      </c>
      <c r="BG322" s="27" t="s">
        <v>375</v>
      </c>
      <c r="BH322" s="30" t="s">
        <v>1159</v>
      </c>
      <c r="BI322" s="28"/>
      <c r="BJ322" s="28"/>
      <c r="BK322" s="28"/>
      <c r="BL322" s="28"/>
      <c r="BM322" s="28"/>
      <c r="BN322" s="28"/>
      <c r="BO322" s="28"/>
      <c r="BP322" s="28"/>
      <c r="BQ322" s="28"/>
      <c r="BR322" s="28"/>
      <c r="BS322" s="28"/>
      <c r="BT322" s="28"/>
      <c r="BU322" s="28"/>
      <c r="BV322" s="28"/>
      <c r="BW322" s="28"/>
      <c r="BX322" s="28"/>
      <c r="BY322" s="19"/>
      <c r="BZ322" s="19"/>
      <c r="CA322" s="19"/>
      <c r="CB322" s="19"/>
      <c r="CC322" s="19"/>
      <c r="CD322" s="19"/>
      <c r="CE322" s="19"/>
      <c r="CF322" s="19"/>
      <c r="CG322" s="19"/>
      <c r="CH322" s="19"/>
      <c r="CI322" s="19"/>
      <c r="CJ322" s="19"/>
      <c r="CK322" s="19"/>
      <c r="CL322" s="19"/>
      <c r="CM322" s="19"/>
      <c r="CN322" s="19"/>
      <c r="CO322" s="19"/>
      <c r="CP322" s="19"/>
      <c r="CQ322" s="19"/>
      <c r="CR322" s="19"/>
      <c r="CS322" s="19"/>
      <c r="CT322" s="19"/>
      <c r="CU322" s="19"/>
      <c r="CV322" s="19"/>
      <c r="CW322" s="19"/>
      <c r="CX322" s="19"/>
      <c r="CY322" s="19"/>
      <c r="CZ322" s="19"/>
      <c r="DA322" s="19"/>
      <c r="DB322" s="19"/>
      <c r="DC322" s="19"/>
      <c r="DD322" s="19"/>
      <c r="DE322" s="19"/>
      <c r="DF322" s="19"/>
      <c r="DG322" s="19"/>
      <c r="DH322" s="19"/>
      <c r="DI322" s="19"/>
      <c r="DJ322" s="19"/>
      <c r="DK322" s="19"/>
      <c r="DL322" s="19"/>
      <c r="DM322" s="19"/>
      <c r="DN322" s="19"/>
      <c r="DO322" s="19"/>
      <c r="DP322" s="19"/>
      <c r="DQ322" s="19"/>
      <c r="DR322" s="19"/>
      <c r="DS322" s="19"/>
      <c r="DT322" s="19"/>
      <c r="DU322" s="19"/>
      <c r="DV322" s="19"/>
      <c r="DW322" s="19"/>
      <c r="DX322" s="19"/>
      <c r="DY322" s="19"/>
      <c r="DZ322" s="19"/>
      <c r="EA322" s="19"/>
      <c r="EB322" s="19"/>
      <c r="EC322" s="19"/>
      <c r="ED322" s="19"/>
      <c r="EE322" s="19"/>
      <c r="EF322" s="19"/>
      <c r="EG322" s="19"/>
      <c r="EH322" s="19"/>
      <c r="EI322" s="19"/>
      <c r="EJ322" s="19"/>
      <c r="EK322" s="19"/>
      <c r="EL322" s="19"/>
      <c r="EM322" s="19"/>
      <c r="EN322" s="19"/>
      <c r="EO322" s="19"/>
      <c r="EP322" s="19"/>
      <c r="EQ322" s="19"/>
      <c r="ER322" s="19"/>
      <c r="ES322" s="19"/>
      <c r="ET322" s="19"/>
      <c r="EU322" s="19"/>
      <c r="EV322" s="19"/>
      <c r="EW322" s="19"/>
      <c r="EX322" s="19"/>
      <c r="EY322" s="19"/>
      <c r="EZ322" s="19"/>
      <c r="FA322" s="19"/>
      <c r="FB322" s="19"/>
      <c r="FC322" s="19"/>
      <c r="FD322" s="19"/>
      <c r="FE322" s="19"/>
      <c r="FF322" s="19"/>
      <c r="FG322" s="19"/>
      <c r="FH322" s="19"/>
      <c r="FI322" s="19"/>
      <c r="FJ322" s="19"/>
      <c r="FK322" s="19"/>
      <c r="FL322" s="20" t="s">
        <v>1160</v>
      </c>
      <c r="FM322" s="20" t="s">
        <v>339</v>
      </c>
      <c r="FN322" s="19"/>
      <c r="FO322" s="19"/>
      <c r="FP322" s="19"/>
      <c r="FQ322" s="19"/>
      <c r="FR322" s="19"/>
      <c r="FS322" s="19"/>
      <c r="FT322" s="19"/>
      <c r="FU322" s="19"/>
      <c r="FV322" s="19"/>
      <c r="FW322" s="19"/>
      <c r="FX322" s="19"/>
      <c r="FY322" s="19"/>
      <c r="FZ322" s="19"/>
      <c r="GA322" s="19"/>
      <c r="GB322" s="19"/>
      <c r="GC322" s="19"/>
      <c r="GD322" s="19"/>
      <c r="GE322" s="19"/>
      <c r="GF322" s="19"/>
      <c r="GG322" s="19"/>
      <c r="GH322" s="19"/>
      <c r="GI322" s="19"/>
      <c r="GJ322" s="19"/>
      <c r="GK322" s="19"/>
      <c r="GL322" s="19"/>
      <c r="GM322" s="19"/>
      <c r="GN322" s="19"/>
      <c r="GO322" s="19"/>
      <c r="GP322" s="19"/>
      <c r="GQ322" s="19"/>
      <c r="GR322" s="19"/>
      <c r="GS322" s="19"/>
      <c r="GT322" s="19"/>
      <c r="GU322" s="19"/>
      <c r="GV322" s="19"/>
      <c r="GW322" s="19"/>
      <c r="GX322" s="19"/>
      <c r="GY322" s="19"/>
      <c r="GZ322" s="19"/>
      <c r="HA322" s="19"/>
    </row>
    <row r="323" spans="1:209" ht="23.25" customHeight="1" x14ac:dyDescent="0.15">
      <c r="A323" s="26">
        <v>44660.341988796295</v>
      </c>
      <c r="B323" s="27" t="s">
        <v>6</v>
      </c>
      <c r="C323" s="27" t="s">
        <v>11</v>
      </c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  <c r="AX323" s="27" t="s">
        <v>1140</v>
      </c>
      <c r="AY323" s="27" t="s">
        <v>1141</v>
      </c>
      <c r="AZ323" s="27" t="s">
        <v>349</v>
      </c>
      <c r="BA323" s="27" t="s">
        <v>375</v>
      </c>
      <c r="BB323" s="27" t="s">
        <v>308</v>
      </c>
      <c r="BC323" s="29">
        <v>43614</v>
      </c>
      <c r="BD323" s="29">
        <v>43675</v>
      </c>
      <c r="BE323" s="29">
        <v>43675</v>
      </c>
      <c r="BF323" s="27">
        <v>100</v>
      </c>
      <c r="BG323" s="27" t="s">
        <v>1161</v>
      </c>
      <c r="BH323" s="30" t="s">
        <v>1162</v>
      </c>
      <c r="BI323" s="28"/>
      <c r="BJ323" s="28"/>
      <c r="BK323" s="28"/>
      <c r="BL323" s="28"/>
      <c r="BM323" s="28"/>
      <c r="BN323" s="28"/>
      <c r="BO323" s="28"/>
      <c r="BP323" s="28"/>
      <c r="BQ323" s="28"/>
      <c r="BR323" s="28"/>
      <c r="BS323" s="28"/>
      <c r="BT323" s="28"/>
      <c r="BU323" s="28"/>
      <c r="BV323" s="28"/>
      <c r="BW323" s="28"/>
      <c r="BX323" s="28"/>
      <c r="BY323" s="19"/>
      <c r="BZ323" s="19"/>
      <c r="CA323" s="19"/>
      <c r="CB323" s="19"/>
      <c r="CC323" s="19"/>
      <c r="CD323" s="19"/>
      <c r="CE323" s="19"/>
      <c r="CF323" s="19"/>
      <c r="CG323" s="19"/>
      <c r="CH323" s="19"/>
      <c r="CI323" s="19"/>
      <c r="CJ323" s="19"/>
      <c r="CK323" s="19"/>
      <c r="CL323" s="19"/>
      <c r="CM323" s="19"/>
      <c r="CN323" s="19"/>
      <c r="CO323" s="19"/>
      <c r="CP323" s="19"/>
      <c r="CQ323" s="19"/>
      <c r="CR323" s="19"/>
      <c r="CS323" s="19"/>
      <c r="CT323" s="19"/>
      <c r="CU323" s="19"/>
      <c r="CV323" s="19"/>
      <c r="CW323" s="19"/>
      <c r="CX323" s="19"/>
      <c r="CY323" s="19"/>
      <c r="CZ323" s="19"/>
      <c r="DA323" s="19"/>
      <c r="DB323" s="19"/>
      <c r="DC323" s="19"/>
      <c r="DD323" s="19"/>
      <c r="DE323" s="19"/>
      <c r="DF323" s="19"/>
      <c r="DG323" s="19"/>
      <c r="DH323" s="19"/>
      <c r="DI323" s="19"/>
      <c r="DJ323" s="19"/>
      <c r="DK323" s="19"/>
      <c r="DL323" s="19"/>
      <c r="DM323" s="19"/>
      <c r="DN323" s="19"/>
      <c r="DO323" s="19"/>
      <c r="DP323" s="19"/>
      <c r="DQ323" s="19"/>
      <c r="DR323" s="19"/>
      <c r="DS323" s="19"/>
      <c r="DT323" s="19"/>
      <c r="DU323" s="19"/>
      <c r="DV323" s="19"/>
      <c r="DW323" s="19"/>
      <c r="DX323" s="19"/>
      <c r="DY323" s="19"/>
      <c r="DZ323" s="19"/>
      <c r="EA323" s="19"/>
      <c r="EB323" s="19"/>
      <c r="EC323" s="19"/>
      <c r="ED323" s="19"/>
      <c r="EE323" s="19"/>
      <c r="EF323" s="19"/>
      <c r="EG323" s="19"/>
      <c r="EH323" s="19"/>
      <c r="EI323" s="19"/>
      <c r="EJ323" s="19"/>
      <c r="EK323" s="19"/>
      <c r="EL323" s="19"/>
      <c r="EM323" s="19"/>
      <c r="EN323" s="19"/>
      <c r="EO323" s="19"/>
      <c r="EP323" s="19"/>
      <c r="EQ323" s="19"/>
      <c r="ER323" s="19"/>
      <c r="ES323" s="19"/>
      <c r="ET323" s="19"/>
      <c r="EU323" s="19"/>
      <c r="EV323" s="19"/>
      <c r="EW323" s="19"/>
      <c r="EX323" s="19"/>
      <c r="EY323" s="19"/>
      <c r="EZ323" s="19"/>
      <c r="FA323" s="19"/>
      <c r="FB323" s="19"/>
      <c r="FC323" s="19"/>
      <c r="FD323" s="19"/>
      <c r="FE323" s="19"/>
      <c r="FF323" s="19"/>
      <c r="FG323" s="19"/>
      <c r="FH323" s="19"/>
      <c r="FI323" s="19"/>
      <c r="FJ323" s="19"/>
      <c r="FK323" s="19"/>
      <c r="FL323" s="20" t="s">
        <v>1144</v>
      </c>
      <c r="FM323" s="20" t="s">
        <v>255</v>
      </c>
      <c r="FN323" s="19"/>
      <c r="FO323" s="19"/>
      <c r="FP323" s="19"/>
      <c r="FQ323" s="19"/>
      <c r="FR323" s="19"/>
      <c r="FS323" s="19"/>
      <c r="FT323" s="19"/>
      <c r="FU323" s="19"/>
      <c r="FV323" s="19"/>
      <c r="FW323" s="19"/>
      <c r="FX323" s="19"/>
      <c r="FY323" s="19"/>
      <c r="FZ323" s="19"/>
      <c r="GA323" s="19"/>
      <c r="GB323" s="19"/>
      <c r="GC323" s="19"/>
      <c r="GD323" s="19"/>
      <c r="GE323" s="19"/>
      <c r="GF323" s="19"/>
      <c r="GG323" s="19"/>
      <c r="GH323" s="19"/>
      <c r="GI323" s="19"/>
      <c r="GJ323" s="19"/>
      <c r="GK323" s="19"/>
      <c r="GL323" s="19"/>
      <c r="GM323" s="19"/>
      <c r="GN323" s="19"/>
      <c r="GO323" s="19"/>
      <c r="GP323" s="19"/>
      <c r="GQ323" s="19"/>
      <c r="GR323" s="19"/>
      <c r="GS323" s="19"/>
      <c r="GT323" s="19"/>
      <c r="GU323" s="19"/>
      <c r="GV323" s="19"/>
      <c r="GW323" s="19"/>
      <c r="GX323" s="19"/>
      <c r="GY323" s="19"/>
      <c r="GZ323" s="19"/>
      <c r="HA323" s="19"/>
    </row>
    <row r="324" spans="1:209" ht="23.25" customHeight="1" x14ac:dyDescent="0.15">
      <c r="A324" s="26">
        <v>44660.343931238429</v>
      </c>
      <c r="B324" s="27" t="s">
        <v>6</v>
      </c>
      <c r="C324" s="27" t="s">
        <v>12</v>
      </c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  <c r="AX324" s="28"/>
      <c r="AY324" s="28"/>
      <c r="AZ324" s="28"/>
      <c r="BA324" s="28"/>
      <c r="BB324" s="28"/>
      <c r="BC324" s="28"/>
      <c r="BD324" s="28"/>
      <c r="BE324" s="28"/>
      <c r="BF324" s="28"/>
      <c r="BG324" s="28"/>
      <c r="BH324" s="28"/>
      <c r="BI324" s="27" t="s">
        <v>1163</v>
      </c>
      <c r="BJ324" s="27" t="s">
        <v>1164</v>
      </c>
      <c r="BK324" s="27" t="s">
        <v>154</v>
      </c>
      <c r="BL324" s="27" t="s">
        <v>146</v>
      </c>
      <c r="BM324" s="27" t="s">
        <v>1165</v>
      </c>
      <c r="BN324" s="27">
        <v>3</v>
      </c>
      <c r="BO324" s="29">
        <v>43518</v>
      </c>
      <c r="BP324" s="29">
        <v>43520</v>
      </c>
      <c r="BQ324" s="27" t="s">
        <v>1166</v>
      </c>
      <c r="BR324" s="27" t="s">
        <v>1167</v>
      </c>
      <c r="BS324" s="27" t="s">
        <v>171</v>
      </c>
      <c r="BT324" s="27" t="s">
        <v>629</v>
      </c>
      <c r="BU324" s="28"/>
      <c r="BV324" s="30" t="s">
        <v>1168</v>
      </c>
      <c r="BW324" s="28"/>
      <c r="BX324" s="28"/>
      <c r="BY324" s="19"/>
      <c r="BZ324" s="19"/>
      <c r="CA324" s="19"/>
      <c r="CB324" s="19"/>
      <c r="CC324" s="19"/>
      <c r="CD324" s="19"/>
      <c r="CE324" s="19"/>
      <c r="CF324" s="19"/>
      <c r="CG324" s="19"/>
      <c r="CH324" s="19"/>
      <c r="CI324" s="19"/>
      <c r="CJ324" s="19"/>
      <c r="CK324" s="19"/>
      <c r="CL324" s="19"/>
      <c r="CM324" s="19"/>
      <c r="CN324" s="19"/>
      <c r="CO324" s="19"/>
      <c r="CP324" s="19"/>
      <c r="CQ324" s="19"/>
      <c r="CR324" s="19"/>
      <c r="CS324" s="19"/>
      <c r="CT324" s="19"/>
      <c r="CU324" s="19"/>
      <c r="CV324" s="19"/>
      <c r="CW324" s="19"/>
      <c r="CX324" s="19"/>
      <c r="CY324" s="19"/>
      <c r="CZ324" s="19"/>
      <c r="DA324" s="19"/>
      <c r="DB324" s="19"/>
      <c r="DC324" s="19"/>
      <c r="DD324" s="19"/>
      <c r="DE324" s="19"/>
      <c r="DF324" s="19"/>
      <c r="DG324" s="19"/>
      <c r="DH324" s="19"/>
      <c r="DI324" s="19"/>
      <c r="DJ324" s="19"/>
      <c r="DK324" s="19"/>
      <c r="DL324" s="19"/>
      <c r="DM324" s="19"/>
      <c r="DN324" s="19"/>
      <c r="DO324" s="19"/>
      <c r="DP324" s="19"/>
      <c r="DQ324" s="19"/>
      <c r="DR324" s="19"/>
      <c r="DS324" s="19"/>
      <c r="DT324" s="19"/>
      <c r="DU324" s="19"/>
      <c r="DV324" s="19"/>
      <c r="DW324" s="19"/>
      <c r="DX324" s="19"/>
      <c r="DY324" s="19"/>
      <c r="DZ324" s="19"/>
      <c r="EA324" s="19"/>
      <c r="EB324" s="19"/>
      <c r="EC324" s="19"/>
      <c r="ED324" s="19"/>
      <c r="EE324" s="19"/>
      <c r="EF324" s="19"/>
      <c r="EG324" s="19"/>
      <c r="EH324" s="19"/>
      <c r="EI324" s="19"/>
      <c r="EJ324" s="19"/>
      <c r="EK324" s="19"/>
      <c r="EL324" s="19"/>
      <c r="EM324" s="19"/>
      <c r="EN324" s="19"/>
      <c r="EO324" s="19"/>
      <c r="EP324" s="19"/>
      <c r="EQ324" s="19"/>
      <c r="ER324" s="19"/>
      <c r="ES324" s="19"/>
      <c r="ET324" s="19"/>
      <c r="EU324" s="19"/>
      <c r="EV324" s="19"/>
      <c r="EW324" s="19"/>
      <c r="EX324" s="19"/>
      <c r="EY324" s="19"/>
      <c r="EZ324" s="19"/>
      <c r="FA324" s="19"/>
      <c r="FB324" s="19"/>
      <c r="FC324" s="19"/>
      <c r="FD324" s="19"/>
      <c r="FE324" s="19"/>
      <c r="FF324" s="19"/>
      <c r="FG324" s="19"/>
      <c r="FH324" s="19"/>
      <c r="FI324" s="19"/>
      <c r="FJ324" s="19"/>
      <c r="FK324" s="19"/>
      <c r="FL324" s="20" t="s">
        <v>1160</v>
      </c>
      <c r="FM324" s="20" t="s">
        <v>552</v>
      </c>
      <c r="FN324" s="19"/>
      <c r="FO324" s="19"/>
      <c r="FP324" s="19"/>
      <c r="FQ324" s="19"/>
      <c r="FR324" s="19"/>
      <c r="FS324" s="19"/>
      <c r="FT324" s="19"/>
      <c r="FU324" s="19"/>
      <c r="FV324" s="19"/>
      <c r="FW324" s="19"/>
      <c r="FX324" s="19"/>
      <c r="FY324" s="19"/>
      <c r="FZ324" s="19"/>
      <c r="GA324" s="19"/>
      <c r="GB324" s="19"/>
      <c r="GC324" s="19"/>
      <c r="GD324" s="19"/>
      <c r="GE324" s="19"/>
      <c r="GF324" s="19"/>
      <c r="GG324" s="19"/>
      <c r="GH324" s="19"/>
      <c r="GI324" s="19"/>
      <c r="GJ324" s="19"/>
      <c r="GK324" s="19"/>
      <c r="GL324" s="19"/>
      <c r="GM324" s="19"/>
      <c r="GN324" s="19"/>
      <c r="GO324" s="19"/>
      <c r="GP324" s="19"/>
      <c r="GQ324" s="19"/>
      <c r="GR324" s="19"/>
      <c r="GS324" s="19"/>
      <c r="GT324" s="19"/>
      <c r="GU324" s="19"/>
      <c r="GV324" s="19"/>
      <c r="GW324" s="19"/>
      <c r="GX324" s="19"/>
      <c r="GY324" s="19"/>
      <c r="GZ324" s="19"/>
      <c r="HA324" s="19"/>
    </row>
    <row r="325" spans="1:209" ht="23.25" customHeight="1" x14ac:dyDescent="0.15">
      <c r="A325" s="26">
        <v>44660.345722777776</v>
      </c>
      <c r="B325" s="27" t="s">
        <v>6</v>
      </c>
      <c r="C325" s="27" t="s">
        <v>11</v>
      </c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  <c r="AX325" s="27" t="s">
        <v>1169</v>
      </c>
      <c r="AY325" s="27" t="s">
        <v>1170</v>
      </c>
      <c r="AZ325" s="27" t="s">
        <v>1171</v>
      </c>
      <c r="BA325" s="27" t="s">
        <v>498</v>
      </c>
      <c r="BB325" s="27" t="s">
        <v>300</v>
      </c>
      <c r="BC325" s="29">
        <v>44489</v>
      </c>
      <c r="BD325" s="29">
        <v>44557</v>
      </c>
      <c r="BE325" s="29">
        <v>44556</v>
      </c>
      <c r="BF325" s="27">
        <v>0</v>
      </c>
      <c r="BG325" s="27" t="s">
        <v>1172</v>
      </c>
      <c r="BH325" s="30" t="s">
        <v>1173</v>
      </c>
      <c r="BI325" s="28"/>
      <c r="BJ325" s="28"/>
      <c r="BK325" s="28"/>
      <c r="BL325" s="28"/>
      <c r="BM325" s="28"/>
      <c r="BN325" s="28"/>
      <c r="BO325" s="28"/>
      <c r="BP325" s="28"/>
      <c r="BQ325" s="28"/>
      <c r="BR325" s="28"/>
      <c r="BS325" s="28"/>
      <c r="BT325" s="28"/>
      <c r="BU325" s="28"/>
      <c r="BV325" s="28"/>
      <c r="BW325" s="28"/>
      <c r="BX325" s="28"/>
      <c r="BY325" s="19"/>
      <c r="BZ325" s="19"/>
      <c r="CA325" s="19"/>
      <c r="CB325" s="19"/>
      <c r="CC325" s="19"/>
      <c r="CD325" s="19"/>
      <c r="CE325" s="19"/>
      <c r="CF325" s="19"/>
      <c r="CG325" s="19"/>
      <c r="CH325" s="19"/>
      <c r="CI325" s="19"/>
      <c r="CJ325" s="19"/>
      <c r="CK325" s="19"/>
      <c r="CL325" s="19"/>
      <c r="CM325" s="19"/>
      <c r="CN325" s="19"/>
      <c r="CO325" s="19"/>
      <c r="CP325" s="19"/>
      <c r="CQ325" s="19"/>
      <c r="CR325" s="19"/>
      <c r="CS325" s="19"/>
      <c r="CT325" s="19"/>
      <c r="CU325" s="19"/>
      <c r="CV325" s="19"/>
      <c r="CW325" s="19"/>
      <c r="CX325" s="19"/>
      <c r="CY325" s="19"/>
      <c r="CZ325" s="19"/>
      <c r="DA325" s="19"/>
      <c r="DB325" s="19"/>
      <c r="DC325" s="19"/>
      <c r="DD325" s="19"/>
      <c r="DE325" s="19"/>
      <c r="DF325" s="19"/>
      <c r="DG325" s="19"/>
      <c r="DH325" s="19"/>
      <c r="DI325" s="19"/>
      <c r="DJ325" s="19"/>
      <c r="DK325" s="19"/>
      <c r="DL325" s="19"/>
      <c r="DM325" s="19"/>
      <c r="DN325" s="19"/>
      <c r="DO325" s="19"/>
      <c r="DP325" s="19"/>
      <c r="DQ325" s="19"/>
      <c r="DR325" s="19"/>
      <c r="DS325" s="19"/>
      <c r="DT325" s="19"/>
      <c r="DU325" s="19"/>
      <c r="DV325" s="19"/>
      <c r="DW325" s="19"/>
      <c r="DX325" s="19"/>
      <c r="DY325" s="19"/>
      <c r="DZ325" s="19"/>
      <c r="EA325" s="19"/>
      <c r="EB325" s="19"/>
      <c r="EC325" s="19"/>
      <c r="ED325" s="19"/>
      <c r="EE325" s="19"/>
      <c r="EF325" s="19"/>
      <c r="EG325" s="19"/>
      <c r="EH325" s="19"/>
      <c r="EI325" s="19"/>
      <c r="EJ325" s="19"/>
      <c r="EK325" s="19"/>
      <c r="EL325" s="19"/>
      <c r="EM325" s="19"/>
      <c r="EN325" s="19"/>
      <c r="EO325" s="19"/>
      <c r="EP325" s="19"/>
      <c r="EQ325" s="19"/>
      <c r="ER325" s="19"/>
      <c r="ES325" s="19"/>
      <c r="ET325" s="19"/>
      <c r="EU325" s="19"/>
      <c r="EV325" s="19"/>
      <c r="EW325" s="19"/>
      <c r="EX325" s="19"/>
      <c r="EY325" s="19"/>
      <c r="EZ325" s="19"/>
      <c r="FA325" s="19"/>
      <c r="FB325" s="19"/>
      <c r="FC325" s="19"/>
      <c r="FD325" s="19"/>
      <c r="FE325" s="19"/>
      <c r="FF325" s="19"/>
      <c r="FG325" s="19"/>
      <c r="FH325" s="19"/>
      <c r="FI325" s="19"/>
      <c r="FJ325" s="19"/>
      <c r="FK325" s="19"/>
      <c r="FL325" s="20" t="s">
        <v>1174</v>
      </c>
      <c r="FM325" s="20" t="s">
        <v>255</v>
      </c>
      <c r="FN325" s="19"/>
      <c r="FO325" s="19"/>
      <c r="FP325" s="19"/>
      <c r="FQ325" s="19"/>
      <c r="FR325" s="19"/>
      <c r="FS325" s="19"/>
      <c r="FT325" s="19"/>
      <c r="FU325" s="19"/>
      <c r="FV325" s="19"/>
      <c r="FW325" s="19"/>
      <c r="FX325" s="19"/>
      <c r="FY325" s="19"/>
      <c r="FZ325" s="19"/>
      <c r="GA325" s="19"/>
      <c r="GB325" s="19"/>
      <c r="GC325" s="19"/>
      <c r="GD325" s="19"/>
      <c r="GE325" s="19"/>
      <c r="GF325" s="19"/>
      <c r="GG325" s="19"/>
      <c r="GH325" s="19"/>
      <c r="GI325" s="19"/>
      <c r="GJ325" s="19"/>
      <c r="GK325" s="19"/>
      <c r="GL325" s="19"/>
      <c r="GM325" s="19"/>
      <c r="GN325" s="19"/>
      <c r="GO325" s="19"/>
      <c r="GP325" s="19"/>
      <c r="GQ325" s="19"/>
      <c r="GR325" s="19"/>
      <c r="GS325" s="19"/>
      <c r="GT325" s="19"/>
      <c r="GU325" s="19"/>
      <c r="GV325" s="19"/>
      <c r="GW325" s="19"/>
      <c r="GX325" s="19"/>
      <c r="GY325" s="19"/>
      <c r="GZ325" s="19"/>
      <c r="HA325" s="19"/>
    </row>
    <row r="326" spans="1:209" ht="23.25" customHeight="1" x14ac:dyDescent="0.15">
      <c r="A326" s="26">
        <v>44660.347087650458</v>
      </c>
      <c r="B326" s="27" t="s">
        <v>6</v>
      </c>
      <c r="C326" s="27" t="s">
        <v>11</v>
      </c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  <c r="AX326" s="27" t="s">
        <v>1140</v>
      </c>
      <c r="AY326" s="27" t="s">
        <v>1141</v>
      </c>
      <c r="AZ326" s="27" t="s">
        <v>1175</v>
      </c>
      <c r="BA326" s="27" t="s">
        <v>375</v>
      </c>
      <c r="BB326" s="27" t="s">
        <v>448</v>
      </c>
      <c r="BC326" s="29">
        <v>44292</v>
      </c>
      <c r="BD326" s="29">
        <v>44383</v>
      </c>
      <c r="BE326" s="29">
        <v>44383</v>
      </c>
      <c r="BF326" s="27">
        <v>100</v>
      </c>
      <c r="BG326" s="27" t="s">
        <v>1161</v>
      </c>
      <c r="BH326" s="30" t="s">
        <v>1176</v>
      </c>
      <c r="BI326" s="28"/>
      <c r="BJ326" s="28"/>
      <c r="BK326" s="28"/>
      <c r="BL326" s="28"/>
      <c r="BM326" s="28"/>
      <c r="BN326" s="28"/>
      <c r="BO326" s="28"/>
      <c r="BP326" s="28"/>
      <c r="BQ326" s="28"/>
      <c r="BR326" s="28"/>
      <c r="BS326" s="28"/>
      <c r="BT326" s="28"/>
      <c r="BU326" s="28"/>
      <c r="BV326" s="28"/>
      <c r="BW326" s="28"/>
      <c r="BX326" s="28"/>
      <c r="BY326" s="19"/>
      <c r="BZ326" s="19"/>
      <c r="CA326" s="19"/>
      <c r="CB326" s="19"/>
      <c r="CC326" s="19"/>
      <c r="CD326" s="19"/>
      <c r="CE326" s="19"/>
      <c r="CF326" s="19"/>
      <c r="CG326" s="19"/>
      <c r="CH326" s="19"/>
      <c r="CI326" s="19"/>
      <c r="CJ326" s="19"/>
      <c r="CK326" s="19"/>
      <c r="CL326" s="19"/>
      <c r="CM326" s="19"/>
      <c r="CN326" s="19"/>
      <c r="CO326" s="19"/>
      <c r="CP326" s="19"/>
      <c r="CQ326" s="19"/>
      <c r="CR326" s="19"/>
      <c r="CS326" s="19"/>
      <c r="CT326" s="19"/>
      <c r="CU326" s="19"/>
      <c r="CV326" s="19"/>
      <c r="CW326" s="19"/>
      <c r="CX326" s="19"/>
      <c r="CY326" s="19"/>
      <c r="CZ326" s="19"/>
      <c r="DA326" s="19"/>
      <c r="DB326" s="19"/>
      <c r="DC326" s="19"/>
      <c r="DD326" s="19"/>
      <c r="DE326" s="19"/>
      <c r="DF326" s="19"/>
      <c r="DG326" s="19"/>
      <c r="DH326" s="19"/>
      <c r="DI326" s="19"/>
      <c r="DJ326" s="19"/>
      <c r="DK326" s="19"/>
      <c r="DL326" s="19"/>
      <c r="DM326" s="19"/>
      <c r="DN326" s="19"/>
      <c r="DO326" s="19"/>
      <c r="DP326" s="19"/>
      <c r="DQ326" s="19"/>
      <c r="DR326" s="19"/>
      <c r="DS326" s="19"/>
      <c r="DT326" s="19"/>
      <c r="DU326" s="19"/>
      <c r="DV326" s="19"/>
      <c r="DW326" s="19"/>
      <c r="DX326" s="19"/>
      <c r="DY326" s="19"/>
      <c r="DZ326" s="19"/>
      <c r="EA326" s="19"/>
      <c r="EB326" s="19"/>
      <c r="EC326" s="19"/>
      <c r="ED326" s="19"/>
      <c r="EE326" s="19"/>
      <c r="EF326" s="19"/>
      <c r="EG326" s="19"/>
      <c r="EH326" s="19"/>
      <c r="EI326" s="19"/>
      <c r="EJ326" s="19"/>
      <c r="EK326" s="19"/>
      <c r="EL326" s="19"/>
      <c r="EM326" s="19"/>
      <c r="EN326" s="19"/>
      <c r="EO326" s="19"/>
      <c r="EP326" s="19"/>
      <c r="EQ326" s="19"/>
      <c r="ER326" s="19"/>
      <c r="ES326" s="19"/>
      <c r="ET326" s="19"/>
      <c r="EU326" s="19"/>
      <c r="EV326" s="19"/>
      <c r="EW326" s="19"/>
      <c r="EX326" s="19"/>
      <c r="EY326" s="19"/>
      <c r="EZ326" s="19"/>
      <c r="FA326" s="19"/>
      <c r="FB326" s="19"/>
      <c r="FC326" s="19"/>
      <c r="FD326" s="19"/>
      <c r="FE326" s="19"/>
      <c r="FF326" s="19"/>
      <c r="FG326" s="19"/>
      <c r="FH326" s="19"/>
      <c r="FI326" s="19"/>
      <c r="FJ326" s="19"/>
      <c r="FK326" s="19"/>
      <c r="FL326" s="20" t="s">
        <v>1144</v>
      </c>
      <c r="FM326" s="20" t="s">
        <v>255</v>
      </c>
      <c r="FN326" s="19"/>
      <c r="FO326" s="19"/>
      <c r="FP326" s="19"/>
      <c r="FQ326" s="19"/>
      <c r="FR326" s="19"/>
      <c r="FS326" s="19"/>
      <c r="FT326" s="19"/>
      <c r="FU326" s="19"/>
      <c r="FV326" s="19"/>
      <c r="FW326" s="19"/>
      <c r="FX326" s="19"/>
      <c r="FY326" s="19"/>
      <c r="FZ326" s="19"/>
      <c r="GA326" s="19"/>
      <c r="GB326" s="19"/>
      <c r="GC326" s="19"/>
      <c r="GD326" s="19"/>
      <c r="GE326" s="19"/>
      <c r="GF326" s="19"/>
      <c r="GG326" s="19"/>
      <c r="GH326" s="19"/>
      <c r="GI326" s="19"/>
      <c r="GJ326" s="19"/>
      <c r="GK326" s="19"/>
      <c r="GL326" s="19"/>
      <c r="GM326" s="19"/>
      <c r="GN326" s="19"/>
      <c r="GO326" s="19"/>
      <c r="GP326" s="19"/>
      <c r="GQ326" s="19"/>
      <c r="GR326" s="19"/>
      <c r="GS326" s="19"/>
      <c r="GT326" s="19"/>
      <c r="GU326" s="19"/>
      <c r="GV326" s="19"/>
      <c r="GW326" s="19"/>
      <c r="GX326" s="19"/>
      <c r="GY326" s="19"/>
      <c r="GZ326" s="19"/>
      <c r="HA326" s="19"/>
    </row>
    <row r="327" spans="1:209" ht="23.25" customHeight="1" x14ac:dyDescent="0.15">
      <c r="A327" s="26">
        <v>44660.347659699073</v>
      </c>
      <c r="B327" s="27" t="s">
        <v>6</v>
      </c>
      <c r="C327" s="27" t="s">
        <v>10</v>
      </c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7" t="s">
        <v>1163</v>
      </c>
      <c r="AO327" s="27" t="s">
        <v>1164</v>
      </c>
      <c r="AP327" s="27" t="s">
        <v>1177</v>
      </c>
      <c r="AQ327" s="27" t="s">
        <v>807</v>
      </c>
      <c r="AR327" s="29">
        <v>44470</v>
      </c>
      <c r="AS327" s="29">
        <v>44561</v>
      </c>
      <c r="AT327" s="27" t="s">
        <v>252</v>
      </c>
      <c r="AU327" s="27" t="s">
        <v>252</v>
      </c>
      <c r="AV327" s="27">
        <v>0</v>
      </c>
      <c r="AW327" s="30" t="s">
        <v>1178</v>
      </c>
      <c r="AX327" s="28"/>
      <c r="AY327" s="28"/>
      <c r="AZ327" s="28"/>
      <c r="BA327" s="28"/>
      <c r="BB327" s="28"/>
      <c r="BC327" s="28"/>
      <c r="BD327" s="28"/>
      <c r="BE327" s="28"/>
      <c r="BF327" s="28"/>
      <c r="BG327" s="28"/>
      <c r="BH327" s="28"/>
      <c r="BI327" s="28"/>
      <c r="BJ327" s="28"/>
      <c r="BK327" s="28"/>
      <c r="BL327" s="28"/>
      <c r="BM327" s="28"/>
      <c r="BN327" s="28"/>
      <c r="BO327" s="28"/>
      <c r="BP327" s="28"/>
      <c r="BQ327" s="28"/>
      <c r="BR327" s="28"/>
      <c r="BS327" s="28"/>
      <c r="BT327" s="28"/>
      <c r="BU327" s="28"/>
      <c r="BV327" s="28"/>
      <c r="BW327" s="28"/>
      <c r="BX327" s="28"/>
      <c r="BY327" s="19"/>
      <c r="BZ327" s="19"/>
      <c r="CA327" s="19"/>
      <c r="CB327" s="19"/>
      <c r="CC327" s="19"/>
      <c r="CD327" s="19"/>
      <c r="CE327" s="19"/>
      <c r="CF327" s="19"/>
      <c r="CG327" s="19"/>
      <c r="CH327" s="19"/>
      <c r="CI327" s="19"/>
      <c r="CJ327" s="19"/>
      <c r="CK327" s="19"/>
      <c r="CL327" s="19"/>
      <c r="CM327" s="19"/>
      <c r="CN327" s="19"/>
      <c r="CO327" s="19"/>
      <c r="CP327" s="19"/>
      <c r="CQ327" s="19"/>
      <c r="CR327" s="19"/>
      <c r="CS327" s="19"/>
      <c r="CT327" s="19"/>
      <c r="CU327" s="19"/>
      <c r="CV327" s="19"/>
      <c r="CW327" s="19"/>
      <c r="CX327" s="19"/>
      <c r="CY327" s="19"/>
      <c r="CZ327" s="19"/>
      <c r="DA327" s="19"/>
      <c r="DB327" s="19"/>
      <c r="DC327" s="19"/>
      <c r="DD327" s="19"/>
      <c r="DE327" s="19"/>
      <c r="DF327" s="19"/>
      <c r="DG327" s="19"/>
      <c r="DH327" s="19"/>
      <c r="DI327" s="19"/>
      <c r="DJ327" s="19"/>
      <c r="DK327" s="19"/>
      <c r="DL327" s="19"/>
      <c r="DM327" s="19"/>
      <c r="DN327" s="19"/>
      <c r="DO327" s="19"/>
      <c r="DP327" s="19"/>
      <c r="DQ327" s="19"/>
      <c r="DR327" s="19"/>
      <c r="DS327" s="19"/>
      <c r="DT327" s="19"/>
      <c r="DU327" s="19"/>
      <c r="DV327" s="19"/>
      <c r="DW327" s="19"/>
      <c r="DX327" s="19"/>
      <c r="DY327" s="19"/>
      <c r="DZ327" s="19"/>
      <c r="EA327" s="19"/>
      <c r="EB327" s="19"/>
      <c r="EC327" s="19"/>
      <c r="ED327" s="19"/>
      <c r="EE327" s="19"/>
      <c r="EF327" s="19"/>
      <c r="EG327" s="19"/>
      <c r="EH327" s="19"/>
      <c r="EI327" s="19"/>
      <c r="EJ327" s="19"/>
      <c r="EK327" s="19"/>
      <c r="EL327" s="19"/>
      <c r="EM327" s="19"/>
      <c r="EN327" s="19"/>
      <c r="EO327" s="19"/>
      <c r="EP327" s="19"/>
      <c r="EQ327" s="19"/>
      <c r="ER327" s="19"/>
      <c r="ES327" s="19"/>
      <c r="ET327" s="19"/>
      <c r="EU327" s="19"/>
      <c r="EV327" s="19"/>
      <c r="EW327" s="19"/>
      <c r="EX327" s="19"/>
      <c r="EY327" s="19"/>
      <c r="EZ327" s="19"/>
      <c r="FA327" s="19"/>
      <c r="FB327" s="19"/>
      <c r="FC327" s="19"/>
      <c r="FD327" s="19"/>
      <c r="FE327" s="19"/>
      <c r="FF327" s="19"/>
      <c r="FG327" s="19"/>
      <c r="FH327" s="19"/>
      <c r="FI327" s="19"/>
      <c r="FJ327" s="19"/>
      <c r="FK327" s="19"/>
      <c r="FL327" s="20" t="s">
        <v>1160</v>
      </c>
      <c r="FM327" s="20" t="s">
        <v>278</v>
      </c>
      <c r="FN327" s="19"/>
      <c r="FO327" s="19"/>
      <c r="FP327" s="19"/>
      <c r="FQ327" s="19"/>
      <c r="FR327" s="19"/>
      <c r="FS327" s="19"/>
      <c r="FT327" s="19"/>
      <c r="FU327" s="19"/>
      <c r="FV327" s="19"/>
      <c r="FW327" s="19"/>
      <c r="FX327" s="19"/>
      <c r="FY327" s="19"/>
      <c r="FZ327" s="19"/>
      <c r="GA327" s="19"/>
      <c r="GB327" s="19"/>
      <c r="GC327" s="19"/>
      <c r="GD327" s="19"/>
      <c r="GE327" s="19"/>
      <c r="GF327" s="19"/>
      <c r="GG327" s="19"/>
      <c r="GH327" s="19"/>
      <c r="GI327" s="19"/>
      <c r="GJ327" s="19"/>
      <c r="GK327" s="19"/>
      <c r="GL327" s="19"/>
      <c r="GM327" s="19"/>
      <c r="GN327" s="19"/>
      <c r="GO327" s="19"/>
      <c r="GP327" s="19"/>
      <c r="GQ327" s="19"/>
      <c r="GR327" s="19"/>
      <c r="GS327" s="19"/>
      <c r="GT327" s="19"/>
      <c r="GU327" s="19"/>
      <c r="GV327" s="19"/>
      <c r="GW327" s="19"/>
      <c r="GX327" s="19"/>
      <c r="GY327" s="19"/>
      <c r="GZ327" s="19"/>
      <c r="HA327" s="19"/>
    </row>
    <row r="328" spans="1:209" ht="23.25" customHeight="1" x14ac:dyDescent="0.15">
      <c r="A328" s="26">
        <v>44660.350194479164</v>
      </c>
      <c r="B328" s="27" t="s">
        <v>6</v>
      </c>
      <c r="C328" s="27" t="s">
        <v>11</v>
      </c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  <c r="AX328" s="27" t="s">
        <v>1179</v>
      </c>
      <c r="AY328" s="27" t="s">
        <v>1164</v>
      </c>
      <c r="AZ328" s="27" t="s">
        <v>1180</v>
      </c>
      <c r="BA328" s="27" t="s">
        <v>375</v>
      </c>
      <c r="BB328" s="27" t="s">
        <v>408</v>
      </c>
      <c r="BC328" s="29">
        <v>43525</v>
      </c>
      <c r="BD328" s="29">
        <v>43585</v>
      </c>
      <c r="BE328" s="29">
        <v>43585</v>
      </c>
      <c r="BF328" s="27">
        <v>89</v>
      </c>
      <c r="BG328" s="27" t="s">
        <v>1181</v>
      </c>
      <c r="BH328" s="30" t="s">
        <v>1182</v>
      </c>
      <c r="BI328" s="28"/>
      <c r="BJ328" s="28"/>
      <c r="BK328" s="28"/>
      <c r="BL328" s="28"/>
      <c r="BM328" s="28"/>
      <c r="BN328" s="28"/>
      <c r="BO328" s="28"/>
      <c r="BP328" s="28"/>
      <c r="BQ328" s="28"/>
      <c r="BR328" s="28"/>
      <c r="BS328" s="28"/>
      <c r="BT328" s="28"/>
      <c r="BU328" s="28"/>
      <c r="BV328" s="28"/>
      <c r="BW328" s="28"/>
      <c r="BX328" s="28"/>
      <c r="BY328" s="19"/>
      <c r="BZ328" s="19"/>
      <c r="CA328" s="19"/>
      <c r="CB328" s="19"/>
      <c r="CC328" s="19"/>
      <c r="CD328" s="19"/>
      <c r="CE328" s="19"/>
      <c r="CF328" s="19"/>
      <c r="CG328" s="19"/>
      <c r="CH328" s="19"/>
      <c r="CI328" s="19"/>
      <c r="CJ328" s="19"/>
      <c r="CK328" s="19"/>
      <c r="CL328" s="19"/>
      <c r="CM328" s="19"/>
      <c r="CN328" s="19"/>
      <c r="CO328" s="19"/>
      <c r="CP328" s="19"/>
      <c r="CQ328" s="19"/>
      <c r="CR328" s="19"/>
      <c r="CS328" s="19"/>
      <c r="CT328" s="19"/>
      <c r="CU328" s="19"/>
      <c r="CV328" s="19"/>
      <c r="CW328" s="19"/>
      <c r="CX328" s="19"/>
      <c r="CY328" s="19"/>
      <c r="CZ328" s="19"/>
      <c r="DA328" s="19"/>
      <c r="DB328" s="19"/>
      <c r="DC328" s="19"/>
      <c r="DD328" s="19"/>
      <c r="DE328" s="19"/>
      <c r="DF328" s="19"/>
      <c r="DG328" s="19"/>
      <c r="DH328" s="19"/>
      <c r="DI328" s="19"/>
      <c r="DJ328" s="19"/>
      <c r="DK328" s="19"/>
      <c r="DL328" s="19"/>
      <c r="DM328" s="19"/>
      <c r="DN328" s="19"/>
      <c r="DO328" s="19"/>
      <c r="DP328" s="19"/>
      <c r="DQ328" s="19"/>
      <c r="DR328" s="19"/>
      <c r="DS328" s="19"/>
      <c r="DT328" s="19"/>
      <c r="DU328" s="19"/>
      <c r="DV328" s="19"/>
      <c r="DW328" s="19"/>
      <c r="DX328" s="19"/>
      <c r="DY328" s="19"/>
      <c r="DZ328" s="19"/>
      <c r="EA328" s="19"/>
      <c r="EB328" s="19"/>
      <c r="EC328" s="19"/>
      <c r="ED328" s="19"/>
      <c r="EE328" s="19"/>
      <c r="EF328" s="19"/>
      <c r="EG328" s="19"/>
      <c r="EH328" s="19"/>
      <c r="EI328" s="19"/>
      <c r="EJ328" s="19"/>
      <c r="EK328" s="19"/>
      <c r="EL328" s="19"/>
      <c r="EM328" s="19"/>
      <c r="EN328" s="19"/>
      <c r="EO328" s="19"/>
      <c r="EP328" s="19"/>
      <c r="EQ328" s="19"/>
      <c r="ER328" s="19"/>
      <c r="ES328" s="19"/>
      <c r="ET328" s="19"/>
      <c r="EU328" s="19"/>
      <c r="EV328" s="19"/>
      <c r="EW328" s="19"/>
      <c r="EX328" s="19"/>
      <c r="EY328" s="19"/>
      <c r="EZ328" s="19"/>
      <c r="FA328" s="19"/>
      <c r="FB328" s="19"/>
      <c r="FC328" s="19"/>
      <c r="FD328" s="19"/>
      <c r="FE328" s="19"/>
      <c r="FF328" s="19"/>
      <c r="FG328" s="19"/>
      <c r="FH328" s="19"/>
      <c r="FI328" s="19"/>
      <c r="FJ328" s="19"/>
      <c r="FK328" s="19"/>
      <c r="FL328" s="20" t="s">
        <v>1160</v>
      </c>
      <c r="FM328" s="20" t="s">
        <v>380</v>
      </c>
      <c r="FN328" s="19"/>
      <c r="FO328" s="19"/>
      <c r="FP328" s="19"/>
      <c r="FQ328" s="19"/>
      <c r="FR328" s="19"/>
      <c r="FS328" s="19"/>
      <c r="FT328" s="19"/>
      <c r="FU328" s="19"/>
      <c r="FV328" s="19"/>
      <c r="FW328" s="19"/>
      <c r="FX328" s="19"/>
      <c r="FY328" s="19"/>
      <c r="FZ328" s="19"/>
      <c r="GA328" s="19"/>
      <c r="GB328" s="19"/>
      <c r="GC328" s="19"/>
      <c r="GD328" s="19"/>
      <c r="GE328" s="19"/>
      <c r="GF328" s="19"/>
      <c r="GG328" s="19"/>
      <c r="GH328" s="19"/>
      <c r="GI328" s="19"/>
      <c r="GJ328" s="19"/>
      <c r="GK328" s="19"/>
      <c r="GL328" s="19"/>
      <c r="GM328" s="19"/>
      <c r="GN328" s="19"/>
      <c r="GO328" s="19"/>
      <c r="GP328" s="19"/>
      <c r="GQ328" s="19"/>
      <c r="GR328" s="19"/>
      <c r="GS328" s="19"/>
      <c r="GT328" s="19"/>
      <c r="GU328" s="19"/>
      <c r="GV328" s="19"/>
      <c r="GW328" s="19"/>
      <c r="GX328" s="19"/>
      <c r="GY328" s="19"/>
      <c r="GZ328" s="19"/>
      <c r="HA328" s="19"/>
    </row>
    <row r="329" spans="1:209" ht="23.25" customHeight="1" x14ac:dyDescent="0.15">
      <c r="A329" s="26">
        <v>44660.351366516203</v>
      </c>
      <c r="B329" s="27" t="s">
        <v>6</v>
      </c>
      <c r="C329" s="27" t="s">
        <v>10</v>
      </c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7" t="s">
        <v>1183</v>
      </c>
      <c r="AO329" s="27" t="s">
        <v>1184</v>
      </c>
      <c r="AP329" s="27" t="s">
        <v>307</v>
      </c>
      <c r="AQ329" s="27" t="s">
        <v>300</v>
      </c>
      <c r="AR329" s="29">
        <v>44470</v>
      </c>
      <c r="AS329" s="29">
        <v>44561</v>
      </c>
      <c r="AT329" s="27" t="s">
        <v>252</v>
      </c>
      <c r="AU329" s="27" t="s">
        <v>252</v>
      </c>
      <c r="AV329" s="27">
        <v>0</v>
      </c>
      <c r="AW329" s="30" t="s">
        <v>1185</v>
      </c>
      <c r="AX329" s="28"/>
      <c r="AY329" s="28"/>
      <c r="AZ329" s="28"/>
      <c r="BA329" s="28"/>
      <c r="BB329" s="28"/>
      <c r="BC329" s="28"/>
      <c r="BD329" s="28"/>
      <c r="BE329" s="28"/>
      <c r="BF329" s="28"/>
      <c r="BG329" s="28"/>
      <c r="BH329" s="28"/>
      <c r="BI329" s="28"/>
      <c r="BJ329" s="28"/>
      <c r="BK329" s="28"/>
      <c r="BL329" s="28"/>
      <c r="BM329" s="28"/>
      <c r="BN329" s="28"/>
      <c r="BO329" s="28"/>
      <c r="BP329" s="28"/>
      <c r="BQ329" s="28"/>
      <c r="BR329" s="28"/>
      <c r="BS329" s="28"/>
      <c r="BT329" s="28"/>
      <c r="BU329" s="28"/>
      <c r="BV329" s="28"/>
      <c r="BW329" s="28"/>
      <c r="BX329" s="28"/>
      <c r="BY329" s="19"/>
      <c r="BZ329" s="19"/>
      <c r="CA329" s="19"/>
      <c r="CB329" s="19"/>
      <c r="CC329" s="19"/>
      <c r="CD329" s="19"/>
      <c r="CE329" s="19"/>
      <c r="CF329" s="19"/>
      <c r="CG329" s="19"/>
      <c r="CH329" s="19"/>
      <c r="CI329" s="19"/>
      <c r="CJ329" s="19"/>
      <c r="CK329" s="19"/>
      <c r="CL329" s="19"/>
      <c r="CM329" s="19"/>
      <c r="CN329" s="19"/>
      <c r="CO329" s="19"/>
      <c r="CP329" s="19"/>
      <c r="CQ329" s="19"/>
      <c r="CR329" s="19"/>
      <c r="CS329" s="19"/>
      <c r="CT329" s="19"/>
      <c r="CU329" s="19"/>
      <c r="CV329" s="19"/>
      <c r="CW329" s="19"/>
      <c r="CX329" s="19"/>
      <c r="CY329" s="19"/>
      <c r="CZ329" s="19"/>
      <c r="DA329" s="19"/>
      <c r="DB329" s="19"/>
      <c r="DC329" s="19"/>
      <c r="DD329" s="19"/>
      <c r="DE329" s="19"/>
      <c r="DF329" s="19"/>
      <c r="DG329" s="19"/>
      <c r="DH329" s="19"/>
      <c r="DI329" s="19"/>
      <c r="DJ329" s="19"/>
      <c r="DK329" s="19"/>
      <c r="DL329" s="19"/>
      <c r="DM329" s="19"/>
      <c r="DN329" s="19"/>
      <c r="DO329" s="19"/>
      <c r="DP329" s="19"/>
      <c r="DQ329" s="19"/>
      <c r="DR329" s="19"/>
      <c r="DS329" s="19"/>
      <c r="DT329" s="19"/>
      <c r="DU329" s="19"/>
      <c r="DV329" s="19"/>
      <c r="DW329" s="19"/>
      <c r="DX329" s="19"/>
      <c r="DY329" s="19"/>
      <c r="DZ329" s="19"/>
      <c r="EA329" s="19"/>
      <c r="EB329" s="19"/>
      <c r="EC329" s="19"/>
      <c r="ED329" s="19"/>
      <c r="EE329" s="19"/>
      <c r="EF329" s="19"/>
      <c r="EG329" s="19"/>
      <c r="EH329" s="19"/>
      <c r="EI329" s="19"/>
      <c r="EJ329" s="19"/>
      <c r="EK329" s="19"/>
      <c r="EL329" s="19"/>
      <c r="EM329" s="19"/>
      <c r="EN329" s="19"/>
      <c r="EO329" s="19"/>
      <c r="EP329" s="19"/>
      <c r="EQ329" s="19"/>
      <c r="ER329" s="19"/>
      <c r="ES329" s="19"/>
      <c r="ET329" s="19"/>
      <c r="EU329" s="19"/>
      <c r="EV329" s="19"/>
      <c r="EW329" s="19"/>
      <c r="EX329" s="19"/>
      <c r="EY329" s="19"/>
      <c r="EZ329" s="19"/>
      <c r="FA329" s="19"/>
      <c r="FB329" s="19"/>
      <c r="FC329" s="19"/>
      <c r="FD329" s="19"/>
      <c r="FE329" s="19"/>
      <c r="FF329" s="19"/>
      <c r="FG329" s="19"/>
      <c r="FH329" s="19"/>
      <c r="FI329" s="19"/>
      <c r="FJ329" s="19"/>
      <c r="FK329" s="19"/>
      <c r="FL329" s="20" t="s">
        <v>1186</v>
      </c>
      <c r="FM329" s="20" t="s">
        <v>273</v>
      </c>
      <c r="FN329" s="19"/>
      <c r="FO329" s="19"/>
      <c r="FP329" s="19"/>
      <c r="FQ329" s="19"/>
      <c r="FR329" s="19"/>
      <c r="FS329" s="19"/>
      <c r="FT329" s="19"/>
      <c r="FU329" s="19"/>
      <c r="FV329" s="19"/>
      <c r="FW329" s="19"/>
      <c r="FX329" s="19"/>
      <c r="FY329" s="19"/>
      <c r="FZ329" s="19"/>
      <c r="GA329" s="19"/>
      <c r="GB329" s="19"/>
      <c r="GC329" s="19"/>
      <c r="GD329" s="19"/>
      <c r="GE329" s="19"/>
      <c r="GF329" s="19"/>
      <c r="GG329" s="19"/>
      <c r="GH329" s="19"/>
      <c r="GI329" s="19"/>
      <c r="GJ329" s="19"/>
      <c r="GK329" s="19"/>
      <c r="GL329" s="19"/>
      <c r="GM329" s="19"/>
      <c r="GN329" s="19"/>
      <c r="GO329" s="19"/>
      <c r="GP329" s="19"/>
      <c r="GQ329" s="19"/>
      <c r="GR329" s="19"/>
      <c r="GS329" s="19"/>
      <c r="GT329" s="19"/>
      <c r="GU329" s="19"/>
      <c r="GV329" s="19"/>
      <c r="GW329" s="19"/>
      <c r="GX329" s="19"/>
      <c r="GY329" s="19"/>
      <c r="GZ329" s="19"/>
      <c r="HA329" s="19"/>
    </row>
    <row r="330" spans="1:209" ht="23.25" customHeight="1" x14ac:dyDescent="0.15">
      <c r="A330" s="26">
        <v>44660.352050810186</v>
      </c>
      <c r="B330" s="27" t="s">
        <v>6</v>
      </c>
      <c r="C330" s="27" t="s">
        <v>11</v>
      </c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  <c r="AX330" s="27" t="s">
        <v>1140</v>
      </c>
      <c r="AY330" s="27" t="s">
        <v>1141</v>
      </c>
      <c r="AZ330" s="27" t="s">
        <v>639</v>
      </c>
      <c r="BA330" s="27" t="s">
        <v>1187</v>
      </c>
      <c r="BB330" s="27" t="s">
        <v>493</v>
      </c>
      <c r="BC330" s="29">
        <v>44371</v>
      </c>
      <c r="BD330" s="29">
        <v>44401</v>
      </c>
      <c r="BE330" s="29">
        <v>44401</v>
      </c>
      <c r="BF330" s="27">
        <v>100</v>
      </c>
      <c r="BG330" s="27" t="s">
        <v>1188</v>
      </c>
      <c r="BH330" s="30" t="s">
        <v>1189</v>
      </c>
      <c r="BI330" s="28"/>
      <c r="BJ330" s="28"/>
      <c r="BK330" s="28"/>
      <c r="BL330" s="28"/>
      <c r="BM330" s="28"/>
      <c r="BN330" s="28"/>
      <c r="BO330" s="28"/>
      <c r="BP330" s="28"/>
      <c r="BQ330" s="28"/>
      <c r="BR330" s="28"/>
      <c r="BS330" s="28"/>
      <c r="BT330" s="28"/>
      <c r="BU330" s="28"/>
      <c r="BV330" s="28"/>
      <c r="BW330" s="28"/>
      <c r="BX330" s="28"/>
      <c r="BY330" s="19"/>
      <c r="BZ330" s="19"/>
      <c r="CA330" s="19"/>
      <c r="CB330" s="19"/>
      <c r="CC330" s="19"/>
      <c r="CD330" s="19"/>
      <c r="CE330" s="19"/>
      <c r="CF330" s="19"/>
      <c r="CG330" s="19"/>
      <c r="CH330" s="19"/>
      <c r="CI330" s="19"/>
      <c r="CJ330" s="19"/>
      <c r="CK330" s="19"/>
      <c r="CL330" s="19"/>
      <c r="CM330" s="19"/>
      <c r="CN330" s="19"/>
      <c r="CO330" s="19"/>
      <c r="CP330" s="19"/>
      <c r="CQ330" s="19"/>
      <c r="CR330" s="19"/>
      <c r="CS330" s="19"/>
      <c r="CT330" s="19"/>
      <c r="CU330" s="19"/>
      <c r="CV330" s="19"/>
      <c r="CW330" s="19"/>
      <c r="CX330" s="19"/>
      <c r="CY330" s="19"/>
      <c r="CZ330" s="19"/>
      <c r="DA330" s="19"/>
      <c r="DB330" s="19"/>
      <c r="DC330" s="19"/>
      <c r="DD330" s="19"/>
      <c r="DE330" s="19"/>
      <c r="DF330" s="19"/>
      <c r="DG330" s="19"/>
      <c r="DH330" s="19"/>
      <c r="DI330" s="19"/>
      <c r="DJ330" s="19"/>
      <c r="DK330" s="19"/>
      <c r="DL330" s="19"/>
      <c r="DM330" s="19"/>
      <c r="DN330" s="19"/>
      <c r="DO330" s="19"/>
      <c r="DP330" s="19"/>
      <c r="DQ330" s="19"/>
      <c r="DR330" s="19"/>
      <c r="DS330" s="19"/>
      <c r="DT330" s="19"/>
      <c r="DU330" s="19"/>
      <c r="DV330" s="19"/>
      <c r="DW330" s="19"/>
      <c r="DX330" s="19"/>
      <c r="DY330" s="19"/>
      <c r="DZ330" s="19"/>
      <c r="EA330" s="19"/>
      <c r="EB330" s="19"/>
      <c r="EC330" s="19"/>
      <c r="ED330" s="19"/>
      <c r="EE330" s="19"/>
      <c r="EF330" s="19"/>
      <c r="EG330" s="19"/>
      <c r="EH330" s="19"/>
      <c r="EI330" s="19"/>
      <c r="EJ330" s="19"/>
      <c r="EK330" s="19"/>
      <c r="EL330" s="19"/>
      <c r="EM330" s="19"/>
      <c r="EN330" s="19"/>
      <c r="EO330" s="19"/>
      <c r="EP330" s="19"/>
      <c r="EQ330" s="19"/>
      <c r="ER330" s="19"/>
      <c r="ES330" s="19"/>
      <c r="ET330" s="19"/>
      <c r="EU330" s="19"/>
      <c r="EV330" s="19"/>
      <c r="EW330" s="19"/>
      <c r="EX330" s="19"/>
      <c r="EY330" s="19"/>
      <c r="EZ330" s="19"/>
      <c r="FA330" s="19"/>
      <c r="FB330" s="19"/>
      <c r="FC330" s="19"/>
      <c r="FD330" s="19"/>
      <c r="FE330" s="19"/>
      <c r="FF330" s="19"/>
      <c r="FG330" s="19"/>
      <c r="FH330" s="19"/>
      <c r="FI330" s="19"/>
      <c r="FJ330" s="19"/>
      <c r="FK330" s="19"/>
      <c r="FL330" s="20" t="s">
        <v>1144</v>
      </c>
      <c r="FM330" s="20" t="s">
        <v>255</v>
      </c>
      <c r="FN330" s="19"/>
      <c r="FO330" s="19"/>
      <c r="FP330" s="19"/>
      <c r="FQ330" s="19"/>
      <c r="FR330" s="19"/>
      <c r="FS330" s="19"/>
      <c r="FT330" s="19"/>
      <c r="FU330" s="19"/>
      <c r="FV330" s="19"/>
      <c r="FW330" s="19"/>
      <c r="FX330" s="19"/>
      <c r="FY330" s="19"/>
      <c r="FZ330" s="19"/>
      <c r="GA330" s="19"/>
      <c r="GB330" s="19"/>
      <c r="GC330" s="19"/>
      <c r="GD330" s="19"/>
      <c r="GE330" s="19"/>
      <c r="GF330" s="19"/>
      <c r="GG330" s="19"/>
      <c r="GH330" s="19"/>
      <c r="GI330" s="19"/>
      <c r="GJ330" s="19"/>
      <c r="GK330" s="19"/>
      <c r="GL330" s="19"/>
      <c r="GM330" s="19"/>
      <c r="GN330" s="19"/>
      <c r="GO330" s="19"/>
      <c r="GP330" s="19"/>
      <c r="GQ330" s="19"/>
      <c r="GR330" s="19"/>
      <c r="GS330" s="19"/>
      <c r="GT330" s="19"/>
      <c r="GU330" s="19"/>
      <c r="GV330" s="19"/>
      <c r="GW330" s="19"/>
      <c r="GX330" s="19"/>
      <c r="GY330" s="19"/>
      <c r="GZ330" s="19"/>
      <c r="HA330" s="19"/>
    </row>
    <row r="331" spans="1:209" ht="23.25" customHeight="1" x14ac:dyDescent="0.15">
      <c r="A331" s="26">
        <v>44660.352526041665</v>
      </c>
      <c r="B331" s="27" t="s">
        <v>6</v>
      </c>
      <c r="C331" s="27" t="s">
        <v>11</v>
      </c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  <c r="AX331" s="27" t="s">
        <v>1179</v>
      </c>
      <c r="AY331" s="27" t="s">
        <v>1164</v>
      </c>
      <c r="AZ331" s="27" t="s">
        <v>1190</v>
      </c>
      <c r="BA331" s="27" t="s">
        <v>375</v>
      </c>
      <c r="BB331" s="27" t="s">
        <v>493</v>
      </c>
      <c r="BC331" s="29">
        <v>44256</v>
      </c>
      <c r="BD331" s="29">
        <v>44316</v>
      </c>
      <c r="BE331" s="29">
        <v>44316</v>
      </c>
      <c r="BF331" s="27">
        <v>85</v>
      </c>
      <c r="BG331" s="27" t="s">
        <v>1181</v>
      </c>
      <c r="BH331" s="30" t="s">
        <v>1191</v>
      </c>
      <c r="BI331" s="28"/>
      <c r="BJ331" s="28"/>
      <c r="BK331" s="28"/>
      <c r="BL331" s="28"/>
      <c r="BM331" s="28"/>
      <c r="BN331" s="28"/>
      <c r="BO331" s="28"/>
      <c r="BP331" s="28"/>
      <c r="BQ331" s="28"/>
      <c r="BR331" s="28"/>
      <c r="BS331" s="28"/>
      <c r="BT331" s="28"/>
      <c r="BU331" s="28"/>
      <c r="BV331" s="28"/>
      <c r="BW331" s="28"/>
      <c r="BX331" s="28"/>
      <c r="BY331" s="19"/>
      <c r="BZ331" s="19"/>
      <c r="CA331" s="19"/>
      <c r="CB331" s="19"/>
      <c r="CC331" s="19"/>
      <c r="CD331" s="19"/>
      <c r="CE331" s="19"/>
      <c r="CF331" s="19"/>
      <c r="CG331" s="19"/>
      <c r="CH331" s="19"/>
      <c r="CI331" s="19"/>
      <c r="CJ331" s="19"/>
      <c r="CK331" s="19"/>
      <c r="CL331" s="19"/>
      <c r="CM331" s="19"/>
      <c r="CN331" s="19"/>
      <c r="CO331" s="19"/>
      <c r="CP331" s="19"/>
      <c r="CQ331" s="19"/>
      <c r="CR331" s="19"/>
      <c r="CS331" s="19"/>
      <c r="CT331" s="19"/>
      <c r="CU331" s="19"/>
      <c r="CV331" s="19"/>
      <c r="CW331" s="19"/>
      <c r="CX331" s="19"/>
      <c r="CY331" s="19"/>
      <c r="CZ331" s="19"/>
      <c r="DA331" s="19"/>
      <c r="DB331" s="19"/>
      <c r="DC331" s="19"/>
      <c r="DD331" s="19"/>
      <c r="DE331" s="19"/>
      <c r="DF331" s="19"/>
      <c r="DG331" s="19"/>
      <c r="DH331" s="19"/>
      <c r="DI331" s="19"/>
      <c r="DJ331" s="19"/>
      <c r="DK331" s="19"/>
      <c r="DL331" s="19"/>
      <c r="DM331" s="19"/>
      <c r="DN331" s="19"/>
      <c r="DO331" s="19"/>
      <c r="DP331" s="19"/>
      <c r="DQ331" s="19"/>
      <c r="DR331" s="19"/>
      <c r="DS331" s="19"/>
      <c r="DT331" s="19"/>
      <c r="DU331" s="19"/>
      <c r="DV331" s="19"/>
      <c r="DW331" s="19"/>
      <c r="DX331" s="19"/>
      <c r="DY331" s="19"/>
      <c r="DZ331" s="19"/>
      <c r="EA331" s="19"/>
      <c r="EB331" s="19"/>
      <c r="EC331" s="19"/>
      <c r="ED331" s="19"/>
      <c r="EE331" s="19"/>
      <c r="EF331" s="19"/>
      <c r="EG331" s="19"/>
      <c r="EH331" s="19"/>
      <c r="EI331" s="19"/>
      <c r="EJ331" s="19"/>
      <c r="EK331" s="19"/>
      <c r="EL331" s="19"/>
      <c r="EM331" s="19"/>
      <c r="EN331" s="19"/>
      <c r="EO331" s="19"/>
      <c r="EP331" s="19"/>
      <c r="EQ331" s="19"/>
      <c r="ER331" s="19"/>
      <c r="ES331" s="19"/>
      <c r="ET331" s="19"/>
      <c r="EU331" s="19"/>
      <c r="EV331" s="19"/>
      <c r="EW331" s="19"/>
      <c r="EX331" s="19"/>
      <c r="EY331" s="19"/>
      <c r="EZ331" s="19"/>
      <c r="FA331" s="19"/>
      <c r="FB331" s="19"/>
      <c r="FC331" s="19"/>
      <c r="FD331" s="19"/>
      <c r="FE331" s="19"/>
      <c r="FF331" s="19"/>
      <c r="FG331" s="19"/>
      <c r="FH331" s="19"/>
      <c r="FI331" s="19"/>
      <c r="FJ331" s="19"/>
      <c r="FK331" s="19"/>
      <c r="FL331" s="20" t="s">
        <v>1160</v>
      </c>
      <c r="FM331" s="20" t="s">
        <v>339</v>
      </c>
      <c r="FN331" s="19"/>
      <c r="FO331" s="19"/>
      <c r="FP331" s="19"/>
      <c r="FQ331" s="19"/>
      <c r="FR331" s="19"/>
      <c r="FS331" s="19"/>
      <c r="FT331" s="19"/>
      <c r="FU331" s="19"/>
      <c r="FV331" s="19"/>
      <c r="FW331" s="19"/>
      <c r="FX331" s="19"/>
      <c r="FY331" s="19"/>
      <c r="FZ331" s="19"/>
      <c r="GA331" s="19"/>
      <c r="GB331" s="19"/>
      <c r="GC331" s="19"/>
      <c r="GD331" s="19"/>
      <c r="GE331" s="19"/>
      <c r="GF331" s="19"/>
      <c r="GG331" s="19"/>
      <c r="GH331" s="19"/>
      <c r="GI331" s="19"/>
      <c r="GJ331" s="19"/>
      <c r="GK331" s="19"/>
      <c r="GL331" s="19"/>
      <c r="GM331" s="19"/>
      <c r="GN331" s="19"/>
      <c r="GO331" s="19"/>
      <c r="GP331" s="19"/>
      <c r="GQ331" s="19"/>
      <c r="GR331" s="19"/>
      <c r="GS331" s="19"/>
      <c r="GT331" s="19"/>
      <c r="GU331" s="19"/>
      <c r="GV331" s="19"/>
      <c r="GW331" s="19"/>
      <c r="GX331" s="19"/>
      <c r="GY331" s="19"/>
      <c r="GZ331" s="19"/>
      <c r="HA331" s="19"/>
    </row>
    <row r="332" spans="1:209" ht="23.25" customHeight="1" x14ac:dyDescent="0.15">
      <c r="A332" s="26">
        <v>44660.354115949071</v>
      </c>
      <c r="B332" s="27" t="s">
        <v>6</v>
      </c>
      <c r="C332" s="27" t="s">
        <v>17</v>
      </c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  <c r="AX332" s="28"/>
      <c r="AY332" s="28"/>
      <c r="AZ332" s="28"/>
      <c r="BA332" s="28"/>
      <c r="BB332" s="28"/>
      <c r="BC332" s="28"/>
      <c r="BD332" s="28"/>
      <c r="BE332" s="28"/>
      <c r="BF332" s="28"/>
      <c r="BG332" s="28"/>
      <c r="BH332" s="28"/>
      <c r="BI332" s="28"/>
      <c r="BJ332" s="28"/>
      <c r="BK332" s="28"/>
      <c r="BL332" s="28"/>
      <c r="BM332" s="28"/>
      <c r="BN332" s="28"/>
      <c r="BO332" s="28"/>
      <c r="BP332" s="28"/>
      <c r="BQ332" s="28"/>
      <c r="BR332" s="28"/>
      <c r="BS332" s="28"/>
      <c r="BT332" s="28"/>
      <c r="BU332" s="28"/>
      <c r="BV332" s="28"/>
      <c r="BW332" s="28"/>
      <c r="BX332" s="28"/>
      <c r="BY332" s="19"/>
      <c r="BZ332" s="19"/>
      <c r="CA332" s="19"/>
      <c r="CB332" s="19"/>
      <c r="CC332" s="19"/>
      <c r="CD332" s="19"/>
      <c r="CE332" s="19"/>
      <c r="CF332" s="19"/>
      <c r="CG332" s="19"/>
      <c r="CH332" s="19"/>
      <c r="CI332" s="19"/>
      <c r="CJ332" s="19"/>
      <c r="CK332" s="19"/>
      <c r="CL332" s="19"/>
      <c r="CM332" s="19"/>
      <c r="CN332" s="19"/>
      <c r="CO332" s="19"/>
      <c r="CP332" s="19"/>
      <c r="CQ332" s="19"/>
      <c r="CR332" s="19"/>
      <c r="CS332" s="19"/>
      <c r="CT332" s="19"/>
      <c r="CU332" s="19"/>
      <c r="CV332" s="19"/>
      <c r="CW332" s="19"/>
      <c r="CX332" s="19"/>
      <c r="CY332" s="19"/>
      <c r="CZ332" s="19"/>
      <c r="DA332" s="19"/>
      <c r="DB332" s="19"/>
      <c r="DC332" s="19"/>
      <c r="DD332" s="19"/>
      <c r="DE332" s="19"/>
      <c r="DF332" s="19"/>
      <c r="DG332" s="19"/>
      <c r="DH332" s="19"/>
      <c r="DI332" s="19"/>
      <c r="DJ332" s="19"/>
      <c r="DK332" s="19"/>
      <c r="DL332" s="19"/>
      <c r="DM332" s="19"/>
      <c r="DN332" s="19"/>
      <c r="DO332" s="19"/>
      <c r="DP332" s="19"/>
      <c r="DQ332" s="19"/>
      <c r="DR332" s="19"/>
      <c r="DS332" s="19"/>
      <c r="DT332" s="19"/>
      <c r="DU332" s="19"/>
      <c r="DV332" s="19"/>
      <c r="DW332" s="19"/>
      <c r="DX332" s="20" t="s">
        <v>1192</v>
      </c>
      <c r="DY332" s="20" t="s">
        <v>1193</v>
      </c>
      <c r="DZ332" s="20" t="s">
        <v>311</v>
      </c>
      <c r="EA332" s="20" t="s">
        <v>1194</v>
      </c>
      <c r="EB332" s="21">
        <v>44573</v>
      </c>
      <c r="EC332" s="20" t="s">
        <v>1195</v>
      </c>
      <c r="ED332" s="22" t="s">
        <v>1196</v>
      </c>
      <c r="EE332" s="19"/>
      <c r="EF332" s="19"/>
      <c r="EG332" s="19"/>
      <c r="EH332" s="19"/>
      <c r="EI332" s="19"/>
      <c r="EJ332" s="19"/>
      <c r="EK332" s="19"/>
      <c r="EL332" s="19"/>
      <c r="EM332" s="19"/>
      <c r="EN332" s="19"/>
      <c r="EO332" s="19"/>
      <c r="EP332" s="19"/>
      <c r="EQ332" s="19"/>
      <c r="ER332" s="19"/>
      <c r="ES332" s="19"/>
      <c r="ET332" s="19"/>
      <c r="EU332" s="19"/>
      <c r="EV332" s="19"/>
      <c r="EW332" s="19"/>
      <c r="EX332" s="19"/>
      <c r="EY332" s="19"/>
      <c r="EZ332" s="19"/>
      <c r="FA332" s="19"/>
      <c r="FB332" s="19"/>
      <c r="FC332" s="19"/>
      <c r="FD332" s="19"/>
      <c r="FE332" s="19"/>
      <c r="FF332" s="19"/>
      <c r="FG332" s="19"/>
      <c r="FH332" s="19"/>
      <c r="FI332" s="19"/>
      <c r="FJ332" s="19"/>
      <c r="FK332" s="19"/>
      <c r="FL332" s="20" t="s">
        <v>1197</v>
      </c>
      <c r="FM332" s="20" t="s">
        <v>273</v>
      </c>
      <c r="FN332" s="19"/>
      <c r="FO332" s="19"/>
      <c r="FP332" s="19"/>
      <c r="FQ332" s="19"/>
      <c r="FR332" s="19"/>
      <c r="FS332" s="19"/>
      <c r="FT332" s="19"/>
      <c r="FU332" s="19"/>
      <c r="FV332" s="19"/>
      <c r="FW332" s="19"/>
      <c r="FX332" s="19"/>
      <c r="FY332" s="19"/>
      <c r="FZ332" s="19"/>
      <c r="GA332" s="19"/>
      <c r="GB332" s="19"/>
      <c r="GC332" s="19"/>
      <c r="GD332" s="19"/>
      <c r="GE332" s="19"/>
      <c r="GF332" s="19"/>
      <c r="GG332" s="19"/>
      <c r="GH332" s="19"/>
      <c r="GI332" s="19"/>
      <c r="GJ332" s="19"/>
      <c r="GK332" s="19"/>
      <c r="GL332" s="19"/>
      <c r="GM332" s="19"/>
      <c r="GN332" s="19"/>
      <c r="GO332" s="19"/>
      <c r="GP332" s="19"/>
      <c r="GQ332" s="19"/>
      <c r="GR332" s="19"/>
      <c r="GS332" s="19"/>
      <c r="GT332" s="19"/>
      <c r="GU332" s="19"/>
      <c r="GV332" s="19"/>
      <c r="GW332" s="19"/>
      <c r="GX332" s="19"/>
      <c r="GY332" s="19"/>
      <c r="GZ332" s="19"/>
      <c r="HA332" s="19"/>
    </row>
    <row r="333" spans="1:209" ht="23.25" customHeight="1" x14ac:dyDescent="0.15">
      <c r="A333" s="26">
        <v>44660.354214236111</v>
      </c>
      <c r="B333" s="27" t="s">
        <v>6</v>
      </c>
      <c r="C333" s="27" t="s">
        <v>11</v>
      </c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  <c r="AX333" s="27" t="s">
        <v>1163</v>
      </c>
      <c r="AY333" s="27" t="s">
        <v>1164</v>
      </c>
      <c r="AZ333" s="27" t="s">
        <v>354</v>
      </c>
      <c r="BA333" s="27" t="s">
        <v>375</v>
      </c>
      <c r="BB333" s="27" t="s">
        <v>408</v>
      </c>
      <c r="BC333" s="29">
        <v>44257</v>
      </c>
      <c r="BD333" s="29">
        <v>44315</v>
      </c>
      <c r="BE333" s="29">
        <v>44315</v>
      </c>
      <c r="BF333" s="27">
        <v>86</v>
      </c>
      <c r="BG333" s="27" t="s">
        <v>1198</v>
      </c>
      <c r="BH333" s="30" t="s">
        <v>1199</v>
      </c>
      <c r="BI333" s="28"/>
      <c r="BJ333" s="28"/>
      <c r="BK333" s="28"/>
      <c r="BL333" s="28"/>
      <c r="BM333" s="28"/>
      <c r="BN333" s="28"/>
      <c r="BO333" s="28"/>
      <c r="BP333" s="28"/>
      <c r="BQ333" s="28"/>
      <c r="BR333" s="28"/>
      <c r="BS333" s="28"/>
      <c r="BT333" s="28"/>
      <c r="BU333" s="28"/>
      <c r="BV333" s="28"/>
      <c r="BW333" s="28"/>
      <c r="BX333" s="28"/>
      <c r="BY333" s="19"/>
      <c r="BZ333" s="19"/>
      <c r="CA333" s="19"/>
      <c r="CB333" s="19"/>
      <c r="CC333" s="19"/>
      <c r="CD333" s="19"/>
      <c r="CE333" s="19"/>
      <c r="CF333" s="19"/>
      <c r="CG333" s="19"/>
      <c r="CH333" s="19"/>
      <c r="CI333" s="19"/>
      <c r="CJ333" s="19"/>
      <c r="CK333" s="19"/>
      <c r="CL333" s="19"/>
      <c r="CM333" s="19"/>
      <c r="CN333" s="19"/>
      <c r="CO333" s="19"/>
      <c r="CP333" s="19"/>
      <c r="CQ333" s="19"/>
      <c r="CR333" s="19"/>
      <c r="CS333" s="19"/>
      <c r="CT333" s="19"/>
      <c r="CU333" s="19"/>
      <c r="CV333" s="19"/>
      <c r="CW333" s="19"/>
      <c r="CX333" s="19"/>
      <c r="CY333" s="19"/>
      <c r="CZ333" s="19"/>
      <c r="DA333" s="19"/>
      <c r="DB333" s="19"/>
      <c r="DC333" s="19"/>
      <c r="DD333" s="19"/>
      <c r="DE333" s="19"/>
      <c r="DF333" s="19"/>
      <c r="DG333" s="19"/>
      <c r="DH333" s="19"/>
      <c r="DI333" s="19"/>
      <c r="DJ333" s="19"/>
      <c r="DK333" s="19"/>
      <c r="DL333" s="19"/>
      <c r="DM333" s="19"/>
      <c r="DN333" s="19"/>
      <c r="DO333" s="19"/>
      <c r="DP333" s="19"/>
      <c r="DQ333" s="19"/>
      <c r="DR333" s="19"/>
      <c r="DS333" s="19"/>
      <c r="DT333" s="19"/>
      <c r="DU333" s="19"/>
      <c r="DV333" s="19"/>
      <c r="DW333" s="19"/>
      <c r="DX333" s="19"/>
      <c r="DY333" s="19"/>
      <c r="DZ333" s="19"/>
      <c r="EA333" s="19"/>
      <c r="EB333" s="19"/>
      <c r="EC333" s="19"/>
      <c r="ED333" s="19"/>
      <c r="EE333" s="19"/>
      <c r="EF333" s="19"/>
      <c r="EG333" s="19"/>
      <c r="EH333" s="19"/>
      <c r="EI333" s="19"/>
      <c r="EJ333" s="19"/>
      <c r="EK333" s="19"/>
      <c r="EL333" s="19"/>
      <c r="EM333" s="19"/>
      <c r="EN333" s="19"/>
      <c r="EO333" s="19"/>
      <c r="EP333" s="19"/>
      <c r="EQ333" s="19"/>
      <c r="ER333" s="19"/>
      <c r="ES333" s="19"/>
      <c r="ET333" s="19"/>
      <c r="EU333" s="19"/>
      <c r="EV333" s="19"/>
      <c r="EW333" s="19"/>
      <c r="EX333" s="19"/>
      <c r="EY333" s="19"/>
      <c r="EZ333" s="19"/>
      <c r="FA333" s="19"/>
      <c r="FB333" s="19"/>
      <c r="FC333" s="19"/>
      <c r="FD333" s="19"/>
      <c r="FE333" s="19"/>
      <c r="FF333" s="19"/>
      <c r="FG333" s="19"/>
      <c r="FH333" s="19"/>
      <c r="FI333" s="19"/>
      <c r="FJ333" s="19"/>
      <c r="FK333" s="19"/>
      <c r="FL333" s="20" t="s">
        <v>1160</v>
      </c>
      <c r="FM333" s="20" t="s">
        <v>339</v>
      </c>
      <c r="FN333" s="19"/>
      <c r="FO333" s="19"/>
      <c r="FP333" s="19"/>
      <c r="FQ333" s="19"/>
      <c r="FR333" s="19"/>
      <c r="FS333" s="19"/>
      <c r="FT333" s="19"/>
      <c r="FU333" s="19"/>
      <c r="FV333" s="19"/>
      <c r="FW333" s="19"/>
      <c r="FX333" s="19"/>
      <c r="FY333" s="19"/>
      <c r="FZ333" s="19"/>
      <c r="GA333" s="19"/>
      <c r="GB333" s="19"/>
      <c r="GC333" s="19"/>
      <c r="GD333" s="19"/>
      <c r="GE333" s="19"/>
      <c r="GF333" s="19"/>
      <c r="GG333" s="19"/>
      <c r="GH333" s="19"/>
      <c r="GI333" s="19"/>
      <c r="GJ333" s="19"/>
      <c r="GK333" s="19"/>
      <c r="GL333" s="19"/>
      <c r="GM333" s="19"/>
      <c r="GN333" s="19"/>
      <c r="GO333" s="19"/>
      <c r="GP333" s="19"/>
      <c r="GQ333" s="19"/>
      <c r="GR333" s="19"/>
      <c r="GS333" s="19"/>
      <c r="GT333" s="19"/>
      <c r="GU333" s="19"/>
      <c r="GV333" s="19"/>
      <c r="GW333" s="19"/>
      <c r="GX333" s="19"/>
      <c r="GY333" s="19"/>
      <c r="GZ333" s="19"/>
      <c r="HA333" s="19"/>
    </row>
    <row r="334" spans="1:209" ht="23.25" customHeight="1" x14ac:dyDescent="0.15">
      <c r="A334" s="26">
        <v>44660.35462820602</v>
      </c>
      <c r="B334" s="27" t="s">
        <v>6</v>
      </c>
      <c r="C334" s="27" t="s">
        <v>11</v>
      </c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  <c r="AX334" s="27" t="s">
        <v>1200</v>
      </c>
      <c r="AY334" s="27" t="s">
        <v>1201</v>
      </c>
      <c r="AZ334" s="27" t="s">
        <v>1202</v>
      </c>
      <c r="BA334" s="27" t="s">
        <v>335</v>
      </c>
      <c r="BB334" s="27" t="s">
        <v>259</v>
      </c>
      <c r="BC334" s="29">
        <v>44177</v>
      </c>
      <c r="BD334" s="29">
        <v>44307</v>
      </c>
      <c r="BE334" s="29">
        <v>44328</v>
      </c>
      <c r="BF334" s="27">
        <v>90</v>
      </c>
      <c r="BG334" s="27" t="s">
        <v>1203</v>
      </c>
      <c r="BH334" s="30" t="s">
        <v>1204</v>
      </c>
      <c r="BI334" s="28"/>
      <c r="BJ334" s="28"/>
      <c r="BK334" s="28"/>
      <c r="BL334" s="28"/>
      <c r="BM334" s="28"/>
      <c r="BN334" s="28"/>
      <c r="BO334" s="28"/>
      <c r="BP334" s="28"/>
      <c r="BQ334" s="28"/>
      <c r="BR334" s="28"/>
      <c r="BS334" s="28"/>
      <c r="BT334" s="28"/>
      <c r="BU334" s="28"/>
      <c r="BV334" s="28"/>
      <c r="BW334" s="28"/>
      <c r="BX334" s="28"/>
      <c r="BY334" s="19"/>
      <c r="BZ334" s="19"/>
      <c r="CA334" s="19"/>
      <c r="CB334" s="19"/>
      <c r="CC334" s="19"/>
      <c r="CD334" s="19"/>
      <c r="CE334" s="19"/>
      <c r="CF334" s="19"/>
      <c r="CG334" s="19"/>
      <c r="CH334" s="19"/>
      <c r="CI334" s="19"/>
      <c r="CJ334" s="19"/>
      <c r="CK334" s="19"/>
      <c r="CL334" s="19"/>
      <c r="CM334" s="19"/>
      <c r="CN334" s="19"/>
      <c r="CO334" s="19"/>
      <c r="CP334" s="19"/>
      <c r="CQ334" s="19"/>
      <c r="CR334" s="19"/>
      <c r="CS334" s="19"/>
      <c r="CT334" s="19"/>
      <c r="CU334" s="19"/>
      <c r="CV334" s="19"/>
      <c r="CW334" s="19"/>
      <c r="CX334" s="19"/>
      <c r="CY334" s="19"/>
      <c r="CZ334" s="19"/>
      <c r="DA334" s="19"/>
      <c r="DB334" s="19"/>
      <c r="DC334" s="19"/>
      <c r="DD334" s="19"/>
      <c r="DE334" s="19"/>
      <c r="DF334" s="19"/>
      <c r="DG334" s="19"/>
      <c r="DH334" s="19"/>
      <c r="DI334" s="19"/>
      <c r="DJ334" s="19"/>
      <c r="DK334" s="19"/>
      <c r="DL334" s="19"/>
      <c r="DM334" s="19"/>
      <c r="DN334" s="19"/>
      <c r="DO334" s="19"/>
      <c r="DP334" s="19"/>
      <c r="DQ334" s="19"/>
      <c r="DR334" s="19"/>
      <c r="DS334" s="19"/>
      <c r="DT334" s="19"/>
      <c r="DU334" s="19"/>
      <c r="DV334" s="19"/>
      <c r="DW334" s="19"/>
      <c r="DX334" s="19"/>
      <c r="DY334" s="19"/>
      <c r="DZ334" s="19"/>
      <c r="EA334" s="19"/>
      <c r="EB334" s="19"/>
      <c r="EC334" s="19"/>
      <c r="ED334" s="19"/>
      <c r="EE334" s="19"/>
      <c r="EF334" s="19"/>
      <c r="EG334" s="19"/>
      <c r="EH334" s="19"/>
      <c r="EI334" s="19"/>
      <c r="EJ334" s="19"/>
      <c r="EK334" s="19"/>
      <c r="EL334" s="19"/>
      <c r="EM334" s="19"/>
      <c r="EN334" s="19"/>
      <c r="EO334" s="19"/>
      <c r="EP334" s="19"/>
      <c r="EQ334" s="19"/>
      <c r="ER334" s="19"/>
      <c r="ES334" s="19"/>
      <c r="ET334" s="19"/>
      <c r="EU334" s="19"/>
      <c r="EV334" s="19"/>
      <c r="EW334" s="19"/>
      <c r="EX334" s="19"/>
      <c r="EY334" s="19"/>
      <c r="EZ334" s="19"/>
      <c r="FA334" s="19"/>
      <c r="FB334" s="19"/>
      <c r="FC334" s="19"/>
      <c r="FD334" s="19"/>
      <c r="FE334" s="19"/>
      <c r="FF334" s="19"/>
      <c r="FG334" s="19"/>
      <c r="FH334" s="19"/>
      <c r="FI334" s="19"/>
      <c r="FJ334" s="19"/>
      <c r="FK334" s="19"/>
      <c r="FL334" s="20" t="s">
        <v>1205</v>
      </c>
      <c r="FM334" s="20" t="s">
        <v>255</v>
      </c>
      <c r="FN334" s="19"/>
      <c r="FO334" s="19"/>
      <c r="FP334" s="19"/>
      <c r="FQ334" s="19"/>
      <c r="FR334" s="19"/>
      <c r="FS334" s="19"/>
      <c r="FT334" s="19"/>
      <c r="FU334" s="19"/>
      <c r="FV334" s="19"/>
      <c r="FW334" s="19"/>
      <c r="FX334" s="19"/>
      <c r="FY334" s="19"/>
      <c r="FZ334" s="19"/>
      <c r="GA334" s="19"/>
      <c r="GB334" s="19"/>
      <c r="GC334" s="19"/>
      <c r="GD334" s="19"/>
      <c r="GE334" s="19"/>
      <c r="GF334" s="19"/>
      <c r="GG334" s="19"/>
      <c r="GH334" s="19"/>
      <c r="GI334" s="19"/>
      <c r="GJ334" s="19"/>
      <c r="GK334" s="19"/>
      <c r="GL334" s="19"/>
      <c r="GM334" s="19"/>
      <c r="GN334" s="19"/>
      <c r="GO334" s="19"/>
      <c r="GP334" s="19"/>
      <c r="GQ334" s="19"/>
      <c r="GR334" s="19"/>
      <c r="GS334" s="19"/>
      <c r="GT334" s="19"/>
      <c r="GU334" s="19"/>
      <c r="GV334" s="19"/>
      <c r="GW334" s="19"/>
      <c r="GX334" s="19"/>
      <c r="GY334" s="19"/>
      <c r="GZ334" s="19"/>
      <c r="HA334" s="19"/>
    </row>
    <row r="335" spans="1:209" ht="23.25" customHeight="1" x14ac:dyDescent="0.15">
      <c r="A335" s="26">
        <v>44660.355091550926</v>
      </c>
      <c r="B335" s="27" t="s">
        <v>6</v>
      </c>
      <c r="C335" s="27" t="s">
        <v>10</v>
      </c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7" t="s">
        <v>1140</v>
      </c>
      <c r="AO335" s="27" t="s">
        <v>1141</v>
      </c>
      <c r="AP335" s="27" t="s">
        <v>1206</v>
      </c>
      <c r="AQ335" s="27" t="s">
        <v>308</v>
      </c>
      <c r="AR335" s="29">
        <v>44470</v>
      </c>
      <c r="AS335" s="29">
        <v>44531</v>
      </c>
      <c r="AT335" s="27" t="s">
        <v>252</v>
      </c>
      <c r="AU335" s="27" t="s">
        <v>252</v>
      </c>
      <c r="AV335" s="27">
        <v>0</v>
      </c>
      <c r="AW335" s="30" t="s">
        <v>1207</v>
      </c>
      <c r="AX335" s="28"/>
      <c r="AY335" s="28"/>
      <c r="AZ335" s="28"/>
      <c r="BA335" s="28"/>
      <c r="BB335" s="28"/>
      <c r="BC335" s="28"/>
      <c r="BD335" s="28"/>
      <c r="BE335" s="28"/>
      <c r="BF335" s="28"/>
      <c r="BG335" s="28"/>
      <c r="BH335" s="28"/>
      <c r="BI335" s="28"/>
      <c r="BJ335" s="28"/>
      <c r="BK335" s="28"/>
      <c r="BL335" s="28"/>
      <c r="BM335" s="28"/>
      <c r="BN335" s="28"/>
      <c r="BO335" s="28"/>
      <c r="BP335" s="28"/>
      <c r="BQ335" s="28"/>
      <c r="BR335" s="28"/>
      <c r="BS335" s="28"/>
      <c r="BT335" s="28"/>
      <c r="BU335" s="28"/>
      <c r="BV335" s="28"/>
      <c r="BW335" s="28"/>
      <c r="BX335" s="28"/>
      <c r="BY335" s="19"/>
      <c r="BZ335" s="19"/>
      <c r="CA335" s="19"/>
      <c r="CB335" s="19"/>
      <c r="CC335" s="19"/>
      <c r="CD335" s="19"/>
      <c r="CE335" s="19"/>
      <c r="CF335" s="19"/>
      <c r="CG335" s="19"/>
      <c r="CH335" s="19"/>
      <c r="CI335" s="19"/>
      <c r="CJ335" s="19"/>
      <c r="CK335" s="19"/>
      <c r="CL335" s="19"/>
      <c r="CM335" s="19"/>
      <c r="CN335" s="19"/>
      <c r="CO335" s="19"/>
      <c r="CP335" s="19"/>
      <c r="CQ335" s="19"/>
      <c r="CR335" s="19"/>
      <c r="CS335" s="19"/>
      <c r="CT335" s="19"/>
      <c r="CU335" s="19"/>
      <c r="CV335" s="19"/>
      <c r="CW335" s="19"/>
      <c r="CX335" s="19"/>
      <c r="CY335" s="19"/>
      <c r="CZ335" s="19"/>
      <c r="DA335" s="19"/>
      <c r="DB335" s="19"/>
      <c r="DC335" s="19"/>
      <c r="DD335" s="19"/>
      <c r="DE335" s="19"/>
      <c r="DF335" s="19"/>
      <c r="DG335" s="19"/>
      <c r="DH335" s="19"/>
      <c r="DI335" s="19"/>
      <c r="DJ335" s="19"/>
      <c r="DK335" s="19"/>
      <c r="DL335" s="19"/>
      <c r="DM335" s="19"/>
      <c r="DN335" s="19"/>
      <c r="DO335" s="19"/>
      <c r="DP335" s="19"/>
      <c r="DQ335" s="19"/>
      <c r="DR335" s="19"/>
      <c r="DS335" s="19"/>
      <c r="DT335" s="19"/>
      <c r="DU335" s="19"/>
      <c r="DV335" s="19"/>
      <c r="DW335" s="19"/>
      <c r="DX335" s="19"/>
      <c r="DY335" s="19"/>
      <c r="DZ335" s="19"/>
      <c r="EA335" s="19"/>
      <c r="EB335" s="19"/>
      <c r="EC335" s="19"/>
      <c r="ED335" s="19"/>
      <c r="EE335" s="19"/>
      <c r="EF335" s="19"/>
      <c r="EG335" s="19"/>
      <c r="EH335" s="19"/>
      <c r="EI335" s="19"/>
      <c r="EJ335" s="19"/>
      <c r="EK335" s="19"/>
      <c r="EL335" s="19"/>
      <c r="EM335" s="19"/>
      <c r="EN335" s="19"/>
      <c r="EO335" s="19"/>
      <c r="EP335" s="19"/>
      <c r="EQ335" s="19"/>
      <c r="ER335" s="19"/>
      <c r="ES335" s="19"/>
      <c r="ET335" s="19"/>
      <c r="EU335" s="19"/>
      <c r="EV335" s="19"/>
      <c r="EW335" s="19"/>
      <c r="EX335" s="19"/>
      <c r="EY335" s="19"/>
      <c r="EZ335" s="19"/>
      <c r="FA335" s="19"/>
      <c r="FB335" s="19"/>
      <c r="FC335" s="19"/>
      <c r="FD335" s="19"/>
      <c r="FE335" s="19"/>
      <c r="FF335" s="19"/>
      <c r="FG335" s="19"/>
      <c r="FH335" s="19"/>
      <c r="FI335" s="19"/>
      <c r="FJ335" s="19"/>
      <c r="FK335" s="19"/>
      <c r="FL335" s="20" t="s">
        <v>1144</v>
      </c>
      <c r="FM335" s="20" t="s">
        <v>255</v>
      </c>
      <c r="FN335" s="19"/>
      <c r="FO335" s="19"/>
      <c r="FP335" s="19"/>
      <c r="FQ335" s="19"/>
      <c r="FR335" s="19"/>
      <c r="FS335" s="19"/>
      <c r="FT335" s="19"/>
      <c r="FU335" s="19"/>
      <c r="FV335" s="19"/>
      <c r="FW335" s="19"/>
      <c r="FX335" s="19"/>
      <c r="FY335" s="19"/>
      <c r="FZ335" s="19"/>
      <c r="GA335" s="19"/>
      <c r="GB335" s="19"/>
      <c r="GC335" s="19"/>
      <c r="GD335" s="19"/>
      <c r="GE335" s="19"/>
      <c r="GF335" s="19"/>
      <c r="GG335" s="19"/>
      <c r="GH335" s="19"/>
      <c r="GI335" s="19"/>
      <c r="GJ335" s="19"/>
      <c r="GK335" s="19"/>
      <c r="GL335" s="19"/>
      <c r="GM335" s="19"/>
      <c r="GN335" s="19"/>
      <c r="GO335" s="19"/>
      <c r="GP335" s="19"/>
      <c r="GQ335" s="19"/>
      <c r="GR335" s="19"/>
      <c r="GS335" s="19"/>
      <c r="GT335" s="19"/>
      <c r="GU335" s="19"/>
      <c r="GV335" s="19"/>
      <c r="GW335" s="19"/>
      <c r="GX335" s="19"/>
      <c r="GY335" s="19"/>
      <c r="GZ335" s="19"/>
      <c r="HA335" s="19"/>
    </row>
    <row r="336" spans="1:209" ht="23.25" customHeight="1" x14ac:dyDescent="0.15">
      <c r="A336" s="26">
        <v>44660.355298252311</v>
      </c>
      <c r="B336" s="27" t="s">
        <v>6</v>
      </c>
      <c r="C336" s="27" t="s">
        <v>11</v>
      </c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  <c r="AX336" s="27" t="s">
        <v>1208</v>
      </c>
      <c r="AY336" s="27" t="s">
        <v>1184</v>
      </c>
      <c r="AZ336" s="27" t="s">
        <v>1209</v>
      </c>
      <c r="BA336" s="27" t="s">
        <v>1209</v>
      </c>
      <c r="BB336" s="27" t="s">
        <v>1210</v>
      </c>
      <c r="BC336" s="29">
        <v>44602</v>
      </c>
      <c r="BD336" s="29">
        <v>44666</v>
      </c>
      <c r="BE336" s="29">
        <v>44666</v>
      </c>
      <c r="BF336" s="27">
        <v>96</v>
      </c>
      <c r="BG336" s="27" t="s">
        <v>1211</v>
      </c>
      <c r="BH336" s="30" t="s">
        <v>1212</v>
      </c>
      <c r="BI336" s="28"/>
      <c r="BJ336" s="28"/>
      <c r="BK336" s="28"/>
      <c r="BL336" s="28"/>
      <c r="BM336" s="28"/>
      <c r="BN336" s="28"/>
      <c r="BO336" s="28"/>
      <c r="BP336" s="28"/>
      <c r="BQ336" s="28"/>
      <c r="BR336" s="28"/>
      <c r="BS336" s="28"/>
      <c r="BT336" s="28"/>
      <c r="BU336" s="28"/>
      <c r="BV336" s="28"/>
      <c r="BW336" s="28"/>
      <c r="BX336" s="28"/>
      <c r="BY336" s="19"/>
      <c r="BZ336" s="19"/>
      <c r="CA336" s="19"/>
      <c r="CB336" s="19"/>
      <c r="CC336" s="19"/>
      <c r="CD336" s="19"/>
      <c r="CE336" s="19"/>
      <c r="CF336" s="19"/>
      <c r="CG336" s="19"/>
      <c r="CH336" s="19"/>
      <c r="CI336" s="19"/>
      <c r="CJ336" s="19"/>
      <c r="CK336" s="19"/>
      <c r="CL336" s="19"/>
      <c r="CM336" s="19"/>
      <c r="CN336" s="19"/>
      <c r="CO336" s="19"/>
      <c r="CP336" s="19"/>
      <c r="CQ336" s="19"/>
      <c r="CR336" s="19"/>
      <c r="CS336" s="19"/>
      <c r="CT336" s="19"/>
      <c r="CU336" s="19"/>
      <c r="CV336" s="19"/>
      <c r="CW336" s="19"/>
      <c r="CX336" s="19"/>
      <c r="CY336" s="19"/>
      <c r="CZ336" s="19"/>
      <c r="DA336" s="19"/>
      <c r="DB336" s="19"/>
      <c r="DC336" s="19"/>
      <c r="DD336" s="19"/>
      <c r="DE336" s="19"/>
      <c r="DF336" s="19"/>
      <c r="DG336" s="19"/>
      <c r="DH336" s="19"/>
      <c r="DI336" s="19"/>
      <c r="DJ336" s="19"/>
      <c r="DK336" s="19"/>
      <c r="DL336" s="19"/>
      <c r="DM336" s="19"/>
      <c r="DN336" s="19"/>
      <c r="DO336" s="19"/>
      <c r="DP336" s="19"/>
      <c r="DQ336" s="19"/>
      <c r="DR336" s="19"/>
      <c r="DS336" s="19"/>
      <c r="DT336" s="19"/>
      <c r="DU336" s="19"/>
      <c r="DV336" s="19"/>
      <c r="DW336" s="19"/>
      <c r="DX336" s="19"/>
      <c r="DY336" s="19"/>
      <c r="DZ336" s="19"/>
      <c r="EA336" s="19"/>
      <c r="EB336" s="19"/>
      <c r="EC336" s="19"/>
      <c r="ED336" s="19"/>
      <c r="EE336" s="19"/>
      <c r="EF336" s="19"/>
      <c r="EG336" s="19"/>
      <c r="EH336" s="19"/>
      <c r="EI336" s="19"/>
      <c r="EJ336" s="19"/>
      <c r="EK336" s="19"/>
      <c r="EL336" s="19"/>
      <c r="EM336" s="19"/>
      <c r="EN336" s="19"/>
      <c r="EO336" s="19"/>
      <c r="EP336" s="19"/>
      <c r="EQ336" s="19"/>
      <c r="ER336" s="19"/>
      <c r="ES336" s="19"/>
      <c r="ET336" s="19"/>
      <c r="EU336" s="19"/>
      <c r="EV336" s="19"/>
      <c r="EW336" s="19"/>
      <c r="EX336" s="19"/>
      <c r="EY336" s="19"/>
      <c r="EZ336" s="19"/>
      <c r="FA336" s="19"/>
      <c r="FB336" s="19"/>
      <c r="FC336" s="19"/>
      <c r="FD336" s="19"/>
      <c r="FE336" s="19"/>
      <c r="FF336" s="19"/>
      <c r="FG336" s="19"/>
      <c r="FH336" s="19"/>
      <c r="FI336" s="19"/>
      <c r="FJ336" s="19"/>
      <c r="FK336" s="19"/>
      <c r="FL336" s="20" t="s">
        <v>1186</v>
      </c>
      <c r="FM336" s="20" t="s">
        <v>255</v>
      </c>
      <c r="FN336" s="19"/>
      <c r="FO336" s="19"/>
      <c r="FP336" s="19"/>
      <c r="FQ336" s="19"/>
      <c r="FR336" s="19"/>
      <c r="FS336" s="19"/>
      <c r="FT336" s="19"/>
      <c r="FU336" s="19"/>
      <c r="FV336" s="19"/>
      <c r="FW336" s="19"/>
      <c r="FX336" s="19"/>
      <c r="FY336" s="19"/>
      <c r="FZ336" s="19"/>
      <c r="GA336" s="19"/>
      <c r="GB336" s="19"/>
      <c r="GC336" s="19"/>
      <c r="GD336" s="19"/>
      <c r="GE336" s="19"/>
      <c r="GF336" s="19"/>
      <c r="GG336" s="19"/>
      <c r="GH336" s="19"/>
      <c r="GI336" s="19"/>
      <c r="GJ336" s="19"/>
      <c r="GK336" s="19"/>
      <c r="GL336" s="19"/>
      <c r="GM336" s="19"/>
      <c r="GN336" s="19"/>
      <c r="GO336" s="19"/>
      <c r="GP336" s="19"/>
      <c r="GQ336" s="19"/>
      <c r="GR336" s="19"/>
      <c r="GS336" s="19"/>
      <c r="GT336" s="19"/>
      <c r="GU336" s="19"/>
      <c r="GV336" s="19"/>
      <c r="GW336" s="19"/>
      <c r="GX336" s="19"/>
      <c r="GY336" s="19"/>
      <c r="GZ336" s="19"/>
      <c r="HA336" s="19"/>
    </row>
    <row r="337" spans="1:209" ht="23.25" customHeight="1" x14ac:dyDescent="0.15">
      <c r="A337" s="26">
        <v>44660.355303263888</v>
      </c>
      <c r="B337" s="27" t="s">
        <v>6</v>
      </c>
      <c r="C337" s="17" t="s">
        <v>13</v>
      </c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  <c r="AX337" s="28"/>
      <c r="AY337" s="28"/>
      <c r="AZ337" s="28"/>
      <c r="BA337" s="28"/>
      <c r="BB337" s="28"/>
      <c r="BC337" s="28"/>
      <c r="BD337" s="28"/>
      <c r="BE337" s="28"/>
      <c r="BF337" s="28"/>
      <c r="BG337" s="28"/>
      <c r="BH337" s="28"/>
      <c r="BI337" s="28"/>
      <c r="BJ337" s="28"/>
      <c r="BK337" s="28"/>
      <c r="BL337" s="28"/>
      <c r="BM337" s="28"/>
      <c r="BN337" s="28"/>
      <c r="BO337" s="28"/>
      <c r="BP337" s="28"/>
      <c r="BQ337" s="28"/>
      <c r="BR337" s="28"/>
      <c r="BS337" s="28"/>
      <c r="BT337" s="28"/>
      <c r="BU337" s="28"/>
      <c r="BV337" s="28"/>
      <c r="BW337" s="27" t="s">
        <v>1213</v>
      </c>
      <c r="BX337" s="27" t="s">
        <v>1214</v>
      </c>
      <c r="BY337" s="19"/>
      <c r="BZ337" s="20" t="s">
        <v>166</v>
      </c>
      <c r="CA337" s="20" t="s">
        <v>1215</v>
      </c>
      <c r="CB337" s="20" t="s">
        <v>454</v>
      </c>
      <c r="CC337" s="20" t="s">
        <v>501</v>
      </c>
      <c r="CD337" s="21">
        <v>44203</v>
      </c>
      <c r="CE337" s="21">
        <v>44293</v>
      </c>
      <c r="CF337" s="20">
        <v>78</v>
      </c>
      <c r="CG337" s="22" t="s">
        <v>1216</v>
      </c>
      <c r="CH337" s="19"/>
      <c r="CI337" s="19"/>
      <c r="CJ337" s="19"/>
      <c r="CK337" s="19"/>
      <c r="CL337" s="19"/>
      <c r="CM337" s="19"/>
      <c r="CN337" s="19"/>
      <c r="CO337" s="19"/>
      <c r="CP337" s="19"/>
      <c r="CQ337" s="19"/>
      <c r="CR337" s="19"/>
      <c r="CS337" s="19"/>
      <c r="CT337" s="19"/>
      <c r="CU337" s="19"/>
      <c r="CV337" s="19"/>
      <c r="CW337" s="19"/>
      <c r="CX337" s="19"/>
      <c r="CY337" s="19"/>
      <c r="CZ337" s="19"/>
      <c r="DA337" s="19"/>
      <c r="DB337" s="19"/>
      <c r="DC337" s="19"/>
      <c r="DD337" s="19"/>
      <c r="DE337" s="19"/>
      <c r="DF337" s="19"/>
      <c r="DG337" s="19"/>
      <c r="DH337" s="19"/>
      <c r="DI337" s="19"/>
      <c r="DJ337" s="19"/>
      <c r="DK337" s="19"/>
      <c r="DL337" s="19"/>
      <c r="DM337" s="19"/>
      <c r="DN337" s="19"/>
      <c r="DO337" s="19"/>
      <c r="DP337" s="19"/>
      <c r="DQ337" s="19"/>
      <c r="DR337" s="19"/>
      <c r="DS337" s="19"/>
      <c r="DT337" s="19"/>
      <c r="DU337" s="19"/>
      <c r="DV337" s="19"/>
      <c r="DW337" s="19"/>
      <c r="DX337" s="19"/>
      <c r="DY337" s="19"/>
      <c r="DZ337" s="19"/>
      <c r="EA337" s="19"/>
      <c r="EB337" s="19"/>
      <c r="EC337" s="19"/>
      <c r="ED337" s="19"/>
      <c r="EE337" s="19"/>
      <c r="EF337" s="19"/>
      <c r="EG337" s="19"/>
      <c r="EH337" s="19"/>
      <c r="EI337" s="19"/>
      <c r="EJ337" s="19"/>
      <c r="EK337" s="19"/>
      <c r="EL337" s="19"/>
      <c r="EM337" s="19"/>
      <c r="EN337" s="19"/>
      <c r="EO337" s="19"/>
      <c r="EP337" s="19"/>
      <c r="EQ337" s="19"/>
      <c r="ER337" s="19"/>
      <c r="ES337" s="19"/>
      <c r="ET337" s="19"/>
      <c r="EU337" s="19"/>
      <c r="EV337" s="19"/>
      <c r="EW337" s="19"/>
      <c r="EX337" s="19"/>
      <c r="EY337" s="19"/>
      <c r="EZ337" s="19"/>
      <c r="FA337" s="19"/>
      <c r="FB337" s="19"/>
      <c r="FC337" s="19"/>
      <c r="FD337" s="19"/>
      <c r="FE337" s="19"/>
      <c r="FF337" s="19"/>
      <c r="FG337" s="19"/>
      <c r="FH337" s="19"/>
      <c r="FI337" s="19"/>
      <c r="FJ337" s="19"/>
      <c r="FK337" s="19"/>
      <c r="FL337" s="20" t="s">
        <v>1217</v>
      </c>
      <c r="FM337" s="20" t="s">
        <v>339</v>
      </c>
      <c r="FN337" s="19"/>
      <c r="FO337" s="19"/>
      <c r="FP337" s="19"/>
      <c r="FQ337" s="19"/>
      <c r="FR337" s="19"/>
      <c r="FS337" s="19"/>
      <c r="FT337" s="19"/>
      <c r="FU337" s="19"/>
      <c r="FV337" s="19"/>
      <c r="FW337" s="19"/>
      <c r="FX337" s="19"/>
      <c r="FY337" s="19"/>
      <c r="FZ337" s="19"/>
      <c r="GA337" s="19"/>
      <c r="GB337" s="19"/>
      <c r="GC337" s="19"/>
      <c r="GD337" s="19"/>
      <c r="GE337" s="19"/>
      <c r="GF337" s="19"/>
      <c r="GG337" s="19"/>
      <c r="GH337" s="19"/>
      <c r="GI337" s="19"/>
      <c r="GJ337" s="19"/>
      <c r="GK337" s="19"/>
      <c r="GL337" s="19"/>
      <c r="GM337" s="19"/>
      <c r="GN337" s="19"/>
      <c r="GO337" s="19"/>
      <c r="GP337" s="19"/>
      <c r="GQ337" s="19"/>
      <c r="GR337" s="19"/>
      <c r="GS337" s="19"/>
      <c r="GT337" s="19"/>
      <c r="GU337" s="19"/>
      <c r="GV337" s="19"/>
      <c r="GW337" s="19"/>
      <c r="GX337" s="19"/>
      <c r="GY337" s="19"/>
      <c r="GZ337" s="19"/>
      <c r="HA337" s="19"/>
    </row>
    <row r="338" spans="1:209" ht="23.25" customHeight="1" x14ac:dyDescent="0.15">
      <c r="A338" s="26">
        <v>44660.35677810185</v>
      </c>
      <c r="B338" s="27" t="s">
        <v>6</v>
      </c>
      <c r="C338" s="27" t="s">
        <v>11</v>
      </c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  <c r="AX338" s="27" t="s">
        <v>1179</v>
      </c>
      <c r="AY338" s="27" t="s">
        <v>1164</v>
      </c>
      <c r="AZ338" s="27" t="s">
        <v>1218</v>
      </c>
      <c r="BA338" s="27" t="s">
        <v>1219</v>
      </c>
      <c r="BB338" s="27" t="s">
        <v>493</v>
      </c>
      <c r="BC338" s="29">
        <v>44348</v>
      </c>
      <c r="BD338" s="29">
        <v>44408</v>
      </c>
      <c r="BE338" s="29">
        <v>44402</v>
      </c>
      <c r="BF338" s="27">
        <v>90</v>
      </c>
      <c r="BG338" s="27" t="s">
        <v>1198</v>
      </c>
      <c r="BH338" s="30" t="s">
        <v>1220</v>
      </c>
      <c r="BI338" s="28"/>
      <c r="BJ338" s="28"/>
      <c r="BK338" s="28"/>
      <c r="BL338" s="28"/>
      <c r="BM338" s="28"/>
      <c r="BN338" s="28"/>
      <c r="BO338" s="28"/>
      <c r="BP338" s="28"/>
      <c r="BQ338" s="28"/>
      <c r="BR338" s="28"/>
      <c r="BS338" s="28"/>
      <c r="BT338" s="28"/>
      <c r="BU338" s="28"/>
      <c r="BV338" s="28"/>
      <c r="BW338" s="28"/>
      <c r="BX338" s="28"/>
      <c r="BY338" s="19"/>
      <c r="BZ338" s="19"/>
      <c r="CA338" s="19"/>
      <c r="CB338" s="19"/>
      <c r="CC338" s="19"/>
      <c r="CD338" s="19"/>
      <c r="CE338" s="19"/>
      <c r="CF338" s="19"/>
      <c r="CG338" s="19"/>
      <c r="CH338" s="19"/>
      <c r="CI338" s="19"/>
      <c r="CJ338" s="19"/>
      <c r="CK338" s="19"/>
      <c r="CL338" s="19"/>
      <c r="CM338" s="19"/>
      <c r="CN338" s="19"/>
      <c r="CO338" s="19"/>
      <c r="CP338" s="19"/>
      <c r="CQ338" s="19"/>
      <c r="CR338" s="19"/>
      <c r="CS338" s="19"/>
      <c r="CT338" s="19"/>
      <c r="CU338" s="19"/>
      <c r="CV338" s="19"/>
      <c r="CW338" s="19"/>
      <c r="CX338" s="19"/>
      <c r="CY338" s="19"/>
      <c r="CZ338" s="19"/>
      <c r="DA338" s="19"/>
      <c r="DB338" s="19"/>
      <c r="DC338" s="19"/>
      <c r="DD338" s="19"/>
      <c r="DE338" s="19"/>
      <c r="DF338" s="19"/>
      <c r="DG338" s="19"/>
      <c r="DH338" s="19"/>
      <c r="DI338" s="19"/>
      <c r="DJ338" s="19"/>
      <c r="DK338" s="19"/>
      <c r="DL338" s="19"/>
      <c r="DM338" s="19"/>
      <c r="DN338" s="19"/>
      <c r="DO338" s="19"/>
      <c r="DP338" s="19"/>
      <c r="DQ338" s="19"/>
      <c r="DR338" s="19"/>
      <c r="DS338" s="19"/>
      <c r="DT338" s="19"/>
      <c r="DU338" s="19"/>
      <c r="DV338" s="19"/>
      <c r="DW338" s="19"/>
      <c r="DX338" s="19"/>
      <c r="DY338" s="19"/>
      <c r="DZ338" s="19"/>
      <c r="EA338" s="19"/>
      <c r="EB338" s="19"/>
      <c r="EC338" s="19"/>
      <c r="ED338" s="19"/>
      <c r="EE338" s="19"/>
      <c r="EF338" s="19"/>
      <c r="EG338" s="19"/>
      <c r="EH338" s="19"/>
      <c r="EI338" s="19"/>
      <c r="EJ338" s="19"/>
      <c r="EK338" s="19"/>
      <c r="EL338" s="19"/>
      <c r="EM338" s="19"/>
      <c r="EN338" s="19"/>
      <c r="EO338" s="19"/>
      <c r="EP338" s="19"/>
      <c r="EQ338" s="19"/>
      <c r="ER338" s="19"/>
      <c r="ES338" s="19"/>
      <c r="ET338" s="19"/>
      <c r="EU338" s="19"/>
      <c r="EV338" s="19"/>
      <c r="EW338" s="19"/>
      <c r="EX338" s="19"/>
      <c r="EY338" s="19"/>
      <c r="EZ338" s="19"/>
      <c r="FA338" s="19"/>
      <c r="FB338" s="19"/>
      <c r="FC338" s="19"/>
      <c r="FD338" s="19"/>
      <c r="FE338" s="19"/>
      <c r="FF338" s="19"/>
      <c r="FG338" s="19"/>
      <c r="FH338" s="19"/>
      <c r="FI338" s="19"/>
      <c r="FJ338" s="19"/>
      <c r="FK338" s="19"/>
      <c r="FL338" s="20" t="s">
        <v>1160</v>
      </c>
      <c r="FM338" s="20" t="s">
        <v>339</v>
      </c>
      <c r="FN338" s="19"/>
      <c r="FO338" s="19"/>
      <c r="FP338" s="19"/>
      <c r="FQ338" s="19"/>
      <c r="FR338" s="19"/>
      <c r="FS338" s="19"/>
      <c r="FT338" s="19"/>
      <c r="FU338" s="19"/>
      <c r="FV338" s="19"/>
      <c r="FW338" s="19"/>
      <c r="FX338" s="19"/>
      <c r="FY338" s="19"/>
      <c r="FZ338" s="19"/>
      <c r="GA338" s="19"/>
      <c r="GB338" s="19"/>
      <c r="GC338" s="19"/>
      <c r="GD338" s="19"/>
      <c r="GE338" s="19"/>
      <c r="GF338" s="19"/>
      <c r="GG338" s="19"/>
      <c r="GH338" s="19"/>
      <c r="GI338" s="19"/>
      <c r="GJ338" s="19"/>
      <c r="GK338" s="19"/>
      <c r="GL338" s="19"/>
      <c r="GM338" s="19"/>
      <c r="GN338" s="19"/>
      <c r="GO338" s="19"/>
      <c r="GP338" s="19"/>
      <c r="GQ338" s="19"/>
      <c r="GR338" s="19"/>
      <c r="GS338" s="19"/>
      <c r="GT338" s="19"/>
      <c r="GU338" s="19"/>
      <c r="GV338" s="19"/>
      <c r="GW338" s="19"/>
      <c r="GX338" s="19"/>
      <c r="GY338" s="19"/>
      <c r="GZ338" s="19"/>
      <c r="HA338" s="19"/>
    </row>
    <row r="339" spans="1:209" ht="23.25" customHeight="1" x14ac:dyDescent="0.15">
      <c r="A339" s="26">
        <v>44660.357446087961</v>
      </c>
      <c r="B339" s="27" t="s">
        <v>6</v>
      </c>
      <c r="C339" s="27" t="s">
        <v>11</v>
      </c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  <c r="AX339" s="27" t="s">
        <v>1192</v>
      </c>
      <c r="AY339" s="27" t="s">
        <v>1193</v>
      </c>
      <c r="AZ339" s="27" t="s">
        <v>349</v>
      </c>
      <c r="BA339" s="27" t="s">
        <v>375</v>
      </c>
      <c r="BB339" s="27" t="s">
        <v>493</v>
      </c>
      <c r="BC339" s="29">
        <v>43644</v>
      </c>
      <c r="BD339" s="29">
        <v>44770</v>
      </c>
      <c r="BE339" s="29">
        <v>43677</v>
      </c>
      <c r="BF339" s="27">
        <v>85</v>
      </c>
      <c r="BG339" s="27" t="s">
        <v>1221</v>
      </c>
      <c r="BH339" s="30" t="s">
        <v>1222</v>
      </c>
      <c r="BI339" s="28"/>
      <c r="BJ339" s="28"/>
      <c r="BK339" s="28"/>
      <c r="BL339" s="28"/>
      <c r="BM339" s="28"/>
      <c r="BN339" s="28"/>
      <c r="BO339" s="28"/>
      <c r="BP339" s="28"/>
      <c r="BQ339" s="28"/>
      <c r="BR339" s="28"/>
      <c r="BS339" s="28"/>
      <c r="BT339" s="28"/>
      <c r="BU339" s="28"/>
      <c r="BV339" s="28"/>
      <c r="BW339" s="28"/>
      <c r="BX339" s="28"/>
      <c r="BY339" s="19"/>
      <c r="BZ339" s="19"/>
      <c r="CA339" s="19"/>
      <c r="CB339" s="19"/>
      <c r="CC339" s="19"/>
      <c r="CD339" s="19"/>
      <c r="CE339" s="19"/>
      <c r="CF339" s="19"/>
      <c r="CG339" s="19"/>
      <c r="CH339" s="19"/>
      <c r="CI339" s="19"/>
      <c r="CJ339" s="19"/>
      <c r="CK339" s="19"/>
      <c r="CL339" s="19"/>
      <c r="CM339" s="19"/>
      <c r="CN339" s="19"/>
      <c r="CO339" s="19"/>
      <c r="CP339" s="19"/>
      <c r="CQ339" s="19"/>
      <c r="CR339" s="19"/>
      <c r="CS339" s="19"/>
      <c r="CT339" s="19"/>
      <c r="CU339" s="19"/>
      <c r="CV339" s="19"/>
      <c r="CW339" s="19"/>
      <c r="CX339" s="19"/>
      <c r="CY339" s="19"/>
      <c r="CZ339" s="19"/>
      <c r="DA339" s="19"/>
      <c r="DB339" s="19"/>
      <c r="DC339" s="19"/>
      <c r="DD339" s="19"/>
      <c r="DE339" s="19"/>
      <c r="DF339" s="19"/>
      <c r="DG339" s="19"/>
      <c r="DH339" s="19"/>
      <c r="DI339" s="19"/>
      <c r="DJ339" s="19"/>
      <c r="DK339" s="19"/>
      <c r="DL339" s="19"/>
      <c r="DM339" s="19"/>
      <c r="DN339" s="19"/>
      <c r="DO339" s="19"/>
      <c r="DP339" s="19"/>
      <c r="DQ339" s="19"/>
      <c r="DR339" s="19"/>
      <c r="DS339" s="19"/>
      <c r="DT339" s="19"/>
      <c r="DU339" s="19"/>
      <c r="DV339" s="19"/>
      <c r="DW339" s="19"/>
      <c r="DX339" s="19"/>
      <c r="DY339" s="19"/>
      <c r="DZ339" s="19"/>
      <c r="EA339" s="19"/>
      <c r="EB339" s="19"/>
      <c r="EC339" s="19"/>
      <c r="ED339" s="19"/>
      <c r="EE339" s="19"/>
      <c r="EF339" s="19"/>
      <c r="EG339" s="19"/>
      <c r="EH339" s="19"/>
      <c r="EI339" s="19"/>
      <c r="EJ339" s="19"/>
      <c r="EK339" s="19"/>
      <c r="EL339" s="19"/>
      <c r="EM339" s="19"/>
      <c r="EN339" s="19"/>
      <c r="EO339" s="19"/>
      <c r="EP339" s="19"/>
      <c r="EQ339" s="19"/>
      <c r="ER339" s="19"/>
      <c r="ES339" s="19"/>
      <c r="ET339" s="19"/>
      <c r="EU339" s="19"/>
      <c r="EV339" s="19"/>
      <c r="EW339" s="19"/>
      <c r="EX339" s="19"/>
      <c r="EY339" s="19"/>
      <c r="EZ339" s="19"/>
      <c r="FA339" s="19"/>
      <c r="FB339" s="19"/>
      <c r="FC339" s="19"/>
      <c r="FD339" s="19"/>
      <c r="FE339" s="19"/>
      <c r="FF339" s="19"/>
      <c r="FG339" s="19"/>
      <c r="FH339" s="19"/>
      <c r="FI339" s="19"/>
      <c r="FJ339" s="19"/>
      <c r="FK339" s="19"/>
      <c r="FL339" s="20" t="s">
        <v>1197</v>
      </c>
      <c r="FM339" s="20" t="s">
        <v>552</v>
      </c>
      <c r="FN339" s="19"/>
      <c r="FO339" s="19"/>
      <c r="FP339" s="19"/>
      <c r="FQ339" s="19"/>
      <c r="FR339" s="19"/>
      <c r="FS339" s="19"/>
      <c r="FT339" s="19"/>
      <c r="FU339" s="19"/>
      <c r="FV339" s="19"/>
      <c r="FW339" s="19"/>
      <c r="FX339" s="19"/>
      <c r="FY339" s="19"/>
      <c r="FZ339" s="19"/>
      <c r="GA339" s="19"/>
      <c r="GB339" s="19"/>
      <c r="GC339" s="19"/>
      <c r="GD339" s="19"/>
      <c r="GE339" s="19"/>
      <c r="GF339" s="19"/>
      <c r="GG339" s="19"/>
      <c r="GH339" s="19"/>
      <c r="GI339" s="19"/>
      <c r="GJ339" s="19"/>
      <c r="GK339" s="19"/>
      <c r="GL339" s="19"/>
      <c r="GM339" s="19"/>
      <c r="GN339" s="19"/>
      <c r="GO339" s="19"/>
      <c r="GP339" s="19"/>
      <c r="GQ339" s="19"/>
      <c r="GR339" s="19"/>
      <c r="GS339" s="19"/>
      <c r="GT339" s="19"/>
      <c r="GU339" s="19"/>
      <c r="GV339" s="19"/>
      <c r="GW339" s="19"/>
      <c r="GX339" s="19"/>
      <c r="GY339" s="19"/>
      <c r="GZ339" s="19"/>
      <c r="HA339" s="19"/>
    </row>
    <row r="340" spans="1:209" ht="23.25" customHeight="1" x14ac:dyDescent="0.15">
      <c r="A340" s="26">
        <v>44660.357448912036</v>
      </c>
      <c r="B340" s="27" t="s">
        <v>6</v>
      </c>
      <c r="C340" s="27" t="s">
        <v>11</v>
      </c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  <c r="AX340" s="27" t="s">
        <v>1200</v>
      </c>
      <c r="AY340" s="27" t="s">
        <v>1201</v>
      </c>
      <c r="AZ340" s="27" t="s">
        <v>1223</v>
      </c>
      <c r="BA340" s="27" t="s">
        <v>335</v>
      </c>
      <c r="BB340" s="27" t="s">
        <v>259</v>
      </c>
      <c r="BC340" s="29">
        <v>43443</v>
      </c>
      <c r="BD340" s="29">
        <v>43597</v>
      </c>
      <c r="BE340" s="29">
        <v>43618</v>
      </c>
      <c r="BF340" s="27">
        <v>85</v>
      </c>
      <c r="BG340" s="27" t="s">
        <v>1203</v>
      </c>
      <c r="BH340" s="30" t="s">
        <v>1224</v>
      </c>
      <c r="BI340" s="28"/>
      <c r="BJ340" s="28"/>
      <c r="BK340" s="28"/>
      <c r="BL340" s="28"/>
      <c r="BM340" s="28"/>
      <c r="BN340" s="28"/>
      <c r="BO340" s="28"/>
      <c r="BP340" s="28"/>
      <c r="BQ340" s="28"/>
      <c r="BR340" s="28"/>
      <c r="BS340" s="28"/>
      <c r="BT340" s="28"/>
      <c r="BU340" s="28"/>
      <c r="BV340" s="28"/>
      <c r="BW340" s="28"/>
      <c r="BX340" s="28"/>
      <c r="BY340" s="19"/>
      <c r="BZ340" s="19"/>
      <c r="CA340" s="19"/>
      <c r="CB340" s="19"/>
      <c r="CC340" s="19"/>
      <c r="CD340" s="19"/>
      <c r="CE340" s="19"/>
      <c r="CF340" s="19"/>
      <c r="CG340" s="19"/>
      <c r="CH340" s="19"/>
      <c r="CI340" s="19"/>
      <c r="CJ340" s="19"/>
      <c r="CK340" s="19"/>
      <c r="CL340" s="19"/>
      <c r="CM340" s="19"/>
      <c r="CN340" s="19"/>
      <c r="CO340" s="19"/>
      <c r="CP340" s="19"/>
      <c r="CQ340" s="19"/>
      <c r="CR340" s="19"/>
      <c r="CS340" s="19"/>
      <c r="CT340" s="19"/>
      <c r="CU340" s="19"/>
      <c r="CV340" s="19"/>
      <c r="CW340" s="19"/>
      <c r="CX340" s="19"/>
      <c r="CY340" s="19"/>
      <c r="CZ340" s="19"/>
      <c r="DA340" s="19"/>
      <c r="DB340" s="19"/>
      <c r="DC340" s="19"/>
      <c r="DD340" s="19"/>
      <c r="DE340" s="19"/>
      <c r="DF340" s="19"/>
      <c r="DG340" s="19"/>
      <c r="DH340" s="19"/>
      <c r="DI340" s="19"/>
      <c r="DJ340" s="19"/>
      <c r="DK340" s="19"/>
      <c r="DL340" s="19"/>
      <c r="DM340" s="19"/>
      <c r="DN340" s="19"/>
      <c r="DO340" s="19"/>
      <c r="DP340" s="19"/>
      <c r="DQ340" s="19"/>
      <c r="DR340" s="19"/>
      <c r="DS340" s="19"/>
      <c r="DT340" s="19"/>
      <c r="DU340" s="19"/>
      <c r="DV340" s="19"/>
      <c r="DW340" s="19"/>
      <c r="DX340" s="19"/>
      <c r="DY340" s="19"/>
      <c r="DZ340" s="19"/>
      <c r="EA340" s="19"/>
      <c r="EB340" s="19"/>
      <c r="EC340" s="19"/>
      <c r="ED340" s="19"/>
      <c r="EE340" s="19"/>
      <c r="EF340" s="19"/>
      <c r="EG340" s="19"/>
      <c r="EH340" s="19"/>
      <c r="EI340" s="19"/>
      <c r="EJ340" s="19"/>
      <c r="EK340" s="19"/>
      <c r="EL340" s="19"/>
      <c r="EM340" s="19"/>
      <c r="EN340" s="19"/>
      <c r="EO340" s="19"/>
      <c r="EP340" s="19"/>
      <c r="EQ340" s="19"/>
      <c r="ER340" s="19"/>
      <c r="ES340" s="19"/>
      <c r="ET340" s="19"/>
      <c r="EU340" s="19"/>
      <c r="EV340" s="19"/>
      <c r="EW340" s="19"/>
      <c r="EX340" s="19"/>
      <c r="EY340" s="19"/>
      <c r="EZ340" s="19"/>
      <c r="FA340" s="19"/>
      <c r="FB340" s="19"/>
      <c r="FC340" s="19"/>
      <c r="FD340" s="19"/>
      <c r="FE340" s="19"/>
      <c r="FF340" s="19"/>
      <c r="FG340" s="19"/>
      <c r="FH340" s="19"/>
      <c r="FI340" s="19"/>
      <c r="FJ340" s="19"/>
      <c r="FK340" s="19"/>
      <c r="FL340" s="20" t="s">
        <v>1205</v>
      </c>
      <c r="FM340" s="20" t="s">
        <v>255</v>
      </c>
      <c r="FN340" s="19"/>
      <c r="FO340" s="19"/>
      <c r="FP340" s="19"/>
      <c r="FQ340" s="19"/>
      <c r="FR340" s="19"/>
      <c r="FS340" s="19"/>
      <c r="FT340" s="19"/>
      <c r="FU340" s="19"/>
      <c r="FV340" s="19"/>
      <c r="FW340" s="19"/>
      <c r="FX340" s="19"/>
      <c r="FY340" s="19"/>
      <c r="FZ340" s="19"/>
      <c r="GA340" s="19"/>
      <c r="GB340" s="19"/>
      <c r="GC340" s="19"/>
      <c r="GD340" s="19"/>
      <c r="GE340" s="19"/>
      <c r="GF340" s="19"/>
      <c r="GG340" s="19"/>
      <c r="GH340" s="19"/>
      <c r="GI340" s="19"/>
      <c r="GJ340" s="19"/>
      <c r="GK340" s="19"/>
      <c r="GL340" s="19"/>
      <c r="GM340" s="19"/>
      <c r="GN340" s="19"/>
      <c r="GO340" s="19"/>
      <c r="GP340" s="19"/>
      <c r="GQ340" s="19"/>
      <c r="GR340" s="19"/>
      <c r="GS340" s="19"/>
      <c r="GT340" s="19"/>
      <c r="GU340" s="19"/>
      <c r="GV340" s="19"/>
      <c r="GW340" s="19"/>
      <c r="GX340" s="19"/>
      <c r="GY340" s="19"/>
      <c r="GZ340" s="19"/>
      <c r="HA340" s="19"/>
    </row>
    <row r="341" spans="1:209" ht="23.25" customHeight="1" x14ac:dyDescent="0.15">
      <c r="A341" s="26">
        <v>44660.358391180554</v>
      </c>
      <c r="B341" s="27" t="s">
        <v>6</v>
      </c>
      <c r="C341" s="27" t="s">
        <v>11</v>
      </c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  <c r="AX341" s="27" t="s">
        <v>1179</v>
      </c>
      <c r="AY341" s="27" t="s">
        <v>1164</v>
      </c>
      <c r="AZ341" s="27" t="s">
        <v>1225</v>
      </c>
      <c r="BA341" s="27" t="s">
        <v>375</v>
      </c>
      <c r="BB341" s="27" t="s">
        <v>493</v>
      </c>
      <c r="BC341" s="29">
        <v>43922</v>
      </c>
      <c r="BD341" s="29">
        <v>43982</v>
      </c>
      <c r="BE341" s="29">
        <v>43982</v>
      </c>
      <c r="BF341" s="27">
        <v>91</v>
      </c>
      <c r="BG341" s="27" t="s">
        <v>1211</v>
      </c>
      <c r="BH341" s="30" t="s">
        <v>1226</v>
      </c>
      <c r="BI341" s="28"/>
      <c r="BJ341" s="28"/>
      <c r="BK341" s="28"/>
      <c r="BL341" s="28"/>
      <c r="BM341" s="28"/>
      <c r="BN341" s="28"/>
      <c r="BO341" s="28"/>
      <c r="BP341" s="28"/>
      <c r="BQ341" s="28"/>
      <c r="BR341" s="28"/>
      <c r="BS341" s="28"/>
      <c r="BT341" s="28"/>
      <c r="BU341" s="28"/>
      <c r="BV341" s="28"/>
      <c r="BW341" s="28"/>
      <c r="BX341" s="28"/>
      <c r="BY341" s="19"/>
      <c r="BZ341" s="19"/>
      <c r="CA341" s="19"/>
      <c r="CB341" s="19"/>
      <c r="CC341" s="19"/>
      <c r="CD341" s="19"/>
      <c r="CE341" s="19"/>
      <c r="CF341" s="19"/>
      <c r="CG341" s="19"/>
      <c r="CH341" s="19"/>
      <c r="CI341" s="19"/>
      <c r="CJ341" s="19"/>
      <c r="CK341" s="19"/>
      <c r="CL341" s="19"/>
      <c r="CM341" s="19"/>
      <c r="CN341" s="19"/>
      <c r="CO341" s="19"/>
      <c r="CP341" s="19"/>
      <c r="CQ341" s="19"/>
      <c r="CR341" s="19"/>
      <c r="CS341" s="19"/>
      <c r="CT341" s="19"/>
      <c r="CU341" s="19"/>
      <c r="CV341" s="19"/>
      <c r="CW341" s="19"/>
      <c r="CX341" s="19"/>
      <c r="CY341" s="19"/>
      <c r="CZ341" s="19"/>
      <c r="DA341" s="19"/>
      <c r="DB341" s="19"/>
      <c r="DC341" s="19"/>
      <c r="DD341" s="19"/>
      <c r="DE341" s="19"/>
      <c r="DF341" s="19"/>
      <c r="DG341" s="19"/>
      <c r="DH341" s="19"/>
      <c r="DI341" s="19"/>
      <c r="DJ341" s="19"/>
      <c r="DK341" s="19"/>
      <c r="DL341" s="19"/>
      <c r="DM341" s="19"/>
      <c r="DN341" s="19"/>
      <c r="DO341" s="19"/>
      <c r="DP341" s="19"/>
      <c r="DQ341" s="19"/>
      <c r="DR341" s="19"/>
      <c r="DS341" s="19"/>
      <c r="DT341" s="19"/>
      <c r="DU341" s="19"/>
      <c r="DV341" s="19"/>
      <c r="DW341" s="19"/>
      <c r="DX341" s="19"/>
      <c r="DY341" s="19"/>
      <c r="DZ341" s="19"/>
      <c r="EA341" s="19"/>
      <c r="EB341" s="19"/>
      <c r="EC341" s="19"/>
      <c r="ED341" s="19"/>
      <c r="EE341" s="19"/>
      <c r="EF341" s="19"/>
      <c r="EG341" s="19"/>
      <c r="EH341" s="19"/>
      <c r="EI341" s="19"/>
      <c r="EJ341" s="19"/>
      <c r="EK341" s="19"/>
      <c r="EL341" s="19"/>
      <c r="EM341" s="19"/>
      <c r="EN341" s="19"/>
      <c r="EO341" s="19"/>
      <c r="EP341" s="19"/>
      <c r="EQ341" s="19"/>
      <c r="ER341" s="19"/>
      <c r="ES341" s="19"/>
      <c r="ET341" s="19"/>
      <c r="EU341" s="19"/>
      <c r="EV341" s="19"/>
      <c r="EW341" s="19"/>
      <c r="EX341" s="19"/>
      <c r="EY341" s="19"/>
      <c r="EZ341" s="19"/>
      <c r="FA341" s="19"/>
      <c r="FB341" s="19"/>
      <c r="FC341" s="19"/>
      <c r="FD341" s="19"/>
      <c r="FE341" s="19"/>
      <c r="FF341" s="19"/>
      <c r="FG341" s="19"/>
      <c r="FH341" s="19"/>
      <c r="FI341" s="19"/>
      <c r="FJ341" s="19"/>
      <c r="FK341" s="19"/>
      <c r="FL341" s="20" t="s">
        <v>1160</v>
      </c>
      <c r="FM341" s="20" t="s">
        <v>321</v>
      </c>
      <c r="FN341" s="19"/>
      <c r="FO341" s="19"/>
      <c r="FP341" s="19"/>
      <c r="FQ341" s="19"/>
      <c r="FR341" s="19"/>
      <c r="FS341" s="19"/>
      <c r="FT341" s="19"/>
      <c r="FU341" s="19"/>
      <c r="FV341" s="19"/>
      <c r="FW341" s="19"/>
      <c r="FX341" s="19"/>
      <c r="FY341" s="19"/>
      <c r="FZ341" s="19"/>
      <c r="GA341" s="19"/>
      <c r="GB341" s="19"/>
      <c r="GC341" s="19"/>
      <c r="GD341" s="19"/>
      <c r="GE341" s="19"/>
      <c r="GF341" s="19"/>
      <c r="GG341" s="19"/>
      <c r="GH341" s="19"/>
      <c r="GI341" s="19"/>
      <c r="GJ341" s="19"/>
      <c r="GK341" s="19"/>
      <c r="GL341" s="19"/>
      <c r="GM341" s="19"/>
      <c r="GN341" s="19"/>
      <c r="GO341" s="19"/>
      <c r="GP341" s="19"/>
      <c r="GQ341" s="19"/>
      <c r="GR341" s="19"/>
      <c r="GS341" s="19"/>
      <c r="GT341" s="19"/>
      <c r="GU341" s="19"/>
      <c r="GV341" s="19"/>
      <c r="GW341" s="19"/>
      <c r="GX341" s="19"/>
      <c r="GY341" s="19"/>
      <c r="GZ341" s="19"/>
      <c r="HA341" s="19"/>
    </row>
    <row r="342" spans="1:209" ht="23.25" customHeight="1" x14ac:dyDescent="0.15">
      <c r="A342" s="26">
        <v>44660.358511365739</v>
      </c>
      <c r="B342" s="27" t="s">
        <v>6</v>
      </c>
      <c r="C342" s="27" t="s">
        <v>11</v>
      </c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  <c r="AX342" s="27" t="s">
        <v>1227</v>
      </c>
      <c r="AY342" s="27" t="s">
        <v>1214</v>
      </c>
      <c r="AZ342" s="27" t="s">
        <v>498</v>
      </c>
      <c r="BA342" s="27" t="s">
        <v>307</v>
      </c>
      <c r="BB342" s="27" t="s">
        <v>415</v>
      </c>
      <c r="BC342" s="29">
        <v>44476</v>
      </c>
      <c r="BD342" s="29">
        <v>44537</v>
      </c>
      <c r="BE342" s="29">
        <v>44535</v>
      </c>
      <c r="BF342" s="27">
        <v>100</v>
      </c>
      <c r="BG342" s="27" t="s">
        <v>1228</v>
      </c>
      <c r="BH342" s="30" t="s">
        <v>1229</v>
      </c>
      <c r="BI342" s="28"/>
      <c r="BJ342" s="28"/>
      <c r="BK342" s="28"/>
      <c r="BL342" s="28"/>
      <c r="BM342" s="28"/>
      <c r="BN342" s="28"/>
      <c r="BO342" s="28"/>
      <c r="BP342" s="28"/>
      <c r="BQ342" s="28"/>
      <c r="BR342" s="28"/>
      <c r="BS342" s="28"/>
      <c r="BT342" s="28"/>
      <c r="BU342" s="28"/>
      <c r="BV342" s="28"/>
      <c r="BW342" s="28"/>
      <c r="BX342" s="28"/>
      <c r="BY342" s="19"/>
      <c r="BZ342" s="19"/>
      <c r="CA342" s="19"/>
      <c r="CB342" s="19"/>
      <c r="CC342" s="19"/>
      <c r="CD342" s="19"/>
      <c r="CE342" s="19"/>
      <c r="CF342" s="19"/>
      <c r="CG342" s="19"/>
      <c r="CH342" s="19"/>
      <c r="CI342" s="19"/>
      <c r="CJ342" s="19"/>
      <c r="CK342" s="19"/>
      <c r="CL342" s="19"/>
      <c r="CM342" s="19"/>
      <c r="CN342" s="19"/>
      <c r="CO342" s="19"/>
      <c r="CP342" s="19"/>
      <c r="CQ342" s="19"/>
      <c r="CR342" s="19"/>
      <c r="CS342" s="19"/>
      <c r="CT342" s="19"/>
      <c r="CU342" s="19"/>
      <c r="CV342" s="19"/>
      <c r="CW342" s="19"/>
      <c r="CX342" s="19"/>
      <c r="CY342" s="19"/>
      <c r="CZ342" s="19"/>
      <c r="DA342" s="19"/>
      <c r="DB342" s="19"/>
      <c r="DC342" s="19"/>
      <c r="DD342" s="19"/>
      <c r="DE342" s="19"/>
      <c r="DF342" s="19"/>
      <c r="DG342" s="19"/>
      <c r="DH342" s="19"/>
      <c r="DI342" s="19"/>
      <c r="DJ342" s="19"/>
      <c r="DK342" s="19"/>
      <c r="DL342" s="19"/>
      <c r="DM342" s="19"/>
      <c r="DN342" s="19"/>
      <c r="DO342" s="19"/>
      <c r="DP342" s="19"/>
      <c r="DQ342" s="19"/>
      <c r="DR342" s="19"/>
      <c r="DS342" s="19"/>
      <c r="DT342" s="19"/>
      <c r="DU342" s="19"/>
      <c r="DV342" s="19"/>
      <c r="DW342" s="19"/>
      <c r="DX342" s="19"/>
      <c r="DY342" s="19"/>
      <c r="DZ342" s="19"/>
      <c r="EA342" s="19"/>
      <c r="EB342" s="19"/>
      <c r="EC342" s="19"/>
      <c r="ED342" s="19"/>
      <c r="EE342" s="19"/>
      <c r="EF342" s="19"/>
      <c r="EG342" s="19"/>
      <c r="EH342" s="19"/>
      <c r="EI342" s="19"/>
      <c r="EJ342" s="19"/>
      <c r="EK342" s="19"/>
      <c r="EL342" s="19"/>
      <c r="EM342" s="19"/>
      <c r="EN342" s="19"/>
      <c r="EO342" s="19"/>
      <c r="EP342" s="19"/>
      <c r="EQ342" s="19"/>
      <c r="ER342" s="19"/>
      <c r="ES342" s="19"/>
      <c r="ET342" s="19"/>
      <c r="EU342" s="19"/>
      <c r="EV342" s="19"/>
      <c r="EW342" s="19"/>
      <c r="EX342" s="19"/>
      <c r="EY342" s="19"/>
      <c r="EZ342" s="19"/>
      <c r="FA342" s="19"/>
      <c r="FB342" s="19"/>
      <c r="FC342" s="19"/>
      <c r="FD342" s="19"/>
      <c r="FE342" s="19"/>
      <c r="FF342" s="19"/>
      <c r="FG342" s="19"/>
      <c r="FH342" s="19"/>
      <c r="FI342" s="19"/>
      <c r="FJ342" s="19"/>
      <c r="FK342" s="19"/>
      <c r="FL342" s="20" t="s">
        <v>1217</v>
      </c>
      <c r="FM342" s="20" t="s">
        <v>273</v>
      </c>
      <c r="FN342" s="19"/>
      <c r="FO342" s="19"/>
      <c r="FP342" s="19"/>
      <c r="FQ342" s="19"/>
      <c r="FR342" s="19"/>
      <c r="FS342" s="19"/>
      <c r="FT342" s="19"/>
      <c r="FU342" s="19"/>
      <c r="FV342" s="19"/>
      <c r="FW342" s="19"/>
      <c r="FX342" s="19"/>
      <c r="FY342" s="19"/>
      <c r="FZ342" s="19"/>
      <c r="GA342" s="19"/>
      <c r="GB342" s="19"/>
      <c r="GC342" s="19"/>
      <c r="GD342" s="19"/>
      <c r="GE342" s="19"/>
      <c r="GF342" s="19"/>
      <c r="GG342" s="19"/>
      <c r="GH342" s="19"/>
      <c r="GI342" s="19"/>
      <c r="GJ342" s="19"/>
      <c r="GK342" s="19"/>
      <c r="GL342" s="19"/>
      <c r="GM342" s="19"/>
      <c r="GN342" s="19"/>
      <c r="GO342" s="19"/>
      <c r="GP342" s="19"/>
      <c r="GQ342" s="19"/>
      <c r="GR342" s="19"/>
      <c r="GS342" s="19"/>
      <c r="GT342" s="19"/>
      <c r="GU342" s="19"/>
      <c r="GV342" s="19"/>
      <c r="GW342" s="19"/>
      <c r="GX342" s="19"/>
      <c r="GY342" s="19"/>
      <c r="GZ342" s="19"/>
      <c r="HA342" s="19"/>
    </row>
    <row r="343" spans="1:209" ht="23.25" customHeight="1" x14ac:dyDescent="0.15">
      <c r="A343" s="26">
        <v>44660.359467546295</v>
      </c>
      <c r="B343" s="27" t="s">
        <v>6</v>
      </c>
      <c r="C343" s="27" t="s">
        <v>11</v>
      </c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  <c r="AX343" s="27" t="s">
        <v>1200</v>
      </c>
      <c r="AY343" s="27" t="s">
        <v>1201</v>
      </c>
      <c r="AZ343" s="27" t="s">
        <v>1230</v>
      </c>
      <c r="BA343" s="27" t="s">
        <v>335</v>
      </c>
      <c r="BB343" s="27" t="s">
        <v>448</v>
      </c>
      <c r="BC343" s="29">
        <v>43489</v>
      </c>
      <c r="BD343" s="29">
        <v>43548</v>
      </c>
      <c r="BE343" s="29">
        <v>43585</v>
      </c>
      <c r="BF343" s="27">
        <v>90</v>
      </c>
      <c r="BG343" s="27" t="s">
        <v>1231</v>
      </c>
      <c r="BH343" s="30" t="s">
        <v>1232</v>
      </c>
      <c r="BI343" s="28"/>
      <c r="BJ343" s="28"/>
      <c r="BK343" s="28"/>
      <c r="BL343" s="28"/>
      <c r="BM343" s="28"/>
      <c r="BN343" s="28"/>
      <c r="BO343" s="28"/>
      <c r="BP343" s="28"/>
      <c r="BQ343" s="28"/>
      <c r="BR343" s="28"/>
      <c r="BS343" s="28"/>
      <c r="BT343" s="28"/>
      <c r="BU343" s="28"/>
      <c r="BV343" s="28"/>
      <c r="BW343" s="28"/>
      <c r="BX343" s="28"/>
      <c r="BY343" s="19"/>
      <c r="BZ343" s="19"/>
      <c r="CA343" s="19"/>
      <c r="CB343" s="19"/>
      <c r="CC343" s="19"/>
      <c r="CD343" s="19"/>
      <c r="CE343" s="19"/>
      <c r="CF343" s="19"/>
      <c r="CG343" s="19"/>
      <c r="CH343" s="19"/>
      <c r="CI343" s="19"/>
      <c r="CJ343" s="19"/>
      <c r="CK343" s="19"/>
      <c r="CL343" s="19"/>
      <c r="CM343" s="19"/>
      <c r="CN343" s="19"/>
      <c r="CO343" s="19"/>
      <c r="CP343" s="19"/>
      <c r="CQ343" s="19"/>
      <c r="CR343" s="19"/>
      <c r="CS343" s="19"/>
      <c r="CT343" s="19"/>
      <c r="CU343" s="19"/>
      <c r="CV343" s="19"/>
      <c r="CW343" s="19"/>
      <c r="CX343" s="19"/>
      <c r="CY343" s="19"/>
      <c r="CZ343" s="19"/>
      <c r="DA343" s="19"/>
      <c r="DB343" s="19"/>
      <c r="DC343" s="19"/>
      <c r="DD343" s="19"/>
      <c r="DE343" s="19"/>
      <c r="DF343" s="19"/>
      <c r="DG343" s="19"/>
      <c r="DH343" s="19"/>
      <c r="DI343" s="19"/>
      <c r="DJ343" s="19"/>
      <c r="DK343" s="19"/>
      <c r="DL343" s="19"/>
      <c r="DM343" s="19"/>
      <c r="DN343" s="19"/>
      <c r="DO343" s="19"/>
      <c r="DP343" s="19"/>
      <c r="DQ343" s="19"/>
      <c r="DR343" s="19"/>
      <c r="DS343" s="19"/>
      <c r="DT343" s="19"/>
      <c r="DU343" s="19"/>
      <c r="DV343" s="19"/>
      <c r="DW343" s="19"/>
      <c r="DX343" s="19"/>
      <c r="DY343" s="19"/>
      <c r="DZ343" s="19"/>
      <c r="EA343" s="19"/>
      <c r="EB343" s="19"/>
      <c r="EC343" s="19"/>
      <c r="ED343" s="19"/>
      <c r="EE343" s="19"/>
      <c r="EF343" s="19"/>
      <c r="EG343" s="19"/>
      <c r="EH343" s="19"/>
      <c r="EI343" s="19"/>
      <c r="EJ343" s="19"/>
      <c r="EK343" s="19"/>
      <c r="EL343" s="19"/>
      <c r="EM343" s="19"/>
      <c r="EN343" s="19"/>
      <c r="EO343" s="19"/>
      <c r="EP343" s="19"/>
      <c r="EQ343" s="19"/>
      <c r="ER343" s="19"/>
      <c r="ES343" s="19"/>
      <c r="ET343" s="19"/>
      <c r="EU343" s="19"/>
      <c r="EV343" s="19"/>
      <c r="EW343" s="19"/>
      <c r="EX343" s="19"/>
      <c r="EY343" s="19"/>
      <c r="EZ343" s="19"/>
      <c r="FA343" s="19"/>
      <c r="FB343" s="19"/>
      <c r="FC343" s="19"/>
      <c r="FD343" s="19"/>
      <c r="FE343" s="19"/>
      <c r="FF343" s="19"/>
      <c r="FG343" s="19"/>
      <c r="FH343" s="19"/>
      <c r="FI343" s="19"/>
      <c r="FJ343" s="19"/>
      <c r="FK343" s="19"/>
      <c r="FL343" s="20" t="s">
        <v>1205</v>
      </c>
      <c r="FM343" s="20" t="s">
        <v>255</v>
      </c>
      <c r="FN343" s="19"/>
      <c r="FO343" s="19"/>
      <c r="FP343" s="19"/>
      <c r="FQ343" s="19"/>
      <c r="FR343" s="19"/>
      <c r="FS343" s="19"/>
      <c r="FT343" s="19"/>
      <c r="FU343" s="19"/>
      <c r="FV343" s="19"/>
      <c r="FW343" s="19"/>
      <c r="FX343" s="19"/>
      <c r="FY343" s="19"/>
      <c r="FZ343" s="19"/>
      <c r="GA343" s="19"/>
      <c r="GB343" s="19"/>
      <c r="GC343" s="19"/>
      <c r="GD343" s="19"/>
      <c r="GE343" s="19"/>
      <c r="GF343" s="19"/>
      <c r="GG343" s="19"/>
      <c r="GH343" s="19"/>
      <c r="GI343" s="19"/>
      <c r="GJ343" s="19"/>
      <c r="GK343" s="19"/>
      <c r="GL343" s="19"/>
      <c r="GM343" s="19"/>
      <c r="GN343" s="19"/>
      <c r="GO343" s="19"/>
      <c r="GP343" s="19"/>
      <c r="GQ343" s="19"/>
      <c r="GR343" s="19"/>
      <c r="GS343" s="19"/>
      <c r="GT343" s="19"/>
      <c r="GU343" s="19"/>
      <c r="GV343" s="19"/>
      <c r="GW343" s="19"/>
      <c r="GX343" s="19"/>
      <c r="GY343" s="19"/>
      <c r="GZ343" s="19"/>
      <c r="HA343" s="19"/>
    </row>
    <row r="344" spans="1:209" ht="23.25" customHeight="1" x14ac:dyDescent="0.15">
      <c r="A344" s="26">
        <v>44660.359742615736</v>
      </c>
      <c r="B344" s="27" t="s">
        <v>6</v>
      </c>
      <c r="C344" s="27" t="s">
        <v>19</v>
      </c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  <c r="AX344" s="28"/>
      <c r="AY344" s="28"/>
      <c r="AZ344" s="28"/>
      <c r="BA344" s="28"/>
      <c r="BB344" s="28"/>
      <c r="BC344" s="28"/>
      <c r="BD344" s="28"/>
      <c r="BE344" s="28"/>
      <c r="BF344" s="28"/>
      <c r="BG344" s="28"/>
      <c r="BH344" s="28"/>
      <c r="BI344" s="28"/>
      <c r="BJ344" s="28"/>
      <c r="BK344" s="28"/>
      <c r="BL344" s="28"/>
      <c r="BM344" s="28"/>
      <c r="BN344" s="28"/>
      <c r="BO344" s="28"/>
      <c r="BP344" s="28"/>
      <c r="BQ344" s="28"/>
      <c r="BR344" s="28"/>
      <c r="BS344" s="28"/>
      <c r="BT344" s="28"/>
      <c r="BU344" s="28"/>
      <c r="BV344" s="28"/>
      <c r="BW344" s="28"/>
      <c r="BX344" s="28"/>
      <c r="BY344" s="19"/>
      <c r="BZ344" s="19"/>
      <c r="CA344" s="19"/>
      <c r="CB344" s="19"/>
      <c r="CC344" s="19"/>
      <c r="CD344" s="19"/>
      <c r="CE344" s="19"/>
      <c r="CF344" s="19"/>
      <c r="CG344" s="19"/>
      <c r="CH344" s="19"/>
      <c r="CI344" s="19"/>
      <c r="CJ344" s="19"/>
      <c r="CK344" s="19"/>
      <c r="CL344" s="19"/>
      <c r="CM344" s="19"/>
      <c r="CN344" s="19"/>
      <c r="CO344" s="19"/>
      <c r="CP344" s="19"/>
      <c r="CQ344" s="19"/>
      <c r="CR344" s="19"/>
      <c r="CS344" s="19"/>
      <c r="CT344" s="19"/>
      <c r="CU344" s="19"/>
      <c r="CV344" s="19"/>
      <c r="CW344" s="19"/>
      <c r="CX344" s="19"/>
      <c r="CY344" s="19"/>
      <c r="CZ344" s="19"/>
      <c r="DA344" s="19"/>
      <c r="DB344" s="19"/>
      <c r="DC344" s="19"/>
      <c r="DD344" s="19"/>
      <c r="DE344" s="19"/>
      <c r="DF344" s="19"/>
      <c r="DG344" s="19"/>
      <c r="DH344" s="19"/>
      <c r="DI344" s="19"/>
      <c r="DJ344" s="19"/>
      <c r="DK344" s="19"/>
      <c r="DL344" s="19"/>
      <c r="DM344" s="19"/>
      <c r="DN344" s="19"/>
      <c r="DO344" s="19"/>
      <c r="DP344" s="19"/>
      <c r="DQ344" s="19"/>
      <c r="DR344" s="19"/>
      <c r="DS344" s="19"/>
      <c r="DT344" s="19"/>
      <c r="DU344" s="19"/>
      <c r="DV344" s="19"/>
      <c r="DW344" s="19"/>
      <c r="DX344" s="19"/>
      <c r="DY344" s="19"/>
      <c r="DZ344" s="19"/>
      <c r="EA344" s="19"/>
      <c r="EB344" s="19"/>
      <c r="EC344" s="19"/>
      <c r="ED344" s="19"/>
      <c r="EE344" s="19"/>
      <c r="EF344" s="19"/>
      <c r="EG344" s="19"/>
      <c r="EH344" s="19"/>
      <c r="EI344" s="19"/>
      <c r="EJ344" s="19"/>
      <c r="EK344" s="19"/>
      <c r="EL344" s="19"/>
      <c r="EM344" s="19"/>
      <c r="EN344" s="19"/>
      <c r="EO344" s="19"/>
      <c r="EP344" s="19"/>
      <c r="EQ344" s="19"/>
      <c r="ER344" s="19"/>
      <c r="ES344" s="19"/>
      <c r="ET344" s="19"/>
      <c r="EU344" s="19"/>
      <c r="EV344" s="19"/>
      <c r="EW344" s="19"/>
      <c r="EX344" s="19"/>
      <c r="EY344" s="19"/>
      <c r="EZ344" s="19"/>
      <c r="FA344" s="19"/>
      <c r="FB344" s="19"/>
      <c r="FC344" s="19"/>
      <c r="FD344" s="19"/>
      <c r="FE344" s="19"/>
      <c r="FF344" s="19"/>
      <c r="FG344" s="20" t="s">
        <v>1227</v>
      </c>
      <c r="FH344" s="20" t="s">
        <v>1214</v>
      </c>
      <c r="FI344" s="20" t="s">
        <v>296</v>
      </c>
      <c r="FJ344" s="21">
        <v>44219</v>
      </c>
      <c r="FK344" s="22" t="s">
        <v>1233</v>
      </c>
      <c r="FL344" s="20" t="s">
        <v>1217</v>
      </c>
      <c r="FM344" s="20" t="s">
        <v>255</v>
      </c>
      <c r="FN344" s="19"/>
      <c r="FO344" s="19"/>
      <c r="FP344" s="19"/>
      <c r="FQ344" s="19"/>
      <c r="FR344" s="19"/>
      <c r="FS344" s="19"/>
      <c r="FT344" s="19"/>
      <c r="FU344" s="19"/>
      <c r="FV344" s="19"/>
      <c r="FW344" s="19"/>
      <c r="FX344" s="19"/>
      <c r="FY344" s="19"/>
      <c r="FZ344" s="19"/>
      <c r="GA344" s="19"/>
      <c r="GB344" s="19"/>
      <c r="GC344" s="19"/>
      <c r="GD344" s="19"/>
      <c r="GE344" s="19"/>
      <c r="GF344" s="19"/>
      <c r="GG344" s="19"/>
      <c r="GH344" s="19"/>
      <c r="GI344" s="19"/>
      <c r="GJ344" s="19"/>
      <c r="GK344" s="19"/>
      <c r="GL344" s="19"/>
      <c r="GM344" s="19"/>
      <c r="GN344" s="19"/>
      <c r="GO344" s="19"/>
      <c r="GP344" s="19"/>
      <c r="GQ344" s="19"/>
      <c r="GR344" s="19"/>
      <c r="GS344" s="19"/>
      <c r="GT344" s="19"/>
      <c r="GU344" s="19"/>
      <c r="GV344" s="19"/>
      <c r="GW344" s="19"/>
      <c r="GX344" s="19"/>
      <c r="GY344" s="19"/>
      <c r="GZ344" s="19"/>
      <c r="HA344" s="19"/>
    </row>
    <row r="345" spans="1:209" ht="23.25" customHeight="1" x14ac:dyDescent="0.15">
      <c r="A345" s="26">
        <v>44660.359758923616</v>
      </c>
      <c r="B345" s="27" t="s">
        <v>6</v>
      </c>
      <c r="C345" s="27" t="s">
        <v>11</v>
      </c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  <c r="AX345" s="27" t="s">
        <v>1145</v>
      </c>
      <c r="AY345" s="27" t="s">
        <v>1146</v>
      </c>
      <c r="AZ345" s="27" t="s">
        <v>1234</v>
      </c>
      <c r="BA345" s="27" t="s">
        <v>1235</v>
      </c>
      <c r="BB345" s="27" t="s">
        <v>550</v>
      </c>
      <c r="BC345" s="29">
        <v>43971</v>
      </c>
      <c r="BD345" s="29">
        <v>44033</v>
      </c>
      <c r="BE345" s="29">
        <v>44027</v>
      </c>
      <c r="BF345" s="27">
        <v>70</v>
      </c>
      <c r="BG345" s="27" t="s">
        <v>1211</v>
      </c>
      <c r="BH345" s="30" t="s">
        <v>1236</v>
      </c>
      <c r="BI345" s="28"/>
      <c r="BJ345" s="28"/>
      <c r="BK345" s="28"/>
      <c r="BL345" s="28"/>
      <c r="BM345" s="28"/>
      <c r="BN345" s="28"/>
      <c r="BO345" s="28"/>
      <c r="BP345" s="28"/>
      <c r="BQ345" s="28"/>
      <c r="BR345" s="28"/>
      <c r="BS345" s="28"/>
      <c r="BT345" s="28"/>
      <c r="BU345" s="28"/>
      <c r="BV345" s="28"/>
      <c r="BW345" s="28"/>
      <c r="BX345" s="28"/>
      <c r="BY345" s="19"/>
      <c r="BZ345" s="19"/>
      <c r="CA345" s="19"/>
      <c r="CB345" s="19"/>
      <c r="CC345" s="19"/>
      <c r="CD345" s="19"/>
      <c r="CE345" s="19"/>
      <c r="CF345" s="19"/>
      <c r="CG345" s="19"/>
      <c r="CH345" s="19"/>
      <c r="CI345" s="19"/>
      <c r="CJ345" s="19"/>
      <c r="CK345" s="19"/>
      <c r="CL345" s="19"/>
      <c r="CM345" s="19"/>
      <c r="CN345" s="19"/>
      <c r="CO345" s="19"/>
      <c r="CP345" s="19"/>
      <c r="CQ345" s="19"/>
      <c r="CR345" s="19"/>
      <c r="CS345" s="19"/>
      <c r="CT345" s="19"/>
      <c r="CU345" s="19"/>
      <c r="CV345" s="19"/>
      <c r="CW345" s="19"/>
      <c r="CX345" s="19"/>
      <c r="CY345" s="19"/>
      <c r="CZ345" s="19"/>
      <c r="DA345" s="19"/>
      <c r="DB345" s="19"/>
      <c r="DC345" s="19"/>
      <c r="DD345" s="19"/>
      <c r="DE345" s="19"/>
      <c r="DF345" s="19"/>
      <c r="DG345" s="19"/>
      <c r="DH345" s="19"/>
      <c r="DI345" s="19"/>
      <c r="DJ345" s="19"/>
      <c r="DK345" s="19"/>
      <c r="DL345" s="19"/>
      <c r="DM345" s="19"/>
      <c r="DN345" s="19"/>
      <c r="DO345" s="19"/>
      <c r="DP345" s="19"/>
      <c r="DQ345" s="19"/>
      <c r="DR345" s="19"/>
      <c r="DS345" s="19"/>
      <c r="DT345" s="19"/>
      <c r="DU345" s="19"/>
      <c r="DV345" s="19"/>
      <c r="DW345" s="19"/>
      <c r="DX345" s="19"/>
      <c r="DY345" s="19"/>
      <c r="DZ345" s="19"/>
      <c r="EA345" s="19"/>
      <c r="EB345" s="19"/>
      <c r="EC345" s="19"/>
      <c r="ED345" s="19"/>
      <c r="EE345" s="19"/>
      <c r="EF345" s="19"/>
      <c r="EG345" s="19"/>
      <c r="EH345" s="19"/>
      <c r="EI345" s="19"/>
      <c r="EJ345" s="19"/>
      <c r="EK345" s="19"/>
      <c r="EL345" s="19"/>
      <c r="EM345" s="19"/>
      <c r="EN345" s="19"/>
      <c r="EO345" s="19"/>
      <c r="EP345" s="19"/>
      <c r="EQ345" s="19"/>
      <c r="ER345" s="19"/>
      <c r="ES345" s="19"/>
      <c r="ET345" s="19"/>
      <c r="EU345" s="19"/>
      <c r="EV345" s="19"/>
      <c r="EW345" s="19"/>
      <c r="EX345" s="19"/>
      <c r="EY345" s="19"/>
      <c r="EZ345" s="19"/>
      <c r="FA345" s="19"/>
      <c r="FB345" s="19"/>
      <c r="FC345" s="19"/>
      <c r="FD345" s="19"/>
      <c r="FE345" s="19"/>
      <c r="FF345" s="19"/>
      <c r="FG345" s="19"/>
      <c r="FH345" s="19"/>
      <c r="FI345" s="19"/>
      <c r="FJ345" s="19"/>
      <c r="FK345" s="19"/>
      <c r="FL345" s="20" t="s">
        <v>1150</v>
      </c>
      <c r="FM345" s="20" t="s">
        <v>321</v>
      </c>
      <c r="FN345" s="19"/>
      <c r="FO345" s="19"/>
      <c r="FP345" s="19"/>
      <c r="FQ345" s="19"/>
      <c r="FR345" s="19"/>
      <c r="FS345" s="19"/>
      <c r="FT345" s="19"/>
      <c r="FU345" s="19"/>
      <c r="FV345" s="19"/>
      <c r="FW345" s="19"/>
      <c r="FX345" s="19"/>
      <c r="FY345" s="19"/>
      <c r="FZ345" s="19"/>
      <c r="GA345" s="19"/>
      <c r="GB345" s="19"/>
      <c r="GC345" s="19"/>
      <c r="GD345" s="19"/>
      <c r="GE345" s="19"/>
      <c r="GF345" s="19"/>
      <c r="GG345" s="19"/>
      <c r="GH345" s="19"/>
      <c r="GI345" s="19"/>
      <c r="GJ345" s="19"/>
      <c r="GK345" s="19"/>
      <c r="GL345" s="19"/>
      <c r="GM345" s="19"/>
      <c r="GN345" s="19"/>
      <c r="GO345" s="19"/>
      <c r="GP345" s="19"/>
      <c r="GQ345" s="19"/>
      <c r="GR345" s="19"/>
      <c r="GS345" s="19"/>
      <c r="GT345" s="19"/>
      <c r="GU345" s="19"/>
      <c r="GV345" s="19"/>
      <c r="GW345" s="19"/>
      <c r="GX345" s="19"/>
      <c r="GY345" s="19"/>
      <c r="GZ345" s="19"/>
      <c r="HA345" s="19"/>
    </row>
    <row r="346" spans="1:209" ht="23.25" customHeight="1" x14ac:dyDescent="0.15">
      <c r="A346" s="26">
        <v>44660.360415462965</v>
      </c>
      <c r="B346" s="27" t="s">
        <v>6</v>
      </c>
      <c r="C346" s="27" t="s">
        <v>11</v>
      </c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  <c r="AX346" s="27" t="s">
        <v>1163</v>
      </c>
      <c r="AY346" s="27" t="s">
        <v>1164</v>
      </c>
      <c r="AZ346" s="27" t="s">
        <v>1237</v>
      </c>
      <c r="BA346" s="27" t="s">
        <v>375</v>
      </c>
      <c r="BB346" s="27" t="s">
        <v>493</v>
      </c>
      <c r="BC346" s="29">
        <v>44287</v>
      </c>
      <c r="BD346" s="29">
        <v>44317</v>
      </c>
      <c r="BE346" s="29">
        <v>44322</v>
      </c>
      <c r="BF346" s="27">
        <v>90</v>
      </c>
      <c r="BG346" s="27" t="s">
        <v>1198</v>
      </c>
      <c r="BH346" s="30" t="s">
        <v>1238</v>
      </c>
      <c r="BI346" s="28"/>
      <c r="BJ346" s="28"/>
      <c r="BK346" s="28"/>
      <c r="BL346" s="28"/>
      <c r="BM346" s="28"/>
      <c r="BN346" s="28"/>
      <c r="BO346" s="28"/>
      <c r="BP346" s="28"/>
      <c r="BQ346" s="28"/>
      <c r="BR346" s="28"/>
      <c r="BS346" s="28"/>
      <c r="BT346" s="28"/>
      <c r="BU346" s="28"/>
      <c r="BV346" s="28"/>
      <c r="BW346" s="28"/>
      <c r="BX346" s="28"/>
      <c r="BY346" s="19"/>
      <c r="BZ346" s="19"/>
      <c r="CA346" s="19"/>
      <c r="CB346" s="19"/>
      <c r="CC346" s="19"/>
      <c r="CD346" s="19"/>
      <c r="CE346" s="19"/>
      <c r="CF346" s="19"/>
      <c r="CG346" s="19"/>
      <c r="CH346" s="19"/>
      <c r="CI346" s="19"/>
      <c r="CJ346" s="19"/>
      <c r="CK346" s="19"/>
      <c r="CL346" s="19"/>
      <c r="CM346" s="19"/>
      <c r="CN346" s="19"/>
      <c r="CO346" s="19"/>
      <c r="CP346" s="19"/>
      <c r="CQ346" s="19"/>
      <c r="CR346" s="19"/>
      <c r="CS346" s="19"/>
      <c r="CT346" s="19"/>
      <c r="CU346" s="19"/>
      <c r="CV346" s="19"/>
      <c r="CW346" s="19"/>
      <c r="CX346" s="19"/>
      <c r="CY346" s="19"/>
      <c r="CZ346" s="19"/>
      <c r="DA346" s="19"/>
      <c r="DB346" s="19"/>
      <c r="DC346" s="19"/>
      <c r="DD346" s="19"/>
      <c r="DE346" s="19"/>
      <c r="DF346" s="19"/>
      <c r="DG346" s="19"/>
      <c r="DH346" s="19"/>
      <c r="DI346" s="19"/>
      <c r="DJ346" s="19"/>
      <c r="DK346" s="19"/>
      <c r="DL346" s="19"/>
      <c r="DM346" s="19"/>
      <c r="DN346" s="19"/>
      <c r="DO346" s="19"/>
      <c r="DP346" s="19"/>
      <c r="DQ346" s="19"/>
      <c r="DR346" s="19"/>
      <c r="DS346" s="19"/>
      <c r="DT346" s="19"/>
      <c r="DU346" s="19"/>
      <c r="DV346" s="19"/>
      <c r="DW346" s="19"/>
      <c r="DX346" s="19"/>
      <c r="DY346" s="19"/>
      <c r="DZ346" s="19"/>
      <c r="EA346" s="19"/>
      <c r="EB346" s="19"/>
      <c r="EC346" s="19"/>
      <c r="ED346" s="19"/>
      <c r="EE346" s="19"/>
      <c r="EF346" s="19"/>
      <c r="EG346" s="19"/>
      <c r="EH346" s="19"/>
      <c r="EI346" s="19"/>
      <c r="EJ346" s="19"/>
      <c r="EK346" s="19"/>
      <c r="EL346" s="19"/>
      <c r="EM346" s="19"/>
      <c r="EN346" s="19"/>
      <c r="EO346" s="19"/>
      <c r="EP346" s="19"/>
      <c r="EQ346" s="19"/>
      <c r="ER346" s="19"/>
      <c r="ES346" s="19"/>
      <c r="ET346" s="19"/>
      <c r="EU346" s="19"/>
      <c r="EV346" s="19"/>
      <c r="EW346" s="19"/>
      <c r="EX346" s="19"/>
      <c r="EY346" s="19"/>
      <c r="EZ346" s="19"/>
      <c r="FA346" s="19"/>
      <c r="FB346" s="19"/>
      <c r="FC346" s="19"/>
      <c r="FD346" s="19"/>
      <c r="FE346" s="19"/>
      <c r="FF346" s="19"/>
      <c r="FG346" s="19"/>
      <c r="FH346" s="19"/>
      <c r="FI346" s="19"/>
      <c r="FJ346" s="19"/>
      <c r="FK346" s="19"/>
      <c r="FL346" s="20" t="s">
        <v>1160</v>
      </c>
      <c r="FM346" s="20" t="s">
        <v>278</v>
      </c>
      <c r="FN346" s="19"/>
      <c r="FO346" s="19"/>
      <c r="FP346" s="19"/>
      <c r="FQ346" s="19"/>
      <c r="FR346" s="19"/>
      <c r="FS346" s="19"/>
      <c r="FT346" s="19"/>
      <c r="FU346" s="19"/>
      <c r="FV346" s="19"/>
      <c r="FW346" s="19"/>
      <c r="FX346" s="19"/>
      <c r="FY346" s="19"/>
      <c r="FZ346" s="19"/>
      <c r="GA346" s="19"/>
      <c r="GB346" s="19"/>
      <c r="GC346" s="19"/>
      <c r="GD346" s="19"/>
      <c r="GE346" s="19"/>
      <c r="GF346" s="19"/>
      <c r="GG346" s="19"/>
      <c r="GH346" s="19"/>
      <c r="GI346" s="19"/>
      <c r="GJ346" s="19"/>
      <c r="GK346" s="19"/>
      <c r="GL346" s="19"/>
      <c r="GM346" s="19"/>
      <c r="GN346" s="19"/>
      <c r="GO346" s="19"/>
      <c r="GP346" s="19"/>
      <c r="GQ346" s="19"/>
      <c r="GR346" s="19"/>
      <c r="GS346" s="19"/>
      <c r="GT346" s="19"/>
      <c r="GU346" s="19"/>
      <c r="GV346" s="19"/>
      <c r="GW346" s="19"/>
      <c r="GX346" s="19"/>
      <c r="GY346" s="19"/>
      <c r="GZ346" s="19"/>
      <c r="HA346" s="19"/>
    </row>
    <row r="347" spans="1:209" ht="23.25" customHeight="1" x14ac:dyDescent="0.15">
      <c r="A347" s="26">
        <v>44660.361368900463</v>
      </c>
      <c r="B347" s="27" t="s">
        <v>6</v>
      </c>
      <c r="C347" s="27" t="s">
        <v>11</v>
      </c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  <c r="AX347" s="27" t="s">
        <v>1239</v>
      </c>
      <c r="AY347" s="27" t="s">
        <v>1240</v>
      </c>
      <c r="AZ347" s="27" t="s">
        <v>545</v>
      </c>
      <c r="BA347" s="27" t="s">
        <v>1241</v>
      </c>
      <c r="BB347" s="27" t="s">
        <v>308</v>
      </c>
      <c r="BC347" s="29">
        <v>44000</v>
      </c>
      <c r="BD347" s="29">
        <v>44057</v>
      </c>
      <c r="BE347" s="29">
        <v>44057</v>
      </c>
      <c r="BF347" s="27">
        <v>80</v>
      </c>
      <c r="BG347" s="27" t="s">
        <v>1242</v>
      </c>
      <c r="BH347" s="30" t="s">
        <v>1243</v>
      </c>
      <c r="BI347" s="28"/>
      <c r="BJ347" s="28"/>
      <c r="BK347" s="28"/>
      <c r="BL347" s="28"/>
      <c r="BM347" s="28"/>
      <c r="BN347" s="28"/>
      <c r="BO347" s="28"/>
      <c r="BP347" s="28"/>
      <c r="BQ347" s="28"/>
      <c r="BR347" s="28"/>
      <c r="BS347" s="28"/>
      <c r="BT347" s="28"/>
      <c r="BU347" s="28"/>
      <c r="BV347" s="28"/>
      <c r="BW347" s="28"/>
      <c r="BX347" s="28"/>
      <c r="BY347" s="19"/>
      <c r="BZ347" s="19"/>
      <c r="CA347" s="19"/>
      <c r="CB347" s="19"/>
      <c r="CC347" s="19"/>
      <c r="CD347" s="19"/>
      <c r="CE347" s="19"/>
      <c r="CF347" s="19"/>
      <c r="CG347" s="19"/>
      <c r="CH347" s="19"/>
      <c r="CI347" s="19"/>
      <c r="CJ347" s="19"/>
      <c r="CK347" s="19"/>
      <c r="CL347" s="19"/>
      <c r="CM347" s="19"/>
      <c r="CN347" s="19"/>
      <c r="CO347" s="19"/>
      <c r="CP347" s="19"/>
      <c r="CQ347" s="19"/>
      <c r="CR347" s="19"/>
      <c r="CS347" s="19"/>
      <c r="CT347" s="19"/>
      <c r="CU347" s="19"/>
      <c r="CV347" s="19"/>
      <c r="CW347" s="19"/>
      <c r="CX347" s="19"/>
      <c r="CY347" s="19"/>
      <c r="CZ347" s="19"/>
      <c r="DA347" s="19"/>
      <c r="DB347" s="19"/>
      <c r="DC347" s="19"/>
      <c r="DD347" s="19"/>
      <c r="DE347" s="19"/>
      <c r="DF347" s="19"/>
      <c r="DG347" s="19"/>
      <c r="DH347" s="19"/>
      <c r="DI347" s="19"/>
      <c r="DJ347" s="19"/>
      <c r="DK347" s="19"/>
      <c r="DL347" s="19"/>
      <c r="DM347" s="19"/>
      <c r="DN347" s="19"/>
      <c r="DO347" s="19"/>
      <c r="DP347" s="19"/>
      <c r="DQ347" s="19"/>
      <c r="DR347" s="19"/>
      <c r="DS347" s="19"/>
      <c r="DT347" s="19"/>
      <c r="DU347" s="19"/>
      <c r="DV347" s="19"/>
      <c r="DW347" s="19"/>
      <c r="DX347" s="19"/>
      <c r="DY347" s="19"/>
      <c r="DZ347" s="19"/>
      <c r="EA347" s="19"/>
      <c r="EB347" s="19"/>
      <c r="EC347" s="19"/>
      <c r="ED347" s="19"/>
      <c r="EE347" s="19"/>
      <c r="EF347" s="19"/>
      <c r="EG347" s="19"/>
      <c r="EH347" s="19"/>
      <c r="EI347" s="19"/>
      <c r="EJ347" s="19"/>
      <c r="EK347" s="19"/>
      <c r="EL347" s="19"/>
      <c r="EM347" s="19"/>
      <c r="EN347" s="19"/>
      <c r="EO347" s="19"/>
      <c r="EP347" s="19"/>
      <c r="EQ347" s="19"/>
      <c r="ER347" s="19"/>
      <c r="ES347" s="19"/>
      <c r="ET347" s="19"/>
      <c r="EU347" s="19"/>
      <c r="EV347" s="19"/>
      <c r="EW347" s="19"/>
      <c r="EX347" s="19"/>
      <c r="EY347" s="19"/>
      <c r="EZ347" s="19"/>
      <c r="FA347" s="19"/>
      <c r="FB347" s="19"/>
      <c r="FC347" s="19"/>
      <c r="FD347" s="19"/>
      <c r="FE347" s="19"/>
      <c r="FF347" s="19"/>
      <c r="FG347" s="19"/>
      <c r="FH347" s="19"/>
      <c r="FI347" s="19"/>
      <c r="FJ347" s="19"/>
      <c r="FK347" s="19"/>
      <c r="FL347" s="20" t="s">
        <v>1244</v>
      </c>
      <c r="FM347" s="20" t="s">
        <v>255</v>
      </c>
      <c r="FN347" s="19"/>
      <c r="FO347" s="19"/>
      <c r="FP347" s="19"/>
      <c r="FQ347" s="19"/>
      <c r="FR347" s="19"/>
      <c r="FS347" s="19"/>
      <c r="FT347" s="19"/>
      <c r="FU347" s="19"/>
      <c r="FV347" s="19"/>
      <c r="FW347" s="19"/>
      <c r="FX347" s="19"/>
      <c r="FY347" s="19"/>
      <c r="FZ347" s="19"/>
      <c r="GA347" s="19"/>
      <c r="GB347" s="19"/>
      <c r="GC347" s="19"/>
      <c r="GD347" s="19"/>
      <c r="GE347" s="19"/>
      <c r="GF347" s="19"/>
      <c r="GG347" s="19"/>
      <c r="GH347" s="19"/>
      <c r="GI347" s="19"/>
      <c r="GJ347" s="19"/>
      <c r="GK347" s="19"/>
      <c r="GL347" s="19"/>
      <c r="GM347" s="19"/>
      <c r="GN347" s="19"/>
      <c r="GO347" s="19"/>
      <c r="GP347" s="19"/>
      <c r="GQ347" s="19"/>
      <c r="GR347" s="19"/>
      <c r="GS347" s="19"/>
      <c r="GT347" s="19"/>
      <c r="GU347" s="19"/>
      <c r="GV347" s="19"/>
      <c r="GW347" s="19"/>
      <c r="GX347" s="19"/>
      <c r="GY347" s="19"/>
      <c r="GZ347" s="19"/>
      <c r="HA347" s="19"/>
    </row>
    <row r="348" spans="1:209" ht="23.25" customHeight="1" x14ac:dyDescent="0.15">
      <c r="A348" s="26">
        <v>44660.361687083336</v>
      </c>
      <c r="B348" s="27" t="s">
        <v>6</v>
      </c>
      <c r="C348" s="27" t="s">
        <v>10</v>
      </c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7" t="s">
        <v>1208</v>
      </c>
      <c r="AO348" s="27" t="s">
        <v>1184</v>
      </c>
      <c r="AP348" s="27" t="s">
        <v>1245</v>
      </c>
      <c r="AQ348" s="27" t="s">
        <v>448</v>
      </c>
      <c r="AR348" s="29">
        <v>44621</v>
      </c>
      <c r="AS348" s="29">
        <v>44696</v>
      </c>
      <c r="AT348" s="27" t="s">
        <v>251</v>
      </c>
      <c r="AU348" s="27" t="s">
        <v>252</v>
      </c>
      <c r="AV348" s="27">
        <v>0</v>
      </c>
      <c r="AW348" s="30" t="s">
        <v>1246</v>
      </c>
      <c r="AX348" s="28"/>
      <c r="AY348" s="28"/>
      <c r="AZ348" s="28"/>
      <c r="BA348" s="28"/>
      <c r="BB348" s="28"/>
      <c r="BC348" s="28"/>
      <c r="BD348" s="28"/>
      <c r="BE348" s="28"/>
      <c r="BF348" s="28"/>
      <c r="BG348" s="28"/>
      <c r="BH348" s="28"/>
      <c r="BI348" s="28"/>
      <c r="BJ348" s="28"/>
      <c r="BK348" s="28"/>
      <c r="BL348" s="28"/>
      <c r="BM348" s="28"/>
      <c r="BN348" s="28"/>
      <c r="BO348" s="28"/>
      <c r="BP348" s="28"/>
      <c r="BQ348" s="28"/>
      <c r="BR348" s="28"/>
      <c r="BS348" s="28"/>
      <c r="BT348" s="28"/>
      <c r="BU348" s="28"/>
      <c r="BV348" s="28"/>
      <c r="BW348" s="28"/>
      <c r="BX348" s="28"/>
      <c r="BY348" s="19"/>
      <c r="BZ348" s="19"/>
      <c r="CA348" s="19"/>
      <c r="CB348" s="19"/>
      <c r="CC348" s="19"/>
      <c r="CD348" s="19"/>
      <c r="CE348" s="19"/>
      <c r="CF348" s="19"/>
      <c r="CG348" s="19"/>
      <c r="CH348" s="19"/>
      <c r="CI348" s="19"/>
      <c r="CJ348" s="19"/>
      <c r="CK348" s="19"/>
      <c r="CL348" s="19"/>
      <c r="CM348" s="19"/>
      <c r="CN348" s="19"/>
      <c r="CO348" s="19"/>
      <c r="CP348" s="19"/>
      <c r="CQ348" s="19"/>
      <c r="CR348" s="19"/>
      <c r="CS348" s="19"/>
      <c r="CT348" s="19"/>
      <c r="CU348" s="19"/>
      <c r="CV348" s="19"/>
      <c r="CW348" s="19"/>
      <c r="CX348" s="19"/>
      <c r="CY348" s="19"/>
      <c r="CZ348" s="19"/>
      <c r="DA348" s="19"/>
      <c r="DB348" s="19"/>
      <c r="DC348" s="19"/>
      <c r="DD348" s="19"/>
      <c r="DE348" s="19"/>
      <c r="DF348" s="19"/>
      <c r="DG348" s="19"/>
      <c r="DH348" s="19"/>
      <c r="DI348" s="19"/>
      <c r="DJ348" s="19"/>
      <c r="DK348" s="19"/>
      <c r="DL348" s="19"/>
      <c r="DM348" s="19"/>
      <c r="DN348" s="19"/>
      <c r="DO348" s="19"/>
      <c r="DP348" s="19"/>
      <c r="DQ348" s="19"/>
      <c r="DR348" s="19"/>
      <c r="DS348" s="19"/>
      <c r="DT348" s="19"/>
      <c r="DU348" s="19"/>
      <c r="DV348" s="19"/>
      <c r="DW348" s="19"/>
      <c r="DX348" s="19"/>
      <c r="DY348" s="19"/>
      <c r="DZ348" s="19"/>
      <c r="EA348" s="19"/>
      <c r="EB348" s="19"/>
      <c r="EC348" s="19"/>
      <c r="ED348" s="19"/>
      <c r="EE348" s="19"/>
      <c r="EF348" s="19"/>
      <c r="EG348" s="19"/>
      <c r="EH348" s="19"/>
      <c r="EI348" s="19"/>
      <c r="EJ348" s="19"/>
      <c r="EK348" s="19"/>
      <c r="EL348" s="19"/>
      <c r="EM348" s="19"/>
      <c r="EN348" s="19"/>
      <c r="EO348" s="19"/>
      <c r="EP348" s="19"/>
      <c r="EQ348" s="19"/>
      <c r="ER348" s="19"/>
      <c r="ES348" s="19"/>
      <c r="ET348" s="19"/>
      <c r="EU348" s="19"/>
      <c r="EV348" s="19"/>
      <c r="EW348" s="19"/>
      <c r="EX348" s="19"/>
      <c r="EY348" s="19"/>
      <c r="EZ348" s="19"/>
      <c r="FA348" s="19"/>
      <c r="FB348" s="19"/>
      <c r="FC348" s="19"/>
      <c r="FD348" s="19"/>
      <c r="FE348" s="19"/>
      <c r="FF348" s="19"/>
      <c r="FG348" s="19"/>
      <c r="FH348" s="19"/>
      <c r="FI348" s="19"/>
      <c r="FJ348" s="19"/>
      <c r="FK348" s="19"/>
      <c r="FL348" s="20" t="s">
        <v>1186</v>
      </c>
      <c r="FM348" s="20" t="s">
        <v>255</v>
      </c>
      <c r="FN348" s="19"/>
      <c r="FO348" s="19"/>
      <c r="FP348" s="19"/>
      <c r="FQ348" s="19"/>
      <c r="FR348" s="19"/>
      <c r="FS348" s="19"/>
      <c r="FT348" s="19"/>
      <c r="FU348" s="19"/>
      <c r="FV348" s="19"/>
      <c r="FW348" s="19"/>
      <c r="FX348" s="19"/>
      <c r="FY348" s="19"/>
      <c r="FZ348" s="19"/>
      <c r="GA348" s="19"/>
      <c r="GB348" s="19"/>
      <c r="GC348" s="19"/>
      <c r="GD348" s="19"/>
      <c r="GE348" s="19"/>
      <c r="GF348" s="19"/>
      <c r="GG348" s="19"/>
      <c r="GH348" s="19"/>
      <c r="GI348" s="19"/>
      <c r="GJ348" s="19"/>
      <c r="GK348" s="19"/>
      <c r="GL348" s="19"/>
      <c r="GM348" s="19"/>
      <c r="GN348" s="19"/>
      <c r="GO348" s="19"/>
      <c r="GP348" s="19"/>
      <c r="GQ348" s="19"/>
      <c r="GR348" s="19"/>
      <c r="GS348" s="19"/>
      <c r="GT348" s="19"/>
      <c r="GU348" s="19"/>
      <c r="GV348" s="19"/>
      <c r="GW348" s="19"/>
      <c r="GX348" s="19"/>
      <c r="GY348" s="19"/>
      <c r="GZ348" s="19"/>
      <c r="HA348" s="19"/>
    </row>
    <row r="349" spans="1:209" ht="23.25" customHeight="1" x14ac:dyDescent="0.15">
      <c r="A349" s="26">
        <v>44660.36222545139</v>
      </c>
      <c r="B349" s="27" t="s">
        <v>6</v>
      </c>
      <c r="C349" s="27" t="s">
        <v>11</v>
      </c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  <c r="AX349" s="27" t="s">
        <v>1247</v>
      </c>
      <c r="AY349" s="27" t="s">
        <v>1164</v>
      </c>
      <c r="AZ349" s="27" t="s">
        <v>1248</v>
      </c>
      <c r="BA349" s="27" t="s">
        <v>375</v>
      </c>
      <c r="BB349" s="27" t="s">
        <v>408</v>
      </c>
      <c r="BC349" s="29">
        <v>44279</v>
      </c>
      <c r="BD349" s="29">
        <v>44310</v>
      </c>
      <c r="BE349" s="29">
        <v>44312</v>
      </c>
      <c r="BF349" s="27">
        <v>91</v>
      </c>
      <c r="BG349" s="27" t="s">
        <v>1249</v>
      </c>
      <c r="BH349" s="30" t="s">
        <v>1250</v>
      </c>
      <c r="BI349" s="28"/>
      <c r="BJ349" s="28"/>
      <c r="BK349" s="28"/>
      <c r="BL349" s="28"/>
      <c r="BM349" s="28"/>
      <c r="BN349" s="28"/>
      <c r="BO349" s="28"/>
      <c r="BP349" s="28"/>
      <c r="BQ349" s="28"/>
      <c r="BR349" s="28"/>
      <c r="BS349" s="28"/>
      <c r="BT349" s="28"/>
      <c r="BU349" s="28"/>
      <c r="BV349" s="28"/>
      <c r="BW349" s="28"/>
      <c r="BX349" s="28"/>
      <c r="BY349" s="19"/>
      <c r="BZ349" s="19"/>
      <c r="CA349" s="19"/>
      <c r="CB349" s="19"/>
      <c r="CC349" s="19"/>
      <c r="CD349" s="19"/>
      <c r="CE349" s="19"/>
      <c r="CF349" s="19"/>
      <c r="CG349" s="19"/>
      <c r="CH349" s="19"/>
      <c r="CI349" s="19"/>
      <c r="CJ349" s="19"/>
      <c r="CK349" s="19"/>
      <c r="CL349" s="19"/>
      <c r="CM349" s="19"/>
      <c r="CN349" s="19"/>
      <c r="CO349" s="19"/>
      <c r="CP349" s="19"/>
      <c r="CQ349" s="19"/>
      <c r="CR349" s="19"/>
      <c r="CS349" s="19"/>
      <c r="CT349" s="19"/>
      <c r="CU349" s="19"/>
      <c r="CV349" s="19"/>
      <c r="CW349" s="19"/>
      <c r="CX349" s="19"/>
      <c r="CY349" s="19"/>
      <c r="CZ349" s="19"/>
      <c r="DA349" s="19"/>
      <c r="DB349" s="19"/>
      <c r="DC349" s="19"/>
      <c r="DD349" s="19"/>
      <c r="DE349" s="19"/>
      <c r="DF349" s="19"/>
      <c r="DG349" s="19"/>
      <c r="DH349" s="19"/>
      <c r="DI349" s="19"/>
      <c r="DJ349" s="19"/>
      <c r="DK349" s="19"/>
      <c r="DL349" s="19"/>
      <c r="DM349" s="19"/>
      <c r="DN349" s="19"/>
      <c r="DO349" s="19"/>
      <c r="DP349" s="19"/>
      <c r="DQ349" s="19"/>
      <c r="DR349" s="19"/>
      <c r="DS349" s="19"/>
      <c r="DT349" s="19"/>
      <c r="DU349" s="19"/>
      <c r="DV349" s="19"/>
      <c r="DW349" s="19"/>
      <c r="DX349" s="19"/>
      <c r="DY349" s="19"/>
      <c r="DZ349" s="19"/>
      <c r="EA349" s="19"/>
      <c r="EB349" s="19"/>
      <c r="EC349" s="19"/>
      <c r="ED349" s="19"/>
      <c r="EE349" s="19"/>
      <c r="EF349" s="19"/>
      <c r="EG349" s="19"/>
      <c r="EH349" s="19"/>
      <c r="EI349" s="19"/>
      <c r="EJ349" s="19"/>
      <c r="EK349" s="19"/>
      <c r="EL349" s="19"/>
      <c r="EM349" s="19"/>
      <c r="EN349" s="19"/>
      <c r="EO349" s="19"/>
      <c r="EP349" s="19"/>
      <c r="EQ349" s="19"/>
      <c r="ER349" s="19"/>
      <c r="ES349" s="19"/>
      <c r="ET349" s="19"/>
      <c r="EU349" s="19"/>
      <c r="EV349" s="19"/>
      <c r="EW349" s="19"/>
      <c r="EX349" s="19"/>
      <c r="EY349" s="19"/>
      <c r="EZ349" s="19"/>
      <c r="FA349" s="19"/>
      <c r="FB349" s="19"/>
      <c r="FC349" s="19"/>
      <c r="FD349" s="19"/>
      <c r="FE349" s="19"/>
      <c r="FF349" s="19"/>
      <c r="FG349" s="19"/>
      <c r="FH349" s="19"/>
      <c r="FI349" s="19"/>
      <c r="FJ349" s="19"/>
      <c r="FK349" s="19"/>
      <c r="FL349" s="20" t="s">
        <v>1160</v>
      </c>
      <c r="FM349" s="20" t="s">
        <v>339</v>
      </c>
      <c r="FN349" s="19"/>
      <c r="FO349" s="19"/>
      <c r="FP349" s="19"/>
      <c r="FQ349" s="19"/>
      <c r="FR349" s="19"/>
      <c r="FS349" s="19"/>
      <c r="FT349" s="19"/>
      <c r="FU349" s="19"/>
      <c r="FV349" s="19"/>
      <c r="FW349" s="19"/>
      <c r="FX349" s="19"/>
      <c r="FY349" s="19"/>
      <c r="FZ349" s="19"/>
      <c r="GA349" s="19"/>
      <c r="GB349" s="19"/>
      <c r="GC349" s="19"/>
      <c r="GD349" s="19"/>
      <c r="GE349" s="19"/>
      <c r="GF349" s="19"/>
      <c r="GG349" s="19"/>
      <c r="GH349" s="19"/>
      <c r="GI349" s="19"/>
      <c r="GJ349" s="19"/>
      <c r="GK349" s="19"/>
      <c r="GL349" s="19"/>
      <c r="GM349" s="19"/>
      <c r="GN349" s="19"/>
      <c r="GO349" s="19"/>
      <c r="GP349" s="19"/>
      <c r="GQ349" s="19"/>
      <c r="GR349" s="19"/>
      <c r="GS349" s="19"/>
      <c r="GT349" s="19"/>
      <c r="GU349" s="19"/>
      <c r="GV349" s="19"/>
      <c r="GW349" s="19"/>
      <c r="GX349" s="19"/>
      <c r="GY349" s="19"/>
      <c r="GZ349" s="19"/>
      <c r="HA349" s="19"/>
    </row>
    <row r="350" spans="1:209" ht="23.25" customHeight="1" x14ac:dyDescent="0.15">
      <c r="A350" s="26">
        <v>44660.362305243056</v>
      </c>
      <c r="B350" s="27" t="s">
        <v>6</v>
      </c>
      <c r="C350" s="27" t="s">
        <v>22</v>
      </c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  <c r="AX350" s="28"/>
      <c r="AY350" s="28"/>
      <c r="AZ350" s="28"/>
      <c r="BA350" s="28"/>
      <c r="BB350" s="28"/>
      <c r="BC350" s="28"/>
      <c r="BD350" s="28"/>
      <c r="BE350" s="28"/>
      <c r="BF350" s="28"/>
      <c r="BG350" s="28"/>
      <c r="BH350" s="28"/>
      <c r="BI350" s="28"/>
      <c r="BJ350" s="28"/>
      <c r="BK350" s="28"/>
      <c r="BL350" s="28"/>
      <c r="BM350" s="28"/>
      <c r="BN350" s="28"/>
      <c r="BO350" s="28"/>
      <c r="BP350" s="28"/>
      <c r="BQ350" s="28"/>
      <c r="BR350" s="28"/>
      <c r="BS350" s="28"/>
      <c r="BT350" s="28"/>
      <c r="BU350" s="28"/>
      <c r="BV350" s="28"/>
      <c r="BW350" s="28"/>
      <c r="BX350" s="28"/>
      <c r="BY350" s="19"/>
      <c r="BZ350" s="19"/>
      <c r="CA350" s="19"/>
      <c r="CB350" s="19"/>
      <c r="CC350" s="19"/>
      <c r="CD350" s="19"/>
      <c r="CE350" s="19"/>
      <c r="CF350" s="19"/>
      <c r="CG350" s="19"/>
      <c r="CH350" s="19"/>
      <c r="CI350" s="19"/>
      <c r="CJ350" s="19"/>
      <c r="CK350" s="19"/>
      <c r="CL350" s="19"/>
      <c r="CM350" s="19"/>
      <c r="CN350" s="19"/>
      <c r="CO350" s="19"/>
      <c r="CP350" s="19"/>
      <c r="CQ350" s="19"/>
      <c r="CR350" s="19"/>
      <c r="CS350" s="19"/>
      <c r="CT350" s="19"/>
      <c r="CU350" s="19"/>
      <c r="CV350" s="19"/>
      <c r="CW350" s="19"/>
      <c r="CX350" s="19"/>
      <c r="CY350" s="19"/>
      <c r="CZ350" s="19"/>
      <c r="DA350" s="19"/>
      <c r="DB350" s="19"/>
      <c r="DC350" s="19"/>
      <c r="DD350" s="19"/>
      <c r="DE350" s="19"/>
      <c r="DF350" s="19"/>
      <c r="DG350" s="19"/>
      <c r="DH350" s="19"/>
      <c r="DI350" s="19"/>
      <c r="DJ350" s="19"/>
      <c r="DK350" s="19"/>
      <c r="DL350" s="19"/>
      <c r="DM350" s="19"/>
      <c r="DN350" s="19"/>
      <c r="DO350" s="19"/>
      <c r="DP350" s="19"/>
      <c r="DQ350" s="19"/>
      <c r="DR350" s="19"/>
      <c r="DS350" s="19"/>
      <c r="DT350" s="19"/>
      <c r="DU350" s="19"/>
      <c r="DV350" s="19"/>
      <c r="DW350" s="19"/>
      <c r="DX350" s="19"/>
      <c r="DY350" s="19"/>
      <c r="DZ350" s="19"/>
      <c r="EA350" s="19"/>
      <c r="EB350" s="19"/>
      <c r="EC350" s="19"/>
      <c r="ED350" s="19"/>
      <c r="EE350" s="19"/>
      <c r="EF350" s="19"/>
      <c r="EG350" s="19"/>
      <c r="EH350" s="19"/>
      <c r="EI350" s="19"/>
      <c r="EJ350" s="19"/>
      <c r="EK350" s="19"/>
      <c r="EL350" s="19"/>
      <c r="EM350" s="19"/>
      <c r="EN350" s="19"/>
      <c r="EO350" s="19"/>
      <c r="EP350" s="19"/>
      <c r="EQ350" s="19"/>
      <c r="ER350" s="19"/>
      <c r="ES350" s="19"/>
      <c r="ET350" s="19"/>
      <c r="EU350" s="19"/>
      <c r="EV350" s="19"/>
      <c r="EW350" s="19"/>
      <c r="EX350" s="19"/>
      <c r="EY350" s="19"/>
      <c r="EZ350" s="19"/>
      <c r="FA350" s="19"/>
      <c r="FB350" s="19"/>
      <c r="FC350" s="19"/>
      <c r="FD350" s="19"/>
      <c r="FE350" s="19"/>
      <c r="FF350" s="19"/>
      <c r="FG350" s="19"/>
      <c r="FH350" s="19"/>
      <c r="FI350" s="19"/>
      <c r="FJ350" s="19"/>
      <c r="FK350" s="19"/>
      <c r="FL350" s="20" t="s">
        <v>1144</v>
      </c>
      <c r="FM350" s="20" t="s">
        <v>255</v>
      </c>
      <c r="FN350" s="19"/>
      <c r="FO350" s="19"/>
      <c r="FP350" s="19"/>
      <c r="FQ350" s="19"/>
      <c r="FR350" s="19"/>
      <c r="FS350" s="19"/>
      <c r="FT350" s="19"/>
      <c r="FU350" s="19"/>
      <c r="FV350" s="19"/>
      <c r="FW350" s="19"/>
      <c r="FX350" s="19"/>
      <c r="FY350" s="19"/>
      <c r="FZ350" s="19"/>
      <c r="GA350" s="19"/>
      <c r="GB350" s="19"/>
      <c r="GC350" s="19"/>
      <c r="GD350" s="19"/>
      <c r="GE350" s="19"/>
      <c r="GF350" s="20" t="s">
        <v>1140</v>
      </c>
      <c r="GG350" s="20" t="s">
        <v>1141</v>
      </c>
      <c r="GH350" s="20" t="s">
        <v>1251</v>
      </c>
      <c r="GI350" s="21">
        <v>44571</v>
      </c>
      <c r="GJ350" s="22" t="s">
        <v>1252</v>
      </c>
      <c r="GK350" s="20" t="s">
        <v>653</v>
      </c>
      <c r="GL350" s="20" t="s">
        <v>1253</v>
      </c>
      <c r="GM350" s="19"/>
      <c r="GN350" s="19"/>
      <c r="GO350" s="19"/>
      <c r="GP350" s="19"/>
      <c r="GQ350" s="19"/>
      <c r="GR350" s="19"/>
      <c r="GS350" s="19"/>
      <c r="GT350" s="19"/>
      <c r="GU350" s="19"/>
      <c r="GV350" s="19"/>
      <c r="GW350" s="19"/>
      <c r="GX350" s="19"/>
      <c r="GY350" s="19"/>
      <c r="GZ350" s="19"/>
      <c r="HA350" s="19"/>
    </row>
    <row r="351" spans="1:209" ht="23.25" customHeight="1" x14ac:dyDescent="0.15">
      <c r="A351" s="26">
        <v>44660.363355682872</v>
      </c>
      <c r="B351" s="27" t="s">
        <v>6</v>
      </c>
      <c r="C351" s="27" t="s">
        <v>11</v>
      </c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  <c r="AX351" s="27" t="s">
        <v>1239</v>
      </c>
      <c r="AY351" s="27" t="s">
        <v>1240</v>
      </c>
      <c r="AZ351" s="27" t="s">
        <v>1254</v>
      </c>
      <c r="BA351" s="27" t="s">
        <v>1241</v>
      </c>
      <c r="BB351" s="27" t="s">
        <v>1255</v>
      </c>
      <c r="BC351" s="29">
        <v>43975</v>
      </c>
      <c r="BD351" s="29">
        <v>44009</v>
      </c>
      <c r="BE351" s="29">
        <v>44009</v>
      </c>
      <c r="BF351" s="27">
        <v>80</v>
      </c>
      <c r="BG351" s="27" t="s">
        <v>470</v>
      </c>
      <c r="BH351" s="30" t="s">
        <v>1256</v>
      </c>
      <c r="BI351" s="28"/>
      <c r="BJ351" s="28"/>
      <c r="BK351" s="28"/>
      <c r="BL351" s="28"/>
      <c r="BM351" s="28"/>
      <c r="BN351" s="28"/>
      <c r="BO351" s="28"/>
      <c r="BP351" s="28"/>
      <c r="BQ351" s="28"/>
      <c r="BR351" s="28"/>
      <c r="BS351" s="28"/>
      <c r="BT351" s="28"/>
      <c r="BU351" s="28"/>
      <c r="BV351" s="28"/>
      <c r="BW351" s="28"/>
      <c r="BX351" s="28"/>
      <c r="BY351" s="19"/>
      <c r="BZ351" s="19"/>
      <c r="CA351" s="19"/>
      <c r="CB351" s="19"/>
      <c r="CC351" s="19"/>
      <c r="CD351" s="19"/>
      <c r="CE351" s="19"/>
      <c r="CF351" s="19"/>
      <c r="CG351" s="19"/>
      <c r="CH351" s="19"/>
      <c r="CI351" s="19"/>
      <c r="CJ351" s="19"/>
      <c r="CK351" s="19"/>
      <c r="CL351" s="19"/>
      <c r="CM351" s="19"/>
      <c r="CN351" s="19"/>
      <c r="CO351" s="19"/>
      <c r="CP351" s="19"/>
      <c r="CQ351" s="19"/>
      <c r="CR351" s="19"/>
      <c r="CS351" s="19"/>
      <c r="CT351" s="19"/>
      <c r="CU351" s="19"/>
      <c r="CV351" s="19"/>
      <c r="CW351" s="19"/>
      <c r="CX351" s="19"/>
      <c r="CY351" s="19"/>
      <c r="CZ351" s="19"/>
      <c r="DA351" s="19"/>
      <c r="DB351" s="19"/>
      <c r="DC351" s="19"/>
      <c r="DD351" s="19"/>
      <c r="DE351" s="19"/>
      <c r="DF351" s="19"/>
      <c r="DG351" s="19"/>
      <c r="DH351" s="19"/>
      <c r="DI351" s="19"/>
      <c r="DJ351" s="19"/>
      <c r="DK351" s="19"/>
      <c r="DL351" s="19"/>
      <c r="DM351" s="19"/>
      <c r="DN351" s="19"/>
      <c r="DO351" s="19"/>
      <c r="DP351" s="19"/>
      <c r="DQ351" s="19"/>
      <c r="DR351" s="19"/>
      <c r="DS351" s="19"/>
      <c r="DT351" s="19"/>
      <c r="DU351" s="19"/>
      <c r="DV351" s="19"/>
      <c r="DW351" s="19"/>
      <c r="DX351" s="19"/>
      <c r="DY351" s="19"/>
      <c r="DZ351" s="19"/>
      <c r="EA351" s="19"/>
      <c r="EB351" s="19"/>
      <c r="EC351" s="19"/>
      <c r="ED351" s="19"/>
      <c r="EE351" s="19"/>
      <c r="EF351" s="19"/>
      <c r="EG351" s="19"/>
      <c r="EH351" s="19"/>
      <c r="EI351" s="19"/>
      <c r="EJ351" s="19"/>
      <c r="EK351" s="19"/>
      <c r="EL351" s="19"/>
      <c r="EM351" s="19"/>
      <c r="EN351" s="19"/>
      <c r="EO351" s="19"/>
      <c r="EP351" s="19"/>
      <c r="EQ351" s="19"/>
      <c r="ER351" s="19"/>
      <c r="ES351" s="19"/>
      <c r="ET351" s="19"/>
      <c r="EU351" s="19"/>
      <c r="EV351" s="19"/>
      <c r="EW351" s="19"/>
      <c r="EX351" s="19"/>
      <c r="EY351" s="19"/>
      <c r="EZ351" s="19"/>
      <c r="FA351" s="19"/>
      <c r="FB351" s="19"/>
      <c r="FC351" s="19"/>
      <c r="FD351" s="19"/>
      <c r="FE351" s="19"/>
      <c r="FF351" s="19"/>
      <c r="FG351" s="19"/>
      <c r="FH351" s="19"/>
      <c r="FI351" s="19"/>
      <c r="FJ351" s="19"/>
      <c r="FK351" s="19"/>
      <c r="FL351" s="20" t="s">
        <v>1244</v>
      </c>
      <c r="FM351" s="20" t="s">
        <v>255</v>
      </c>
      <c r="FN351" s="19"/>
      <c r="FO351" s="19"/>
      <c r="FP351" s="19"/>
      <c r="FQ351" s="19"/>
      <c r="FR351" s="19"/>
      <c r="FS351" s="19"/>
      <c r="FT351" s="19"/>
      <c r="FU351" s="19"/>
      <c r="FV351" s="19"/>
      <c r="FW351" s="19"/>
      <c r="FX351" s="19"/>
      <c r="FY351" s="19"/>
      <c r="FZ351" s="19"/>
      <c r="GA351" s="19"/>
      <c r="GB351" s="19"/>
      <c r="GC351" s="19"/>
      <c r="GD351" s="19"/>
      <c r="GE351" s="19"/>
      <c r="GF351" s="19"/>
      <c r="GG351" s="19"/>
      <c r="GH351" s="19"/>
      <c r="GI351" s="19"/>
      <c r="GJ351" s="19"/>
      <c r="GK351" s="19"/>
      <c r="GL351" s="19"/>
      <c r="GM351" s="19"/>
      <c r="GN351" s="19"/>
      <c r="GO351" s="19"/>
      <c r="GP351" s="19"/>
      <c r="GQ351" s="19"/>
      <c r="GR351" s="19"/>
      <c r="GS351" s="19"/>
      <c r="GT351" s="19"/>
      <c r="GU351" s="19"/>
      <c r="GV351" s="19"/>
      <c r="GW351" s="19"/>
      <c r="GX351" s="19"/>
      <c r="GY351" s="19"/>
      <c r="GZ351" s="19"/>
      <c r="HA351" s="19"/>
    </row>
    <row r="352" spans="1:209" ht="23.25" customHeight="1" x14ac:dyDescent="0.15">
      <c r="A352" s="26">
        <v>44660.366148148147</v>
      </c>
      <c r="B352" s="27" t="s">
        <v>6</v>
      </c>
      <c r="C352" s="27" t="s">
        <v>11</v>
      </c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  <c r="AX352" s="27" t="s">
        <v>1239</v>
      </c>
      <c r="AY352" s="27" t="s">
        <v>1240</v>
      </c>
      <c r="AZ352" s="27" t="s">
        <v>1257</v>
      </c>
      <c r="BA352" s="27" t="s">
        <v>1241</v>
      </c>
      <c r="BB352" s="27" t="s">
        <v>1255</v>
      </c>
      <c r="BC352" s="29">
        <v>44071</v>
      </c>
      <c r="BD352" s="29">
        <v>44100</v>
      </c>
      <c r="BE352" s="29">
        <v>44100</v>
      </c>
      <c r="BF352" s="27">
        <v>75</v>
      </c>
      <c r="BG352" s="27" t="s">
        <v>1258</v>
      </c>
      <c r="BH352" s="30" t="s">
        <v>1259</v>
      </c>
      <c r="BI352" s="28"/>
      <c r="BJ352" s="28"/>
      <c r="BK352" s="28"/>
      <c r="BL352" s="28"/>
      <c r="BM352" s="28"/>
      <c r="BN352" s="28"/>
      <c r="BO352" s="28"/>
      <c r="BP352" s="28"/>
      <c r="BQ352" s="28"/>
      <c r="BR352" s="28"/>
      <c r="BS352" s="28"/>
      <c r="BT352" s="28"/>
      <c r="BU352" s="28"/>
      <c r="BV352" s="28"/>
      <c r="BW352" s="28"/>
      <c r="BX352" s="28"/>
      <c r="BY352" s="19"/>
      <c r="BZ352" s="19"/>
      <c r="CA352" s="19"/>
      <c r="CB352" s="19"/>
      <c r="CC352" s="19"/>
      <c r="CD352" s="19"/>
      <c r="CE352" s="19"/>
      <c r="CF352" s="19"/>
      <c r="CG352" s="19"/>
      <c r="CH352" s="19"/>
      <c r="CI352" s="19"/>
      <c r="CJ352" s="19"/>
      <c r="CK352" s="19"/>
      <c r="CL352" s="19"/>
      <c r="CM352" s="19"/>
      <c r="CN352" s="19"/>
      <c r="CO352" s="19"/>
      <c r="CP352" s="19"/>
      <c r="CQ352" s="19"/>
      <c r="CR352" s="19"/>
      <c r="CS352" s="19"/>
      <c r="CT352" s="19"/>
      <c r="CU352" s="19"/>
      <c r="CV352" s="19"/>
      <c r="CW352" s="19"/>
      <c r="CX352" s="19"/>
      <c r="CY352" s="19"/>
      <c r="CZ352" s="19"/>
      <c r="DA352" s="19"/>
      <c r="DB352" s="19"/>
      <c r="DC352" s="19"/>
      <c r="DD352" s="19"/>
      <c r="DE352" s="19"/>
      <c r="DF352" s="19"/>
      <c r="DG352" s="19"/>
      <c r="DH352" s="19"/>
      <c r="DI352" s="19"/>
      <c r="DJ352" s="19"/>
      <c r="DK352" s="19"/>
      <c r="DL352" s="19"/>
      <c r="DM352" s="19"/>
      <c r="DN352" s="19"/>
      <c r="DO352" s="19"/>
      <c r="DP352" s="19"/>
      <c r="DQ352" s="19"/>
      <c r="DR352" s="19"/>
      <c r="DS352" s="19"/>
      <c r="DT352" s="19"/>
      <c r="DU352" s="19"/>
      <c r="DV352" s="19"/>
      <c r="DW352" s="19"/>
      <c r="DX352" s="19"/>
      <c r="DY352" s="19"/>
      <c r="DZ352" s="19"/>
      <c r="EA352" s="19"/>
      <c r="EB352" s="19"/>
      <c r="EC352" s="19"/>
      <c r="ED352" s="19"/>
      <c r="EE352" s="19"/>
      <c r="EF352" s="19"/>
      <c r="EG352" s="19"/>
      <c r="EH352" s="19"/>
      <c r="EI352" s="19"/>
      <c r="EJ352" s="19"/>
      <c r="EK352" s="19"/>
      <c r="EL352" s="19"/>
      <c r="EM352" s="19"/>
      <c r="EN352" s="19"/>
      <c r="EO352" s="19"/>
      <c r="EP352" s="19"/>
      <c r="EQ352" s="19"/>
      <c r="ER352" s="19"/>
      <c r="ES352" s="19"/>
      <c r="ET352" s="19"/>
      <c r="EU352" s="19"/>
      <c r="EV352" s="19"/>
      <c r="EW352" s="19"/>
      <c r="EX352" s="19"/>
      <c r="EY352" s="19"/>
      <c r="EZ352" s="19"/>
      <c r="FA352" s="19"/>
      <c r="FB352" s="19"/>
      <c r="FC352" s="19"/>
      <c r="FD352" s="19"/>
      <c r="FE352" s="19"/>
      <c r="FF352" s="19"/>
      <c r="FG352" s="19"/>
      <c r="FH352" s="19"/>
      <c r="FI352" s="19"/>
      <c r="FJ352" s="19"/>
      <c r="FK352" s="19"/>
      <c r="FL352" s="20" t="s">
        <v>1244</v>
      </c>
      <c r="FM352" s="20" t="s">
        <v>255</v>
      </c>
      <c r="FN352" s="19"/>
      <c r="FO352" s="19"/>
      <c r="FP352" s="19"/>
      <c r="FQ352" s="19"/>
      <c r="FR352" s="19"/>
      <c r="FS352" s="19"/>
      <c r="FT352" s="19"/>
      <c r="FU352" s="19"/>
      <c r="FV352" s="19"/>
      <c r="FW352" s="19"/>
      <c r="FX352" s="19"/>
      <c r="FY352" s="19"/>
      <c r="FZ352" s="19"/>
      <c r="GA352" s="19"/>
      <c r="GB352" s="19"/>
      <c r="GC352" s="19"/>
      <c r="GD352" s="19"/>
      <c r="GE352" s="19"/>
      <c r="GF352" s="19"/>
      <c r="GG352" s="19"/>
      <c r="GH352" s="19"/>
      <c r="GI352" s="19"/>
      <c r="GJ352" s="19"/>
      <c r="GK352" s="19"/>
      <c r="GL352" s="19"/>
      <c r="GM352" s="19"/>
      <c r="GN352" s="19"/>
      <c r="GO352" s="19"/>
      <c r="GP352" s="19"/>
      <c r="GQ352" s="19"/>
      <c r="GR352" s="19"/>
      <c r="GS352" s="19"/>
      <c r="GT352" s="19"/>
      <c r="GU352" s="19"/>
      <c r="GV352" s="19"/>
      <c r="GW352" s="19"/>
      <c r="GX352" s="19"/>
      <c r="GY352" s="19"/>
      <c r="GZ352" s="19"/>
      <c r="HA352" s="19"/>
    </row>
    <row r="353" spans="1:209" ht="23.25" customHeight="1" x14ac:dyDescent="0.15">
      <c r="A353" s="26">
        <v>44660.366398101847</v>
      </c>
      <c r="B353" s="27" t="s">
        <v>6</v>
      </c>
      <c r="C353" s="27" t="s">
        <v>11</v>
      </c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  <c r="AX353" s="27" t="s">
        <v>1163</v>
      </c>
      <c r="AY353" s="27" t="s">
        <v>1164</v>
      </c>
      <c r="AZ353" s="27" t="s">
        <v>1260</v>
      </c>
      <c r="BA353" s="27" t="s">
        <v>375</v>
      </c>
      <c r="BB353" s="27" t="s">
        <v>408</v>
      </c>
      <c r="BC353" s="29">
        <v>43929</v>
      </c>
      <c r="BD353" s="29">
        <v>43959</v>
      </c>
      <c r="BE353" s="29">
        <v>43964</v>
      </c>
      <c r="BF353" s="27">
        <v>92</v>
      </c>
      <c r="BG353" s="27" t="s">
        <v>1261</v>
      </c>
      <c r="BH353" s="30" t="s">
        <v>1262</v>
      </c>
      <c r="BI353" s="28"/>
      <c r="BJ353" s="28"/>
      <c r="BK353" s="28"/>
      <c r="BL353" s="28"/>
      <c r="BM353" s="28"/>
      <c r="BN353" s="28"/>
      <c r="BO353" s="28"/>
      <c r="BP353" s="28"/>
      <c r="BQ353" s="28"/>
      <c r="BR353" s="28"/>
      <c r="BS353" s="28"/>
      <c r="BT353" s="28"/>
      <c r="BU353" s="28"/>
      <c r="BV353" s="28"/>
      <c r="BW353" s="28"/>
      <c r="BX353" s="28"/>
      <c r="BY353" s="19"/>
      <c r="BZ353" s="19"/>
      <c r="CA353" s="19"/>
      <c r="CB353" s="19"/>
      <c r="CC353" s="19"/>
      <c r="CD353" s="19"/>
      <c r="CE353" s="19"/>
      <c r="CF353" s="19"/>
      <c r="CG353" s="19"/>
      <c r="CH353" s="19"/>
      <c r="CI353" s="19"/>
      <c r="CJ353" s="19"/>
      <c r="CK353" s="19"/>
      <c r="CL353" s="19"/>
      <c r="CM353" s="19"/>
      <c r="CN353" s="19"/>
      <c r="CO353" s="19"/>
      <c r="CP353" s="19"/>
      <c r="CQ353" s="19"/>
      <c r="CR353" s="19"/>
      <c r="CS353" s="19"/>
      <c r="CT353" s="19"/>
      <c r="CU353" s="19"/>
      <c r="CV353" s="19"/>
      <c r="CW353" s="19"/>
      <c r="CX353" s="19"/>
      <c r="CY353" s="19"/>
      <c r="CZ353" s="19"/>
      <c r="DA353" s="19"/>
      <c r="DB353" s="19"/>
      <c r="DC353" s="19"/>
      <c r="DD353" s="19"/>
      <c r="DE353" s="19"/>
      <c r="DF353" s="19"/>
      <c r="DG353" s="19"/>
      <c r="DH353" s="19"/>
      <c r="DI353" s="19"/>
      <c r="DJ353" s="19"/>
      <c r="DK353" s="19"/>
      <c r="DL353" s="19"/>
      <c r="DM353" s="19"/>
      <c r="DN353" s="19"/>
      <c r="DO353" s="19"/>
      <c r="DP353" s="19"/>
      <c r="DQ353" s="19"/>
      <c r="DR353" s="19"/>
      <c r="DS353" s="19"/>
      <c r="DT353" s="19"/>
      <c r="DU353" s="19"/>
      <c r="DV353" s="19"/>
      <c r="DW353" s="19"/>
      <c r="DX353" s="19"/>
      <c r="DY353" s="19"/>
      <c r="DZ353" s="19"/>
      <c r="EA353" s="19"/>
      <c r="EB353" s="19"/>
      <c r="EC353" s="19"/>
      <c r="ED353" s="19"/>
      <c r="EE353" s="19"/>
      <c r="EF353" s="19"/>
      <c r="EG353" s="19"/>
      <c r="EH353" s="19"/>
      <c r="EI353" s="19"/>
      <c r="EJ353" s="19"/>
      <c r="EK353" s="19"/>
      <c r="EL353" s="19"/>
      <c r="EM353" s="19"/>
      <c r="EN353" s="19"/>
      <c r="EO353" s="19"/>
      <c r="EP353" s="19"/>
      <c r="EQ353" s="19"/>
      <c r="ER353" s="19"/>
      <c r="ES353" s="19"/>
      <c r="ET353" s="19"/>
      <c r="EU353" s="19"/>
      <c r="EV353" s="19"/>
      <c r="EW353" s="19"/>
      <c r="EX353" s="19"/>
      <c r="EY353" s="19"/>
      <c r="EZ353" s="19"/>
      <c r="FA353" s="19"/>
      <c r="FB353" s="19"/>
      <c r="FC353" s="19"/>
      <c r="FD353" s="19"/>
      <c r="FE353" s="19"/>
      <c r="FF353" s="19"/>
      <c r="FG353" s="19"/>
      <c r="FH353" s="19"/>
      <c r="FI353" s="19"/>
      <c r="FJ353" s="19"/>
      <c r="FK353" s="19"/>
      <c r="FL353" s="20" t="s">
        <v>1160</v>
      </c>
      <c r="FM353" s="20" t="s">
        <v>321</v>
      </c>
      <c r="FN353" s="19"/>
      <c r="FO353" s="19"/>
      <c r="FP353" s="19"/>
      <c r="FQ353" s="19"/>
      <c r="FR353" s="19"/>
      <c r="FS353" s="19"/>
      <c r="FT353" s="19"/>
      <c r="FU353" s="19"/>
      <c r="FV353" s="19"/>
      <c r="FW353" s="19"/>
      <c r="FX353" s="19"/>
      <c r="FY353" s="19"/>
      <c r="FZ353" s="19"/>
      <c r="GA353" s="19"/>
      <c r="GB353" s="19"/>
      <c r="GC353" s="19"/>
      <c r="GD353" s="19"/>
      <c r="GE353" s="19"/>
      <c r="GF353" s="19"/>
      <c r="GG353" s="19"/>
      <c r="GH353" s="19"/>
      <c r="GI353" s="19"/>
      <c r="GJ353" s="19"/>
      <c r="GK353" s="19"/>
      <c r="GL353" s="19"/>
      <c r="GM353" s="19"/>
      <c r="GN353" s="19"/>
      <c r="GO353" s="19"/>
      <c r="GP353" s="19"/>
      <c r="GQ353" s="19"/>
      <c r="GR353" s="19"/>
      <c r="GS353" s="19"/>
      <c r="GT353" s="19"/>
      <c r="GU353" s="19"/>
      <c r="GV353" s="19"/>
      <c r="GW353" s="19"/>
      <c r="GX353" s="19"/>
      <c r="GY353" s="19"/>
      <c r="GZ353" s="19"/>
      <c r="HA353" s="19"/>
    </row>
    <row r="354" spans="1:209" ht="23.25" customHeight="1" x14ac:dyDescent="0.15">
      <c r="A354" s="26">
        <v>44660.370051712962</v>
      </c>
      <c r="B354" s="27" t="s">
        <v>6</v>
      </c>
      <c r="C354" s="27" t="s">
        <v>11</v>
      </c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  <c r="AX354" s="27" t="s">
        <v>1239</v>
      </c>
      <c r="AY354" s="27" t="s">
        <v>1240</v>
      </c>
      <c r="AZ354" s="27" t="s">
        <v>1263</v>
      </c>
      <c r="BA354" s="27" t="s">
        <v>1241</v>
      </c>
      <c r="BB354" s="27" t="s">
        <v>1264</v>
      </c>
      <c r="BC354" s="29">
        <v>44482</v>
      </c>
      <c r="BD354" s="29">
        <v>44551</v>
      </c>
      <c r="BE354" s="29">
        <v>44552</v>
      </c>
      <c r="BF354" s="27">
        <v>85</v>
      </c>
      <c r="BG354" s="27" t="s">
        <v>470</v>
      </c>
      <c r="BH354" s="30" t="s">
        <v>1265</v>
      </c>
      <c r="BI354" s="28"/>
      <c r="BJ354" s="28"/>
      <c r="BK354" s="28"/>
      <c r="BL354" s="28"/>
      <c r="BM354" s="28"/>
      <c r="BN354" s="28"/>
      <c r="BO354" s="28"/>
      <c r="BP354" s="28"/>
      <c r="BQ354" s="28"/>
      <c r="BR354" s="28"/>
      <c r="BS354" s="28"/>
      <c r="BT354" s="28"/>
      <c r="BU354" s="28"/>
      <c r="BV354" s="28"/>
      <c r="BW354" s="28"/>
      <c r="BX354" s="28"/>
      <c r="BY354" s="19"/>
      <c r="BZ354" s="19"/>
      <c r="CA354" s="19"/>
      <c r="CB354" s="19"/>
      <c r="CC354" s="19"/>
      <c r="CD354" s="19"/>
      <c r="CE354" s="19"/>
      <c r="CF354" s="19"/>
      <c r="CG354" s="19"/>
      <c r="CH354" s="19"/>
      <c r="CI354" s="19"/>
      <c r="CJ354" s="19"/>
      <c r="CK354" s="19"/>
      <c r="CL354" s="19"/>
      <c r="CM354" s="19"/>
      <c r="CN354" s="19"/>
      <c r="CO354" s="19"/>
      <c r="CP354" s="19"/>
      <c r="CQ354" s="19"/>
      <c r="CR354" s="19"/>
      <c r="CS354" s="19"/>
      <c r="CT354" s="19"/>
      <c r="CU354" s="19"/>
      <c r="CV354" s="19"/>
      <c r="CW354" s="19"/>
      <c r="CX354" s="19"/>
      <c r="CY354" s="19"/>
      <c r="CZ354" s="19"/>
      <c r="DA354" s="19"/>
      <c r="DB354" s="19"/>
      <c r="DC354" s="19"/>
      <c r="DD354" s="19"/>
      <c r="DE354" s="19"/>
      <c r="DF354" s="19"/>
      <c r="DG354" s="19"/>
      <c r="DH354" s="19"/>
      <c r="DI354" s="19"/>
      <c r="DJ354" s="19"/>
      <c r="DK354" s="19"/>
      <c r="DL354" s="19"/>
      <c r="DM354" s="19"/>
      <c r="DN354" s="19"/>
      <c r="DO354" s="19"/>
      <c r="DP354" s="19"/>
      <c r="DQ354" s="19"/>
      <c r="DR354" s="19"/>
      <c r="DS354" s="19"/>
      <c r="DT354" s="19"/>
      <c r="DU354" s="19"/>
      <c r="DV354" s="19"/>
      <c r="DW354" s="19"/>
      <c r="DX354" s="19"/>
      <c r="DY354" s="19"/>
      <c r="DZ354" s="19"/>
      <c r="EA354" s="19"/>
      <c r="EB354" s="19"/>
      <c r="EC354" s="19"/>
      <c r="ED354" s="19"/>
      <c r="EE354" s="19"/>
      <c r="EF354" s="19"/>
      <c r="EG354" s="19"/>
      <c r="EH354" s="19"/>
      <c r="EI354" s="19"/>
      <c r="EJ354" s="19"/>
      <c r="EK354" s="19"/>
      <c r="EL354" s="19"/>
      <c r="EM354" s="19"/>
      <c r="EN354" s="19"/>
      <c r="EO354" s="19"/>
      <c r="EP354" s="19"/>
      <c r="EQ354" s="19"/>
      <c r="ER354" s="19"/>
      <c r="ES354" s="19"/>
      <c r="ET354" s="19"/>
      <c r="EU354" s="19"/>
      <c r="EV354" s="19"/>
      <c r="EW354" s="19"/>
      <c r="EX354" s="19"/>
      <c r="EY354" s="19"/>
      <c r="EZ354" s="19"/>
      <c r="FA354" s="19"/>
      <c r="FB354" s="19"/>
      <c r="FC354" s="19"/>
      <c r="FD354" s="19"/>
      <c r="FE354" s="19"/>
      <c r="FF354" s="19"/>
      <c r="FG354" s="19"/>
      <c r="FH354" s="19"/>
      <c r="FI354" s="19"/>
      <c r="FJ354" s="19"/>
      <c r="FK354" s="19"/>
      <c r="FL354" s="20" t="s">
        <v>1244</v>
      </c>
      <c r="FM354" s="20" t="s">
        <v>255</v>
      </c>
      <c r="FN354" s="19"/>
      <c r="FO354" s="19"/>
      <c r="FP354" s="19"/>
      <c r="FQ354" s="19"/>
      <c r="FR354" s="19"/>
      <c r="FS354" s="19"/>
      <c r="FT354" s="19"/>
      <c r="FU354" s="19"/>
      <c r="FV354" s="19"/>
      <c r="FW354" s="19"/>
      <c r="FX354" s="19"/>
      <c r="FY354" s="19"/>
      <c r="FZ354" s="19"/>
      <c r="GA354" s="19"/>
      <c r="GB354" s="19"/>
      <c r="GC354" s="19"/>
      <c r="GD354" s="19"/>
      <c r="GE354" s="19"/>
      <c r="GF354" s="19"/>
      <c r="GG354" s="19"/>
      <c r="GH354" s="19"/>
      <c r="GI354" s="19"/>
      <c r="GJ354" s="19"/>
      <c r="GK354" s="19"/>
      <c r="GL354" s="19"/>
      <c r="GM354" s="19"/>
      <c r="GN354" s="19"/>
      <c r="GO354" s="19"/>
      <c r="GP354" s="19"/>
      <c r="GQ354" s="19"/>
      <c r="GR354" s="19"/>
      <c r="GS354" s="19"/>
      <c r="GT354" s="19"/>
      <c r="GU354" s="19"/>
      <c r="GV354" s="19"/>
      <c r="GW354" s="19"/>
      <c r="GX354" s="19"/>
      <c r="GY354" s="19"/>
      <c r="GZ354" s="19"/>
      <c r="HA354" s="19"/>
    </row>
    <row r="355" spans="1:209" ht="23.25" customHeight="1" x14ac:dyDescent="0.15">
      <c r="A355" s="26">
        <v>44660.371562037035</v>
      </c>
      <c r="B355" s="27" t="s">
        <v>6</v>
      </c>
      <c r="C355" s="27" t="s">
        <v>11</v>
      </c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  <c r="AX355" s="27" t="s">
        <v>1163</v>
      </c>
      <c r="AY355" s="27" t="s">
        <v>1164</v>
      </c>
      <c r="AZ355" s="27" t="s">
        <v>1266</v>
      </c>
      <c r="BA355" s="27" t="s">
        <v>375</v>
      </c>
      <c r="BB355" s="27" t="s">
        <v>408</v>
      </c>
      <c r="BC355" s="29">
        <v>43952</v>
      </c>
      <c r="BD355" s="29">
        <v>43983</v>
      </c>
      <c r="BE355" s="29">
        <v>43990</v>
      </c>
      <c r="BF355" s="27">
        <v>84</v>
      </c>
      <c r="BG355" s="27" t="s">
        <v>1267</v>
      </c>
      <c r="BH355" s="30" t="s">
        <v>1268</v>
      </c>
      <c r="BI355" s="28"/>
      <c r="BJ355" s="28"/>
      <c r="BK355" s="28"/>
      <c r="BL355" s="28"/>
      <c r="BM355" s="28"/>
      <c r="BN355" s="28"/>
      <c r="BO355" s="28"/>
      <c r="BP355" s="28"/>
      <c r="BQ355" s="28"/>
      <c r="BR355" s="28"/>
      <c r="BS355" s="28"/>
      <c r="BT355" s="28"/>
      <c r="BU355" s="28"/>
      <c r="BV355" s="28"/>
      <c r="BW355" s="28"/>
      <c r="BX355" s="28"/>
      <c r="BY355" s="19"/>
      <c r="BZ355" s="19"/>
      <c r="CA355" s="19"/>
      <c r="CB355" s="19"/>
      <c r="CC355" s="19"/>
      <c r="CD355" s="19"/>
      <c r="CE355" s="19"/>
      <c r="CF355" s="19"/>
      <c r="CG355" s="19"/>
      <c r="CH355" s="19"/>
      <c r="CI355" s="19"/>
      <c r="CJ355" s="19"/>
      <c r="CK355" s="19"/>
      <c r="CL355" s="19"/>
      <c r="CM355" s="19"/>
      <c r="CN355" s="19"/>
      <c r="CO355" s="19"/>
      <c r="CP355" s="19"/>
      <c r="CQ355" s="19"/>
      <c r="CR355" s="19"/>
      <c r="CS355" s="19"/>
      <c r="CT355" s="19"/>
      <c r="CU355" s="19"/>
      <c r="CV355" s="19"/>
      <c r="CW355" s="19"/>
      <c r="CX355" s="19"/>
      <c r="CY355" s="19"/>
      <c r="CZ355" s="19"/>
      <c r="DA355" s="19"/>
      <c r="DB355" s="19"/>
      <c r="DC355" s="19"/>
      <c r="DD355" s="19"/>
      <c r="DE355" s="19"/>
      <c r="DF355" s="19"/>
      <c r="DG355" s="19"/>
      <c r="DH355" s="19"/>
      <c r="DI355" s="19"/>
      <c r="DJ355" s="19"/>
      <c r="DK355" s="19"/>
      <c r="DL355" s="19"/>
      <c r="DM355" s="19"/>
      <c r="DN355" s="19"/>
      <c r="DO355" s="19"/>
      <c r="DP355" s="19"/>
      <c r="DQ355" s="19"/>
      <c r="DR355" s="19"/>
      <c r="DS355" s="19"/>
      <c r="DT355" s="19"/>
      <c r="DU355" s="19"/>
      <c r="DV355" s="19"/>
      <c r="DW355" s="19"/>
      <c r="DX355" s="19"/>
      <c r="DY355" s="19"/>
      <c r="DZ355" s="19"/>
      <c r="EA355" s="19"/>
      <c r="EB355" s="19"/>
      <c r="EC355" s="19"/>
      <c r="ED355" s="19"/>
      <c r="EE355" s="19"/>
      <c r="EF355" s="19"/>
      <c r="EG355" s="19"/>
      <c r="EH355" s="19"/>
      <c r="EI355" s="19"/>
      <c r="EJ355" s="19"/>
      <c r="EK355" s="19"/>
      <c r="EL355" s="19"/>
      <c r="EM355" s="19"/>
      <c r="EN355" s="19"/>
      <c r="EO355" s="19"/>
      <c r="EP355" s="19"/>
      <c r="EQ355" s="19"/>
      <c r="ER355" s="19"/>
      <c r="ES355" s="19"/>
      <c r="ET355" s="19"/>
      <c r="EU355" s="19"/>
      <c r="EV355" s="19"/>
      <c r="EW355" s="19"/>
      <c r="EX355" s="19"/>
      <c r="EY355" s="19"/>
      <c r="EZ355" s="19"/>
      <c r="FA355" s="19"/>
      <c r="FB355" s="19"/>
      <c r="FC355" s="19"/>
      <c r="FD355" s="19"/>
      <c r="FE355" s="19"/>
      <c r="FF355" s="19"/>
      <c r="FG355" s="19"/>
      <c r="FH355" s="19"/>
      <c r="FI355" s="19"/>
      <c r="FJ355" s="19"/>
      <c r="FK355" s="19"/>
      <c r="FL355" s="20" t="s">
        <v>1160</v>
      </c>
      <c r="FM355" s="20" t="s">
        <v>321</v>
      </c>
      <c r="FN355" s="19"/>
      <c r="FO355" s="19"/>
      <c r="FP355" s="19"/>
      <c r="FQ355" s="19"/>
      <c r="FR355" s="19"/>
      <c r="FS355" s="19"/>
      <c r="FT355" s="19"/>
      <c r="FU355" s="19"/>
      <c r="FV355" s="19"/>
      <c r="FW355" s="19"/>
      <c r="FX355" s="19"/>
      <c r="FY355" s="19"/>
      <c r="FZ355" s="19"/>
      <c r="GA355" s="19"/>
      <c r="GB355" s="19"/>
      <c r="GC355" s="19"/>
      <c r="GD355" s="19"/>
      <c r="GE355" s="19"/>
      <c r="GF355" s="19"/>
      <c r="GG355" s="19"/>
      <c r="GH355" s="19"/>
      <c r="GI355" s="19"/>
      <c r="GJ355" s="19"/>
      <c r="GK355" s="19"/>
      <c r="GL355" s="19"/>
      <c r="GM355" s="19"/>
      <c r="GN355" s="19"/>
      <c r="GO355" s="19"/>
      <c r="GP355" s="19"/>
      <c r="GQ355" s="19"/>
      <c r="GR355" s="19"/>
      <c r="GS355" s="19"/>
      <c r="GT355" s="19"/>
      <c r="GU355" s="19"/>
      <c r="GV355" s="19"/>
      <c r="GW355" s="19"/>
      <c r="GX355" s="19"/>
      <c r="GY355" s="19"/>
      <c r="GZ355" s="19"/>
      <c r="HA355" s="19"/>
    </row>
    <row r="356" spans="1:209" ht="23.25" customHeight="1" x14ac:dyDescent="0.15">
      <c r="A356" s="26">
        <v>44660.372903206022</v>
      </c>
      <c r="B356" s="27" t="s">
        <v>6</v>
      </c>
      <c r="C356" s="27" t="s">
        <v>11</v>
      </c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  <c r="AX356" s="27" t="s">
        <v>1179</v>
      </c>
      <c r="AY356" s="27" t="s">
        <v>1164</v>
      </c>
      <c r="AZ356" s="27" t="s">
        <v>1269</v>
      </c>
      <c r="BA356" s="27" t="s">
        <v>375</v>
      </c>
      <c r="BB356" s="27" t="s">
        <v>408</v>
      </c>
      <c r="BC356" s="29">
        <v>43985</v>
      </c>
      <c r="BD356" s="29">
        <v>44015</v>
      </c>
      <c r="BE356" s="29">
        <v>44024</v>
      </c>
      <c r="BF356" s="27">
        <v>90</v>
      </c>
      <c r="BG356" s="27" t="s">
        <v>1267</v>
      </c>
      <c r="BH356" s="30" t="s">
        <v>1270</v>
      </c>
      <c r="BI356" s="28"/>
      <c r="BJ356" s="28"/>
      <c r="BK356" s="28"/>
      <c r="BL356" s="28"/>
      <c r="BM356" s="28"/>
      <c r="BN356" s="28"/>
      <c r="BO356" s="28"/>
      <c r="BP356" s="28"/>
      <c r="BQ356" s="28"/>
      <c r="BR356" s="28"/>
      <c r="BS356" s="28"/>
      <c r="BT356" s="28"/>
      <c r="BU356" s="28"/>
      <c r="BV356" s="28"/>
      <c r="BW356" s="28"/>
      <c r="BX356" s="28"/>
      <c r="BY356" s="19"/>
      <c r="BZ356" s="19"/>
      <c r="CA356" s="19"/>
      <c r="CB356" s="19"/>
      <c r="CC356" s="19"/>
      <c r="CD356" s="19"/>
      <c r="CE356" s="19"/>
      <c r="CF356" s="19"/>
      <c r="CG356" s="19"/>
      <c r="CH356" s="19"/>
      <c r="CI356" s="19"/>
      <c r="CJ356" s="19"/>
      <c r="CK356" s="19"/>
      <c r="CL356" s="19"/>
      <c r="CM356" s="19"/>
      <c r="CN356" s="19"/>
      <c r="CO356" s="19"/>
      <c r="CP356" s="19"/>
      <c r="CQ356" s="19"/>
      <c r="CR356" s="19"/>
      <c r="CS356" s="19"/>
      <c r="CT356" s="19"/>
      <c r="CU356" s="19"/>
      <c r="CV356" s="19"/>
      <c r="CW356" s="19"/>
      <c r="CX356" s="19"/>
      <c r="CY356" s="19"/>
      <c r="CZ356" s="19"/>
      <c r="DA356" s="19"/>
      <c r="DB356" s="19"/>
      <c r="DC356" s="19"/>
      <c r="DD356" s="19"/>
      <c r="DE356" s="19"/>
      <c r="DF356" s="19"/>
      <c r="DG356" s="19"/>
      <c r="DH356" s="19"/>
      <c r="DI356" s="19"/>
      <c r="DJ356" s="19"/>
      <c r="DK356" s="19"/>
      <c r="DL356" s="19"/>
      <c r="DM356" s="19"/>
      <c r="DN356" s="19"/>
      <c r="DO356" s="19"/>
      <c r="DP356" s="19"/>
      <c r="DQ356" s="19"/>
      <c r="DR356" s="19"/>
      <c r="DS356" s="19"/>
      <c r="DT356" s="19"/>
      <c r="DU356" s="19"/>
      <c r="DV356" s="19"/>
      <c r="DW356" s="19"/>
      <c r="DX356" s="19"/>
      <c r="DY356" s="19"/>
      <c r="DZ356" s="19"/>
      <c r="EA356" s="19"/>
      <c r="EB356" s="19"/>
      <c r="EC356" s="19"/>
      <c r="ED356" s="19"/>
      <c r="EE356" s="19"/>
      <c r="EF356" s="19"/>
      <c r="EG356" s="19"/>
      <c r="EH356" s="19"/>
      <c r="EI356" s="19"/>
      <c r="EJ356" s="19"/>
      <c r="EK356" s="19"/>
      <c r="EL356" s="19"/>
      <c r="EM356" s="19"/>
      <c r="EN356" s="19"/>
      <c r="EO356" s="19"/>
      <c r="EP356" s="19"/>
      <c r="EQ356" s="19"/>
      <c r="ER356" s="19"/>
      <c r="ES356" s="19"/>
      <c r="ET356" s="19"/>
      <c r="EU356" s="19"/>
      <c r="EV356" s="19"/>
      <c r="EW356" s="19"/>
      <c r="EX356" s="19"/>
      <c r="EY356" s="19"/>
      <c r="EZ356" s="19"/>
      <c r="FA356" s="19"/>
      <c r="FB356" s="19"/>
      <c r="FC356" s="19"/>
      <c r="FD356" s="19"/>
      <c r="FE356" s="19"/>
      <c r="FF356" s="19"/>
      <c r="FG356" s="19"/>
      <c r="FH356" s="19"/>
      <c r="FI356" s="19"/>
      <c r="FJ356" s="19"/>
      <c r="FK356" s="19"/>
      <c r="FL356" s="20" t="s">
        <v>1160</v>
      </c>
      <c r="FM356" s="20" t="s">
        <v>321</v>
      </c>
      <c r="FN356" s="19"/>
      <c r="FO356" s="19"/>
      <c r="FP356" s="19"/>
      <c r="FQ356" s="19"/>
      <c r="FR356" s="19"/>
      <c r="FS356" s="19"/>
      <c r="FT356" s="19"/>
      <c r="FU356" s="19"/>
      <c r="FV356" s="19"/>
      <c r="FW356" s="19"/>
      <c r="FX356" s="19"/>
      <c r="FY356" s="19"/>
      <c r="FZ356" s="19"/>
      <c r="GA356" s="19"/>
      <c r="GB356" s="19"/>
      <c r="GC356" s="19"/>
      <c r="GD356" s="19"/>
      <c r="GE356" s="19"/>
      <c r="GF356" s="19"/>
      <c r="GG356" s="19"/>
      <c r="GH356" s="19"/>
      <c r="GI356" s="19"/>
      <c r="GJ356" s="19"/>
      <c r="GK356" s="19"/>
      <c r="GL356" s="19"/>
      <c r="GM356" s="19"/>
      <c r="GN356" s="19"/>
      <c r="GO356" s="19"/>
      <c r="GP356" s="19"/>
      <c r="GQ356" s="19"/>
      <c r="GR356" s="19"/>
      <c r="GS356" s="19"/>
      <c r="GT356" s="19"/>
      <c r="GU356" s="19"/>
      <c r="GV356" s="19"/>
      <c r="GW356" s="19"/>
      <c r="GX356" s="19"/>
      <c r="GY356" s="19"/>
      <c r="GZ356" s="19"/>
      <c r="HA356" s="19"/>
    </row>
    <row r="357" spans="1:209" ht="23.25" customHeight="1" x14ac:dyDescent="0.15">
      <c r="A357" s="26">
        <v>44660.373130636573</v>
      </c>
      <c r="B357" s="27" t="s">
        <v>6</v>
      </c>
      <c r="C357" s="27" t="s">
        <v>11</v>
      </c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  <c r="AX357" s="27" t="s">
        <v>1271</v>
      </c>
      <c r="AY357" s="27" t="s">
        <v>1240</v>
      </c>
      <c r="AZ357" s="27" t="s">
        <v>1272</v>
      </c>
      <c r="BA357" s="27" t="s">
        <v>1241</v>
      </c>
      <c r="BB357" s="27" t="s">
        <v>1273</v>
      </c>
      <c r="BC357" s="29">
        <v>44652</v>
      </c>
      <c r="BD357" s="29">
        <v>44653</v>
      </c>
      <c r="BE357" s="29">
        <v>44653</v>
      </c>
      <c r="BF357" s="27">
        <v>90</v>
      </c>
      <c r="BG357" s="27" t="s">
        <v>470</v>
      </c>
      <c r="BH357" s="30" t="s">
        <v>1274</v>
      </c>
      <c r="BI357" s="28"/>
      <c r="BJ357" s="28"/>
      <c r="BK357" s="28"/>
      <c r="BL357" s="28"/>
      <c r="BM357" s="28"/>
      <c r="BN357" s="28"/>
      <c r="BO357" s="28"/>
      <c r="BP357" s="28"/>
      <c r="BQ357" s="28"/>
      <c r="BR357" s="28"/>
      <c r="BS357" s="28"/>
      <c r="BT357" s="28"/>
      <c r="BU357" s="28"/>
      <c r="BV357" s="28"/>
      <c r="BW357" s="28"/>
      <c r="BX357" s="28"/>
      <c r="BY357" s="19"/>
      <c r="BZ357" s="19"/>
      <c r="CA357" s="19"/>
      <c r="CB357" s="19"/>
      <c r="CC357" s="19"/>
      <c r="CD357" s="19"/>
      <c r="CE357" s="19"/>
      <c r="CF357" s="19"/>
      <c r="CG357" s="19"/>
      <c r="CH357" s="19"/>
      <c r="CI357" s="19"/>
      <c r="CJ357" s="19"/>
      <c r="CK357" s="19"/>
      <c r="CL357" s="19"/>
      <c r="CM357" s="19"/>
      <c r="CN357" s="19"/>
      <c r="CO357" s="19"/>
      <c r="CP357" s="19"/>
      <c r="CQ357" s="19"/>
      <c r="CR357" s="19"/>
      <c r="CS357" s="19"/>
      <c r="CT357" s="19"/>
      <c r="CU357" s="19"/>
      <c r="CV357" s="19"/>
      <c r="CW357" s="19"/>
      <c r="CX357" s="19"/>
      <c r="CY357" s="19"/>
      <c r="CZ357" s="19"/>
      <c r="DA357" s="19"/>
      <c r="DB357" s="19"/>
      <c r="DC357" s="19"/>
      <c r="DD357" s="19"/>
      <c r="DE357" s="19"/>
      <c r="DF357" s="19"/>
      <c r="DG357" s="19"/>
      <c r="DH357" s="19"/>
      <c r="DI357" s="19"/>
      <c r="DJ357" s="19"/>
      <c r="DK357" s="19"/>
      <c r="DL357" s="19"/>
      <c r="DM357" s="19"/>
      <c r="DN357" s="19"/>
      <c r="DO357" s="19"/>
      <c r="DP357" s="19"/>
      <c r="DQ357" s="19"/>
      <c r="DR357" s="19"/>
      <c r="DS357" s="19"/>
      <c r="DT357" s="19"/>
      <c r="DU357" s="19"/>
      <c r="DV357" s="19"/>
      <c r="DW357" s="19"/>
      <c r="DX357" s="19"/>
      <c r="DY357" s="19"/>
      <c r="DZ357" s="19"/>
      <c r="EA357" s="19"/>
      <c r="EB357" s="19"/>
      <c r="EC357" s="19"/>
      <c r="ED357" s="19"/>
      <c r="EE357" s="19"/>
      <c r="EF357" s="19"/>
      <c r="EG357" s="19"/>
      <c r="EH357" s="19"/>
      <c r="EI357" s="19"/>
      <c r="EJ357" s="19"/>
      <c r="EK357" s="19"/>
      <c r="EL357" s="19"/>
      <c r="EM357" s="19"/>
      <c r="EN357" s="19"/>
      <c r="EO357" s="19"/>
      <c r="EP357" s="19"/>
      <c r="EQ357" s="19"/>
      <c r="ER357" s="19"/>
      <c r="ES357" s="19"/>
      <c r="ET357" s="19"/>
      <c r="EU357" s="19"/>
      <c r="EV357" s="19"/>
      <c r="EW357" s="19"/>
      <c r="EX357" s="19"/>
      <c r="EY357" s="19"/>
      <c r="EZ357" s="19"/>
      <c r="FA357" s="19"/>
      <c r="FB357" s="19"/>
      <c r="FC357" s="19"/>
      <c r="FD357" s="19"/>
      <c r="FE357" s="19"/>
      <c r="FF357" s="19"/>
      <c r="FG357" s="19"/>
      <c r="FH357" s="19"/>
      <c r="FI357" s="19"/>
      <c r="FJ357" s="19"/>
      <c r="FK357" s="19"/>
      <c r="FL357" s="20" t="s">
        <v>1244</v>
      </c>
      <c r="FM357" s="20" t="s">
        <v>255</v>
      </c>
      <c r="FN357" s="19"/>
      <c r="FO357" s="19"/>
      <c r="FP357" s="19"/>
      <c r="FQ357" s="19"/>
      <c r="FR357" s="19"/>
      <c r="FS357" s="19"/>
      <c r="FT357" s="19"/>
      <c r="FU357" s="19"/>
      <c r="FV357" s="19"/>
      <c r="FW357" s="19"/>
      <c r="FX357" s="19"/>
      <c r="FY357" s="19"/>
      <c r="FZ357" s="19"/>
      <c r="GA357" s="19"/>
      <c r="GB357" s="19"/>
      <c r="GC357" s="19"/>
      <c r="GD357" s="19"/>
      <c r="GE357" s="19"/>
      <c r="GF357" s="19"/>
      <c r="GG357" s="19"/>
      <c r="GH357" s="19"/>
      <c r="GI357" s="19"/>
      <c r="GJ357" s="19"/>
      <c r="GK357" s="19"/>
      <c r="GL357" s="19"/>
      <c r="GM357" s="19"/>
      <c r="GN357" s="19"/>
      <c r="GO357" s="19"/>
      <c r="GP357" s="19"/>
      <c r="GQ357" s="19"/>
      <c r="GR357" s="19"/>
      <c r="GS357" s="19"/>
      <c r="GT357" s="19"/>
      <c r="GU357" s="19"/>
      <c r="GV357" s="19"/>
      <c r="GW357" s="19"/>
      <c r="GX357" s="19"/>
      <c r="GY357" s="19"/>
      <c r="GZ357" s="19"/>
      <c r="HA357" s="19"/>
    </row>
    <row r="358" spans="1:209" ht="23.25" customHeight="1" x14ac:dyDescent="0.15">
      <c r="A358" s="26">
        <v>44660.375070289352</v>
      </c>
      <c r="B358" s="27" t="s">
        <v>6</v>
      </c>
      <c r="C358" s="27" t="s">
        <v>14</v>
      </c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  <c r="AX358" s="28"/>
      <c r="AY358" s="28"/>
      <c r="AZ358" s="28"/>
      <c r="BA358" s="28"/>
      <c r="BB358" s="28"/>
      <c r="BC358" s="28"/>
      <c r="BD358" s="28"/>
      <c r="BE358" s="28"/>
      <c r="BF358" s="28"/>
      <c r="BG358" s="28"/>
      <c r="BH358" s="28"/>
      <c r="BI358" s="28"/>
      <c r="BJ358" s="28"/>
      <c r="BK358" s="28"/>
      <c r="BL358" s="28"/>
      <c r="BM358" s="28"/>
      <c r="BN358" s="28"/>
      <c r="BO358" s="28"/>
      <c r="BP358" s="28"/>
      <c r="BQ358" s="28"/>
      <c r="BR358" s="28"/>
      <c r="BS358" s="28"/>
      <c r="BT358" s="28"/>
      <c r="BU358" s="28"/>
      <c r="BV358" s="28"/>
      <c r="BW358" s="28"/>
      <c r="BX358" s="28"/>
      <c r="BY358" s="19"/>
      <c r="BZ358" s="19"/>
      <c r="CA358" s="19"/>
      <c r="CB358" s="19"/>
      <c r="CC358" s="19"/>
      <c r="CD358" s="19"/>
      <c r="CE358" s="19"/>
      <c r="CF358" s="19"/>
      <c r="CG358" s="19"/>
      <c r="CH358" s="19"/>
      <c r="CI358" s="19"/>
      <c r="CJ358" s="19"/>
      <c r="CK358" s="19"/>
      <c r="CL358" s="19"/>
      <c r="CM358" s="19"/>
      <c r="CN358" s="19"/>
      <c r="CO358" s="19"/>
      <c r="CP358" s="19"/>
      <c r="CQ358" s="19"/>
      <c r="CR358" s="19"/>
      <c r="CS358" s="20" t="s">
        <v>1163</v>
      </c>
      <c r="CT358" s="20" t="s">
        <v>1275</v>
      </c>
      <c r="CU358" s="21">
        <v>43798</v>
      </c>
      <c r="CV358" s="21">
        <v>43800</v>
      </c>
      <c r="CW358" s="20">
        <v>100</v>
      </c>
      <c r="CX358" s="20" t="s">
        <v>1276</v>
      </c>
      <c r="CY358" s="32" t="s">
        <v>276</v>
      </c>
      <c r="CZ358" s="19"/>
      <c r="DA358" s="19"/>
      <c r="DB358" s="19"/>
      <c r="DC358" s="22" t="s">
        <v>1277</v>
      </c>
      <c r="DD358" s="19"/>
      <c r="DE358" s="19"/>
      <c r="DF358" s="19"/>
      <c r="DG358" s="19"/>
      <c r="DH358" s="19"/>
      <c r="DI358" s="19"/>
      <c r="DJ358" s="19"/>
      <c r="DK358" s="19"/>
      <c r="DL358" s="19"/>
      <c r="DM358" s="19"/>
      <c r="DN358" s="19"/>
      <c r="DO358" s="19"/>
      <c r="DP358" s="19"/>
      <c r="DQ358" s="19"/>
      <c r="DR358" s="19"/>
      <c r="DS358" s="19"/>
      <c r="DT358" s="19"/>
      <c r="DU358" s="19"/>
      <c r="DV358" s="19"/>
      <c r="DW358" s="19"/>
      <c r="DX358" s="19"/>
      <c r="DY358" s="19"/>
      <c r="DZ358" s="19"/>
      <c r="EA358" s="19"/>
      <c r="EB358" s="19"/>
      <c r="EC358" s="19"/>
      <c r="ED358" s="19"/>
      <c r="EE358" s="19"/>
      <c r="EF358" s="19"/>
      <c r="EG358" s="19"/>
      <c r="EH358" s="19"/>
      <c r="EI358" s="19"/>
      <c r="EJ358" s="19"/>
      <c r="EK358" s="19"/>
      <c r="EL358" s="19"/>
      <c r="EM358" s="19"/>
      <c r="EN358" s="19"/>
      <c r="EO358" s="19"/>
      <c r="EP358" s="19"/>
      <c r="EQ358" s="19"/>
      <c r="ER358" s="19"/>
      <c r="ES358" s="19"/>
      <c r="ET358" s="19"/>
      <c r="EU358" s="19"/>
      <c r="EV358" s="19"/>
      <c r="EW358" s="19"/>
      <c r="EX358" s="19"/>
      <c r="EY358" s="19"/>
      <c r="EZ358" s="19"/>
      <c r="FA358" s="19"/>
      <c r="FB358" s="19"/>
      <c r="FC358" s="19"/>
      <c r="FD358" s="19"/>
      <c r="FE358" s="19"/>
      <c r="FF358" s="19"/>
      <c r="FG358" s="19"/>
      <c r="FH358" s="19"/>
      <c r="FI358" s="19"/>
      <c r="FJ358" s="19"/>
      <c r="FK358" s="19"/>
      <c r="FL358" s="20" t="s">
        <v>1160</v>
      </c>
      <c r="FM358" s="20" t="s">
        <v>380</v>
      </c>
      <c r="FN358" s="19"/>
      <c r="FO358" s="19"/>
      <c r="FP358" s="19"/>
      <c r="FQ358" s="19"/>
      <c r="FR358" s="19"/>
      <c r="FS358" s="19"/>
      <c r="FT358" s="19"/>
      <c r="FU358" s="19"/>
      <c r="FV358" s="19"/>
      <c r="FW358" s="19"/>
      <c r="FX358" s="19"/>
      <c r="FY358" s="19"/>
      <c r="FZ358" s="19"/>
      <c r="GA358" s="19"/>
      <c r="GB358" s="19"/>
      <c r="GC358" s="19"/>
      <c r="GD358" s="19"/>
      <c r="GE358" s="19"/>
      <c r="GF358" s="19"/>
      <c r="GG358" s="19"/>
      <c r="GH358" s="19"/>
      <c r="GI358" s="19"/>
      <c r="GJ358" s="19"/>
      <c r="GK358" s="19"/>
      <c r="GL358" s="19"/>
      <c r="GM358" s="19"/>
      <c r="GN358" s="19"/>
      <c r="GO358" s="19"/>
      <c r="GP358" s="19"/>
      <c r="GQ358" s="19"/>
      <c r="GR358" s="19"/>
      <c r="GS358" s="19"/>
      <c r="GT358" s="19"/>
      <c r="GU358" s="19"/>
      <c r="GV358" s="19"/>
      <c r="GW358" s="19"/>
      <c r="GX358" s="19"/>
      <c r="GY358" s="19"/>
      <c r="GZ358" s="19"/>
      <c r="HA358" s="19"/>
    </row>
    <row r="359" spans="1:209" ht="23.25" customHeight="1" x14ac:dyDescent="0.15">
      <c r="A359" s="26">
        <v>44660.378428530094</v>
      </c>
      <c r="B359" s="27" t="s">
        <v>6</v>
      </c>
      <c r="C359" s="27" t="s">
        <v>12</v>
      </c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  <c r="AX359" s="28"/>
      <c r="AY359" s="28"/>
      <c r="AZ359" s="28"/>
      <c r="BA359" s="28"/>
      <c r="BB359" s="28"/>
      <c r="BC359" s="28"/>
      <c r="BD359" s="28"/>
      <c r="BE359" s="28"/>
      <c r="BF359" s="28"/>
      <c r="BG359" s="28"/>
      <c r="BH359" s="28"/>
      <c r="BI359" s="27" t="s">
        <v>1271</v>
      </c>
      <c r="BJ359" s="27" t="s">
        <v>1240</v>
      </c>
      <c r="BK359" s="27" t="s">
        <v>154</v>
      </c>
      <c r="BL359" s="27" t="s">
        <v>732</v>
      </c>
      <c r="BM359" s="27" t="s">
        <v>1278</v>
      </c>
      <c r="BN359" s="27">
        <v>2</v>
      </c>
      <c r="BO359" s="29">
        <v>43694</v>
      </c>
      <c r="BP359" s="29">
        <v>43695</v>
      </c>
      <c r="BQ359" s="27" t="s">
        <v>1279</v>
      </c>
      <c r="BR359" s="27" t="s">
        <v>1280</v>
      </c>
      <c r="BS359" s="27" t="s">
        <v>171</v>
      </c>
      <c r="BT359" s="27" t="s">
        <v>629</v>
      </c>
      <c r="BU359" s="27">
        <v>0</v>
      </c>
      <c r="BV359" s="30" t="s">
        <v>1281</v>
      </c>
      <c r="BW359" s="28"/>
      <c r="BX359" s="28"/>
      <c r="BY359" s="19"/>
      <c r="BZ359" s="19"/>
      <c r="CA359" s="19"/>
      <c r="CB359" s="19"/>
      <c r="CC359" s="19"/>
      <c r="CD359" s="19"/>
      <c r="CE359" s="19"/>
      <c r="CF359" s="19"/>
      <c r="CG359" s="19"/>
      <c r="CH359" s="19"/>
      <c r="CI359" s="19"/>
      <c r="CJ359" s="19"/>
      <c r="CK359" s="19"/>
      <c r="CL359" s="19"/>
      <c r="CM359" s="19"/>
      <c r="CN359" s="19"/>
      <c r="CO359" s="19"/>
      <c r="CP359" s="19"/>
      <c r="CQ359" s="19"/>
      <c r="CR359" s="19"/>
      <c r="CS359" s="19"/>
      <c r="CT359" s="19"/>
      <c r="CU359" s="19"/>
      <c r="CV359" s="19"/>
      <c r="CW359" s="19"/>
      <c r="CX359" s="19"/>
      <c r="CY359" s="19"/>
      <c r="CZ359" s="19"/>
      <c r="DA359" s="19"/>
      <c r="DB359" s="19"/>
      <c r="DC359" s="19"/>
      <c r="DD359" s="19"/>
      <c r="DE359" s="19"/>
      <c r="DF359" s="19"/>
      <c r="DG359" s="19"/>
      <c r="DH359" s="19"/>
      <c r="DI359" s="19"/>
      <c r="DJ359" s="19"/>
      <c r="DK359" s="19"/>
      <c r="DL359" s="19"/>
      <c r="DM359" s="19"/>
      <c r="DN359" s="19"/>
      <c r="DO359" s="19"/>
      <c r="DP359" s="19"/>
      <c r="DQ359" s="19"/>
      <c r="DR359" s="19"/>
      <c r="DS359" s="19"/>
      <c r="DT359" s="19"/>
      <c r="DU359" s="19"/>
      <c r="DV359" s="19"/>
      <c r="DW359" s="19"/>
      <c r="DX359" s="19"/>
      <c r="DY359" s="19"/>
      <c r="DZ359" s="19"/>
      <c r="EA359" s="19"/>
      <c r="EB359" s="19"/>
      <c r="EC359" s="19"/>
      <c r="ED359" s="19"/>
      <c r="EE359" s="19"/>
      <c r="EF359" s="19"/>
      <c r="EG359" s="19"/>
      <c r="EH359" s="19"/>
      <c r="EI359" s="19"/>
      <c r="EJ359" s="19"/>
      <c r="EK359" s="19"/>
      <c r="EL359" s="19"/>
      <c r="EM359" s="19"/>
      <c r="EN359" s="19"/>
      <c r="EO359" s="19"/>
      <c r="EP359" s="19"/>
      <c r="EQ359" s="19"/>
      <c r="ER359" s="19"/>
      <c r="ES359" s="19"/>
      <c r="ET359" s="19"/>
      <c r="EU359" s="19"/>
      <c r="EV359" s="19"/>
      <c r="EW359" s="19"/>
      <c r="EX359" s="19"/>
      <c r="EY359" s="19"/>
      <c r="EZ359" s="19"/>
      <c r="FA359" s="19"/>
      <c r="FB359" s="19"/>
      <c r="FC359" s="19"/>
      <c r="FD359" s="19"/>
      <c r="FE359" s="19"/>
      <c r="FF359" s="19"/>
      <c r="FG359" s="19"/>
      <c r="FH359" s="19"/>
      <c r="FI359" s="19"/>
      <c r="FJ359" s="19"/>
      <c r="FK359" s="19"/>
      <c r="FL359" s="20" t="s">
        <v>1244</v>
      </c>
      <c r="FM359" s="20" t="s">
        <v>255</v>
      </c>
      <c r="FN359" s="19"/>
      <c r="FO359" s="19"/>
      <c r="FP359" s="19"/>
      <c r="FQ359" s="19"/>
      <c r="FR359" s="19"/>
      <c r="FS359" s="19"/>
      <c r="FT359" s="19"/>
      <c r="FU359" s="19"/>
      <c r="FV359" s="19"/>
      <c r="FW359" s="19"/>
      <c r="FX359" s="19"/>
      <c r="FY359" s="19"/>
      <c r="FZ359" s="19"/>
      <c r="GA359" s="19"/>
      <c r="GB359" s="19"/>
      <c r="GC359" s="19"/>
      <c r="GD359" s="19"/>
      <c r="GE359" s="19"/>
      <c r="GF359" s="19"/>
      <c r="GG359" s="19"/>
      <c r="GH359" s="19"/>
      <c r="GI359" s="19"/>
      <c r="GJ359" s="19"/>
      <c r="GK359" s="19"/>
      <c r="GL359" s="19"/>
      <c r="GM359" s="19"/>
      <c r="GN359" s="19"/>
      <c r="GO359" s="19"/>
      <c r="GP359" s="19"/>
      <c r="GQ359" s="19"/>
      <c r="GR359" s="19"/>
      <c r="GS359" s="19"/>
      <c r="GT359" s="19"/>
      <c r="GU359" s="19"/>
      <c r="GV359" s="19"/>
      <c r="GW359" s="19"/>
      <c r="GX359" s="19"/>
      <c r="GY359" s="19"/>
      <c r="GZ359" s="19"/>
      <c r="HA359" s="19"/>
    </row>
    <row r="360" spans="1:209" ht="23.25" customHeight="1" x14ac:dyDescent="0.15">
      <c r="A360" s="26">
        <v>44660.379183425925</v>
      </c>
      <c r="B360" s="27" t="s">
        <v>6</v>
      </c>
      <c r="C360" s="27" t="s">
        <v>10</v>
      </c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7" t="s">
        <v>1163</v>
      </c>
      <c r="AO360" s="27" t="s">
        <v>1164</v>
      </c>
      <c r="AP360" s="27" t="s">
        <v>249</v>
      </c>
      <c r="AQ360" s="27" t="s">
        <v>415</v>
      </c>
      <c r="AR360" s="29">
        <v>44622</v>
      </c>
      <c r="AS360" s="29">
        <v>44721</v>
      </c>
      <c r="AT360" s="27" t="s">
        <v>252</v>
      </c>
      <c r="AU360" s="27" t="s">
        <v>252</v>
      </c>
      <c r="AV360" s="27">
        <v>0</v>
      </c>
      <c r="AW360" s="30" t="s">
        <v>1282</v>
      </c>
      <c r="AX360" s="28"/>
      <c r="AY360" s="28"/>
      <c r="AZ360" s="28"/>
      <c r="BA360" s="28"/>
      <c r="BB360" s="28"/>
      <c r="BC360" s="28"/>
      <c r="BD360" s="28"/>
      <c r="BE360" s="28"/>
      <c r="BF360" s="28"/>
      <c r="BG360" s="28"/>
      <c r="BH360" s="28"/>
      <c r="BI360" s="28"/>
      <c r="BJ360" s="28"/>
      <c r="BK360" s="28"/>
      <c r="BL360" s="28"/>
      <c r="BM360" s="28"/>
      <c r="BN360" s="28"/>
      <c r="BO360" s="28"/>
      <c r="BP360" s="28"/>
      <c r="BQ360" s="28"/>
      <c r="BR360" s="28"/>
      <c r="BS360" s="28"/>
      <c r="BT360" s="28"/>
      <c r="BU360" s="28"/>
      <c r="BV360" s="28"/>
      <c r="BW360" s="28"/>
      <c r="BX360" s="28"/>
      <c r="BY360" s="19"/>
      <c r="BZ360" s="19"/>
      <c r="CA360" s="19"/>
      <c r="CB360" s="19"/>
      <c r="CC360" s="19"/>
      <c r="CD360" s="19"/>
      <c r="CE360" s="19"/>
      <c r="CF360" s="19"/>
      <c r="CG360" s="19"/>
      <c r="CH360" s="19"/>
      <c r="CI360" s="19"/>
      <c r="CJ360" s="19"/>
      <c r="CK360" s="19"/>
      <c r="CL360" s="19"/>
      <c r="CM360" s="19"/>
      <c r="CN360" s="19"/>
      <c r="CO360" s="19"/>
      <c r="CP360" s="19"/>
      <c r="CQ360" s="19"/>
      <c r="CR360" s="19"/>
      <c r="CS360" s="19"/>
      <c r="CT360" s="19"/>
      <c r="CU360" s="19"/>
      <c r="CV360" s="19"/>
      <c r="CW360" s="19"/>
      <c r="CX360" s="19"/>
      <c r="CY360" s="19"/>
      <c r="CZ360" s="19"/>
      <c r="DA360" s="19"/>
      <c r="DB360" s="19"/>
      <c r="DC360" s="19"/>
      <c r="DD360" s="19"/>
      <c r="DE360" s="19"/>
      <c r="DF360" s="19"/>
      <c r="DG360" s="19"/>
      <c r="DH360" s="19"/>
      <c r="DI360" s="19"/>
      <c r="DJ360" s="19"/>
      <c r="DK360" s="19"/>
      <c r="DL360" s="19"/>
      <c r="DM360" s="19"/>
      <c r="DN360" s="19"/>
      <c r="DO360" s="19"/>
      <c r="DP360" s="19"/>
      <c r="DQ360" s="19"/>
      <c r="DR360" s="19"/>
      <c r="DS360" s="19"/>
      <c r="DT360" s="19"/>
      <c r="DU360" s="19"/>
      <c r="DV360" s="19"/>
      <c r="DW360" s="19"/>
      <c r="DX360" s="19"/>
      <c r="DY360" s="19"/>
      <c r="DZ360" s="19"/>
      <c r="EA360" s="19"/>
      <c r="EB360" s="19"/>
      <c r="EC360" s="19"/>
      <c r="ED360" s="19"/>
      <c r="EE360" s="19"/>
      <c r="EF360" s="19"/>
      <c r="EG360" s="19"/>
      <c r="EH360" s="19"/>
      <c r="EI360" s="19"/>
      <c r="EJ360" s="19"/>
      <c r="EK360" s="19"/>
      <c r="EL360" s="19"/>
      <c r="EM360" s="19"/>
      <c r="EN360" s="19"/>
      <c r="EO360" s="19"/>
      <c r="EP360" s="19"/>
      <c r="EQ360" s="19"/>
      <c r="ER360" s="19"/>
      <c r="ES360" s="19"/>
      <c r="ET360" s="19"/>
      <c r="EU360" s="19"/>
      <c r="EV360" s="19"/>
      <c r="EW360" s="19"/>
      <c r="EX360" s="19"/>
      <c r="EY360" s="19"/>
      <c r="EZ360" s="19"/>
      <c r="FA360" s="19"/>
      <c r="FB360" s="19"/>
      <c r="FC360" s="19"/>
      <c r="FD360" s="19"/>
      <c r="FE360" s="19"/>
      <c r="FF360" s="19"/>
      <c r="FG360" s="19"/>
      <c r="FH360" s="19"/>
      <c r="FI360" s="19"/>
      <c r="FJ360" s="19"/>
      <c r="FK360" s="19"/>
      <c r="FL360" s="20" t="s">
        <v>1160</v>
      </c>
      <c r="FM360" s="20" t="s">
        <v>255</v>
      </c>
      <c r="FN360" s="19"/>
      <c r="FO360" s="19"/>
      <c r="FP360" s="19"/>
      <c r="FQ360" s="19"/>
      <c r="FR360" s="19"/>
      <c r="FS360" s="19"/>
      <c r="FT360" s="19"/>
      <c r="FU360" s="19"/>
      <c r="FV360" s="19"/>
      <c r="FW360" s="19"/>
      <c r="FX360" s="19"/>
      <c r="FY360" s="19"/>
      <c r="FZ360" s="19"/>
      <c r="GA360" s="19"/>
      <c r="GB360" s="19"/>
      <c r="GC360" s="19"/>
      <c r="GD360" s="19"/>
      <c r="GE360" s="19"/>
      <c r="GF360" s="19"/>
      <c r="GG360" s="19"/>
      <c r="GH360" s="19"/>
      <c r="GI360" s="19"/>
      <c r="GJ360" s="19"/>
      <c r="GK360" s="19"/>
      <c r="GL360" s="19"/>
      <c r="GM360" s="19"/>
      <c r="GN360" s="19"/>
      <c r="GO360" s="19"/>
      <c r="GP360" s="19"/>
      <c r="GQ360" s="19"/>
      <c r="GR360" s="19"/>
      <c r="GS360" s="19"/>
      <c r="GT360" s="19"/>
      <c r="GU360" s="19"/>
      <c r="GV360" s="19"/>
      <c r="GW360" s="19"/>
      <c r="GX360" s="19"/>
      <c r="GY360" s="19"/>
      <c r="GZ360" s="19"/>
      <c r="HA360" s="19"/>
    </row>
    <row r="361" spans="1:209" ht="23.25" customHeight="1" x14ac:dyDescent="0.15">
      <c r="A361" s="26">
        <v>44660.410802060185</v>
      </c>
      <c r="B361" s="27" t="s">
        <v>8</v>
      </c>
      <c r="C361" s="27" t="s">
        <v>12</v>
      </c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  <c r="AX361" s="28"/>
      <c r="AY361" s="28"/>
      <c r="AZ361" s="28"/>
      <c r="BA361" s="28"/>
      <c r="BB361" s="28"/>
      <c r="BC361" s="28"/>
      <c r="BD361" s="28"/>
      <c r="BE361" s="28"/>
      <c r="BF361" s="28"/>
      <c r="BG361" s="28"/>
      <c r="BH361" s="28"/>
      <c r="BI361" s="27" t="s">
        <v>1283</v>
      </c>
      <c r="BJ361" s="27" t="s">
        <v>1284</v>
      </c>
      <c r="BK361" s="27" t="s">
        <v>311</v>
      </c>
      <c r="BL361" s="27" t="s">
        <v>1285</v>
      </c>
      <c r="BM361" s="27" t="s">
        <v>1286</v>
      </c>
      <c r="BN361" s="27">
        <v>2</v>
      </c>
      <c r="BO361" s="29">
        <v>44645</v>
      </c>
      <c r="BP361" s="29">
        <v>44646</v>
      </c>
      <c r="BQ361" s="27" t="s">
        <v>1287</v>
      </c>
      <c r="BR361" s="27" t="s">
        <v>1288</v>
      </c>
      <c r="BS361" s="27" t="s">
        <v>271</v>
      </c>
      <c r="BT361" s="27" t="s">
        <v>629</v>
      </c>
      <c r="BU361" s="27">
        <v>300</v>
      </c>
      <c r="BV361" s="30" t="s">
        <v>1289</v>
      </c>
      <c r="BW361" s="28"/>
      <c r="BX361" s="28"/>
      <c r="BY361" s="19"/>
      <c r="BZ361" s="19"/>
      <c r="CA361" s="19"/>
      <c r="CB361" s="19"/>
      <c r="CC361" s="19"/>
      <c r="CD361" s="19"/>
      <c r="CE361" s="19"/>
      <c r="CF361" s="19"/>
      <c r="CG361" s="19"/>
      <c r="CH361" s="19"/>
      <c r="CI361" s="19"/>
      <c r="CJ361" s="19"/>
      <c r="CK361" s="19"/>
      <c r="CL361" s="19"/>
      <c r="CM361" s="19"/>
      <c r="CN361" s="19"/>
      <c r="CO361" s="19"/>
      <c r="CP361" s="19"/>
      <c r="CQ361" s="19"/>
      <c r="CR361" s="19"/>
      <c r="CS361" s="19"/>
      <c r="CT361" s="19"/>
      <c r="CU361" s="19"/>
      <c r="CV361" s="19"/>
      <c r="CW361" s="19"/>
      <c r="CX361" s="19"/>
      <c r="CY361" s="19"/>
      <c r="CZ361" s="19"/>
      <c r="DA361" s="19"/>
      <c r="DB361" s="19"/>
      <c r="DC361" s="19"/>
      <c r="DD361" s="19"/>
      <c r="DE361" s="19"/>
      <c r="DF361" s="19"/>
      <c r="DG361" s="19"/>
      <c r="DH361" s="19"/>
      <c r="DI361" s="19"/>
      <c r="DJ361" s="19"/>
      <c r="DK361" s="19"/>
      <c r="DL361" s="19"/>
      <c r="DM361" s="19"/>
      <c r="DN361" s="19"/>
      <c r="DO361" s="19"/>
      <c r="DP361" s="19"/>
      <c r="DQ361" s="19"/>
      <c r="DR361" s="19"/>
      <c r="DS361" s="19"/>
      <c r="DT361" s="19"/>
      <c r="DU361" s="19"/>
      <c r="DV361" s="19"/>
      <c r="DW361" s="19"/>
      <c r="DX361" s="19"/>
      <c r="DY361" s="19"/>
      <c r="DZ361" s="19"/>
      <c r="EA361" s="19"/>
      <c r="EB361" s="19"/>
      <c r="EC361" s="19"/>
      <c r="ED361" s="19"/>
      <c r="EE361" s="19"/>
      <c r="EF361" s="19"/>
      <c r="EG361" s="19"/>
      <c r="EH361" s="19"/>
      <c r="EI361" s="19"/>
      <c r="EJ361" s="19"/>
      <c r="EK361" s="19"/>
      <c r="EL361" s="19"/>
      <c r="EM361" s="19"/>
      <c r="EN361" s="19"/>
      <c r="EO361" s="19"/>
      <c r="EP361" s="19"/>
      <c r="EQ361" s="19"/>
      <c r="ER361" s="19"/>
      <c r="ES361" s="19"/>
      <c r="ET361" s="19"/>
      <c r="EU361" s="19"/>
      <c r="EV361" s="19"/>
      <c r="EW361" s="19"/>
      <c r="EX361" s="19"/>
      <c r="EY361" s="19"/>
      <c r="EZ361" s="19"/>
      <c r="FA361" s="19"/>
      <c r="FB361" s="19"/>
      <c r="FC361" s="19"/>
      <c r="FD361" s="19"/>
      <c r="FE361" s="19"/>
      <c r="FF361" s="19"/>
      <c r="FG361" s="19"/>
      <c r="FH361" s="19"/>
      <c r="FI361" s="19"/>
      <c r="FJ361" s="19"/>
      <c r="FK361" s="19"/>
      <c r="FL361" s="20" t="s">
        <v>1290</v>
      </c>
      <c r="FM361" s="20" t="s">
        <v>321</v>
      </c>
      <c r="FN361" s="19"/>
      <c r="FO361" s="19"/>
      <c r="FP361" s="19"/>
      <c r="FQ361" s="19"/>
      <c r="FR361" s="19"/>
      <c r="FS361" s="19"/>
      <c r="FT361" s="19"/>
      <c r="FU361" s="19"/>
      <c r="FV361" s="19"/>
      <c r="FW361" s="19"/>
      <c r="FX361" s="19"/>
      <c r="FY361" s="19"/>
      <c r="FZ361" s="19"/>
      <c r="GA361" s="19"/>
      <c r="GB361" s="19"/>
      <c r="GC361" s="19"/>
      <c r="GD361" s="19"/>
      <c r="GE361" s="19"/>
      <c r="GF361" s="19"/>
      <c r="GG361" s="19"/>
      <c r="GH361" s="19"/>
      <c r="GI361" s="19"/>
      <c r="GJ361" s="19"/>
      <c r="GK361" s="19"/>
      <c r="GL361" s="19"/>
      <c r="GM361" s="19"/>
      <c r="GN361" s="19"/>
      <c r="GO361" s="19"/>
      <c r="GP361" s="19"/>
      <c r="GQ361" s="19"/>
      <c r="GR361" s="19"/>
      <c r="GS361" s="19"/>
      <c r="GT361" s="19"/>
      <c r="GU361" s="19"/>
      <c r="GV361" s="19"/>
      <c r="GW361" s="19"/>
      <c r="GX361" s="19"/>
      <c r="GY361" s="19"/>
      <c r="GZ361" s="19"/>
      <c r="HA361" s="19"/>
    </row>
    <row r="362" spans="1:209" ht="23.25" customHeight="1" x14ac:dyDescent="0.15">
      <c r="A362" s="26">
        <v>44660.413841041664</v>
      </c>
      <c r="B362" s="27" t="s">
        <v>8</v>
      </c>
      <c r="C362" s="27" t="s">
        <v>12</v>
      </c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  <c r="AX362" s="28"/>
      <c r="AY362" s="28"/>
      <c r="AZ362" s="28"/>
      <c r="BA362" s="28"/>
      <c r="BB362" s="28"/>
      <c r="BC362" s="28"/>
      <c r="BD362" s="28"/>
      <c r="BE362" s="28"/>
      <c r="BF362" s="28"/>
      <c r="BG362" s="28"/>
      <c r="BH362" s="28"/>
      <c r="BI362" s="27" t="s">
        <v>1291</v>
      </c>
      <c r="BJ362" s="27" t="s">
        <v>1292</v>
      </c>
      <c r="BK362" s="27" t="s">
        <v>311</v>
      </c>
      <c r="BL362" s="27" t="s">
        <v>1285</v>
      </c>
      <c r="BM362" s="27" t="s">
        <v>1293</v>
      </c>
      <c r="BN362" s="27">
        <v>2</v>
      </c>
      <c r="BO362" s="29">
        <v>44645</v>
      </c>
      <c r="BP362" s="29">
        <v>44646</v>
      </c>
      <c r="BQ362" s="27" t="s">
        <v>1294</v>
      </c>
      <c r="BR362" s="27" t="s">
        <v>1295</v>
      </c>
      <c r="BS362" s="27" t="s">
        <v>271</v>
      </c>
      <c r="BT362" s="27" t="s">
        <v>629</v>
      </c>
      <c r="BU362" s="27">
        <v>300</v>
      </c>
      <c r="BV362" s="30" t="s">
        <v>1296</v>
      </c>
      <c r="BW362" s="28"/>
      <c r="BX362" s="28"/>
      <c r="BY362" s="19"/>
      <c r="BZ362" s="19"/>
      <c r="CA362" s="19"/>
      <c r="CB362" s="19"/>
      <c r="CC362" s="19"/>
      <c r="CD362" s="19"/>
      <c r="CE362" s="19"/>
      <c r="CF362" s="19"/>
      <c r="CG362" s="19"/>
      <c r="CH362" s="19"/>
      <c r="CI362" s="19"/>
      <c r="CJ362" s="19"/>
      <c r="CK362" s="19"/>
      <c r="CL362" s="19"/>
      <c r="CM362" s="19"/>
      <c r="CN362" s="19"/>
      <c r="CO362" s="19"/>
      <c r="CP362" s="19"/>
      <c r="CQ362" s="19"/>
      <c r="CR362" s="19"/>
      <c r="CS362" s="19"/>
      <c r="CT362" s="19"/>
      <c r="CU362" s="19"/>
      <c r="CV362" s="19"/>
      <c r="CW362" s="19"/>
      <c r="CX362" s="19"/>
      <c r="CY362" s="19"/>
      <c r="CZ362" s="19"/>
      <c r="DA362" s="19"/>
      <c r="DB362" s="19"/>
      <c r="DC362" s="19"/>
      <c r="DD362" s="19"/>
      <c r="DE362" s="19"/>
      <c r="DF362" s="19"/>
      <c r="DG362" s="19"/>
      <c r="DH362" s="19"/>
      <c r="DI362" s="19"/>
      <c r="DJ362" s="19"/>
      <c r="DK362" s="19"/>
      <c r="DL362" s="19"/>
      <c r="DM362" s="19"/>
      <c r="DN362" s="19"/>
      <c r="DO362" s="19"/>
      <c r="DP362" s="19"/>
      <c r="DQ362" s="19"/>
      <c r="DR362" s="19"/>
      <c r="DS362" s="19"/>
      <c r="DT362" s="19"/>
      <c r="DU362" s="19"/>
      <c r="DV362" s="19"/>
      <c r="DW362" s="19"/>
      <c r="DX362" s="19"/>
      <c r="DY362" s="19"/>
      <c r="DZ362" s="19"/>
      <c r="EA362" s="19"/>
      <c r="EB362" s="19"/>
      <c r="EC362" s="19"/>
      <c r="ED362" s="19"/>
      <c r="EE362" s="19"/>
      <c r="EF362" s="19"/>
      <c r="EG362" s="19"/>
      <c r="EH362" s="19"/>
      <c r="EI362" s="19"/>
      <c r="EJ362" s="19"/>
      <c r="EK362" s="19"/>
      <c r="EL362" s="19"/>
      <c r="EM362" s="19"/>
      <c r="EN362" s="19"/>
      <c r="EO362" s="19"/>
      <c r="EP362" s="19"/>
      <c r="EQ362" s="19"/>
      <c r="ER362" s="19"/>
      <c r="ES362" s="19"/>
      <c r="ET362" s="19"/>
      <c r="EU362" s="19"/>
      <c r="EV362" s="19"/>
      <c r="EW362" s="19"/>
      <c r="EX362" s="19"/>
      <c r="EY362" s="19"/>
      <c r="EZ362" s="19"/>
      <c r="FA362" s="19"/>
      <c r="FB362" s="19"/>
      <c r="FC362" s="19"/>
      <c r="FD362" s="19"/>
      <c r="FE362" s="19"/>
      <c r="FF362" s="19"/>
      <c r="FG362" s="19"/>
      <c r="FH362" s="19"/>
      <c r="FI362" s="19"/>
      <c r="FJ362" s="19"/>
      <c r="FK362" s="19"/>
      <c r="FL362" s="20" t="s">
        <v>1297</v>
      </c>
      <c r="FM362" s="20" t="s">
        <v>321</v>
      </c>
      <c r="FN362" s="19"/>
      <c r="FO362" s="19"/>
      <c r="FP362" s="19"/>
      <c r="FQ362" s="19"/>
      <c r="FR362" s="19"/>
      <c r="FS362" s="19"/>
      <c r="FT362" s="19"/>
      <c r="FU362" s="19"/>
      <c r="FV362" s="19"/>
      <c r="FW362" s="19"/>
      <c r="FX362" s="19"/>
      <c r="FY362" s="19"/>
      <c r="FZ362" s="19"/>
      <c r="GA362" s="19"/>
      <c r="GB362" s="19"/>
      <c r="GC362" s="19"/>
      <c r="GD362" s="19"/>
      <c r="GE362" s="19"/>
      <c r="GF362" s="19"/>
      <c r="GG362" s="19"/>
      <c r="GH362" s="19"/>
      <c r="GI362" s="19"/>
      <c r="GJ362" s="19"/>
      <c r="GK362" s="19"/>
      <c r="GL362" s="19"/>
      <c r="GM362" s="19"/>
      <c r="GN362" s="19"/>
      <c r="GO362" s="19"/>
      <c r="GP362" s="19"/>
      <c r="GQ362" s="19"/>
      <c r="GR362" s="19"/>
      <c r="GS362" s="19"/>
      <c r="GT362" s="19"/>
      <c r="GU362" s="19"/>
      <c r="GV362" s="19"/>
      <c r="GW362" s="19"/>
      <c r="GX362" s="19"/>
      <c r="GY362" s="19"/>
      <c r="GZ362" s="19"/>
      <c r="HA362" s="19"/>
    </row>
    <row r="363" spans="1:209" ht="23.25" customHeight="1" x14ac:dyDescent="0.15">
      <c r="A363" s="26">
        <v>44660.425390486111</v>
      </c>
      <c r="B363" s="27" t="s">
        <v>6</v>
      </c>
      <c r="C363" s="27" t="s">
        <v>11</v>
      </c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  <c r="AX363" s="27" t="s">
        <v>1200</v>
      </c>
      <c r="AY363" s="27" t="s">
        <v>1201</v>
      </c>
      <c r="AZ363" s="27" t="s">
        <v>498</v>
      </c>
      <c r="BA363" s="27" t="s">
        <v>307</v>
      </c>
      <c r="BB363" s="27" t="s">
        <v>308</v>
      </c>
      <c r="BC363" s="29">
        <v>44481</v>
      </c>
      <c r="BD363" s="29">
        <v>44542</v>
      </c>
      <c r="BE363" s="29">
        <v>44542</v>
      </c>
      <c r="BF363" s="27">
        <v>90</v>
      </c>
      <c r="BG363" s="27" t="s">
        <v>1203</v>
      </c>
      <c r="BH363" s="30" t="s">
        <v>1298</v>
      </c>
      <c r="BI363" s="28"/>
      <c r="BJ363" s="28"/>
      <c r="BK363" s="28"/>
      <c r="BL363" s="28"/>
      <c r="BM363" s="28"/>
      <c r="BN363" s="28"/>
      <c r="BO363" s="28"/>
      <c r="BP363" s="28"/>
      <c r="BQ363" s="28"/>
      <c r="BR363" s="28"/>
      <c r="BS363" s="28"/>
      <c r="BT363" s="28"/>
      <c r="BU363" s="28"/>
      <c r="BV363" s="28"/>
      <c r="BW363" s="28"/>
      <c r="BX363" s="28"/>
      <c r="FL363" s="33" t="s">
        <v>1205</v>
      </c>
      <c r="FM363" s="33" t="s">
        <v>255</v>
      </c>
    </row>
    <row r="364" spans="1:209" ht="23.25" customHeight="1" x14ac:dyDescent="0.15">
      <c r="A364" s="26">
        <v>44660.433359317132</v>
      </c>
      <c r="B364" s="27" t="s">
        <v>6</v>
      </c>
      <c r="C364" s="27" t="s">
        <v>11</v>
      </c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  <c r="AX364" s="27" t="s">
        <v>372</v>
      </c>
      <c r="AY364" s="27" t="s">
        <v>373</v>
      </c>
      <c r="AZ364" s="27" t="s">
        <v>1299</v>
      </c>
      <c r="BA364" s="27" t="s">
        <v>307</v>
      </c>
      <c r="BB364" s="27" t="s">
        <v>300</v>
      </c>
      <c r="BC364" s="29">
        <v>44527</v>
      </c>
      <c r="BD364" s="29">
        <v>44583</v>
      </c>
      <c r="BE364" s="29">
        <v>44583</v>
      </c>
      <c r="BF364" s="27">
        <v>90</v>
      </c>
      <c r="BG364" s="27" t="s">
        <v>1300</v>
      </c>
      <c r="BH364" s="30" t="s">
        <v>1301</v>
      </c>
      <c r="BI364" s="28"/>
      <c r="BJ364" s="28"/>
      <c r="BK364" s="28"/>
      <c r="BL364" s="28"/>
      <c r="BM364" s="28"/>
      <c r="BN364" s="28"/>
      <c r="BO364" s="28"/>
      <c r="BP364" s="28"/>
      <c r="BQ364" s="28"/>
      <c r="BR364" s="28"/>
      <c r="BS364" s="28"/>
      <c r="BT364" s="28"/>
      <c r="BU364" s="28"/>
      <c r="BV364" s="28"/>
      <c r="BW364" s="28"/>
      <c r="BX364" s="28"/>
      <c r="FL364" s="33" t="s">
        <v>379</v>
      </c>
      <c r="FM364" s="33" t="s">
        <v>273</v>
      </c>
    </row>
    <row r="365" spans="1:209" ht="23.25" customHeight="1" x14ac:dyDescent="0.15">
      <c r="A365" s="26">
        <v>44660.442004212964</v>
      </c>
      <c r="B365" s="27" t="s">
        <v>6</v>
      </c>
      <c r="C365" s="27" t="s">
        <v>11</v>
      </c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  <c r="AX365" s="27" t="s">
        <v>1302</v>
      </c>
      <c r="AY365" s="27" t="s">
        <v>1303</v>
      </c>
      <c r="AZ365" s="27" t="s">
        <v>1304</v>
      </c>
      <c r="BA365" s="27" t="s">
        <v>1305</v>
      </c>
      <c r="BB365" s="27">
        <v>2</v>
      </c>
      <c r="BC365" s="29">
        <v>44245</v>
      </c>
      <c r="BD365" s="29">
        <v>44295</v>
      </c>
      <c r="BE365" s="29">
        <v>44316</v>
      </c>
      <c r="BF365" s="27">
        <v>100</v>
      </c>
      <c r="BG365" s="27" t="s">
        <v>337</v>
      </c>
      <c r="BH365" s="30" t="s">
        <v>1306</v>
      </c>
      <c r="BI365" s="28"/>
      <c r="BJ365" s="28"/>
      <c r="BK365" s="28"/>
      <c r="BL365" s="28"/>
      <c r="BM365" s="28"/>
      <c r="BN365" s="28"/>
      <c r="BO365" s="28"/>
      <c r="BP365" s="28"/>
      <c r="BQ365" s="28"/>
      <c r="BR365" s="28"/>
      <c r="BS365" s="28"/>
      <c r="BT365" s="28"/>
      <c r="BU365" s="28"/>
      <c r="BV365" s="28"/>
      <c r="BW365" s="28"/>
      <c r="BX365" s="28"/>
      <c r="FL365" s="33" t="s">
        <v>1307</v>
      </c>
      <c r="FM365" s="33" t="s">
        <v>255</v>
      </c>
    </row>
    <row r="366" spans="1:209" ht="23.25" customHeight="1" x14ac:dyDescent="0.15">
      <c r="A366" s="26">
        <v>44660.443105868057</v>
      </c>
      <c r="B366" s="27" t="s">
        <v>6</v>
      </c>
      <c r="C366" s="27" t="s">
        <v>11</v>
      </c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  <c r="AX366" s="27" t="s">
        <v>446</v>
      </c>
      <c r="AY366" s="27" t="s">
        <v>447</v>
      </c>
      <c r="AZ366" s="27" t="s">
        <v>684</v>
      </c>
      <c r="BA366" s="27" t="s">
        <v>617</v>
      </c>
      <c r="BB366" s="27" t="s">
        <v>1308</v>
      </c>
      <c r="BC366" s="29">
        <v>44370</v>
      </c>
      <c r="BD366" s="29">
        <v>44377</v>
      </c>
      <c r="BE366" s="29">
        <v>44377</v>
      </c>
      <c r="BF366" s="27">
        <v>100</v>
      </c>
      <c r="BG366" s="27" t="s">
        <v>337</v>
      </c>
      <c r="BH366" s="30" t="s">
        <v>1309</v>
      </c>
      <c r="BI366" s="28"/>
      <c r="BJ366" s="28"/>
      <c r="BK366" s="28"/>
      <c r="BL366" s="28"/>
      <c r="BM366" s="28"/>
      <c r="BN366" s="28"/>
      <c r="BO366" s="28"/>
      <c r="BP366" s="28"/>
      <c r="BQ366" s="28"/>
      <c r="BR366" s="28"/>
      <c r="BS366" s="28"/>
      <c r="BT366" s="28"/>
      <c r="BU366" s="28"/>
      <c r="BV366" s="28"/>
      <c r="BW366" s="28"/>
      <c r="BX366" s="28"/>
      <c r="FL366" s="33" t="s">
        <v>450</v>
      </c>
      <c r="FM366" s="33" t="s">
        <v>255</v>
      </c>
    </row>
    <row r="367" spans="1:209" ht="23.25" customHeight="1" x14ac:dyDescent="0.15">
      <c r="A367" s="26">
        <v>44660.445878275466</v>
      </c>
      <c r="B367" s="27" t="s">
        <v>6</v>
      </c>
      <c r="C367" s="27" t="s">
        <v>11</v>
      </c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  <c r="AX367" s="27" t="s">
        <v>1302</v>
      </c>
      <c r="AY367" s="27" t="s">
        <v>1303</v>
      </c>
      <c r="AZ367" s="27" t="s">
        <v>1190</v>
      </c>
      <c r="BA367" s="27" t="s">
        <v>375</v>
      </c>
      <c r="BB367" s="27" t="s">
        <v>346</v>
      </c>
      <c r="BC367" s="29">
        <v>44237</v>
      </c>
      <c r="BD367" s="29">
        <v>44295</v>
      </c>
      <c r="BE367" s="29">
        <v>44302</v>
      </c>
      <c r="BF367" s="27">
        <v>100</v>
      </c>
      <c r="BG367" s="27" t="s">
        <v>1198</v>
      </c>
      <c r="BH367" s="30" t="s">
        <v>1310</v>
      </c>
      <c r="BI367" s="28"/>
      <c r="BJ367" s="28"/>
      <c r="BK367" s="28"/>
      <c r="BL367" s="28"/>
      <c r="BM367" s="28"/>
      <c r="BN367" s="28"/>
      <c r="BO367" s="28"/>
      <c r="BP367" s="28"/>
      <c r="BQ367" s="28"/>
      <c r="BR367" s="28"/>
      <c r="BS367" s="28"/>
      <c r="BT367" s="28"/>
      <c r="BU367" s="28"/>
      <c r="BV367" s="28"/>
      <c r="BW367" s="28"/>
      <c r="BX367" s="28"/>
      <c r="FL367" s="33" t="s">
        <v>1307</v>
      </c>
      <c r="FM367" s="33" t="s">
        <v>255</v>
      </c>
    </row>
    <row r="368" spans="1:209" ht="23.25" customHeight="1" x14ac:dyDescent="0.15">
      <c r="A368" s="26">
        <v>44660.446834780094</v>
      </c>
      <c r="B368" s="27" t="s">
        <v>6</v>
      </c>
      <c r="C368" s="27" t="s">
        <v>11</v>
      </c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  <c r="AX368" s="27" t="s">
        <v>446</v>
      </c>
      <c r="AY368" s="27" t="s">
        <v>447</v>
      </c>
      <c r="AZ368" s="27" t="s">
        <v>349</v>
      </c>
      <c r="BA368" s="27" t="s">
        <v>617</v>
      </c>
      <c r="BB368" s="27" t="s">
        <v>1308</v>
      </c>
      <c r="BC368" s="29">
        <v>43669</v>
      </c>
      <c r="BD368" s="29">
        <v>43676</v>
      </c>
      <c r="BE368" s="29">
        <v>43676</v>
      </c>
      <c r="BF368" s="27">
        <v>100</v>
      </c>
      <c r="BG368" s="27" t="s">
        <v>337</v>
      </c>
      <c r="BH368" s="30" t="s">
        <v>1311</v>
      </c>
      <c r="BI368" s="28"/>
      <c r="BJ368" s="28"/>
      <c r="BK368" s="28"/>
      <c r="BL368" s="28"/>
      <c r="BM368" s="28"/>
      <c r="BN368" s="28"/>
      <c r="BO368" s="28"/>
      <c r="BP368" s="28"/>
      <c r="BQ368" s="28"/>
      <c r="BR368" s="28"/>
      <c r="BS368" s="28"/>
      <c r="BT368" s="28"/>
      <c r="BU368" s="28"/>
      <c r="BV368" s="28"/>
      <c r="BW368" s="28"/>
      <c r="BX368" s="28"/>
      <c r="FL368" s="33" t="s">
        <v>450</v>
      </c>
      <c r="FM368" s="33" t="s">
        <v>255</v>
      </c>
    </row>
    <row r="369" spans="1:169" ht="23.25" customHeight="1" x14ac:dyDescent="0.15">
      <c r="A369" s="26">
        <v>44660.4471791088</v>
      </c>
      <c r="B369" s="27" t="s">
        <v>6</v>
      </c>
      <c r="C369" s="27" t="s">
        <v>11</v>
      </c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  <c r="AX369" s="27" t="s">
        <v>1312</v>
      </c>
      <c r="AY369" s="27" t="s">
        <v>1313</v>
      </c>
      <c r="AZ369" s="27" t="s">
        <v>1314</v>
      </c>
      <c r="BA369" s="27" t="s">
        <v>1315</v>
      </c>
      <c r="BB369" s="27" t="s">
        <v>1255</v>
      </c>
      <c r="BC369" s="29">
        <v>44627</v>
      </c>
      <c r="BD369" s="29">
        <v>44660</v>
      </c>
      <c r="BE369" s="29">
        <v>44659</v>
      </c>
      <c r="BF369" s="27">
        <v>100</v>
      </c>
      <c r="BG369" s="27" t="s">
        <v>1316</v>
      </c>
      <c r="BH369" s="30" t="s">
        <v>1317</v>
      </c>
      <c r="BI369" s="28"/>
      <c r="BJ369" s="28"/>
      <c r="BK369" s="28"/>
      <c r="BL369" s="28"/>
      <c r="BM369" s="28"/>
      <c r="BN369" s="28"/>
      <c r="BO369" s="28"/>
      <c r="BP369" s="28"/>
      <c r="BQ369" s="28"/>
      <c r="BR369" s="28"/>
      <c r="BS369" s="28"/>
      <c r="BT369" s="28"/>
      <c r="BU369" s="28"/>
      <c r="BV369" s="28"/>
      <c r="BW369" s="28"/>
      <c r="BX369" s="28"/>
      <c r="FL369" s="33" t="s">
        <v>1318</v>
      </c>
      <c r="FM369" s="33" t="s">
        <v>255</v>
      </c>
    </row>
    <row r="370" spans="1:169" ht="23.25" customHeight="1" x14ac:dyDescent="0.15">
      <c r="A370" s="26">
        <v>44660.447653020834</v>
      </c>
      <c r="B370" s="27" t="s">
        <v>6</v>
      </c>
      <c r="C370" s="17" t="s">
        <v>13</v>
      </c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  <c r="AX370" s="28"/>
      <c r="AY370" s="28"/>
      <c r="AZ370" s="28"/>
      <c r="BA370" s="28"/>
      <c r="BB370" s="28"/>
      <c r="BC370" s="28"/>
      <c r="BD370" s="28"/>
      <c r="BE370" s="28"/>
      <c r="BF370" s="28"/>
      <c r="BG370" s="28"/>
      <c r="BH370" s="28"/>
      <c r="BI370" s="28"/>
      <c r="BJ370" s="28"/>
      <c r="BK370" s="28"/>
      <c r="BL370" s="28"/>
      <c r="BM370" s="28"/>
      <c r="BN370" s="28"/>
      <c r="BO370" s="28"/>
      <c r="BP370" s="28"/>
      <c r="BQ370" s="28"/>
      <c r="BR370" s="28"/>
      <c r="BS370" s="28"/>
      <c r="BT370" s="28"/>
      <c r="BU370" s="28"/>
      <c r="BV370" s="28"/>
      <c r="BW370" s="27" t="s">
        <v>1319</v>
      </c>
      <c r="BX370" s="27" t="s">
        <v>1320</v>
      </c>
      <c r="BZ370" s="33" t="s">
        <v>311</v>
      </c>
      <c r="CA370" s="33" t="s">
        <v>1321</v>
      </c>
      <c r="CB370" s="33" t="s">
        <v>454</v>
      </c>
      <c r="CC370" s="33" t="s">
        <v>1322</v>
      </c>
      <c r="CD370" s="34">
        <v>43687</v>
      </c>
      <c r="CE370" s="34">
        <v>43748</v>
      </c>
      <c r="CF370" s="33">
        <v>78</v>
      </c>
      <c r="CG370" s="35" t="s">
        <v>1323</v>
      </c>
      <c r="FL370" s="33" t="s">
        <v>1324</v>
      </c>
      <c r="FM370" s="33" t="s">
        <v>255</v>
      </c>
    </row>
    <row r="371" spans="1:169" ht="23.25" customHeight="1" x14ac:dyDescent="0.15">
      <c r="A371" s="26">
        <v>44660.448444363428</v>
      </c>
      <c r="B371" s="27" t="s">
        <v>6</v>
      </c>
      <c r="C371" s="27" t="s">
        <v>11</v>
      </c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  <c r="AX371" s="27" t="s">
        <v>446</v>
      </c>
      <c r="AY371" s="27" t="s">
        <v>447</v>
      </c>
      <c r="AZ371" s="27" t="s">
        <v>354</v>
      </c>
      <c r="BA371" s="27" t="s">
        <v>617</v>
      </c>
      <c r="BB371" s="27" t="s">
        <v>1308</v>
      </c>
      <c r="BC371" s="29">
        <v>44310</v>
      </c>
      <c r="BD371" s="29">
        <v>44316</v>
      </c>
      <c r="BE371" s="29">
        <v>44316</v>
      </c>
      <c r="BF371" s="27">
        <v>100</v>
      </c>
      <c r="BG371" s="27" t="s">
        <v>337</v>
      </c>
      <c r="BH371" s="30" t="s">
        <v>1325</v>
      </c>
      <c r="BI371" s="28"/>
      <c r="BJ371" s="28"/>
      <c r="BK371" s="28"/>
      <c r="BL371" s="28"/>
      <c r="BM371" s="28"/>
      <c r="BN371" s="28"/>
      <c r="BO371" s="28"/>
      <c r="BP371" s="28"/>
      <c r="BQ371" s="28"/>
      <c r="BR371" s="28"/>
      <c r="BS371" s="28"/>
      <c r="BT371" s="28"/>
      <c r="BU371" s="28"/>
      <c r="BV371" s="28"/>
      <c r="BW371" s="28"/>
      <c r="BX371" s="28"/>
      <c r="FL371" s="33" t="s">
        <v>450</v>
      </c>
      <c r="FM371" s="33" t="s">
        <v>255</v>
      </c>
    </row>
    <row r="372" spans="1:169" ht="23.25" customHeight="1" x14ac:dyDescent="0.15">
      <c r="A372" s="26">
        <v>44660.450190787036</v>
      </c>
      <c r="B372" s="27" t="s">
        <v>6</v>
      </c>
      <c r="C372" s="17" t="s">
        <v>13</v>
      </c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  <c r="AX372" s="28"/>
      <c r="AY372" s="28"/>
      <c r="AZ372" s="28"/>
      <c r="BA372" s="28"/>
      <c r="BB372" s="28"/>
      <c r="BC372" s="28"/>
      <c r="BD372" s="28"/>
      <c r="BE372" s="28"/>
      <c r="BF372" s="28"/>
      <c r="BG372" s="28"/>
      <c r="BH372" s="28"/>
      <c r="BI372" s="28"/>
      <c r="BJ372" s="28"/>
      <c r="BK372" s="28"/>
      <c r="BL372" s="28"/>
      <c r="BM372" s="28"/>
      <c r="BN372" s="28"/>
      <c r="BO372" s="28"/>
      <c r="BP372" s="28"/>
      <c r="BQ372" s="28"/>
      <c r="BR372" s="28"/>
      <c r="BS372" s="28"/>
      <c r="BT372" s="28"/>
      <c r="BU372" s="28"/>
      <c r="BV372" s="28"/>
      <c r="BW372" s="27" t="s">
        <v>1319</v>
      </c>
      <c r="BX372" s="27" t="s">
        <v>1320</v>
      </c>
      <c r="BZ372" s="33" t="s">
        <v>311</v>
      </c>
      <c r="CA372" s="33" t="s">
        <v>1326</v>
      </c>
      <c r="CB372" s="33" t="s">
        <v>454</v>
      </c>
      <c r="CC372" s="33" t="s">
        <v>550</v>
      </c>
      <c r="CD372" s="34">
        <v>43849</v>
      </c>
      <c r="CE372" s="34">
        <v>43909</v>
      </c>
      <c r="CF372" s="33">
        <v>90</v>
      </c>
      <c r="CG372" s="35" t="s">
        <v>1327</v>
      </c>
      <c r="FL372" s="33" t="s">
        <v>1324</v>
      </c>
      <c r="FM372" s="33" t="s">
        <v>255</v>
      </c>
    </row>
    <row r="373" spans="1:169" ht="23.25" customHeight="1" x14ac:dyDescent="0.15">
      <c r="A373" s="26">
        <v>44660.451379560182</v>
      </c>
      <c r="B373" s="27" t="s">
        <v>6</v>
      </c>
      <c r="C373" s="27" t="s">
        <v>11</v>
      </c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  <c r="AX373" s="27" t="s">
        <v>1328</v>
      </c>
      <c r="AY373" s="27" t="s">
        <v>1329</v>
      </c>
      <c r="AZ373" s="27" t="s">
        <v>1330</v>
      </c>
      <c r="BA373" s="27" t="s">
        <v>1331</v>
      </c>
      <c r="BB373" s="27" t="s">
        <v>1332</v>
      </c>
      <c r="BC373" s="29">
        <v>43497</v>
      </c>
      <c r="BD373" s="29">
        <v>44680</v>
      </c>
      <c r="BE373" s="29">
        <v>44679</v>
      </c>
      <c r="BF373" s="27">
        <v>100</v>
      </c>
      <c r="BG373" s="27" t="s">
        <v>1333</v>
      </c>
      <c r="BH373" s="30" t="s">
        <v>1334</v>
      </c>
      <c r="BI373" s="28"/>
      <c r="BJ373" s="28"/>
      <c r="BK373" s="28"/>
      <c r="BL373" s="28"/>
      <c r="BM373" s="28"/>
      <c r="BN373" s="28"/>
      <c r="BO373" s="28"/>
      <c r="BP373" s="28"/>
      <c r="BQ373" s="28"/>
      <c r="BR373" s="28"/>
      <c r="BS373" s="28"/>
      <c r="BT373" s="28"/>
      <c r="BU373" s="28"/>
      <c r="BV373" s="28"/>
      <c r="BW373" s="28"/>
      <c r="BX373" s="28"/>
      <c r="FL373" s="33" t="s">
        <v>1335</v>
      </c>
      <c r="FM373" s="33" t="s">
        <v>255</v>
      </c>
    </row>
    <row r="374" spans="1:169" ht="23.25" customHeight="1" x14ac:dyDescent="0.15">
      <c r="A374" s="26">
        <v>44660.451539571761</v>
      </c>
      <c r="B374" s="27" t="s">
        <v>6</v>
      </c>
      <c r="C374" s="27" t="s">
        <v>11</v>
      </c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  <c r="AX374" s="27" t="s">
        <v>446</v>
      </c>
      <c r="AY374" s="27" t="s">
        <v>447</v>
      </c>
      <c r="AZ374" s="27" t="s">
        <v>500</v>
      </c>
      <c r="BA374" s="27" t="s">
        <v>617</v>
      </c>
      <c r="BB374" s="27" t="s">
        <v>1308</v>
      </c>
      <c r="BC374" s="29">
        <v>44310</v>
      </c>
      <c r="BD374" s="29">
        <v>44317</v>
      </c>
      <c r="BE374" s="29">
        <v>44317</v>
      </c>
      <c r="BF374" s="27">
        <v>99</v>
      </c>
      <c r="BG374" s="27" t="s">
        <v>337</v>
      </c>
      <c r="BH374" s="30" t="s">
        <v>1336</v>
      </c>
      <c r="BI374" s="28"/>
      <c r="BJ374" s="28"/>
      <c r="BK374" s="28"/>
      <c r="BL374" s="28"/>
      <c r="BM374" s="28"/>
      <c r="BN374" s="28"/>
      <c r="BO374" s="28"/>
      <c r="BP374" s="28"/>
      <c r="BQ374" s="28"/>
      <c r="BR374" s="28"/>
      <c r="BS374" s="28"/>
      <c r="BT374" s="28"/>
      <c r="BU374" s="28"/>
      <c r="BV374" s="28"/>
      <c r="BW374" s="28"/>
      <c r="BX374" s="28"/>
      <c r="FL374" s="33" t="s">
        <v>450</v>
      </c>
      <c r="FM374" s="33" t="s">
        <v>255</v>
      </c>
    </row>
    <row r="375" spans="1:169" ht="23.25" customHeight="1" x14ac:dyDescent="0.15">
      <c r="A375" s="26">
        <v>44660.451709687499</v>
      </c>
      <c r="B375" s="27" t="s">
        <v>6</v>
      </c>
      <c r="C375" s="27" t="s">
        <v>11</v>
      </c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  <c r="AX375" s="27" t="s">
        <v>1337</v>
      </c>
      <c r="AY375" s="27" t="s">
        <v>1338</v>
      </c>
      <c r="AZ375" s="27" t="s">
        <v>1339</v>
      </c>
      <c r="BA375" s="27" t="s">
        <v>343</v>
      </c>
      <c r="BB375" s="27" t="s">
        <v>624</v>
      </c>
      <c r="BC375" s="29">
        <v>43939</v>
      </c>
      <c r="BD375" s="29">
        <v>43969</v>
      </c>
      <c r="BE375" s="29">
        <v>43969</v>
      </c>
      <c r="BF375" s="27">
        <v>100</v>
      </c>
      <c r="BG375" s="27" t="s">
        <v>1340</v>
      </c>
      <c r="BH375" s="30" t="s">
        <v>1341</v>
      </c>
      <c r="BI375" s="28"/>
      <c r="BJ375" s="28"/>
      <c r="BK375" s="28"/>
      <c r="BL375" s="28"/>
      <c r="BM375" s="28"/>
      <c r="BN375" s="28"/>
      <c r="BO375" s="28"/>
      <c r="BP375" s="28"/>
      <c r="BQ375" s="28"/>
      <c r="BR375" s="28"/>
      <c r="BS375" s="28"/>
      <c r="BT375" s="28"/>
      <c r="BU375" s="28"/>
      <c r="BV375" s="28"/>
      <c r="BW375" s="28"/>
      <c r="BX375" s="28"/>
      <c r="FL375" s="33" t="s">
        <v>1342</v>
      </c>
      <c r="FM375" s="33" t="s">
        <v>255</v>
      </c>
    </row>
    <row r="376" spans="1:169" ht="23.25" customHeight="1" x14ac:dyDescent="0.15">
      <c r="A376" s="26">
        <v>44660.453005625001</v>
      </c>
      <c r="B376" s="27" t="s">
        <v>6</v>
      </c>
      <c r="C376" s="17" t="s">
        <v>13</v>
      </c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  <c r="AX376" s="28"/>
      <c r="AY376" s="28"/>
      <c r="AZ376" s="28"/>
      <c r="BA376" s="28"/>
      <c r="BB376" s="28"/>
      <c r="BC376" s="28"/>
      <c r="BD376" s="28"/>
      <c r="BE376" s="28"/>
      <c r="BF376" s="28"/>
      <c r="BG376" s="28"/>
      <c r="BH376" s="28"/>
      <c r="BI376" s="28"/>
      <c r="BJ376" s="28"/>
      <c r="BK376" s="28"/>
      <c r="BL376" s="28"/>
      <c r="BM376" s="28"/>
      <c r="BN376" s="28"/>
      <c r="BO376" s="28"/>
      <c r="BP376" s="28"/>
      <c r="BQ376" s="28"/>
      <c r="BR376" s="28"/>
      <c r="BS376" s="28"/>
      <c r="BT376" s="28"/>
      <c r="BU376" s="28"/>
      <c r="BV376" s="28"/>
      <c r="BW376" s="27" t="s">
        <v>1319</v>
      </c>
      <c r="BX376" s="27" t="s">
        <v>1320</v>
      </c>
      <c r="BZ376" s="33" t="s">
        <v>311</v>
      </c>
      <c r="CA376" s="33" t="s">
        <v>1343</v>
      </c>
      <c r="CB376" s="33" t="s">
        <v>454</v>
      </c>
      <c r="CC376" s="33" t="s">
        <v>1344</v>
      </c>
      <c r="CD376" s="34">
        <v>43848</v>
      </c>
      <c r="CE376" s="34">
        <v>43939</v>
      </c>
      <c r="CF376" s="33">
        <v>100</v>
      </c>
      <c r="CG376" s="35" t="s">
        <v>1345</v>
      </c>
      <c r="FL376" s="33" t="s">
        <v>1324</v>
      </c>
      <c r="FM376" s="33" t="s">
        <v>255</v>
      </c>
    </row>
    <row r="377" spans="1:169" ht="23.25" customHeight="1" x14ac:dyDescent="0.15">
      <c r="A377" s="26">
        <v>44660.453217499999</v>
      </c>
      <c r="B377" s="27" t="s">
        <v>6</v>
      </c>
      <c r="C377" s="27" t="s">
        <v>11</v>
      </c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  <c r="AX377" s="27" t="s">
        <v>1346</v>
      </c>
      <c r="AY377" s="27" t="s">
        <v>1347</v>
      </c>
      <c r="AZ377" s="27" t="s">
        <v>1348</v>
      </c>
      <c r="BA377" s="27" t="s">
        <v>343</v>
      </c>
      <c r="BB377" s="27" t="s">
        <v>1349</v>
      </c>
      <c r="BC377" s="29">
        <v>43925</v>
      </c>
      <c r="BD377" s="29">
        <v>43945</v>
      </c>
      <c r="BE377" s="29">
        <v>43945</v>
      </c>
      <c r="BF377" s="27">
        <v>100</v>
      </c>
      <c r="BG377" s="27" t="s">
        <v>1350</v>
      </c>
      <c r="BH377" s="30" t="s">
        <v>1351</v>
      </c>
      <c r="BI377" s="28"/>
      <c r="BJ377" s="28"/>
      <c r="BK377" s="28"/>
      <c r="BL377" s="28"/>
      <c r="BM377" s="28"/>
      <c r="BN377" s="28"/>
      <c r="BO377" s="28"/>
      <c r="BP377" s="28"/>
      <c r="BQ377" s="28"/>
      <c r="BR377" s="28"/>
      <c r="BS377" s="28"/>
      <c r="BT377" s="28"/>
      <c r="BU377" s="28"/>
      <c r="BV377" s="28"/>
      <c r="BW377" s="28"/>
      <c r="BX377" s="28"/>
      <c r="FL377" s="33" t="s">
        <v>1352</v>
      </c>
      <c r="FM377" s="33" t="s">
        <v>321</v>
      </c>
    </row>
    <row r="378" spans="1:169" ht="23.25" customHeight="1" x14ac:dyDescent="0.15">
      <c r="A378" s="26">
        <v>44660.455119548613</v>
      </c>
      <c r="B378" s="27" t="s">
        <v>6</v>
      </c>
      <c r="C378" s="17" t="s">
        <v>13</v>
      </c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  <c r="AX378" s="28"/>
      <c r="AY378" s="28"/>
      <c r="AZ378" s="28"/>
      <c r="BA378" s="28"/>
      <c r="BB378" s="28"/>
      <c r="BC378" s="28"/>
      <c r="BD378" s="28"/>
      <c r="BE378" s="28"/>
      <c r="BF378" s="28"/>
      <c r="BG378" s="28"/>
      <c r="BH378" s="28"/>
      <c r="BI378" s="28"/>
      <c r="BJ378" s="28"/>
      <c r="BK378" s="28"/>
      <c r="BL378" s="28"/>
      <c r="BM378" s="28"/>
      <c r="BN378" s="28"/>
      <c r="BO378" s="28"/>
      <c r="BP378" s="28"/>
      <c r="BQ378" s="28"/>
      <c r="BR378" s="28"/>
      <c r="BS378" s="28"/>
      <c r="BT378" s="28"/>
      <c r="BU378" s="28"/>
      <c r="BV378" s="28"/>
      <c r="BW378" s="27" t="s">
        <v>1319</v>
      </c>
      <c r="BX378" s="27" t="s">
        <v>1320</v>
      </c>
      <c r="BZ378" s="33" t="s">
        <v>311</v>
      </c>
      <c r="CA378" s="33" t="s">
        <v>1353</v>
      </c>
      <c r="CB378" s="33" t="s">
        <v>454</v>
      </c>
      <c r="CC378" s="33" t="s">
        <v>1344</v>
      </c>
      <c r="CD378" s="34">
        <v>43653</v>
      </c>
      <c r="CE378" s="34">
        <v>43743</v>
      </c>
      <c r="CF378" s="33">
        <v>80</v>
      </c>
      <c r="CG378" s="35" t="s">
        <v>1354</v>
      </c>
      <c r="FL378" s="33" t="s">
        <v>1324</v>
      </c>
      <c r="FM378" s="33" t="s">
        <v>255</v>
      </c>
    </row>
    <row r="379" spans="1:169" ht="23.25" customHeight="1" x14ac:dyDescent="0.15">
      <c r="A379" s="26">
        <v>44660.457754016199</v>
      </c>
      <c r="B379" s="27" t="s">
        <v>6</v>
      </c>
      <c r="C379" s="27" t="s">
        <v>11</v>
      </c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  <c r="AX379" s="27" t="s">
        <v>1319</v>
      </c>
      <c r="AY379" s="27" t="s">
        <v>1320</v>
      </c>
      <c r="AZ379" s="27" t="s">
        <v>1355</v>
      </c>
      <c r="BA379" s="27" t="s">
        <v>335</v>
      </c>
      <c r="BB379" s="27" t="s">
        <v>507</v>
      </c>
      <c r="BC379" s="29">
        <v>43612</v>
      </c>
      <c r="BD379" s="29">
        <v>43677</v>
      </c>
      <c r="BE379" s="29">
        <v>43534</v>
      </c>
      <c r="BF379" s="27">
        <v>100</v>
      </c>
      <c r="BG379" s="27" t="s">
        <v>1356</v>
      </c>
      <c r="BH379" s="30" t="s">
        <v>1357</v>
      </c>
      <c r="BI379" s="28"/>
      <c r="BJ379" s="28"/>
      <c r="BK379" s="28"/>
      <c r="BL379" s="28"/>
      <c r="BM379" s="28"/>
      <c r="BN379" s="28"/>
      <c r="BO379" s="28"/>
      <c r="BP379" s="28"/>
      <c r="BQ379" s="28"/>
      <c r="BR379" s="28"/>
      <c r="BS379" s="28"/>
      <c r="BT379" s="28"/>
      <c r="BU379" s="28"/>
      <c r="BV379" s="28"/>
      <c r="BW379" s="28"/>
      <c r="BX379" s="28"/>
      <c r="FL379" s="33" t="s">
        <v>1324</v>
      </c>
      <c r="FM379" s="33" t="s">
        <v>255</v>
      </c>
    </row>
    <row r="380" spans="1:169" ht="23.25" customHeight="1" x14ac:dyDescent="0.15">
      <c r="A380" s="26">
        <v>44660.459613819447</v>
      </c>
      <c r="B380" s="27" t="s">
        <v>6</v>
      </c>
      <c r="C380" s="27" t="s">
        <v>17</v>
      </c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  <c r="AX380" s="28"/>
      <c r="AY380" s="28"/>
      <c r="AZ380" s="28"/>
      <c r="BA380" s="28"/>
      <c r="BB380" s="28"/>
      <c r="BC380" s="28"/>
      <c r="BD380" s="28"/>
      <c r="BE380" s="28"/>
      <c r="BF380" s="28"/>
      <c r="BG380" s="28"/>
      <c r="BH380" s="28"/>
      <c r="BI380" s="28"/>
      <c r="BJ380" s="28"/>
      <c r="BK380" s="28"/>
      <c r="BL380" s="28"/>
      <c r="BM380" s="28"/>
      <c r="BN380" s="28"/>
      <c r="BO380" s="28"/>
      <c r="BP380" s="28"/>
      <c r="BQ380" s="28"/>
      <c r="BR380" s="28"/>
      <c r="BS380" s="28"/>
      <c r="BT380" s="28"/>
      <c r="BU380" s="28"/>
      <c r="BV380" s="28"/>
      <c r="BW380" s="28"/>
      <c r="BX380" s="28"/>
      <c r="DX380" s="33" t="s">
        <v>1358</v>
      </c>
      <c r="DY380" s="33" t="s">
        <v>1359</v>
      </c>
      <c r="DZ380" s="33" t="s">
        <v>154</v>
      </c>
      <c r="EA380" s="33" t="s">
        <v>1360</v>
      </c>
      <c r="EB380" s="34">
        <v>43884</v>
      </c>
      <c r="EC380" s="33" t="s">
        <v>1361</v>
      </c>
      <c r="ED380" s="35" t="s">
        <v>1362</v>
      </c>
      <c r="FL380" s="33" t="s">
        <v>1363</v>
      </c>
      <c r="FM380" s="33" t="s">
        <v>255</v>
      </c>
    </row>
    <row r="381" spans="1:169" ht="23.25" customHeight="1" x14ac:dyDescent="0.15">
      <c r="A381" s="26">
        <v>44660.459729340277</v>
      </c>
      <c r="B381" s="27" t="s">
        <v>6</v>
      </c>
      <c r="C381" s="27" t="s">
        <v>11</v>
      </c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  <c r="AX381" s="27" t="s">
        <v>1319</v>
      </c>
      <c r="AY381" s="27" t="s">
        <v>1320</v>
      </c>
      <c r="AZ381" s="27" t="s">
        <v>1364</v>
      </c>
      <c r="BA381" s="27" t="s">
        <v>335</v>
      </c>
      <c r="BB381" s="27" t="s">
        <v>507</v>
      </c>
      <c r="BC381" s="29" t="s">
        <v>1365</v>
      </c>
      <c r="BD381" s="29">
        <v>44378</v>
      </c>
      <c r="BE381" s="29">
        <v>44378</v>
      </c>
      <c r="BF381" s="27">
        <v>100</v>
      </c>
      <c r="BG381" s="27" t="s">
        <v>1366</v>
      </c>
      <c r="BH381" s="30" t="s">
        <v>1367</v>
      </c>
      <c r="BI381" s="28"/>
      <c r="BJ381" s="28"/>
      <c r="BK381" s="28"/>
      <c r="BL381" s="28"/>
      <c r="BM381" s="28"/>
      <c r="BN381" s="28"/>
      <c r="BO381" s="28"/>
      <c r="BP381" s="28"/>
      <c r="BQ381" s="28"/>
      <c r="BR381" s="28"/>
      <c r="BS381" s="28"/>
      <c r="BT381" s="28"/>
      <c r="BU381" s="28"/>
      <c r="BV381" s="28"/>
      <c r="BW381" s="28"/>
      <c r="BX381" s="28"/>
      <c r="FL381" s="33" t="s">
        <v>1324</v>
      </c>
      <c r="FM381" s="33" t="s">
        <v>255</v>
      </c>
    </row>
    <row r="382" spans="1:169" ht="23.25" customHeight="1" x14ac:dyDescent="0.15">
      <c r="A382" s="26">
        <v>44660.461600543982</v>
      </c>
      <c r="B382" s="27" t="s">
        <v>6</v>
      </c>
      <c r="C382" s="27" t="s">
        <v>17</v>
      </c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  <c r="AX382" s="28"/>
      <c r="AY382" s="28"/>
      <c r="AZ382" s="28"/>
      <c r="BA382" s="28"/>
      <c r="BB382" s="28"/>
      <c r="BC382" s="28"/>
      <c r="BD382" s="28"/>
      <c r="BE382" s="28"/>
      <c r="BF382" s="28"/>
      <c r="BG382" s="28"/>
      <c r="BH382" s="28"/>
      <c r="BI382" s="28"/>
      <c r="BJ382" s="28"/>
      <c r="BK382" s="28"/>
      <c r="BL382" s="28"/>
      <c r="BM382" s="28"/>
      <c r="BN382" s="28"/>
      <c r="BO382" s="28"/>
      <c r="BP382" s="28"/>
      <c r="BQ382" s="28"/>
      <c r="BR382" s="28"/>
      <c r="BS382" s="28"/>
      <c r="BT382" s="28"/>
      <c r="BU382" s="28"/>
      <c r="BV382" s="28"/>
      <c r="BW382" s="28"/>
      <c r="BX382" s="28"/>
      <c r="DX382" s="33" t="s">
        <v>1358</v>
      </c>
      <c r="DY382" s="33" t="s">
        <v>1359</v>
      </c>
      <c r="DZ382" s="33" t="s">
        <v>154</v>
      </c>
      <c r="EA382" s="33" t="s">
        <v>1360</v>
      </c>
      <c r="EB382" s="34">
        <v>43885</v>
      </c>
      <c r="EC382" s="33" t="s">
        <v>1125</v>
      </c>
      <c r="ED382" s="35" t="s">
        <v>1368</v>
      </c>
      <c r="FL382" s="33" t="s">
        <v>1363</v>
      </c>
      <c r="FM382" s="33" t="s">
        <v>255</v>
      </c>
    </row>
    <row r="383" spans="1:169" ht="23.25" customHeight="1" x14ac:dyDescent="0.15">
      <c r="A383" s="26">
        <v>44660.461831493056</v>
      </c>
      <c r="B383" s="27" t="s">
        <v>6</v>
      </c>
      <c r="C383" s="27" t="s">
        <v>11</v>
      </c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  <c r="AX383" s="27" t="s">
        <v>1319</v>
      </c>
      <c r="AY383" s="27" t="s">
        <v>1320</v>
      </c>
      <c r="AZ383" s="27" t="s">
        <v>1369</v>
      </c>
      <c r="BA383" s="27" t="s">
        <v>335</v>
      </c>
      <c r="BB383" s="27" t="s">
        <v>507</v>
      </c>
      <c r="BC383" s="29">
        <v>43557</v>
      </c>
      <c r="BD383" s="29">
        <v>43618</v>
      </c>
      <c r="BE383" s="29">
        <v>43618</v>
      </c>
      <c r="BF383" s="27">
        <v>100</v>
      </c>
      <c r="BG383" s="27" t="s">
        <v>1172</v>
      </c>
      <c r="BH383" s="30" t="s">
        <v>1370</v>
      </c>
      <c r="BI383" s="28"/>
      <c r="BJ383" s="28"/>
      <c r="BK383" s="28"/>
      <c r="BL383" s="28"/>
      <c r="BM383" s="28"/>
      <c r="BN383" s="28"/>
      <c r="BO383" s="28"/>
      <c r="BP383" s="28"/>
      <c r="BQ383" s="28"/>
      <c r="BR383" s="28"/>
      <c r="BS383" s="28"/>
      <c r="BT383" s="28"/>
      <c r="BU383" s="28"/>
      <c r="BV383" s="28"/>
      <c r="BW383" s="28"/>
      <c r="BX383" s="28"/>
      <c r="FL383" s="33" t="s">
        <v>1324</v>
      </c>
      <c r="FM383" s="33" t="s">
        <v>255</v>
      </c>
    </row>
    <row r="384" spans="1:169" ht="23.25" customHeight="1" x14ac:dyDescent="0.15">
      <c r="A384" s="26">
        <v>44660.463231712958</v>
      </c>
      <c r="B384" s="27" t="s">
        <v>6</v>
      </c>
      <c r="C384" s="27" t="s">
        <v>11</v>
      </c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  <c r="AX384" s="27" t="s">
        <v>1337</v>
      </c>
      <c r="AY384" s="27" t="s">
        <v>1338</v>
      </c>
      <c r="AZ384" s="27" t="s">
        <v>1371</v>
      </c>
      <c r="BA384" s="27" t="s">
        <v>343</v>
      </c>
      <c r="BB384" s="27" t="s">
        <v>493</v>
      </c>
      <c r="BC384" s="29">
        <v>43923</v>
      </c>
      <c r="BD384" s="29">
        <v>43953</v>
      </c>
      <c r="BE384" s="29">
        <v>43953</v>
      </c>
      <c r="BF384" s="27">
        <v>100</v>
      </c>
      <c r="BG384" s="27" t="s">
        <v>1372</v>
      </c>
      <c r="BH384" s="30" t="s">
        <v>1373</v>
      </c>
      <c r="BI384" s="28"/>
      <c r="BJ384" s="28"/>
      <c r="BK384" s="28"/>
      <c r="BL384" s="28"/>
      <c r="BM384" s="28"/>
      <c r="BN384" s="28"/>
      <c r="BO384" s="28"/>
      <c r="BP384" s="28"/>
      <c r="BQ384" s="28"/>
      <c r="BR384" s="28"/>
      <c r="BS384" s="28"/>
      <c r="BT384" s="28"/>
      <c r="BU384" s="28"/>
      <c r="BV384" s="28"/>
      <c r="BW384" s="28"/>
      <c r="BX384" s="28"/>
      <c r="FL384" s="33" t="s">
        <v>1342</v>
      </c>
      <c r="FM384" s="33" t="s">
        <v>255</v>
      </c>
    </row>
    <row r="385" spans="1:169" ht="23.25" customHeight="1" x14ac:dyDescent="0.15">
      <c r="A385" s="26">
        <v>44660.463851956018</v>
      </c>
      <c r="B385" s="27" t="s">
        <v>6</v>
      </c>
      <c r="C385" s="27" t="s">
        <v>11</v>
      </c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  <c r="AX385" s="27" t="s">
        <v>1319</v>
      </c>
      <c r="AY385" s="27" t="s">
        <v>1320</v>
      </c>
      <c r="AZ385" s="27" t="s">
        <v>1374</v>
      </c>
      <c r="BA385" s="27" t="s">
        <v>1375</v>
      </c>
      <c r="BB385" s="27" t="s">
        <v>1376</v>
      </c>
      <c r="BC385" s="29">
        <v>43899</v>
      </c>
      <c r="BD385" s="29">
        <v>43940</v>
      </c>
      <c r="BE385" s="29">
        <v>43940</v>
      </c>
      <c r="BF385" s="27">
        <v>100</v>
      </c>
      <c r="BG385" s="27" t="s">
        <v>1377</v>
      </c>
      <c r="BH385" s="30" t="s">
        <v>1378</v>
      </c>
      <c r="BI385" s="28"/>
      <c r="BJ385" s="28"/>
      <c r="BK385" s="28"/>
      <c r="BL385" s="28"/>
      <c r="BM385" s="28"/>
      <c r="BN385" s="28"/>
      <c r="BO385" s="28"/>
      <c r="BP385" s="28"/>
      <c r="BQ385" s="28"/>
      <c r="BR385" s="28"/>
      <c r="BS385" s="28"/>
      <c r="BT385" s="28"/>
      <c r="BU385" s="28"/>
      <c r="BV385" s="28"/>
      <c r="BW385" s="28"/>
      <c r="BX385" s="28"/>
      <c r="FL385" s="33" t="s">
        <v>1324</v>
      </c>
      <c r="FM385" s="33" t="s">
        <v>255</v>
      </c>
    </row>
    <row r="386" spans="1:169" ht="23.25" customHeight="1" x14ac:dyDescent="0.15">
      <c r="A386" s="26">
        <v>44660.464292349541</v>
      </c>
      <c r="B386" s="27" t="s">
        <v>6</v>
      </c>
      <c r="C386" s="27" t="s">
        <v>17</v>
      </c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  <c r="AX386" s="28"/>
      <c r="AY386" s="28"/>
      <c r="AZ386" s="28"/>
      <c r="BA386" s="28"/>
      <c r="BB386" s="28"/>
      <c r="BC386" s="28"/>
      <c r="BD386" s="28"/>
      <c r="BE386" s="28"/>
      <c r="BF386" s="28"/>
      <c r="BG386" s="28"/>
      <c r="BH386" s="28"/>
      <c r="BI386" s="28"/>
      <c r="BJ386" s="28"/>
      <c r="BK386" s="28"/>
      <c r="BL386" s="28"/>
      <c r="BM386" s="28"/>
      <c r="BN386" s="28"/>
      <c r="BO386" s="28"/>
      <c r="BP386" s="28"/>
      <c r="BQ386" s="28"/>
      <c r="BR386" s="28"/>
      <c r="BS386" s="28"/>
      <c r="BT386" s="28"/>
      <c r="BU386" s="28"/>
      <c r="BV386" s="28"/>
      <c r="BW386" s="28"/>
      <c r="BX386" s="28"/>
      <c r="DX386" s="33" t="s">
        <v>1358</v>
      </c>
      <c r="DY386" s="33" t="s">
        <v>1359</v>
      </c>
      <c r="DZ386" s="33" t="s">
        <v>154</v>
      </c>
      <c r="EA386" s="33" t="s">
        <v>1360</v>
      </c>
      <c r="EB386" s="34">
        <v>43517</v>
      </c>
      <c r="EC386" s="33" t="s">
        <v>1125</v>
      </c>
      <c r="ED386" s="35" t="s">
        <v>1379</v>
      </c>
      <c r="FL386" s="33" t="s">
        <v>1363</v>
      </c>
      <c r="FM386" s="33" t="s">
        <v>255</v>
      </c>
    </row>
    <row r="387" spans="1:169" ht="23.25" customHeight="1" x14ac:dyDescent="0.15">
      <c r="A387" s="26">
        <v>44660.464421712968</v>
      </c>
      <c r="B387" s="27" t="s">
        <v>6</v>
      </c>
      <c r="C387" s="27" t="s">
        <v>11</v>
      </c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  <c r="AX387" s="27" t="s">
        <v>1380</v>
      </c>
      <c r="AY387" s="27" t="s">
        <v>1381</v>
      </c>
      <c r="AZ387" s="27" t="s">
        <v>1382</v>
      </c>
      <c r="BA387" s="27" t="s">
        <v>1383</v>
      </c>
      <c r="BB387" s="27" t="s">
        <v>1384</v>
      </c>
      <c r="BC387" s="29">
        <v>43927</v>
      </c>
      <c r="BD387" s="29">
        <v>43954</v>
      </c>
      <c r="BE387" s="29">
        <v>43954</v>
      </c>
      <c r="BF387" s="27">
        <v>100</v>
      </c>
      <c r="BG387" s="27" t="s">
        <v>1385</v>
      </c>
      <c r="BH387" s="30" t="s">
        <v>1386</v>
      </c>
      <c r="BI387" s="28"/>
      <c r="BJ387" s="28"/>
      <c r="BK387" s="28"/>
      <c r="BL387" s="28"/>
      <c r="BM387" s="28"/>
      <c r="BN387" s="28"/>
      <c r="BO387" s="28"/>
      <c r="BP387" s="28"/>
      <c r="BQ387" s="28"/>
      <c r="BR387" s="28"/>
      <c r="BS387" s="28"/>
      <c r="BT387" s="28"/>
      <c r="BU387" s="28"/>
      <c r="BV387" s="28"/>
      <c r="BW387" s="28"/>
      <c r="BX387" s="28"/>
      <c r="FL387" s="33" t="s">
        <v>1387</v>
      </c>
      <c r="FM387" s="33" t="s">
        <v>321</v>
      </c>
    </row>
    <row r="388" spans="1:169" ht="23.25" customHeight="1" x14ac:dyDescent="0.15">
      <c r="A388" s="26">
        <v>44660.464519479166</v>
      </c>
      <c r="B388" s="27" t="s">
        <v>6</v>
      </c>
      <c r="C388" s="27" t="s">
        <v>11</v>
      </c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  <c r="AX388" s="27" t="s">
        <v>1346</v>
      </c>
      <c r="AY388" s="27" t="s">
        <v>1347</v>
      </c>
      <c r="AZ388" s="27" t="s">
        <v>1346</v>
      </c>
      <c r="BA388" s="27" t="s">
        <v>343</v>
      </c>
      <c r="BB388" s="27" t="s">
        <v>1388</v>
      </c>
      <c r="BC388" s="29">
        <v>43964</v>
      </c>
      <c r="BD388" s="29">
        <v>43984</v>
      </c>
      <c r="BE388" s="29">
        <v>43984</v>
      </c>
      <c r="BF388" s="27">
        <v>100</v>
      </c>
      <c r="BG388" s="27" t="s">
        <v>1385</v>
      </c>
      <c r="BH388" s="30" t="s">
        <v>1389</v>
      </c>
      <c r="BI388" s="28"/>
      <c r="BJ388" s="28"/>
      <c r="BK388" s="28"/>
      <c r="BL388" s="28"/>
      <c r="BM388" s="28"/>
      <c r="BN388" s="28"/>
      <c r="BO388" s="28"/>
      <c r="BP388" s="28"/>
      <c r="BQ388" s="28"/>
      <c r="BR388" s="28"/>
      <c r="BS388" s="28"/>
      <c r="BT388" s="28"/>
      <c r="BU388" s="28"/>
      <c r="BV388" s="28"/>
      <c r="BW388" s="28"/>
      <c r="BX388" s="28"/>
      <c r="FL388" s="33" t="s">
        <v>1352</v>
      </c>
      <c r="FM388" s="33" t="s">
        <v>321</v>
      </c>
    </row>
    <row r="389" spans="1:169" ht="23.25" customHeight="1" x14ac:dyDescent="0.15">
      <c r="A389" s="26">
        <v>44660.465646099532</v>
      </c>
      <c r="B389" s="27" t="s">
        <v>6</v>
      </c>
      <c r="C389" s="27" t="s">
        <v>11</v>
      </c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  <c r="AX389" s="27" t="s">
        <v>1319</v>
      </c>
      <c r="AY389" s="27" t="s">
        <v>1320</v>
      </c>
      <c r="AZ389" s="27" t="s">
        <v>1390</v>
      </c>
      <c r="BA389" s="27" t="s">
        <v>1375</v>
      </c>
      <c r="BB389" s="27" t="s">
        <v>1376</v>
      </c>
      <c r="BC389" s="29">
        <v>43933</v>
      </c>
      <c r="BD389" s="29">
        <v>43942</v>
      </c>
      <c r="BE389" s="29">
        <v>43941</v>
      </c>
      <c r="BF389" s="27">
        <v>100</v>
      </c>
      <c r="BG389" s="27" t="s">
        <v>1377</v>
      </c>
      <c r="BH389" s="30" t="s">
        <v>1391</v>
      </c>
      <c r="BI389" s="28"/>
      <c r="BJ389" s="28"/>
      <c r="BK389" s="28"/>
      <c r="BL389" s="28"/>
      <c r="BM389" s="28"/>
      <c r="BN389" s="28"/>
      <c r="BO389" s="28"/>
      <c r="BP389" s="28"/>
      <c r="BQ389" s="28"/>
      <c r="BR389" s="28"/>
      <c r="BS389" s="28"/>
      <c r="BT389" s="28"/>
      <c r="BU389" s="28"/>
      <c r="BV389" s="28"/>
      <c r="BW389" s="28"/>
      <c r="BX389" s="28"/>
      <c r="FL389" s="33" t="s">
        <v>1324</v>
      </c>
      <c r="FM389" s="33" t="s">
        <v>255</v>
      </c>
    </row>
    <row r="390" spans="1:169" ht="23.25" customHeight="1" x14ac:dyDescent="0.15">
      <c r="A390" s="26">
        <v>44660.466586770832</v>
      </c>
      <c r="B390" s="27" t="s">
        <v>6</v>
      </c>
      <c r="C390" s="27" t="s">
        <v>11</v>
      </c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  <c r="AX390" s="27" t="s">
        <v>1346</v>
      </c>
      <c r="AY390" s="27" t="s">
        <v>1347</v>
      </c>
      <c r="AZ390" s="27" t="s">
        <v>1346</v>
      </c>
      <c r="BA390" s="27" t="s">
        <v>343</v>
      </c>
      <c r="BB390" s="27" t="s">
        <v>1392</v>
      </c>
      <c r="BC390" s="29">
        <v>44653</v>
      </c>
      <c r="BD390" s="29">
        <v>43951</v>
      </c>
      <c r="BE390" s="29">
        <v>43951</v>
      </c>
      <c r="BF390" s="27">
        <v>100</v>
      </c>
      <c r="BG390" s="27" t="s">
        <v>1385</v>
      </c>
      <c r="BH390" s="30" t="s">
        <v>1393</v>
      </c>
      <c r="BI390" s="28"/>
      <c r="BJ390" s="28"/>
      <c r="BK390" s="28"/>
      <c r="BL390" s="28"/>
      <c r="BM390" s="28"/>
      <c r="BN390" s="28"/>
      <c r="BO390" s="28"/>
      <c r="BP390" s="28"/>
      <c r="BQ390" s="28"/>
      <c r="BR390" s="28"/>
      <c r="BS390" s="28"/>
      <c r="BT390" s="28"/>
      <c r="BU390" s="28"/>
      <c r="BV390" s="28"/>
      <c r="BW390" s="28"/>
      <c r="BX390" s="28"/>
      <c r="FL390" s="33" t="s">
        <v>1352</v>
      </c>
      <c r="FM390" s="33" t="s">
        <v>321</v>
      </c>
    </row>
    <row r="391" spans="1:169" ht="23.25" customHeight="1" x14ac:dyDescent="0.15">
      <c r="A391" s="26">
        <v>44660.467169710653</v>
      </c>
      <c r="B391" s="27" t="s">
        <v>6</v>
      </c>
      <c r="C391" s="27" t="s">
        <v>11</v>
      </c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  <c r="AX391" s="27" t="s">
        <v>1337</v>
      </c>
      <c r="AY391" s="27" t="s">
        <v>1338</v>
      </c>
      <c r="AZ391" s="27" t="s">
        <v>1394</v>
      </c>
      <c r="BA391" s="27" t="s">
        <v>343</v>
      </c>
      <c r="BB391" s="27" t="s">
        <v>493</v>
      </c>
      <c r="BC391" s="29">
        <v>43966</v>
      </c>
      <c r="BD391" s="29">
        <v>43997</v>
      </c>
      <c r="BE391" s="29">
        <v>43997</v>
      </c>
      <c r="BF391" s="27">
        <v>100</v>
      </c>
      <c r="BG391" s="27" t="s">
        <v>1395</v>
      </c>
      <c r="BH391" s="30" t="s">
        <v>1396</v>
      </c>
      <c r="BI391" s="28"/>
      <c r="BJ391" s="28"/>
      <c r="BK391" s="28"/>
      <c r="BL391" s="28"/>
      <c r="BM391" s="28"/>
      <c r="BN391" s="28"/>
      <c r="BO391" s="28"/>
      <c r="BP391" s="28"/>
      <c r="BQ391" s="28"/>
      <c r="BR391" s="28"/>
      <c r="BS391" s="28"/>
      <c r="BT391" s="28"/>
      <c r="BU391" s="28"/>
      <c r="BV391" s="28"/>
      <c r="BW391" s="28"/>
      <c r="BX391" s="28"/>
      <c r="FL391" s="33" t="s">
        <v>1342</v>
      </c>
      <c r="FM391" s="33" t="s">
        <v>255</v>
      </c>
    </row>
    <row r="392" spans="1:169" ht="23.25" customHeight="1" x14ac:dyDescent="0.15">
      <c r="A392" s="26">
        <v>44660.468877939813</v>
      </c>
      <c r="B392" s="27" t="s">
        <v>6</v>
      </c>
      <c r="C392" s="27" t="s">
        <v>11</v>
      </c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  <c r="AX392" s="27" t="s">
        <v>1337</v>
      </c>
      <c r="AY392" s="27" t="s">
        <v>1338</v>
      </c>
      <c r="AZ392" s="27" t="s">
        <v>1397</v>
      </c>
      <c r="BA392" s="27" t="s">
        <v>343</v>
      </c>
      <c r="BB392" s="27" t="s">
        <v>493</v>
      </c>
      <c r="BC392" s="29">
        <v>43979</v>
      </c>
      <c r="BD392" s="29">
        <v>44010</v>
      </c>
      <c r="BE392" s="29">
        <v>44010</v>
      </c>
      <c r="BF392" s="27">
        <v>100</v>
      </c>
      <c r="BG392" s="27" t="s">
        <v>1398</v>
      </c>
      <c r="BH392" s="30" t="s">
        <v>1399</v>
      </c>
      <c r="BI392" s="28"/>
      <c r="BJ392" s="28"/>
      <c r="BK392" s="28"/>
      <c r="BL392" s="28"/>
      <c r="BM392" s="28"/>
      <c r="BN392" s="28"/>
      <c r="BO392" s="28"/>
      <c r="BP392" s="28"/>
      <c r="BQ392" s="28"/>
      <c r="BR392" s="28"/>
      <c r="BS392" s="28"/>
      <c r="BT392" s="28"/>
      <c r="BU392" s="28"/>
      <c r="BV392" s="28"/>
      <c r="BW392" s="28"/>
      <c r="BX392" s="28"/>
      <c r="FL392" s="33" t="s">
        <v>1342</v>
      </c>
      <c r="FM392" s="33" t="s">
        <v>255</v>
      </c>
    </row>
    <row r="393" spans="1:169" ht="23.25" customHeight="1" x14ac:dyDescent="0.15">
      <c r="A393" s="26">
        <v>44660.468913229168</v>
      </c>
      <c r="B393" s="27" t="s">
        <v>6</v>
      </c>
      <c r="C393" s="27" t="s">
        <v>11</v>
      </c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  <c r="AX393" s="27" t="s">
        <v>1380</v>
      </c>
      <c r="AY393" s="27" t="s">
        <v>1381</v>
      </c>
      <c r="AZ393" s="27" t="s">
        <v>1348</v>
      </c>
      <c r="BA393" s="27" t="s">
        <v>1383</v>
      </c>
      <c r="BB393" s="27" t="s">
        <v>1400</v>
      </c>
      <c r="BC393" s="29">
        <v>43910</v>
      </c>
      <c r="BD393" s="29">
        <v>43945</v>
      </c>
      <c r="BE393" s="29">
        <v>43945</v>
      </c>
      <c r="BF393" s="27">
        <v>100</v>
      </c>
      <c r="BG393" s="27" t="s">
        <v>1385</v>
      </c>
      <c r="BH393" s="30" t="s">
        <v>1401</v>
      </c>
      <c r="BI393" s="28"/>
      <c r="BJ393" s="28"/>
      <c r="BK393" s="28"/>
      <c r="BL393" s="28"/>
      <c r="BM393" s="28"/>
      <c r="BN393" s="28"/>
      <c r="BO393" s="28"/>
      <c r="BP393" s="28"/>
      <c r="BQ393" s="28"/>
      <c r="BR393" s="28"/>
      <c r="BS393" s="28"/>
      <c r="BT393" s="28"/>
      <c r="BU393" s="28"/>
      <c r="BV393" s="28"/>
      <c r="BW393" s="28"/>
      <c r="BX393" s="28"/>
      <c r="FL393" s="33" t="s">
        <v>1387</v>
      </c>
      <c r="FM393" s="33" t="s">
        <v>321</v>
      </c>
    </row>
    <row r="394" spans="1:169" ht="23.25" customHeight="1" x14ac:dyDescent="0.15">
      <c r="A394" s="26">
        <v>44660.470576134263</v>
      </c>
      <c r="B394" s="27" t="s">
        <v>6</v>
      </c>
      <c r="C394" s="27" t="s">
        <v>11</v>
      </c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  <c r="AX394" s="27" t="s">
        <v>1302</v>
      </c>
      <c r="AY394" s="27" t="s">
        <v>1303</v>
      </c>
      <c r="AZ394" s="27" t="s">
        <v>1402</v>
      </c>
      <c r="BA394" s="27" t="s">
        <v>1403</v>
      </c>
      <c r="BB394" s="27">
        <v>1</v>
      </c>
      <c r="BC394" s="29">
        <v>43959</v>
      </c>
      <c r="BD394" s="29">
        <v>43994</v>
      </c>
      <c r="BE394" s="29">
        <v>43966</v>
      </c>
      <c r="BF394" s="27">
        <v>87</v>
      </c>
      <c r="BG394" s="27" t="s">
        <v>1404</v>
      </c>
      <c r="BH394" s="30" t="s">
        <v>1405</v>
      </c>
      <c r="BI394" s="28"/>
      <c r="BJ394" s="28"/>
      <c r="BK394" s="28"/>
      <c r="BL394" s="28"/>
      <c r="BM394" s="28"/>
      <c r="BN394" s="28"/>
      <c r="BO394" s="28"/>
      <c r="BP394" s="28"/>
      <c r="BQ394" s="28"/>
      <c r="BR394" s="28"/>
      <c r="BS394" s="28"/>
      <c r="BT394" s="28"/>
      <c r="BU394" s="28"/>
      <c r="BV394" s="28"/>
      <c r="BW394" s="28"/>
      <c r="BX394" s="28"/>
      <c r="FL394" s="33" t="s">
        <v>1307</v>
      </c>
      <c r="FM394" s="33" t="s">
        <v>321</v>
      </c>
    </row>
    <row r="395" spans="1:169" ht="23.25" customHeight="1" x14ac:dyDescent="0.15">
      <c r="A395" s="26">
        <v>44660.471123842595</v>
      </c>
      <c r="B395" s="27" t="s">
        <v>6</v>
      </c>
      <c r="C395" s="27" t="s">
        <v>11</v>
      </c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  <c r="AX395" s="27" t="s">
        <v>1337</v>
      </c>
      <c r="AY395" s="27" t="s">
        <v>1338</v>
      </c>
      <c r="AZ395" s="27" t="s">
        <v>1406</v>
      </c>
      <c r="BA395" s="27" t="s">
        <v>343</v>
      </c>
      <c r="BB395" s="27" t="s">
        <v>493</v>
      </c>
      <c r="BC395" s="29">
        <v>43992</v>
      </c>
      <c r="BD395" s="29">
        <v>44022</v>
      </c>
      <c r="BE395" s="29">
        <v>44022</v>
      </c>
      <c r="BF395" s="27">
        <v>100</v>
      </c>
      <c r="BG395" s="27" t="s">
        <v>1407</v>
      </c>
      <c r="BH395" s="30" t="s">
        <v>1408</v>
      </c>
      <c r="BI395" s="28"/>
      <c r="BJ395" s="28"/>
      <c r="BK395" s="28"/>
      <c r="BL395" s="28"/>
      <c r="BM395" s="28"/>
      <c r="BN395" s="28"/>
      <c r="BO395" s="28"/>
      <c r="BP395" s="28"/>
      <c r="BQ395" s="28"/>
      <c r="BR395" s="28"/>
      <c r="BS395" s="28"/>
      <c r="BT395" s="28"/>
      <c r="BU395" s="28"/>
      <c r="BV395" s="28"/>
      <c r="BW395" s="28"/>
      <c r="BX395" s="28"/>
      <c r="FL395" s="33" t="s">
        <v>1342</v>
      </c>
      <c r="FM395" s="33" t="s">
        <v>255</v>
      </c>
    </row>
    <row r="396" spans="1:169" ht="23.25" customHeight="1" x14ac:dyDescent="0.15">
      <c r="A396" s="26">
        <v>44660.471159664346</v>
      </c>
      <c r="B396" s="27" t="s">
        <v>6</v>
      </c>
      <c r="C396" s="27" t="s">
        <v>11</v>
      </c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  <c r="AX396" s="27" t="s">
        <v>1346</v>
      </c>
      <c r="AY396" s="27" t="s">
        <v>1347</v>
      </c>
      <c r="AZ396" s="27" t="s">
        <v>1409</v>
      </c>
      <c r="BA396" s="27" t="s">
        <v>1410</v>
      </c>
      <c r="BB396" s="27" t="s">
        <v>191</v>
      </c>
      <c r="BC396" s="29">
        <v>43979</v>
      </c>
      <c r="BD396" s="29">
        <v>43979</v>
      </c>
      <c r="BE396" s="29">
        <v>43979</v>
      </c>
      <c r="BF396" s="27">
        <v>100</v>
      </c>
      <c r="BG396" s="27" t="s">
        <v>1385</v>
      </c>
      <c r="BH396" s="30" t="s">
        <v>1411</v>
      </c>
      <c r="BI396" s="28"/>
      <c r="BJ396" s="28"/>
      <c r="BK396" s="28"/>
      <c r="BL396" s="28"/>
      <c r="BM396" s="28"/>
      <c r="BN396" s="28"/>
      <c r="BO396" s="28"/>
      <c r="BP396" s="28"/>
      <c r="BQ396" s="28"/>
      <c r="BR396" s="28"/>
      <c r="BS396" s="28"/>
      <c r="BT396" s="28"/>
      <c r="BU396" s="28"/>
      <c r="BV396" s="28"/>
      <c r="BW396" s="28"/>
      <c r="BX396" s="28"/>
      <c r="FL396" s="33" t="s">
        <v>1352</v>
      </c>
      <c r="FM396" s="33" t="s">
        <v>321</v>
      </c>
    </row>
    <row r="397" spans="1:169" ht="23.25" customHeight="1" x14ac:dyDescent="0.15">
      <c r="A397" s="26">
        <v>44660.472770312495</v>
      </c>
      <c r="B397" s="27" t="s">
        <v>6</v>
      </c>
      <c r="C397" s="27" t="s">
        <v>11</v>
      </c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  <c r="AX397" s="27" t="s">
        <v>1337</v>
      </c>
      <c r="AY397" s="27" t="s">
        <v>1338</v>
      </c>
      <c r="AZ397" s="27" t="s">
        <v>1412</v>
      </c>
      <c r="BA397" s="27" t="s">
        <v>343</v>
      </c>
      <c r="BB397" s="27" t="s">
        <v>493</v>
      </c>
      <c r="BC397" s="29">
        <v>44000</v>
      </c>
      <c r="BD397" s="29">
        <v>44030</v>
      </c>
      <c r="BE397" s="29">
        <v>44030</v>
      </c>
      <c r="BF397" s="27">
        <v>100</v>
      </c>
      <c r="BG397" s="27" t="s">
        <v>1372</v>
      </c>
      <c r="BH397" s="30" t="s">
        <v>1413</v>
      </c>
      <c r="BI397" s="28"/>
      <c r="BJ397" s="28"/>
      <c r="BK397" s="28"/>
      <c r="BL397" s="28"/>
      <c r="BM397" s="28"/>
      <c r="BN397" s="28"/>
      <c r="BO397" s="28"/>
      <c r="BP397" s="28"/>
      <c r="BQ397" s="28"/>
      <c r="BR397" s="28"/>
      <c r="BS397" s="28"/>
      <c r="BT397" s="28"/>
      <c r="BU397" s="28"/>
      <c r="BV397" s="28"/>
      <c r="BW397" s="28"/>
      <c r="BX397" s="28"/>
      <c r="FL397" s="33" t="s">
        <v>1342</v>
      </c>
      <c r="FM397" s="33" t="s">
        <v>255</v>
      </c>
    </row>
    <row r="398" spans="1:169" ht="23.25" customHeight="1" x14ac:dyDescent="0.15">
      <c r="A398" s="26">
        <v>44660.472941608794</v>
      </c>
      <c r="B398" s="27" t="s">
        <v>6</v>
      </c>
      <c r="C398" s="27" t="s">
        <v>10</v>
      </c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7" t="s">
        <v>1414</v>
      </c>
      <c r="AO398" s="27" t="s">
        <v>1415</v>
      </c>
      <c r="AP398" s="27" t="s">
        <v>1416</v>
      </c>
      <c r="AQ398" s="27" t="s">
        <v>1417</v>
      </c>
      <c r="AR398" s="29">
        <v>44418</v>
      </c>
      <c r="AS398" s="29">
        <v>44544</v>
      </c>
      <c r="AT398" s="27" t="s">
        <v>252</v>
      </c>
      <c r="AU398" s="27" t="s">
        <v>252</v>
      </c>
      <c r="AV398" s="27">
        <v>0</v>
      </c>
      <c r="AW398" s="30" t="s">
        <v>1418</v>
      </c>
      <c r="AX398" s="28"/>
      <c r="AY398" s="28"/>
      <c r="AZ398" s="28"/>
      <c r="BA398" s="28"/>
      <c r="BB398" s="28"/>
      <c r="BC398" s="28"/>
      <c r="BD398" s="28"/>
      <c r="BE398" s="28"/>
      <c r="BF398" s="28"/>
      <c r="BG398" s="28"/>
      <c r="BH398" s="28"/>
      <c r="BI398" s="28"/>
      <c r="BJ398" s="28"/>
      <c r="BK398" s="28"/>
      <c r="BL398" s="28"/>
      <c r="BM398" s="28"/>
      <c r="BN398" s="28"/>
      <c r="BO398" s="28"/>
      <c r="BP398" s="28"/>
      <c r="BQ398" s="28"/>
      <c r="BR398" s="28"/>
      <c r="BS398" s="28"/>
      <c r="BT398" s="28"/>
      <c r="BU398" s="28"/>
      <c r="BV398" s="28"/>
      <c r="BW398" s="28"/>
      <c r="BX398" s="28"/>
      <c r="FL398" s="33" t="s">
        <v>1419</v>
      </c>
      <c r="FM398" s="33" t="s">
        <v>273</v>
      </c>
    </row>
    <row r="399" spans="1:169" ht="23.25" customHeight="1" x14ac:dyDescent="0.15">
      <c r="A399" s="26">
        <v>44660.473520023152</v>
      </c>
      <c r="B399" s="27" t="s">
        <v>6</v>
      </c>
      <c r="C399" s="27" t="s">
        <v>11</v>
      </c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  <c r="AX399" s="27" t="s">
        <v>1420</v>
      </c>
      <c r="AY399" s="27" t="s">
        <v>1421</v>
      </c>
      <c r="AZ399" s="27" t="s">
        <v>498</v>
      </c>
      <c r="BA399" s="27" t="s">
        <v>307</v>
      </c>
      <c r="BB399" s="27" t="s">
        <v>408</v>
      </c>
      <c r="BC399" s="29">
        <v>44531</v>
      </c>
      <c r="BD399" s="29">
        <v>44531</v>
      </c>
      <c r="BE399" s="29">
        <v>44531</v>
      </c>
      <c r="BF399" s="27">
        <v>100</v>
      </c>
      <c r="BG399" s="27" t="s">
        <v>547</v>
      </c>
      <c r="BH399" s="30" t="s">
        <v>1422</v>
      </c>
      <c r="BI399" s="28"/>
      <c r="BJ399" s="28"/>
      <c r="BK399" s="28"/>
      <c r="BL399" s="28"/>
      <c r="BM399" s="28"/>
      <c r="BN399" s="28"/>
      <c r="BO399" s="28"/>
      <c r="BP399" s="28"/>
      <c r="BQ399" s="28"/>
      <c r="BR399" s="28"/>
      <c r="BS399" s="28"/>
      <c r="BT399" s="28"/>
      <c r="BU399" s="28"/>
      <c r="BV399" s="28"/>
      <c r="BW399" s="28"/>
      <c r="BX399" s="28"/>
      <c r="FL399" s="33" t="s">
        <v>1423</v>
      </c>
      <c r="FM399" s="33" t="s">
        <v>255</v>
      </c>
    </row>
    <row r="400" spans="1:169" ht="23.25" customHeight="1" x14ac:dyDescent="0.15">
      <c r="A400" s="26">
        <v>44660.473836192134</v>
      </c>
      <c r="B400" s="27" t="s">
        <v>6</v>
      </c>
      <c r="C400" s="27" t="s">
        <v>11</v>
      </c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  <c r="AX400" s="27" t="s">
        <v>1424</v>
      </c>
      <c r="AY400" s="27" t="s">
        <v>1425</v>
      </c>
      <c r="AZ400" s="27" t="s">
        <v>1190</v>
      </c>
      <c r="BA400" s="27" t="s">
        <v>375</v>
      </c>
      <c r="BB400" s="27">
        <v>2</v>
      </c>
      <c r="BC400" s="29">
        <v>44344</v>
      </c>
      <c r="BD400" s="29">
        <v>43674</v>
      </c>
      <c r="BE400" s="29">
        <v>43674</v>
      </c>
      <c r="BF400" s="27">
        <v>89</v>
      </c>
      <c r="BG400" s="27" t="s">
        <v>1426</v>
      </c>
      <c r="BH400" s="30" t="s">
        <v>1427</v>
      </c>
      <c r="BI400" s="28"/>
      <c r="BJ400" s="28"/>
      <c r="BK400" s="28"/>
      <c r="BL400" s="28"/>
      <c r="BM400" s="28"/>
      <c r="BN400" s="28"/>
      <c r="BO400" s="28"/>
      <c r="BP400" s="28"/>
      <c r="BQ400" s="28"/>
      <c r="BR400" s="28"/>
      <c r="BS400" s="28"/>
      <c r="BT400" s="28"/>
      <c r="BU400" s="28"/>
      <c r="BV400" s="28"/>
      <c r="BW400" s="28"/>
      <c r="BX400" s="28"/>
      <c r="FL400" s="33" t="s">
        <v>1428</v>
      </c>
      <c r="FM400" s="33" t="s">
        <v>255</v>
      </c>
    </row>
    <row r="401" spans="1:169" ht="23.25" customHeight="1" x14ac:dyDescent="0.15">
      <c r="A401" s="26">
        <v>44660.475331180554</v>
      </c>
      <c r="B401" s="27" t="s">
        <v>6</v>
      </c>
      <c r="C401" s="27" t="s">
        <v>10</v>
      </c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7" t="s">
        <v>513</v>
      </c>
      <c r="AO401" s="27" t="s">
        <v>514</v>
      </c>
      <c r="AP401" s="27" t="s">
        <v>1429</v>
      </c>
      <c r="AQ401" s="27" t="s">
        <v>448</v>
      </c>
      <c r="AR401" s="29">
        <v>44075</v>
      </c>
      <c r="AS401" s="29">
        <v>44136</v>
      </c>
      <c r="AT401" s="27" t="s">
        <v>252</v>
      </c>
      <c r="AU401" s="27" t="s">
        <v>251</v>
      </c>
      <c r="AV401" s="27">
        <v>5000</v>
      </c>
      <c r="AW401" s="30" t="s">
        <v>1430</v>
      </c>
      <c r="AX401" s="28"/>
      <c r="AY401" s="28"/>
      <c r="AZ401" s="28"/>
      <c r="BA401" s="28"/>
      <c r="BB401" s="28"/>
      <c r="BC401" s="28"/>
      <c r="BD401" s="28"/>
      <c r="BE401" s="28"/>
      <c r="BF401" s="28"/>
      <c r="BG401" s="28"/>
      <c r="BH401" s="28"/>
      <c r="BI401" s="28"/>
      <c r="BJ401" s="28"/>
      <c r="BK401" s="28"/>
      <c r="BL401" s="28"/>
      <c r="BM401" s="28"/>
      <c r="BN401" s="28"/>
      <c r="BO401" s="28"/>
      <c r="BP401" s="28"/>
      <c r="BQ401" s="28"/>
      <c r="BR401" s="28"/>
      <c r="BS401" s="28"/>
      <c r="BT401" s="28"/>
      <c r="BU401" s="28"/>
      <c r="BV401" s="28"/>
      <c r="BW401" s="28"/>
      <c r="BX401" s="28"/>
      <c r="FL401" s="33" t="s">
        <v>517</v>
      </c>
      <c r="FM401" s="33" t="s">
        <v>255</v>
      </c>
    </row>
    <row r="402" spans="1:169" ht="23.25" customHeight="1" x14ac:dyDescent="0.15">
      <c r="A402" s="26">
        <v>44660.47569924769</v>
      </c>
      <c r="B402" s="27" t="s">
        <v>6</v>
      </c>
      <c r="C402" s="27" t="s">
        <v>11</v>
      </c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  <c r="AX402" s="27" t="s">
        <v>1424</v>
      </c>
      <c r="AY402" s="27" t="s">
        <v>1425</v>
      </c>
      <c r="AZ402" s="27" t="s">
        <v>1260</v>
      </c>
      <c r="BA402" s="27" t="s">
        <v>1431</v>
      </c>
      <c r="BB402" s="27">
        <v>6</v>
      </c>
      <c r="BC402" s="29">
        <v>44197</v>
      </c>
      <c r="BD402" s="29">
        <v>44377</v>
      </c>
      <c r="BE402" s="29">
        <v>44377</v>
      </c>
      <c r="BF402" s="27">
        <v>90</v>
      </c>
      <c r="BG402" s="27" t="s">
        <v>1432</v>
      </c>
      <c r="BH402" s="30" t="s">
        <v>1433</v>
      </c>
      <c r="BI402" s="28"/>
      <c r="BJ402" s="28"/>
      <c r="BK402" s="28"/>
      <c r="BL402" s="28"/>
      <c r="BM402" s="28"/>
      <c r="BN402" s="28"/>
      <c r="BO402" s="28"/>
      <c r="BP402" s="28"/>
      <c r="BQ402" s="28"/>
      <c r="BR402" s="28"/>
      <c r="BS402" s="28"/>
      <c r="BT402" s="28"/>
      <c r="BU402" s="28"/>
      <c r="BV402" s="28"/>
      <c r="BW402" s="28"/>
      <c r="BX402" s="28"/>
      <c r="FL402" s="33" t="s">
        <v>1428</v>
      </c>
      <c r="FM402" s="33" t="s">
        <v>255</v>
      </c>
    </row>
    <row r="403" spans="1:169" ht="23.25" customHeight="1" x14ac:dyDescent="0.15">
      <c r="A403" s="26">
        <v>44660.476074340273</v>
      </c>
      <c r="B403" s="27" t="s">
        <v>6</v>
      </c>
      <c r="C403" s="27" t="s">
        <v>11</v>
      </c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  <c r="AX403" s="27" t="s">
        <v>1420</v>
      </c>
      <c r="AY403" s="27" t="s">
        <v>1421</v>
      </c>
      <c r="AZ403" s="27" t="s">
        <v>349</v>
      </c>
      <c r="BA403" s="27" t="s">
        <v>375</v>
      </c>
      <c r="BB403" s="27" t="s">
        <v>408</v>
      </c>
      <c r="BC403" s="29">
        <v>43646</v>
      </c>
      <c r="BD403" s="29">
        <v>43676</v>
      </c>
      <c r="BE403" s="29">
        <v>43677</v>
      </c>
      <c r="BF403" s="27">
        <v>90</v>
      </c>
      <c r="BG403" s="27" t="s">
        <v>1434</v>
      </c>
      <c r="BH403" s="30" t="s">
        <v>1435</v>
      </c>
      <c r="BI403" s="28"/>
      <c r="BJ403" s="28"/>
      <c r="BK403" s="28"/>
      <c r="BL403" s="28"/>
      <c r="BM403" s="28"/>
      <c r="BN403" s="28"/>
      <c r="BO403" s="28"/>
      <c r="BP403" s="28"/>
      <c r="BQ403" s="28"/>
      <c r="BR403" s="28"/>
      <c r="BS403" s="28"/>
      <c r="BT403" s="28"/>
      <c r="BU403" s="28"/>
      <c r="BV403" s="28"/>
      <c r="BW403" s="28"/>
      <c r="BX403" s="28"/>
      <c r="FL403" s="33" t="s">
        <v>1423</v>
      </c>
      <c r="FM403" s="33" t="s">
        <v>255</v>
      </c>
    </row>
    <row r="404" spans="1:169" ht="23.25" customHeight="1" x14ac:dyDescent="0.15">
      <c r="A404" s="26">
        <v>44660.476596145832</v>
      </c>
      <c r="B404" s="27" t="s">
        <v>6</v>
      </c>
      <c r="C404" s="27" t="s">
        <v>11</v>
      </c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  <c r="AX404" s="27" t="s">
        <v>1302</v>
      </c>
      <c r="AY404" s="27" t="s">
        <v>1303</v>
      </c>
      <c r="AZ404" s="27" t="s">
        <v>1436</v>
      </c>
      <c r="BA404" s="27" t="s">
        <v>1437</v>
      </c>
      <c r="BB404" s="27">
        <v>1</v>
      </c>
      <c r="BC404" s="29">
        <v>44627</v>
      </c>
      <c r="BD404" s="29">
        <v>44658</v>
      </c>
      <c r="BE404" s="29">
        <v>44658</v>
      </c>
      <c r="BF404" s="27">
        <v>100</v>
      </c>
      <c r="BG404" s="27" t="s">
        <v>1404</v>
      </c>
      <c r="BH404" s="30" t="s">
        <v>1438</v>
      </c>
      <c r="BI404" s="28"/>
      <c r="BJ404" s="28"/>
      <c r="BK404" s="28"/>
      <c r="BL404" s="28"/>
      <c r="BM404" s="28"/>
      <c r="BN404" s="28"/>
      <c r="BO404" s="28"/>
      <c r="BP404" s="28"/>
      <c r="BQ404" s="28"/>
      <c r="BR404" s="28"/>
      <c r="BS404" s="28"/>
      <c r="BT404" s="28"/>
      <c r="BU404" s="28"/>
      <c r="BV404" s="28"/>
      <c r="BW404" s="28"/>
      <c r="BX404" s="28"/>
      <c r="FL404" s="33" t="s">
        <v>1307</v>
      </c>
      <c r="FM404" s="33" t="s">
        <v>255</v>
      </c>
    </row>
    <row r="405" spans="1:169" ht="23.25" customHeight="1" x14ac:dyDescent="0.15">
      <c r="A405" s="26">
        <v>44660.4767640625</v>
      </c>
      <c r="B405" s="27" t="s">
        <v>6</v>
      </c>
      <c r="C405" s="27" t="s">
        <v>11</v>
      </c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  <c r="AX405" s="27" t="s">
        <v>1337</v>
      </c>
      <c r="AY405" s="27" t="s">
        <v>1338</v>
      </c>
      <c r="AZ405" s="27" t="s">
        <v>349</v>
      </c>
      <c r="BA405" s="27" t="s">
        <v>375</v>
      </c>
      <c r="BB405" s="27" t="s">
        <v>493</v>
      </c>
      <c r="BC405" s="29">
        <v>43646</v>
      </c>
      <c r="BD405" s="29">
        <v>43676</v>
      </c>
      <c r="BE405" s="29">
        <v>43676</v>
      </c>
      <c r="BF405" s="27">
        <v>100</v>
      </c>
      <c r="BG405" s="27" t="s">
        <v>1439</v>
      </c>
      <c r="BH405" s="30" t="s">
        <v>1440</v>
      </c>
      <c r="BI405" s="28"/>
      <c r="BJ405" s="28"/>
      <c r="BK405" s="28"/>
      <c r="BL405" s="28"/>
      <c r="BM405" s="28"/>
      <c r="BN405" s="28"/>
      <c r="BO405" s="28"/>
      <c r="BP405" s="28"/>
      <c r="BQ405" s="28"/>
      <c r="BR405" s="28"/>
      <c r="BS405" s="28"/>
      <c r="BT405" s="28"/>
      <c r="BU405" s="28"/>
      <c r="BV405" s="28"/>
      <c r="BW405" s="28"/>
      <c r="BX405" s="28"/>
      <c r="FL405" s="33" t="s">
        <v>1342</v>
      </c>
      <c r="FM405" s="33" t="s">
        <v>255</v>
      </c>
    </row>
    <row r="406" spans="1:169" ht="23.25" customHeight="1" x14ac:dyDescent="0.15">
      <c r="A406" s="26">
        <v>44660.47742466435</v>
      </c>
      <c r="B406" s="27" t="s">
        <v>6</v>
      </c>
      <c r="C406" s="27" t="s">
        <v>11</v>
      </c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  <c r="AX406" s="27" t="s">
        <v>1424</v>
      </c>
      <c r="AY406" s="27" t="s">
        <v>1425</v>
      </c>
      <c r="AZ406" s="27" t="s">
        <v>1441</v>
      </c>
      <c r="BA406" s="27" t="s">
        <v>1431</v>
      </c>
      <c r="BB406" s="27">
        <v>2</v>
      </c>
      <c r="BC406" s="29">
        <v>44324</v>
      </c>
      <c r="BD406" s="29">
        <v>44385</v>
      </c>
      <c r="BE406" s="29">
        <v>44385</v>
      </c>
      <c r="BF406" s="27">
        <v>89</v>
      </c>
      <c r="BG406" s="27" t="s">
        <v>1426</v>
      </c>
      <c r="BH406" s="30" t="s">
        <v>1442</v>
      </c>
      <c r="BI406" s="28"/>
      <c r="BJ406" s="28"/>
      <c r="BK406" s="28"/>
      <c r="BL406" s="28"/>
      <c r="BM406" s="28"/>
      <c r="BN406" s="28"/>
      <c r="BO406" s="28"/>
      <c r="BP406" s="28"/>
      <c r="BQ406" s="28"/>
      <c r="BR406" s="28"/>
      <c r="BS406" s="28"/>
      <c r="BT406" s="28"/>
      <c r="BU406" s="28"/>
      <c r="BV406" s="28"/>
      <c r="BW406" s="28"/>
      <c r="BX406" s="28"/>
      <c r="FL406" s="33" t="s">
        <v>1428</v>
      </c>
      <c r="FM406" s="33" t="s">
        <v>255</v>
      </c>
    </row>
    <row r="407" spans="1:169" ht="23.25" customHeight="1" x14ac:dyDescent="0.15">
      <c r="A407" s="26">
        <v>44660.478452060182</v>
      </c>
      <c r="B407" s="27" t="s">
        <v>6</v>
      </c>
      <c r="C407" s="27" t="s">
        <v>11</v>
      </c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  <c r="AX407" s="27" t="s">
        <v>1420</v>
      </c>
      <c r="AY407" s="27" t="s">
        <v>1421</v>
      </c>
      <c r="AZ407" s="27" t="s">
        <v>1180</v>
      </c>
      <c r="BA407" s="27" t="s">
        <v>375</v>
      </c>
      <c r="BB407" s="27" t="s">
        <v>493</v>
      </c>
      <c r="BC407" s="29">
        <v>43529</v>
      </c>
      <c r="BD407" s="29">
        <v>43585</v>
      </c>
      <c r="BE407" s="29">
        <v>43585</v>
      </c>
      <c r="BF407" s="27">
        <v>90</v>
      </c>
      <c r="BG407" s="27" t="s">
        <v>495</v>
      </c>
      <c r="BH407" s="30" t="s">
        <v>1443</v>
      </c>
      <c r="BI407" s="28"/>
      <c r="BJ407" s="28"/>
      <c r="BK407" s="28"/>
      <c r="BL407" s="28"/>
      <c r="BM407" s="28"/>
      <c r="BN407" s="28"/>
      <c r="BO407" s="28"/>
      <c r="BP407" s="28"/>
      <c r="BQ407" s="28"/>
      <c r="BR407" s="28"/>
      <c r="BS407" s="28"/>
      <c r="BT407" s="28"/>
      <c r="BU407" s="28"/>
      <c r="BV407" s="28"/>
      <c r="BW407" s="28"/>
      <c r="BX407" s="28"/>
      <c r="FL407" s="33" t="s">
        <v>1423</v>
      </c>
      <c r="FM407" s="33" t="s">
        <v>255</v>
      </c>
    </row>
    <row r="408" spans="1:169" ht="23.25" customHeight="1" x14ac:dyDescent="0.15">
      <c r="A408" s="26">
        <v>44660.478640775458</v>
      </c>
      <c r="B408" s="27" t="s">
        <v>6</v>
      </c>
      <c r="C408" s="27" t="s">
        <v>11</v>
      </c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  <c r="AX408" s="27" t="s">
        <v>1414</v>
      </c>
      <c r="AY408" s="27" t="s">
        <v>1415</v>
      </c>
      <c r="AZ408" s="27" t="s">
        <v>600</v>
      </c>
      <c r="BA408" s="27" t="s">
        <v>307</v>
      </c>
      <c r="BB408" s="27" t="s">
        <v>493</v>
      </c>
      <c r="BC408" s="29">
        <v>44652</v>
      </c>
      <c r="BD408" s="29">
        <v>44681</v>
      </c>
      <c r="BE408" s="29">
        <v>44681</v>
      </c>
      <c r="BF408" s="27">
        <v>100</v>
      </c>
      <c r="BG408" s="27" t="s">
        <v>337</v>
      </c>
      <c r="BH408" s="30" t="s">
        <v>1444</v>
      </c>
      <c r="BI408" s="28"/>
      <c r="BJ408" s="28"/>
      <c r="BK408" s="28"/>
      <c r="BL408" s="28"/>
      <c r="BM408" s="28"/>
      <c r="BN408" s="28"/>
      <c r="BO408" s="28"/>
      <c r="BP408" s="28"/>
      <c r="BQ408" s="28"/>
      <c r="BR408" s="28"/>
      <c r="BS408" s="28"/>
      <c r="BT408" s="28"/>
      <c r="BU408" s="28"/>
      <c r="BV408" s="28"/>
      <c r="BW408" s="28"/>
      <c r="BX408" s="28"/>
      <c r="FL408" s="33" t="s">
        <v>1419</v>
      </c>
      <c r="FM408" s="33" t="s">
        <v>273</v>
      </c>
    </row>
    <row r="409" spans="1:169" ht="23.25" customHeight="1" x14ac:dyDescent="0.15">
      <c r="A409" s="26">
        <v>44660.479220601846</v>
      </c>
      <c r="B409" s="27" t="s">
        <v>6</v>
      </c>
      <c r="C409" s="27" t="s">
        <v>11</v>
      </c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  <c r="AX409" s="27" t="s">
        <v>1302</v>
      </c>
      <c r="AY409" s="27" t="s">
        <v>1303</v>
      </c>
      <c r="AZ409" s="27" t="s">
        <v>1445</v>
      </c>
      <c r="BA409" s="27" t="s">
        <v>375</v>
      </c>
      <c r="BB409" s="27">
        <v>1</v>
      </c>
      <c r="BC409" s="29">
        <v>44265</v>
      </c>
      <c r="BD409" s="29">
        <v>44295</v>
      </c>
      <c r="BE409" s="29">
        <v>44302</v>
      </c>
      <c r="BF409" s="27">
        <v>100</v>
      </c>
      <c r="BG409" s="27" t="s">
        <v>1446</v>
      </c>
      <c r="BH409" s="30" t="s">
        <v>1447</v>
      </c>
      <c r="BI409" s="28"/>
      <c r="BJ409" s="28"/>
      <c r="BK409" s="28"/>
      <c r="BL409" s="28"/>
      <c r="BM409" s="28"/>
      <c r="BN409" s="28"/>
      <c r="BO409" s="28"/>
      <c r="BP409" s="28"/>
      <c r="BQ409" s="28"/>
      <c r="BR409" s="28"/>
      <c r="BS409" s="28"/>
      <c r="BT409" s="28"/>
      <c r="BU409" s="28"/>
      <c r="BV409" s="28"/>
      <c r="BW409" s="28"/>
      <c r="BX409" s="28"/>
      <c r="FL409" s="33" t="s">
        <v>1307</v>
      </c>
      <c r="FM409" s="33" t="s">
        <v>380</v>
      </c>
    </row>
    <row r="410" spans="1:169" ht="23.25" customHeight="1" x14ac:dyDescent="0.15">
      <c r="A410" s="26">
        <v>44660.480616712965</v>
      </c>
      <c r="B410" s="27" t="s">
        <v>6</v>
      </c>
      <c r="C410" s="27" t="s">
        <v>11</v>
      </c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  <c r="AX410" s="27" t="s">
        <v>1424</v>
      </c>
      <c r="AY410" s="27" t="s">
        <v>1425</v>
      </c>
      <c r="AZ410" s="27" t="s">
        <v>1448</v>
      </c>
      <c r="BA410" s="27" t="s">
        <v>1449</v>
      </c>
      <c r="BB410" s="27" t="s">
        <v>1450</v>
      </c>
      <c r="BC410" s="29">
        <v>44013</v>
      </c>
      <c r="BD410" s="29">
        <v>44013</v>
      </c>
      <c r="BE410" s="29">
        <v>44013</v>
      </c>
      <c r="BF410" s="27">
        <v>100</v>
      </c>
      <c r="BG410" s="27" t="s">
        <v>1426</v>
      </c>
      <c r="BH410" s="30" t="s">
        <v>1451</v>
      </c>
      <c r="BI410" s="28"/>
      <c r="BJ410" s="28"/>
      <c r="BK410" s="28"/>
      <c r="BL410" s="28"/>
      <c r="BM410" s="28"/>
      <c r="BN410" s="28"/>
      <c r="BO410" s="28"/>
      <c r="BP410" s="28"/>
      <c r="BQ410" s="28"/>
      <c r="BR410" s="28"/>
      <c r="BS410" s="28"/>
      <c r="BT410" s="28"/>
      <c r="BU410" s="28"/>
      <c r="BV410" s="28"/>
      <c r="BW410" s="28"/>
      <c r="BX410" s="28"/>
      <c r="FL410" s="33" t="s">
        <v>1428</v>
      </c>
      <c r="FM410" s="33" t="s">
        <v>255</v>
      </c>
    </row>
    <row r="411" spans="1:169" ht="23.25" customHeight="1" x14ac:dyDescent="0.15">
      <c r="A411" s="26">
        <v>44660.481804988427</v>
      </c>
      <c r="B411" s="27" t="s">
        <v>6</v>
      </c>
      <c r="C411" s="27" t="s">
        <v>11</v>
      </c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  <c r="AX411" s="27" t="s">
        <v>1414</v>
      </c>
      <c r="AY411" s="27" t="s">
        <v>1415</v>
      </c>
      <c r="AZ411" s="27" t="s">
        <v>1452</v>
      </c>
      <c r="BA411" s="27" t="s">
        <v>307</v>
      </c>
      <c r="BB411" s="27" t="s">
        <v>667</v>
      </c>
      <c r="BC411" s="29">
        <v>44876</v>
      </c>
      <c r="BD411" s="29">
        <v>44876</v>
      </c>
      <c r="BE411" s="29">
        <v>44876</v>
      </c>
      <c r="BF411" s="27">
        <v>98</v>
      </c>
      <c r="BG411" s="27" t="s">
        <v>522</v>
      </c>
      <c r="BH411" s="30" t="s">
        <v>1453</v>
      </c>
      <c r="BI411" s="28"/>
      <c r="BJ411" s="28"/>
      <c r="BK411" s="28"/>
      <c r="BL411" s="28"/>
      <c r="BM411" s="28"/>
      <c r="BN411" s="28"/>
      <c r="BO411" s="28"/>
      <c r="BP411" s="28"/>
      <c r="BQ411" s="28"/>
      <c r="BR411" s="28"/>
      <c r="BS411" s="28"/>
      <c r="BT411" s="28"/>
      <c r="BU411" s="28"/>
      <c r="BV411" s="28"/>
      <c r="BW411" s="28"/>
      <c r="BX411" s="28"/>
      <c r="FL411" s="33" t="s">
        <v>1419</v>
      </c>
      <c r="FM411" s="33" t="s">
        <v>273</v>
      </c>
    </row>
    <row r="412" spans="1:169" ht="23.25" customHeight="1" x14ac:dyDescent="0.15">
      <c r="A412" s="26">
        <v>44660.481923020838</v>
      </c>
      <c r="B412" s="27" t="s">
        <v>6</v>
      </c>
      <c r="C412" s="27" t="s">
        <v>11</v>
      </c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  <c r="AX412" s="27" t="s">
        <v>1420</v>
      </c>
      <c r="AY412" s="27" t="s">
        <v>1421</v>
      </c>
      <c r="AZ412" s="27" t="s">
        <v>1454</v>
      </c>
      <c r="BA412" s="27" t="s">
        <v>343</v>
      </c>
      <c r="BB412" s="27" t="s">
        <v>493</v>
      </c>
      <c r="BC412" s="29">
        <v>43930</v>
      </c>
      <c r="BD412" s="29">
        <v>43967</v>
      </c>
      <c r="BE412" s="29">
        <v>43967</v>
      </c>
      <c r="BF412" s="27">
        <v>100</v>
      </c>
      <c r="BG412" s="27" t="s">
        <v>520</v>
      </c>
      <c r="BH412" s="30" t="s">
        <v>1455</v>
      </c>
      <c r="BI412" s="28"/>
      <c r="BJ412" s="28"/>
      <c r="BK412" s="28"/>
      <c r="BL412" s="28"/>
      <c r="BM412" s="28"/>
      <c r="BN412" s="28"/>
      <c r="BO412" s="28"/>
      <c r="BP412" s="28"/>
      <c r="BQ412" s="28"/>
      <c r="BR412" s="28"/>
      <c r="BS412" s="28"/>
      <c r="BT412" s="28"/>
      <c r="BU412" s="28"/>
      <c r="BV412" s="28"/>
      <c r="BW412" s="28"/>
      <c r="BX412" s="28"/>
      <c r="FL412" s="33" t="s">
        <v>1423</v>
      </c>
      <c r="FM412" s="33" t="s">
        <v>255</v>
      </c>
    </row>
    <row r="413" spans="1:169" ht="23.25" customHeight="1" x14ac:dyDescent="0.15">
      <c r="A413" s="26">
        <v>44660.482859085649</v>
      </c>
      <c r="B413" s="27" t="s">
        <v>6</v>
      </c>
      <c r="C413" s="27" t="s">
        <v>11</v>
      </c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  <c r="AX413" s="27" t="s">
        <v>1424</v>
      </c>
      <c r="AY413" s="27" t="s">
        <v>1425</v>
      </c>
      <c r="AZ413" s="27" t="s">
        <v>1456</v>
      </c>
      <c r="BA413" s="27" t="s">
        <v>1449</v>
      </c>
      <c r="BB413" s="27" t="s">
        <v>1457</v>
      </c>
      <c r="BC413" s="29">
        <v>44593</v>
      </c>
      <c r="BD413" s="29">
        <v>44657</v>
      </c>
      <c r="BE413" s="29">
        <v>44657</v>
      </c>
      <c r="BF413" s="27">
        <v>100</v>
      </c>
      <c r="BG413" s="27" t="s">
        <v>1426</v>
      </c>
      <c r="BH413" s="30" t="s">
        <v>1458</v>
      </c>
      <c r="BI413" s="28"/>
      <c r="BJ413" s="28"/>
      <c r="BK413" s="28"/>
      <c r="BL413" s="28"/>
      <c r="BM413" s="28"/>
      <c r="BN413" s="28"/>
      <c r="BO413" s="28"/>
      <c r="BP413" s="28"/>
      <c r="BQ413" s="28"/>
      <c r="BR413" s="28"/>
      <c r="BS413" s="28"/>
      <c r="BT413" s="28"/>
      <c r="BU413" s="28"/>
      <c r="BV413" s="28"/>
      <c r="BW413" s="28"/>
      <c r="BX413" s="28"/>
      <c r="FL413" s="33" t="s">
        <v>1428</v>
      </c>
      <c r="FM413" s="33" t="s">
        <v>255</v>
      </c>
    </row>
    <row r="414" spans="1:169" ht="23.25" customHeight="1" x14ac:dyDescent="0.15">
      <c r="A414" s="26">
        <v>44660.484006562503</v>
      </c>
      <c r="B414" s="27" t="s">
        <v>6</v>
      </c>
      <c r="C414" s="27" t="s">
        <v>11</v>
      </c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  <c r="AX414" s="27" t="s">
        <v>1414</v>
      </c>
      <c r="AY414" s="27" t="s">
        <v>1415</v>
      </c>
      <c r="AZ414" s="27" t="s">
        <v>1459</v>
      </c>
      <c r="BA414" s="27" t="s">
        <v>1460</v>
      </c>
      <c r="BB414" s="27" t="s">
        <v>1461</v>
      </c>
      <c r="BC414" s="29">
        <v>44896</v>
      </c>
      <c r="BD414" s="29">
        <v>44896</v>
      </c>
      <c r="BE414" s="29">
        <v>44896</v>
      </c>
      <c r="BF414" s="27">
        <v>98</v>
      </c>
      <c r="BG414" s="27" t="s">
        <v>522</v>
      </c>
      <c r="BH414" s="30" t="s">
        <v>1462</v>
      </c>
      <c r="BI414" s="28"/>
      <c r="BJ414" s="28"/>
      <c r="BK414" s="28"/>
      <c r="BL414" s="28"/>
      <c r="BM414" s="28"/>
      <c r="BN414" s="28"/>
      <c r="BO414" s="28"/>
      <c r="BP414" s="28"/>
      <c r="BQ414" s="28"/>
      <c r="BR414" s="28"/>
      <c r="BS414" s="28"/>
      <c r="BT414" s="28"/>
      <c r="BU414" s="28"/>
      <c r="BV414" s="28"/>
      <c r="BW414" s="28"/>
      <c r="BX414" s="28"/>
      <c r="FL414" s="33" t="s">
        <v>1419</v>
      </c>
      <c r="FM414" s="33" t="s">
        <v>273</v>
      </c>
    </row>
    <row r="415" spans="1:169" ht="23.25" customHeight="1" x14ac:dyDescent="0.15">
      <c r="A415" s="26">
        <v>44660.48403821759</v>
      </c>
      <c r="B415" s="27" t="s">
        <v>6</v>
      </c>
      <c r="C415" s="27" t="s">
        <v>11</v>
      </c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  <c r="AX415" s="27" t="s">
        <v>1420</v>
      </c>
      <c r="AY415" s="27" t="s">
        <v>1421</v>
      </c>
      <c r="AZ415" s="27" t="s">
        <v>1371</v>
      </c>
      <c r="BA415" s="27" t="s">
        <v>1463</v>
      </c>
      <c r="BB415" s="27" t="s">
        <v>308</v>
      </c>
      <c r="BC415" s="29">
        <v>43923</v>
      </c>
      <c r="BD415" s="29">
        <v>44007</v>
      </c>
      <c r="BE415" s="29">
        <v>44007</v>
      </c>
      <c r="BF415" s="27">
        <v>80</v>
      </c>
      <c r="BG415" s="27" t="s">
        <v>520</v>
      </c>
      <c r="BH415" s="30" t="s">
        <v>1464</v>
      </c>
      <c r="BI415" s="28"/>
      <c r="BJ415" s="28"/>
      <c r="BK415" s="28"/>
      <c r="BL415" s="28"/>
      <c r="BM415" s="28"/>
      <c r="BN415" s="28"/>
      <c r="BO415" s="28"/>
      <c r="BP415" s="28"/>
      <c r="BQ415" s="28"/>
      <c r="BR415" s="28"/>
      <c r="BS415" s="28"/>
      <c r="BT415" s="28"/>
      <c r="BU415" s="28"/>
      <c r="BV415" s="28"/>
      <c r="BW415" s="28"/>
      <c r="BX415" s="28"/>
      <c r="FL415" s="33" t="s">
        <v>1423</v>
      </c>
      <c r="FM415" s="33" t="s">
        <v>255</v>
      </c>
    </row>
    <row r="416" spans="1:169" ht="23.25" customHeight="1" x14ac:dyDescent="0.15">
      <c r="A416" s="26">
        <v>44660.484747222217</v>
      </c>
      <c r="B416" s="27" t="s">
        <v>6</v>
      </c>
      <c r="C416" s="27" t="s">
        <v>11</v>
      </c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  <c r="AX416" s="27" t="s">
        <v>1424</v>
      </c>
      <c r="AY416" s="27" t="s">
        <v>1425</v>
      </c>
      <c r="AZ416" s="27" t="s">
        <v>1465</v>
      </c>
      <c r="BA416" s="27" t="s">
        <v>1449</v>
      </c>
      <c r="BB416" s="27" t="s">
        <v>1466</v>
      </c>
      <c r="BC416" s="29">
        <v>44653</v>
      </c>
      <c r="BD416" s="29">
        <v>44657</v>
      </c>
      <c r="BE416" s="29">
        <v>44657</v>
      </c>
      <c r="BF416" s="27">
        <v>100</v>
      </c>
      <c r="BG416" s="27" t="s">
        <v>1426</v>
      </c>
      <c r="BH416" s="30" t="s">
        <v>1467</v>
      </c>
      <c r="BI416" s="28"/>
      <c r="BJ416" s="28"/>
      <c r="BK416" s="28"/>
      <c r="BL416" s="28"/>
      <c r="BM416" s="28"/>
      <c r="BN416" s="28"/>
      <c r="BO416" s="28"/>
      <c r="BP416" s="28"/>
      <c r="BQ416" s="28"/>
      <c r="BR416" s="28"/>
      <c r="BS416" s="28"/>
      <c r="BT416" s="28"/>
      <c r="BU416" s="28"/>
      <c r="BV416" s="28"/>
      <c r="BW416" s="28"/>
      <c r="BX416" s="28"/>
      <c r="FL416" s="33" t="s">
        <v>1428</v>
      </c>
      <c r="FM416" s="33" t="s">
        <v>255</v>
      </c>
    </row>
    <row r="417" spans="1:194" ht="23.25" customHeight="1" x14ac:dyDescent="0.15">
      <c r="A417" s="26">
        <v>44660.486530717593</v>
      </c>
      <c r="B417" s="27" t="s">
        <v>6</v>
      </c>
      <c r="C417" s="27" t="s">
        <v>10</v>
      </c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7" t="s">
        <v>1468</v>
      </c>
      <c r="AO417" s="27" t="s">
        <v>1469</v>
      </c>
      <c r="AP417" s="27" t="s">
        <v>1470</v>
      </c>
      <c r="AQ417" s="27" t="s">
        <v>300</v>
      </c>
      <c r="AR417" s="29">
        <v>44473</v>
      </c>
      <c r="AS417" s="29">
        <v>44561</v>
      </c>
      <c r="AT417" s="27" t="s">
        <v>252</v>
      </c>
      <c r="AU417" s="27" t="s">
        <v>252</v>
      </c>
      <c r="AV417" s="27">
        <v>0</v>
      </c>
      <c r="AW417" s="30" t="s">
        <v>1471</v>
      </c>
      <c r="AX417" s="28"/>
      <c r="AY417" s="28"/>
      <c r="AZ417" s="28"/>
      <c r="BA417" s="28"/>
      <c r="BB417" s="28"/>
      <c r="BC417" s="28"/>
      <c r="BD417" s="28"/>
      <c r="BE417" s="28"/>
      <c r="BF417" s="28"/>
      <c r="BG417" s="28"/>
      <c r="BH417" s="28"/>
      <c r="BI417" s="28"/>
      <c r="BJ417" s="28"/>
      <c r="BK417" s="28"/>
      <c r="BL417" s="28"/>
      <c r="BM417" s="28"/>
      <c r="BN417" s="28"/>
      <c r="BO417" s="28"/>
      <c r="BP417" s="28"/>
      <c r="BQ417" s="28"/>
      <c r="BR417" s="28"/>
      <c r="BS417" s="28"/>
      <c r="BT417" s="28"/>
      <c r="BU417" s="28"/>
      <c r="BV417" s="28"/>
      <c r="BW417" s="28"/>
      <c r="BX417" s="28"/>
      <c r="FL417" s="33" t="s">
        <v>1472</v>
      </c>
      <c r="FM417" s="33" t="s">
        <v>255</v>
      </c>
    </row>
    <row r="418" spans="1:194" ht="23.25" customHeight="1" x14ac:dyDescent="0.15">
      <c r="A418" s="26">
        <v>44660.487247928242</v>
      </c>
      <c r="B418" s="27" t="s">
        <v>6</v>
      </c>
      <c r="C418" s="27" t="s">
        <v>11</v>
      </c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  <c r="AX418" s="27" t="s">
        <v>1312</v>
      </c>
      <c r="AY418" s="27" t="s">
        <v>1313</v>
      </c>
      <c r="AZ418" s="27" t="s">
        <v>1473</v>
      </c>
      <c r="BA418" s="27" t="s">
        <v>1474</v>
      </c>
      <c r="BB418" s="27">
        <v>2</v>
      </c>
      <c r="BC418" s="29">
        <v>43505</v>
      </c>
      <c r="BD418" s="29">
        <v>43506</v>
      </c>
      <c r="BE418" s="29">
        <v>43506</v>
      </c>
      <c r="BF418" s="27">
        <v>100</v>
      </c>
      <c r="BG418" s="27" t="s">
        <v>1475</v>
      </c>
      <c r="BH418" s="30" t="s">
        <v>1476</v>
      </c>
      <c r="BI418" s="28"/>
      <c r="BJ418" s="28"/>
      <c r="BK418" s="28"/>
      <c r="BL418" s="28"/>
      <c r="BM418" s="28"/>
      <c r="BN418" s="28"/>
      <c r="BO418" s="28"/>
      <c r="BP418" s="28"/>
      <c r="BQ418" s="28"/>
      <c r="BR418" s="28"/>
      <c r="BS418" s="28"/>
      <c r="BT418" s="28"/>
      <c r="BU418" s="28"/>
      <c r="BV418" s="28"/>
      <c r="BW418" s="28"/>
      <c r="BX418" s="28"/>
      <c r="FL418" s="33" t="s">
        <v>1318</v>
      </c>
      <c r="FM418" s="33" t="s">
        <v>255</v>
      </c>
    </row>
    <row r="419" spans="1:194" ht="23.25" customHeight="1" x14ac:dyDescent="0.15">
      <c r="A419" s="26">
        <v>44660.489501504635</v>
      </c>
      <c r="B419" s="27" t="s">
        <v>6</v>
      </c>
      <c r="C419" s="27" t="s">
        <v>10</v>
      </c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7" t="s">
        <v>1477</v>
      </c>
      <c r="AO419" s="27" t="s">
        <v>1425</v>
      </c>
      <c r="AP419" s="27" t="s">
        <v>1251</v>
      </c>
      <c r="AQ419" s="27" t="s">
        <v>346</v>
      </c>
      <c r="AR419" s="29">
        <v>44615</v>
      </c>
      <c r="AS419" s="29">
        <v>44680</v>
      </c>
      <c r="AT419" s="27" t="s">
        <v>252</v>
      </c>
      <c r="AU419" s="27" t="s">
        <v>252</v>
      </c>
      <c r="AV419" s="27">
        <v>0</v>
      </c>
      <c r="AW419" s="30" t="s">
        <v>1478</v>
      </c>
      <c r="AX419" s="28"/>
      <c r="AY419" s="28"/>
      <c r="AZ419" s="28"/>
      <c r="BA419" s="28"/>
      <c r="BB419" s="28"/>
      <c r="BC419" s="28"/>
      <c r="BD419" s="28"/>
      <c r="BE419" s="28"/>
      <c r="BF419" s="28"/>
      <c r="BG419" s="28"/>
      <c r="BH419" s="28"/>
      <c r="BI419" s="28"/>
      <c r="BJ419" s="28"/>
      <c r="BK419" s="28"/>
      <c r="BL419" s="28"/>
      <c r="BM419" s="28"/>
      <c r="BN419" s="28"/>
      <c r="BO419" s="28"/>
      <c r="BP419" s="28"/>
      <c r="BQ419" s="28"/>
      <c r="BR419" s="28"/>
      <c r="BS419" s="28"/>
      <c r="BT419" s="28"/>
      <c r="BU419" s="28"/>
      <c r="BV419" s="28"/>
      <c r="BW419" s="28"/>
      <c r="BX419" s="28"/>
      <c r="FL419" s="33" t="s">
        <v>1428</v>
      </c>
      <c r="FM419" s="33" t="s">
        <v>255</v>
      </c>
    </row>
    <row r="420" spans="1:194" ht="23.25" customHeight="1" x14ac:dyDescent="0.15">
      <c r="A420" s="26">
        <v>44660.490515682875</v>
      </c>
      <c r="B420" s="27" t="s">
        <v>6</v>
      </c>
      <c r="C420" s="27" t="s">
        <v>11</v>
      </c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  <c r="AX420" s="27" t="s">
        <v>1312</v>
      </c>
      <c r="AY420" s="27" t="s">
        <v>1313</v>
      </c>
      <c r="AZ420" s="27" t="s">
        <v>1085</v>
      </c>
      <c r="BA420" s="27" t="s">
        <v>1479</v>
      </c>
      <c r="BB420" s="27">
        <v>2</v>
      </c>
      <c r="BC420" s="29">
        <v>44295</v>
      </c>
      <c r="BD420" s="29">
        <v>44419</v>
      </c>
      <c r="BE420" s="29">
        <v>44415</v>
      </c>
      <c r="BF420" s="27">
        <v>100</v>
      </c>
      <c r="BG420" s="27" t="s">
        <v>1480</v>
      </c>
      <c r="BH420" s="30" t="s">
        <v>1481</v>
      </c>
      <c r="BI420" s="28"/>
      <c r="BJ420" s="28"/>
      <c r="BK420" s="28"/>
      <c r="BL420" s="28"/>
      <c r="BM420" s="28"/>
      <c r="BN420" s="28"/>
      <c r="BO420" s="28"/>
      <c r="BP420" s="28"/>
      <c r="BQ420" s="28"/>
      <c r="BR420" s="28"/>
      <c r="BS420" s="28"/>
      <c r="BT420" s="28"/>
      <c r="BU420" s="28"/>
      <c r="BV420" s="28"/>
      <c r="BW420" s="28"/>
      <c r="BX420" s="28"/>
      <c r="FL420" s="33" t="s">
        <v>1318</v>
      </c>
      <c r="FM420" s="33" t="s">
        <v>255</v>
      </c>
    </row>
    <row r="421" spans="1:194" ht="23.25" customHeight="1" x14ac:dyDescent="0.15">
      <c r="A421" s="26">
        <v>44660.49571643518</v>
      </c>
      <c r="B421" s="27" t="s">
        <v>6</v>
      </c>
      <c r="C421" s="27" t="s">
        <v>17</v>
      </c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  <c r="AX421" s="28"/>
      <c r="AY421" s="28"/>
      <c r="AZ421" s="28"/>
      <c r="BA421" s="28"/>
      <c r="BB421" s="28"/>
      <c r="BC421" s="28"/>
      <c r="BD421" s="28"/>
      <c r="BE421" s="28"/>
      <c r="BF421" s="28"/>
      <c r="BG421" s="28"/>
      <c r="BH421" s="28"/>
      <c r="BI421" s="28"/>
      <c r="BJ421" s="28"/>
      <c r="BK421" s="28"/>
      <c r="BL421" s="28"/>
      <c r="BM421" s="28"/>
      <c r="BN421" s="28"/>
      <c r="BO421" s="28"/>
      <c r="BP421" s="28"/>
      <c r="BQ421" s="28"/>
      <c r="BR421" s="28"/>
      <c r="BS421" s="28"/>
      <c r="BT421" s="28"/>
      <c r="BU421" s="28"/>
      <c r="BV421" s="28"/>
      <c r="BW421" s="28"/>
      <c r="BX421" s="28"/>
      <c r="DX421" s="33" t="s">
        <v>1482</v>
      </c>
      <c r="DY421" s="33" t="s">
        <v>1415</v>
      </c>
      <c r="DZ421" s="33" t="s">
        <v>166</v>
      </c>
      <c r="EA421" s="33" t="s">
        <v>1483</v>
      </c>
      <c r="EB421" s="34">
        <v>44311</v>
      </c>
      <c r="EC421" s="33" t="s">
        <v>1484</v>
      </c>
      <c r="ED421" s="35" t="s">
        <v>1485</v>
      </c>
      <c r="FL421" s="33" t="s">
        <v>1419</v>
      </c>
      <c r="FM421" s="33" t="s">
        <v>339</v>
      </c>
    </row>
    <row r="422" spans="1:194" ht="23.25" customHeight="1" x14ac:dyDescent="0.15">
      <c r="A422" s="26">
        <v>44660.496799004628</v>
      </c>
      <c r="B422" s="27" t="s">
        <v>6</v>
      </c>
      <c r="C422" s="27" t="s">
        <v>11</v>
      </c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  <c r="AX422" s="27" t="s">
        <v>1312</v>
      </c>
      <c r="AY422" s="27" t="s">
        <v>1313</v>
      </c>
      <c r="AZ422" s="27" t="s">
        <v>1486</v>
      </c>
      <c r="BA422" s="27" t="s">
        <v>343</v>
      </c>
      <c r="BB422" s="27" t="s">
        <v>308</v>
      </c>
      <c r="BC422" s="29">
        <v>44317</v>
      </c>
      <c r="BD422" s="29">
        <v>44378</v>
      </c>
      <c r="BE422" s="29">
        <v>44347</v>
      </c>
      <c r="BF422" s="27">
        <v>100</v>
      </c>
      <c r="BG422" s="27" t="s">
        <v>1487</v>
      </c>
      <c r="BH422" s="30" t="s">
        <v>1488</v>
      </c>
      <c r="BI422" s="28"/>
      <c r="BJ422" s="28"/>
      <c r="BK422" s="28"/>
      <c r="BL422" s="28"/>
      <c r="BM422" s="28"/>
      <c r="BN422" s="28"/>
      <c r="BO422" s="28"/>
      <c r="BP422" s="28"/>
      <c r="BQ422" s="28"/>
      <c r="BR422" s="28"/>
      <c r="BS422" s="28"/>
      <c r="BT422" s="28"/>
      <c r="BU422" s="28"/>
      <c r="BV422" s="28"/>
      <c r="BW422" s="28"/>
      <c r="BX422" s="28"/>
      <c r="FL422" s="33" t="s">
        <v>1318</v>
      </c>
      <c r="FM422" s="33" t="s">
        <v>255</v>
      </c>
    </row>
    <row r="423" spans="1:194" ht="23.25" customHeight="1" x14ac:dyDescent="0.15">
      <c r="A423" s="26">
        <v>44660.497437407408</v>
      </c>
      <c r="B423" s="27" t="s">
        <v>6</v>
      </c>
      <c r="C423" s="27" t="s">
        <v>11</v>
      </c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  <c r="AX423" s="27" t="s">
        <v>1468</v>
      </c>
      <c r="AY423" s="27" t="s">
        <v>1469</v>
      </c>
      <c r="AZ423" s="27" t="s">
        <v>1489</v>
      </c>
      <c r="BA423" s="27" t="s">
        <v>335</v>
      </c>
      <c r="BB423" s="27" t="s">
        <v>1490</v>
      </c>
      <c r="BC423" s="29">
        <v>44317</v>
      </c>
      <c r="BD423" s="29">
        <v>44742</v>
      </c>
      <c r="BE423" s="29">
        <v>44385</v>
      </c>
      <c r="BF423" s="27">
        <v>90</v>
      </c>
      <c r="BG423" s="27" t="s">
        <v>1491</v>
      </c>
      <c r="BH423" s="30" t="s">
        <v>1492</v>
      </c>
      <c r="BI423" s="28"/>
      <c r="BJ423" s="28"/>
      <c r="BK423" s="28"/>
      <c r="BL423" s="28"/>
      <c r="BM423" s="28"/>
      <c r="BN423" s="28"/>
      <c r="BO423" s="28"/>
      <c r="BP423" s="28"/>
      <c r="BQ423" s="28"/>
      <c r="BR423" s="28"/>
      <c r="BS423" s="28"/>
      <c r="BT423" s="28"/>
      <c r="BU423" s="28"/>
      <c r="BV423" s="28"/>
      <c r="BW423" s="28"/>
      <c r="BX423" s="28"/>
      <c r="FL423" s="33" t="s">
        <v>1472</v>
      </c>
      <c r="FM423" s="33" t="s">
        <v>255</v>
      </c>
    </row>
    <row r="424" spans="1:194" ht="23.25" customHeight="1" x14ac:dyDescent="0.15">
      <c r="A424" s="26">
        <v>44660.497953032405</v>
      </c>
      <c r="B424" s="27" t="s">
        <v>6</v>
      </c>
      <c r="C424" s="27" t="s">
        <v>11</v>
      </c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  <c r="AX424" s="27" t="s">
        <v>1493</v>
      </c>
      <c r="AY424" s="27" t="s">
        <v>1494</v>
      </c>
      <c r="AZ424" s="27" t="s">
        <v>1495</v>
      </c>
      <c r="BA424" s="27" t="s">
        <v>1496</v>
      </c>
      <c r="BB424" s="27">
        <v>2</v>
      </c>
      <c r="BC424" s="29">
        <v>43694</v>
      </c>
      <c r="BD424" s="29">
        <v>43695</v>
      </c>
      <c r="BE424" s="29">
        <v>43695</v>
      </c>
      <c r="BF424" s="27">
        <v>100</v>
      </c>
      <c r="BG424" s="27" t="s">
        <v>337</v>
      </c>
      <c r="BH424" s="30" t="s">
        <v>1497</v>
      </c>
      <c r="BI424" s="28"/>
      <c r="BJ424" s="28"/>
      <c r="BK424" s="28"/>
      <c r="BL424" s="28"/>
      <c r="BM424" s="28"/>
      <c r="BN424" s="28"/>
      <c r="BO424" s="28"/>
      <c r="BP424" s="28"/>
      <c r="BQ424" s="28"/>
      <c r="BR424" s="28"/>
      <c r="BS424" s="28"/>
      <c r="BT424" s="28"/>
      <c r="BU424" s="28"/>
      <c r="BV424" s="28"/>
      <c r="BW424" s="28"/>
      <c r="BX424" s="28"/>
      <c r="FL424" s="33" t="s">
        <v>1498</v>
      </c>
      <c r="FM424" s="33" t="s">
        <v>255</v>
      </c>
    </row>
    <row r="425" spans="1:194" ht="23.25" customHeight="1" x14ac:dyDescent="0.15">
      <c r="A425" s="26">
        <v>44660.498916631943</v>
      </c>
      <c r="B425" s="27" t="s">
        <v>6</v>
      </c>
      <c r="C425" s="27" t="s">
        <v>11</v>
      </c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  <c r="AX425" s="27" t="s">
        <v>1312</v>
      </c>
      <c r="AY425" s="27" t="s">
        <v>1313</v>
      </c>
      <c r="AZ425" s="27" t="s">
        <v>1499</v>
      </c>
      <c r="BA425" s="27" t="s">
        <v>375</v>
      </c>
      <c r="BB425" s="27" t="s">
        <v>1332</v>
      </c>
      <c r="BC425" s="29">
        <v>43607</v>
      </c>
      <c r="BD425" s="29">
        <v>43675</v>
      </c>
      <c r="BE425" s="29">
        <v>43675</v>
      </c>
      <c r="BF425" s="27">
        <v>100</v>
      </c>
      <c r="BG425" s="27" t="s">
        <v>1500</v>
      </c>
      <c r="BH425" s="30" t="s">
        <v>1501</v>
      </c>
      <c r="BI425" s="28"/>
      <c r="BJ425" s="28"/>
      <c r="BK425" s="28"/>
      <c r="BL425" s="28"/>
      <c r="BM425" s="28"/>
      <c r="BN425" s="28"/>
      <c r="BO425" s="28"/>
      <c r="BP425" s="28"/>
      <c r="BQ425" s="28"/>
      <c r="BR425" s="28"/>
      <c r="BS425" s="28"/>
      <c r="BT425" s="28"/>
      <c r="BU425" s="28"/>
      <c r="BV425" s="28"/>
      <c r="BW425" s="28"/>
      <c r="BX425" s="28"/>
      <c r="FL425" s="33" t="s">
        <v>1318</v>
      </c>
      <c r="FM425" s="33" t="s">
        <v>255</v>
      </c>
    </row>
    <row r="426" spans="1:194" ht="23.25" customHeight="1" x14ac:dyDescent="0.15">
      <c r="A426" s="26">
        <v>44660.498939826386</v>
      </c>
      <c r="B426" s="27" t="s">
        <v>6</v>
      </c>
      <c r="C426" s="27" t="s">
        <v>17</v>
      </c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  <c r="AX426" s="28"/>
      <c r="AY426" s="28"/>
      <c r="AZ426" s="28"/>
      <c r="BA426" s="28"/>
      <c r="BB426" s="28"/>
      <c r="BC426" s="28"/>
      <c r="BD426" s="28"/>
      <c r="BE426" s="28"/>
      <c r="BF426" s="28"/>
      <c r="BG426" s="28"/>
      <c r="BH426" s="28"/>
      <c r="BI426" s="28"/>
      <c r="BJ426" s="28"/>
      <c r="BK426" s="28"/>
      <c r="BL426" s="28"/>
      <c r="BM426" s="28"/>
      <c r="BN426" s="28"/>
      <c r="BO426" s="28"/>
      <c r="BP426" s="28"/>
      <c r="BQ426" s="28"/>
      <c r="BR426" s="28"/>
      <c r="BS426" s="28"/>
      <c r="BT426" s="28"/>
      <c r="BU426" s="28"/>
      <c r="BV426" s="28"/>
      <c r="BW426" s="28"/>
      <c r="BX426" s="28"/>
      <c r="DX426" s="33" t="s">
        <v>1482</v>
      </c>
      <c r="DY426" s="33" t="s">
        <v>1415</v>
      </c>
      <c r="DZ426" s="33" t="s">
        <v>154</v>
      </c>
      <c r="EA426" s="33" t="s">
        <v>1502</v>
      </c>
      <c r="EB426" s="34">
        <v>43580</v>
      </c>
      <c r="EC426" s="33" t="s">
        <v>1503</v>
      </c>
      <c r="ED426" s="35" t="s">
        <v>1504</v>
      </c>
      <c r="FL426" s="33" t="s">
        <v>1419</v>
      </c>
      <c r="FM426" s="33" t="s">
        <v>552</v>
      </c>
    </row>
    <row r="427" spans="1:194" ht="23.25" customHeight="1" x14ac:dyDescent="0.15">
      <c r="A427" s="26">
        <v>44660.5001634375</v>
      </c>
      <c r="B427" s="27" t="s">
        <v>6</v>
      </c>
      <c r="C427" s="27" t="s">
        <v>17</v>
      </c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  <c r="AX427" s="28"/>
      <c r="AY427" s="28"/>
      <c r="AZ427" s="28"/>
      <c r="BA427" s="28"/>
      <c r="BB427" s="28"/>
      <c r="BC427" s="28"/>
      <c r="BD427" s="28"/>
      <c r="BE427" s="28"/>
      <c r="BF427" s="28"/>
      <c r="BG427" s="28"/>
      <c r="BH427" s="28"/>
      <c r="BI427" s="28"/>
      <c r="BJ427" s="28"/>
      <c r="BK427" s="28"/>
      <c r="BL427" s="28"/>
      <c r="BM427" s="28"/>
      <c r="BN427" s="28"/>
      <c r="BO427" s="28"/>
      <c r="BP427" s="28"/>
      <c r="BQ427" s="28"/>
      <c r="BR427" s="28"/>
      <c r="BS427" s="28"/>
      <c r="BT427" s="28"/>
      <c r="BU427" s="28"/>
      <c r="BV427" s="28"/>
      <c r="BW427" s="28"/>
      <c r="BX427" s="28"/>
      <c r="DX427" s="33" t="s">
        <v>1468</v>
      </c>
      <c r="DY427" s="33" t="s">
        <v>1469</v>
      </c>
      <c r="DZ427" s="33" t="s">
        <v>145</v>
      </c>
      <c r="EA427" s="33" t="s">
        <v>1505</v>
      </c>
      <c r="EB427" s="34">
        <v>43577</v>
      </c>
      <c r="EC427" s="33" t="s">
        <v>1506</v>
      </c>
      <c r="ED427" s="35" t="s">
        <v>1507</v>
      </c>
      <c r="FL427" s="33" t="s">
        <v>1472</v>
      </c>
      <c r="FM427" s="33" t="s">
        <v>255</v>
      </c>
    </row>
    <row r="428" spans="1:194" ht="23.25" customHeight="1" x14ac:dyDescent="0.15">
      <c r="A428" s="26">
        <v>44660.501174606485</v>
      </c>
      <c r="B428" s="27" t="s">
        <v>6</v>
      </c>
      <c r="C428" s="27" t="s">
        <v>11</v>
      </c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  <c r="AX428" s="27" t="s">
        <v>1508</v>
      </c>
      <c r="AY428" s="27" t="s">
        <v>1494</v>
      </c>
      <c r="AZ428" s="27" t="s">
        <v>1509</v>
      </c>
      <c r="BA428" s="27" t="s">
        <v>343</v>
      </c>
      <c r="BB428" s="27" t="s">
        <v>308</v>
      </c>
      <c r="BC428" s="29">
        <v>43911</v>
      </c>
      <c r="BD428" s="29">
        <v>43982</v>
      </c>
      <c r="BE428" s="29">
        <v>43982</v>
      </c>
      <c r="BF428" s="27">
        <v>100</v>
      </c>
      <c r="BG428" s="27" t="s">
        <v>1510</v>
      </c>
      <c r="BH428" s="30" t="s">
        <v>1511</v>
      </c>
      <c r="BI428" s="28"/>
      <c r="BJ428" s="28"/>
      <c r="BK428" s="28"/>
      <c r="BL428" s="28"/>
      <c r="BM428" s="28"/>
      <c r="BN428" s="28"/>
      <c r="BO428" s="28"/>
      <c r="BP428" s="28"/>
      <c r="BQ428" s="28"/>
      <c r="BR428" s="28"/>
      <c r="BS428" s="28"/>
      <c r="BT428" s="28"/>
      <c r="BU428" s="28"/>
      <c r="BV428" s="28"/>
      <c r="BW428" s="28"/>
      <c r="BX428" s="28"/>
      <c r="FL428" s="33" t="s">
        <v>1498</v>
      </c>
      <c r="FM428" s="33" t="s">
        <v>255</v>
      </c>
    </row>
    <row r="429" spans="1:194" ht="23.25" customHeight="1" x14ac:dyDescent="0.15">
      <c r="A429" s="26">
        <v>44660.502458541669</v>
      </c>
      <c r="B429" s="27" t="s">
        <v>6</v>
      </c>
      <c r="C429" s="27" t="s">
        <v>22</v>
      </c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  <c r="AX429" s="28"/>
      <c r="AY429" s="28"/>
      <c r="AZ429" s="28"/>
      <c r="BA429" s="28"/>
      <c r="BB429" s="28"/>
      <c r="BC429" s="28"/>
      <c r="BD429" s="28"/>
      <c r="BE429" s="28"/>
      <c r="BF429" s="28"/>
      <c r="BG429" s="28"/>
      <c r="BH429" s="28"/>
      <c r="BI429" s="28"/>
      <c r="BJ429" s="28"/>
      <c r="BK429" s="28"/>
      <c r="BL429" s="28"/>
      <c r="BM429" s="28"/>
      <c r="BN429" s="28"/>
      <c r="BO429" s="28"/>
      <c r="BP429" s="28"/>
      <c r="BQ429" s="28"/>
      <c r="BR429" s="28"/>
      <c r="BS429" s="28"/>
      <c r="BT429" s="28"/>
      <c r="BU429" s="28"/>
      <c r="BV429" s="28"/>
      <c r="BW429" s="28"/>
      <c r="BX429" s="28"/>
      <c r="FL429" s="33" t="s">
        <v>298</v>
      </c>
      <c r="FM429" s="33" t="s">
        <v>255</v>
      </c>
      <c r="GF429" s="33" t="s">
        <v>294</v>
      </c>
      <c r="GG429" s="33" t="s">
        <v>295</v>
      </c>
      <c r="GH429" s="33" t="s">
        <v>1512</v>
      </c>
      <c r="GI429" s="34">
        <v>44569</v>
      </c>
      <c r="GJ429" s="35" t="s">
        <v>1513</v>
      </c>
      <c r="GK429" s="33" t="s">
        <v>1514</v>
      </c>
      <c r="GL429" s="33" t="s">
        <v>1515</v>
      </c>
    </row>
    <row r="430" spans="1:194" ht="23.25" customHeight="1" x14ac:dyDescent="0.15">
      <c r="A430" s="26">
        <v>44660.502499791663</v>
      </c>
      <c r="B430" s="27" t="s">
        <v>6</v>
      </c>
      <c r="C430" s="27" t="s">
        <v>10</v>
      </c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7" t="s">
        <v>1482</v>
      </c>
      <c r="AO430" s="27" t="s">
        <v>1415</v>
      </c>
      <c r="AP430" s="27" t="s">
        <v>634</v>
      </c>
      <c r="AQ430" s="27" t="s">
        <v>300</v>
      </c>
      <c r="AR430" s="29">
        <v>44630</v>
      </c>
      <c r="AS430" s="29">
        <v>44771</v>
      </c>
      <c r="AT430" s="27" t="s">
        <v>252</v>
      </c>
      <c r="AU430" s="27" t="s">
        <v>252</v>
      </c>
      <c r="AV430" s="27">
        <v>0</v>
      </c>
      <c r="AW430" s="30" t="s">
        <v>1516</v>
      </c>
      <c r="AX430" s="28"/>
      <c r="AY430" s="28"/>
      <c r="AZ430" s="28"/>
      <c r="BA430" s="28"/>
      <c r="BB430" s="28"/>
      <c r="BC430" s="28"/>
      <c r="BD430" s="28"/>
      <c r="BE430" s="28"/>
      <c r="BF430" s="28"/>
      <c r="BG430" s="28"/>
      <c r="BH430" s="28"/>
      <c r="BI430" s="28"/>
      <c r="BJ430" s="28"/>
      <c r="BK430" s="28"/>
      <c r="BL430" s="28"/>
      <c r="BM430" s="28"/>
      <c r="BN430" s="28"/>
      <c r="BO430" s="28"/>
      <c r="BP430" s="28"/>
      <c r="BQ430" s="28"/>
      <c r="BR430" s="28"/>
      <c r="BS430" s="28"/>
      <c r="BT430" s="28"/>
      <c r="BU430" s="28"/>
      <c r="BV430" s="28"/>
      <c r="BW430" s="28"/>
      <c r="BX430" s="28"/>
      <c r="FL430" s="33" t="s">
        <v>1419</v>
      </c>
      <c r="FM430" s="33" t="s">
        <v>255</v>
      </c>
    </row>
    <row r="431" spans="1:194" ht="23.25" customHeight="1" x14ac:dyDescent="0.15">
      <c r="A431" s="26">
        <v>44660.503464745372</v>
      </c>
      <c r="B431" s="27" t="s">
        <v>6</v>
      </c>
      <c r="C431" s="27" t="s">
        <v>11</v>
      </c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  <c r="AX431" s="27" t="s">
        <v>1468</v>
      </c>
      <c r="AY431" s="27" t="s">
        <v>1469</v>
      </c>
      <c r="AZ431" s="27" t="s">
        <v>1517</v>
      </c>
      <c r="BA431" s="27" t="s">
        <v>1518</v>
      </c>
      <c r="BB431" s="27" t="s">
        <v>308</v>
      </c>
      <c r="BC431" s="29">
        <v>44317</v>
      </c>
      <c r="BD431" s="29">
        <v>44377</v>
      </c>
      <c r="BE431" s="29">
        <v>44401</v>
      </c>
      <c r="BF431" s="27">
        <v>90</v>
      </c>
      <c r="BG431" s="27" t="s">
        <v>1434</v>
      </c>
      <c r="BH431" s="30" t="s">
        <v>1519</v>
      </c>
      <c r="BI431" s="28"/>
      <c r="BJ431" s="28"/>
      <c r="BK431" s="28"/>
      <c r="BL431" s="28"/>
      <c r="BM431" s="28"/>
      <c r="BN431" s="28"/>
      <c r="BO431" s="28"/>
      <c r="BP431" s="28"/>
      <c r="BQ431" s="28"/>
      <c r="BR431" s="28"/>
      <c r="BS431" s="28"/>
      <c r="BT431" s="28"/>
      <c r="BU431" s="28"/>
      <c r="BV431" s="28"/>
      <c r="BW431" s="28"/>
      <c r="BX431" s="28"/>
      <c r="FL431" s="33" t="s">
        <v>1472</v>
      </c>
      <c r="FM431" s="33" t="s">
        <v>255</v>
      </c>
    </row>
    <row r="432" spans="1:194" ht="23.25" customHeight="1" x14ac:dyDescent="0.15">
      <c r="A432" s="26">
        <v>44660.503524398147</v>
      </c>
      <c r="B432" s="27" t="s">
        <v>6</v>
      </c>
      <c r="C432" s="27" t="s">
        <v>11</v>
      </c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  <c r="AX432" s="27" t="s">
        <v>1520</v>
      </c>
      <c r="AY432" s="27" t="s">
        <v>1494</v>
      </c>
      <c r="AZ432" s="27" t="s">
        <v>545</v>
      </c>
      <c r="BA432" s="27" t="s">
        <v>343</v>
      </c>
      <c r="BB432" s="27" t="s">
        <v>308</v>
      </c>
      <c r="BC432" s="29">
        <v>43911</v>
      </c>
      <c r="BD432" s="29">
        <v>43962</v>
      </c>
      <c r="BE432" s="29">
        <v>43962</v>
      </c>
      <c r="BF432" s="27">
        <v>100</v>
      </c>
      <c r="BG432" s="27" t="s">
        <v>1510</v>
      </c>
      <c r="BH432" s="30" t="s">
        <v>1521</v>
      </c>
      <c r="BI432" s="28"/>
      <c r="BJ432" s="28"/>
      <c r="BK432" s="28"/>
      <c r="BL432" s="28"/>
      <c r="BM432" s="28"/>
      <c r="BN432" s="28"/>
      <c r="BO432" s="28"/>
      <c r="BP432" s="28"/>
      <c r="BQ432" s="28"/>
      <c r="BR432" s="28"/>
      <c r="BS432" s="28"/>
      <c r="BT432" s="28"/>
      <c r="BU432" s="28"/>
      <c r="BV432" s="28"/>
      <c r="BW432" s="28"/>
      <c r="BX432" s="28"/>
      <c r="FL432" s="33" t="s">
        <v>1498</v>
      </c>
      <c r="FM432" s="33" t="s">
        <v>255</v>
      </c>
    </row>
    <row r="433" spans="1:169" ht="23.25" customHeight="1" x14ac:dyDescent="0.15">
      <c r="A433" s="26">
        <v>44660.505063125005</v>
      </c>
      <c r="B433" s="27" t="s">
        <v>6</v>
      </c>
      <c r="C433" s="27" t="s">
        <v>11</v>
      </c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  <c r="AX433" s="27" t="s">
        <v>1482</v>
      </c>
      <c r="AY433" s="27" t="s">
        <v>1415</v>
      </c>
      <c r="AZ433" s="27" t="s">
        <v>1522</v>
      </c>
      <c r="BA433" s="27" t="s">
        <v>1375</v>
      </c>
      <c r="BB433" s="27" t="s">
        <v>493</v>
      </c>
      <c r="BC433" s="29">
        <v>43925</v>
      </c>
      <c r="BD433" s="29">
        <v>43955</v>
      </c>
      <c r="BE433" s="29">
        <v>43955</v>
      </c>
      <c r="BF433" s="27">
        <v>98</v>
      </c>
      <c r="BG433" s="27" t="s">
        <v>520</v>
      </c>
      <c r="BH433" s="30" t="s">
        <v>1523</v>
      </c>
      <c r="BI433" s="28"/>
      <c r="BJ433" s="28"/>
      <c r="BK433" s="28"/>
      <c r="BL433" s="28"/>
      <c r="BM433" s="28"/>
      <c r="BN433" s="28"/>
      <c r="BO433" s="28"/>
      <c r="BP433" s="28"/>
      <c r="BQ433" s="28"/>
      <c r="BR433" s="28"/>
      <c r="BS433" s="28"/>
      <c r="BT433" s="28"/>
      <c r="BU433" s="28"/>
      <c r="BV433" s="28"/>
      <c r="BW433" s="28"/>
      <c r="BX433" s="28"/>
      <c r="FL433" s="33" t="s">
        <v>1419</v>
      </c>
      <c r="FM433" s="33" t="s">
        <v>321</v>
      </c>
    </row>
    <row r="434" spans="1:169" ht="23.25" customHeight="1" x14ac:dyDescent="0.15">
      <c r="A434" s="26">
        <v>44660.506711481481</v>
      </c>
      <c r="B434" s="27" t="s">
        <v>6</v>
      </c>
      <c r="C434" s="27" t="s">
        <v>11</v>
      </c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  <c r="AX434" s="27" t="s">
        <v>1520</v>
      </c>
      <c r="AY434" s="27" t="s">
        <v>1494</v>
      </c>
      <c r="AZ434" s="27" t="s">
        <v>1499</v>
      </c>
      <c r="BA434" s="27" t="s">
        <v>375</v>
      </c>
      <c r="BB434" s="27" t="s">
        <v>493</v>
      </c>
      <c r="BC434" s="29">
        <v>43641</v>
      </c>
      <c r="BD434" s="29">
        <v>43675</v>
      </c>
      <c r="BE434" s="29">
        <v>43675</v>
      </c>
      <c r="BF434" s="27">
        <v>100</v>
      </c>
      <c r="BG434" s="27" t="s">
        <v>1524</v>
      </c>
      <c r="BH434" s="30" t="s">
        <v>1525</v>
      </c>
      <c r="BI434" s="28"/>
      <c r="BJ434" s="28"/>
      <c r="BK434" s="28"/>
      <c r="BL434" s="28"/>
      <c r="BM434" s="28"/>
      <c r="BN434" s="28"/>
      <c r="BO434" s="28"/>
      <c r="BP434" s="28"/>
      <c r="BQ434" s="28"/>
      <c r="BR434" s="28"/>
      <c r="BS434" s="28"/>
      <c r="BT434" s="28"/>
      <c r="BU434" s="28"/>
      <c r="BV434" s="28"/>
      <c r="BW434" s="28"/>
      <c r="BX434" s="28"/>
      <c r="FL434" s="33" t="s">
        <v>1498</v>
      </c>
      <c r="FM434" s="33" t="s">
        <v>255</v>
      </c>
    </row>
    <row r="435" spans="1:169" ht="23.25" customHeight="1" x14ac:dyDescent="0.15">
      <c r="A435" s="26">
        <v>44660.506754085647</v>
      </c>
      <c r="B435" s="27" t="s">
        <v>6</v>
      </c>
      <c r="C435" s="27" t="s">
        <v>11</v>
      </c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  <c r="AX435" s="27" t="s">
        <v>1468</v>
      </c>
      <c r="AY435" s="27" t="s">
        <v>1469</v>
      </c>
      <c r="AZ435" s="27" t="s">
        <v>1526</v>
      </c>
      <c r="BA435" s="27" t="s">
        <v>1527</v>
      </c>
      <c r="BB435" s="27" t="s">
        <v>473</v>
      </c>
      <c r="BC435" s="29">
        <v>44197</v>
      </c>
      <c r="BD435" s="29">
        <v>44316</v>
      </c>
      <c r="BE435" s="29">
        <v>44318</v>
      </c>
      <c r="BF435" s="27">
        <v>77</v>
      </c>
      <c r="BG435" s="27" t="s">
        <v>363</v>
      </c>
      <c r="BH435" s="30" t="s">
        <v>1528</v>
      </c>
      <c r="BI435" s="28"/>
      <c r="BJ435" s="28"/>
      <c r="BK435" s="28"/>
      <c r="BL435" s="28"/>
      <c r="BM435" s="28"/>
      <c r="BN435" s="28"/>
      <c r="BO435" s="28"/>
      <c r="BP435" s="28"/>
      <c r="BQ435" s="28"/>
      <c r="BR435" s="28"/>
      <c r="BS435" s="28"/>
      <c r="BT435" s="28"/>
      <c r="BU435" s="28"/>
      <c r="BV435" s="28"/>
      <c r="BW435" s="28"/>
      <c r="BX435" s="28"/>
      <c r="FL435" s="33" t="s">
        <v>1472</v>
      </c>
      <c r="FM435" s="33" t="s">
        <v>255</v>
      </c>
    </row>
    <row r="436" spans="1:169" ht="23.25" customHeight="1" x14ac:dyDescent="0.15">
      <c r="A436" s="26">
        <v>44660.509046307867</v>
      </c>
      <c r="B436" s="27" t="s">
        <v>6</v>
      </c>
      <c r="C436" s="27" t="s">
        <v>10</v>
      </c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7" t="s">
        <v>1508</v>
      </c>
      <c r="AO436" s="27" t="s">
        <v>1494</v>
      </c>
      <c r="AP436" s="27" t="s">
        <v>820</v>
      </c>
      <c r="AQ436" s="27" t="s">
        <v>493</v>
      </c>
      <c r="AR436" s="29">
        <v>43999</v>
      </c>
      <c r="AS436" s="29">
        <v>44024</v>
      </c>
      <c r="AT436" s="27" t="s">
        <v>252</v>
      </c>
      <c r="AU436" s="27" t="s">
        <v>252</v>
      </c>
      <c r="AV436" s="27">
        <v>0</v>
      </c>
      <c r="AW436" s="30" t="s">
        <v>1529</v>
      </c>
      <c r="AX436" s="28"/>
      <c r="AY436" s="28"/>
      <c r="AZ436" s="28"/>
      <c r="BA436" s="28"/>
      <c r="BB436" s="28"/>
      <c r="BC436" s="28"/>
      <c r="BD436" s="28"/>
      <c r="BE436" s="28"/>
      <c r="BF436" s="28"/>
      <c r="BG436" s="28"/>
      <c r="BH436" s="28"/>
      <c r="BI436" s="28"/>
      <c r="BJ436" s="28"/>
      <c r="BK436" s="28"/>
      <c r="BL436" s="28"/>
      <c r="BM436" s="28"/>
      <c r="BN436" s="28"/>
      <c r="BO436" s="28"/>
      <c r="BP436" s="28"/>
      <c r="BQ436" s="28"/>
      <c r="BR436" s="28"/>
      <c r="BS436" s="28"/>
      <c r="BT436" s="28"/>
      <c r="BU436" s="28"/>
      <c r="BV436" s="28"/>
      <c r="BW436" s="28"/>
      <c r="BX436" s="28"/>
      <c r="FL436" s="33" t="s">
        <v>1498</v>
      </c>
      <c r="FM436" s="33" t="s">
        <v>255</v>
      </c>
    </row>
    <row r="437" spans="1:169" ht="23.25" customHeight="1" x14ac:dyDescent="0.15">
      <c r="A437" s="26">
        <v>44660.509556631943</v>
      </c>
      <c r="B437" s="27" t="s">
        <v>6</v>
      </c>
      <c r="C437" s="27" t="s">
        <v>10</v>
      </c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7" t="s">
        <v>1530</v>
      </c>
      <c r="AO437" s="27" t="s">
        <v>1313</v>
      </c>
      <c r="AP437" s="27" t="s">
        <v>264</v>
      </c>
      <c r="AQ437" s="27" t="s">
        <v>1065</v>
      </c>
      <c r="AR437" s="29">
        <v>44593</v>
      </c>
      <c r="AS437" s="29">
        <v>44708</v>
      </c>
      <c r="AT437" s="27" t="s">
        <v>252</v>
      </c>
      <c r="AU437" s="27" t="s">
        <v>252</v>
      </c>
      <c r="AV437" s="27">
        <v>0</v>
      </c>
      <c r="AW437" s="30" t="s">
        <v>1531</v>
      </c>
      <c r="AX437" s="28"/>
      <c r="AY437" s="28"/>
      <c r="AZ437" s="28"/>
      <c r="BA437" s="28"/>
      <c r="BB437" s="28"/>
      <c r="BC437" s="28"/>
      <c r="BD437" s="28"/>
      <c r="BE437" s="28"/>
      <c r="BF437" s="28"/>
      <c r="BG437" s="28"/>
      <c r="BH437" s="28"/>
      <c r="BI437" s="28"/>
      <c r="BJ437" s="28"/>
      <c r="BK437" s="28"/>
      <c r="BL437" s="28"/>
      <c r="BM437" s="28"/>
      <c r="BN437" s="28"/>
      <c r="BO437" s="28"/>
      <c r="BP437" s="28"/>
      <c r="BQ437" s="28"/>
      <c r="BR437" s="28"/>
      <c r="BS437" s="28"/>
      <c r="BT437" s="28"/>
      <c r="BU437" s="28"/>
      <c r="BV437" s="28"/>
      <c r="BW437" s="28"/>
      <c r="BX437" s="28"/>
      <c r="FL437" s="33" t="s">
        <v>1318</v>
      </c>
      <c r="FM437" s="33" t="s">
        <v>255</v>
      </c>
    </row>
    <row r="438" spans="1:169" ht="23.25" customHeight="1" x14ac:dyDescent="0.15">
      <c r="A438" s="26">
        <v>44660.513256365739</v>
      </c>
      <c r="B438" s="27" t="s">
        <v>6</v>
      </c>
      <c r="C438" s="27" t="s">
        <v>10</v>
      </c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7" t="s">
        <v>1520</v>
      </c>
      <c r="AO438" s="27" t="s">
        <v>1532</v>
      </c>
      <c r="AP438" s="27" t="s">
        <v>264</v>
      </c>
      <c r="AQ438" s="27" t="s">
        <v>448</v>
      </c>
      <c r="AR438" s="29">
        <v>44614</v>
      </c>
      <c r="AS438" s="29">
        <v>44680</v>
      </c>
      <c r="AT438" s="27" t="s">
        <v>252</v>
      </c>
      <c r="AU438" s="27" t="s">
        <v>252</v>
      </c>
      <c r="AV438" s="27">
        <v>0</v>
      </c>
      <c r="AW438" s="30" t="s">
        <v>1533</v>
      </c>
      <c r="AX438" s="28"/>
      <c r="AY438" s="28"/>
      <c r="AZ438" s="28"/>
      <c r="BA438" s="28"/>
      <c r="BB438" s="28"/>
      <c r="BC438" s="28"/>
      <c r="BD438" s="28"/>
      <c r="BE438" s="28"/>
      <c r="BF438" s="28"/>
      <c r="BG438" s="28"/>
      <c r="BH438" s="28"/>
      <c r="BI438" s="28"/>
      <c r="BJ438" s="28"/>
      <c r="BK438" s="28"/>
      <c r="BL438" s="28"/>
      <c r="BM438" s="28"/>
      <c r="BN438" s="28"/>
      <c r="BO438" s="28"/>
      <c r="BP438" s="28"/>
      <c r="BQ438" s="28"/>
      <c r="BR438" s="28"/>
      <c r="BS438" s="28"/>
      <c r="BT438" s="28"/>
      <c r="BU438" s="28"/>
      <c r="BV438" s="28"/>
      <c r="BW438" s="28"/>
      <c r="BX438" s="28"/>
      <c r="FL438" s="33" t="s">
        <v>1498</v>
      </c>
      <c r="FM438" s="33" t="s">
        <v>255</v>
      </c>
    </row>
    <row r="439" spans="1:169" ht="23.25" customHeight="1" x14ac:dyDescent="0.15">
      <c r="A439" s="26">
        <v>44660.514595312503</v>
      </c>
      <c r="B439" s="27" t="s">
        <v>6</v>
      </c>
      <c r="C439" s="27" t="s">
        <v>11</v>
      </c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  <c r="AX439" s="27" t="s">
        <v>1468</v>
      </c>
      <c r="AY439" s="27" t="s">
        <v>1469</v>
      </c>
      <c r="AZ439" s="27" t="s">
        <v>1534</v>
      </c>
      <c r="BA439" s="27" t="s">
        <v>335</v>
      </c>
      <c r="BB439" s="27" t="s">
        <v>1332</v>
      </c>
      <c r="BC439" s="29">
        <v>44136</v>
      </c>
      <c r="BD439" s="29">
        <v>44196</v>
      </c>
      <c r="BE439" s="29">
        <v>44223</v>
      </c>
      <c r="BF439" s="27">
        <v>80</v>
      </c>
      <c r="BG439" s="27" t="s">
        <v>1434</v>
      </c>
      <c r="BH439" s="30" t="s">
        <v>1535</v>
      </c>
      <c r="BI439" s="28"/>
      <c r="BJ439" s="28"/>
      <c r="BK439" s="28"/>
      <c r="BL439" s="28"/>
      <c r="BM439" s="28"/>
      <c r="BN439" s="28"/>
      <c r="BO439" s="28"/>
      <c r="BP439" s="28"/>
      <c r="BQ439" s="28"/>
      <c r="BR439" s="28"/>
      <c r="BS439" s="28"/>
      <c r="BT439" s="28"/>
      <c r="BU439" s="28"/>
      <c r="BV439" s="28"/>
      <c r="BW439" s="28"/>
      <c r="BX439" s="28"/>
      <c r="FL439" s="33" t="s">
        <v>1472</v>
      </c>
      <c r="FM439" s="33" t="s">
        <v>255</v>
      </c>
    </row>
    <row r="440" spans="1:169" ht="23.25" customHeight="1" x14ac:dyDescent="0.15">
      <c r="A440" s="26">
        <v>44660.515269108801</v>
      </c>
      <c r="B440" s="27" t="s">
        <v>6</v>
      </c>
      <c r="C440" s="27" t="s">
        <v>11</v>
      </c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  <c r="AX440" s="27" t="s">
        <v>1536</v>
      </c>
      <c r="AY440" s="27" t="s">
        <v>1537</v>
      </c>
      <c r="AZ440" s="27" t="s">
        <v>1538</v>
      </c>
      <c r="BA440" s="27" t="s">
        <v>343</v>
      </c>
      <c r="BB440" s="27" t="s">
        <v>493</v>
      </c>
      <c r="BC440" s="29">
        <v>44075</v>
      </c>
      <c r="BD440" s="29">
        <v>44086</v>
      </c>
      <c r="BE440" s="29">
        <v>44086</v>
      </c>
      <c r="BF440" s="27" t="s">
        <v>470</v>
      </c>
      <c r="BG440" s="27" t="s">
        <v>470</v>
      </c>
      <c r="BH440" s="30" t="s">
        <v>1539</v>
      </c>
      <c r="BI440" s="28"/>
      <c r="BJ440" s="28"/>
      <c r="BK440" s="28"/>
      <c r="BL440" s="28"/>
      <c r="BM440" s="28"/>
      <c r="BN440" s="28"/>
      <c r="BO440" s="28"/>
      <c r="BP440" s="28"/>
      <c r="BQ440" s="28"/>
      <c r="BR440" s="28"/>
      <c r="BS440" s="28"/>
      <c r="BT440" s="28"/>
      <c r="BU440" s="28"/>
      <c r="BV440" s="28"/>
      <c r="BW440" s="28"/>
      <c r="BX440" s="28"/>
      <c r="FL440" s="33" t="s">
        <v>1540</v>
      </c>
      <c r="FM440" s="33" t="s">
        <v>255</v>
      </c>
    </row>
    <row r="441" spans="1:169" ht="23.25" customHeight="1" x14ac:dyDescent="0.15">
      <c r="A441" s="26">
        <v>44660.515321435189</v>
      </c>
      <c r="B441" s="27" t="s">
        <v>6</v>
      </c>
      <c r="C441" s="27" t="s">
        <v>11</v>
      </c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  <c r="AX441" s="27" t="s">
        <v>1541</v>
      </c>
      <c r="AY441" s="27" t="s">
        <v>738</v>
      </c>
      <c r="AZ441" s="27" t="s">
        <v>1068</v>
      </c>
      <c r="BA441" s="27" t="s">
        <v>343</v>
      </c>
      <c r="BB441" s="27" t="s">
        <v>493</v>
      </c>
      <c r="BC441" s="29">
        <v>43956</v>
      </c>
      <c r="BD441" s="29">
        <v>43984</v>
      </c>
      <c r="BE441" s="29">
        <v>43984</v>
      </c>
      <c r="BF441" s="36">
        <v>0.88</v>
      </c>
      <c r="BG441" s="27" t="s">
        <v>520</v>
      </c>
      <c r="BH441" s="30" t="s">
        <v>1542</v>
      </c>
      <c r="BI441" s="28"/>
      <c r="BJ441" s="28"/>
      <c r="BK441" s="28"/>
      <c r="BL441" s="28"/>
      <c r="BM441" s="28"/>
      <c r="BN441" s="28"/>
      <c r="BO441" s="28"/>
      <c r="BP441" s="28"/>
      <c r="BQ441" s="28"/>
      <c r="BR441" s="28"/>
      <c r="BS441" s="28"/>
      <c r="BT441" s="28"/>
      <c r="BU441" s="28"/>
      <c r="BV441" s="28"/>
      <c r="BW441" s="28"/>
      <c r="BX441" s="28"/>
      <c r="FL441" s="33" t="s">
        <v>741</v>
      </c>
      <c r="FM441" s="33" t="s">
        <v>255</v>
      </c>
    </row>
    <row r="442" spans="1:169" ht="23.25" customHeight="1" x14ac:dyDescent="0.15">
      <c r="A442" s="26">
        <v>44660.515361365746</v>
      </c>
      <c r="B442" s="27" t="s">
        <v>6</v>
      </c>
      <c r="C442" s="27" t="s">
        <v>11</v>
      </c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  <c r="AX442" s="27" t="s">
        <v>1543</v>
      </c>
      <c r="AY442" s="27" t="s">
        <v>1544</v>
      </c>
      <c r="AZ442" s="27" t="s">
        <v>1545</v>
      </c>
      <c r="BA442" s="27" t="s">
        <v>343</v>
      </c>
      <c r="BB442" s="27" t="s">
        <v>1546</v>
      </c>
      <c r="BC442" s="29">
        <v>43914</v>
      </c>
      <c r="BD442" s="29">
        <v>43963</v>
      </c>
      <c r="BE442" s="29">
        <v>43963</v>
      </c>
      <c r="BF442" s="36">
        <v>0.99</v>
      </c>
      <c r="BG442" s="27" t="s">
        <v>1547</v>
      </c>
      <c r="BH442" s="30" t="s">
        <v>1548</v>
      </c>
      <c r="BI442" s="28"/>
      <c r="BJ442" s="28"/>
      <c r="BK442" s="28"/>
      <c r="BL442" s="28"/>
      <c r="BM442" s="28"/>
      <c r="BN442" s="28"/>
      <c r="BO442" s="28"/>
      <c r="BP442" s="28"/>
      <c r="BQ442" s="28"/>
      <c r="BR442" s="28"/>
      <c r="BS442" s="28"/>
      <c r="BT442" s="28"/>
      <c r="BU442" s="28"/>
      <c r="BV442" s="28"/>
      <c r="BW442" s="28"/>
      <c r="BX442" s="28"/>
      <c r="FL442" s="33" t="s">
        <v>1549</v>
      </c>
      <c r="FM442" s="33" t="s">
        <v>321</v>
      </c>
    </row>
    <row r="443" spans="1:169" ht="23.25" customHeight="1" x14ac:dyDescent="0.15">
      <c r="A443" s="26">
        <v>44660.517301458334</v>
      </c>
      <c r="B443" s="27" t="s">
        <v>6</v>
      </c>
      <c r="C443" s="27" t="s">
        <v>11</v>
      </c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  <c r="AX443" s="27" t="s">
        <v>1550</v>
      </c>
      <c r="AY443" s="27" t="s">
        <v>738</v>
      </c>
      <c r="AZ443" s="27" t="s">
        <v>1551</v>
      </c>
      <c r="BA443" s="27" t="s">
        <v>343</v>
      </c>
      <c r="BB443" s="27" t="s">
        <v>408</v>
      </c>
      <c r="BC443" s="29">
        <v>43951</v>
      </c>
      <c r="BD443" s="29">
        <v>43982</v>
      </c>
      <c r="BE443" s="29">
        <v>43982</v>
      </c>
      <c r="BF443" s="27">
        <v>87</v>
      </c>
      <c r="BG443" s="27" t="s">
        <v>1552</v>
      </c>
      <c r="BH443" s="30" t="s">
        <v>1553</v>
      </c>
      <c r="BI443" s="28"/>
      <c r="BJ443" s="28"/>
      <c r="BK443" s="28"/>
      <c r="BL443" s="28"/>
      <c r="BM443" s="28"/>
      <c r="BN443" s="28"/>
      <c r="BO443" s="28"/>
      <c r="BP443" s="28"/>
      <c r="BQ443" s="28"/>
      <c r="BR443" s="28"/>
      <c r="BS443" s="28"/>
      <c r="BT443" s="28"/>
      <c r="BU443" s="28"/>
      <c r="BV443" s="28"/>
      <c r="BW443" s="28"/>
      <c r="BX443" s="28"/>
      <c r="FL443" s="33" t="s">
        <v>741</v>
      </c>
      <c r="FM443" s="33" t="s">
        <v>255</v>
      </c>
    </row>
    <row r="444" spans="1:169" ht="23.25" customHeight="1" x14ac:dyDescent="0.15">
      <c r="A444" s="26">
        <v>44660.517787500001</v>
      </c>
      <c r="B444" s="27" t="s">
        <v>6</v>
      </c>
      <c r="C444" s="27" t="s">
        <v>11</v>
      </c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  <c r="AX444" s="27" t="s">
        <v>1554</v>
      </c>
      <c r="AY444" s="27" t="s">
        <v>1555</v>
      </c>
      <c r="AZ444" s="27" t="s">
        <v>1556</v>
      </c>
      <c r="BA444" s="27" t="s">
        <v>343</v>
      </c>
      <c r="BB444" s="27" t="s">
        <v>1557</v>
      </c>
      <c r="BC444" s="29">
        <v>43832</v>
      </c>
      <c r="BD444" s="29">
        <v>43998</v>
      </c>
      <c r="BE444" s="29">
        <v>43994</v>
      </c>
      <c r="BF444" s="36">
        <v>0.85</v>
      </c>
      <c r="BG444" s="27" t="s">
        <v>1558</v>
      </c>
      <c r="BH444" s="30" t="s">
        <v>1559</v>
      </c>
      <c r="BI444" s="28"/>
      <c r="BJ444" s="28"/>
      <c r="BK444" s="28"/>
      <c r="BL444" s="28"/>
      <c r="BM444" s="28"/>
      <c r="BN444" s="28"/>
      <c r="BO444" s="28"/>
      <c r="BP444" s="28"/>
      <c r="BQ444" s="28"/>
      <c r="BR444" s="28"/>
      <c r="BS444" s="28"/>
      <c r="BT444" s="28"/>
      <c r="BU444" s="28"/>
      <c r="BV444" s="28"/>
      <c r="BW444" s="28"/>
      <c r="BX444" s="28"/>
      <c r="FL444" s="33" t="s">
        <v>1560</v>
      </c>
      <c r="FM444" s="33" t="s">
        <v>255</v>
      </c>
    </row>
    <row r="445" spans="1:169" ht="23.25" customHeight="1" x14ac:dyDescent="0.15">
      <c r="A445" s="26">
        <v>44660.51863766204</v>
      </c>
      <c r="B445" s="27" t="s">
        <v>6</v>
      </c>
      <c r="C445" s="27" t="s">
        <v>11</v>
      </c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  <c r="AX445" s="27" t="s">
        <v>1541</v>
      </c>
      <c r="AY445" s="27" t="s">
        <v>738</v>
      </c>
      <c r="AZ445" s="27" t="s">
        <v>343</v>
      </c>
      <c r="BA445" s="27" t="s">
        <v>1561</v>
      </c>
      <c r="BB445" s="27" t="s">
        <v>408</v>
      </c>
      <c r="BC445" s="29">
        <v>43951</v>
      </c>
      <c r="BD445" s="29">
        <v>43960</v>
      </c>
      <c r="BE445" s="29">
        <v>43960</v>
      </c>
      <c r="BF445" s="27">
        <v>80</v>
      </c>
      <c r="BG445" s="27" t="s">
        <v>520</v>
      </c>
      <c r="BH445" s="30" t="s">
        <v>1562</v>
      </c>
      <c r="BI445" s="28"/>
      <c r="BJ445" s="28"/>
      <c r="BK445" s="28"/>
      <c r="BL445" s="28"/>
      <c r="BM445" s="28"/>
      <c r="BN445" s="28"/>
      <c r="BO445" s="28"/>
      <c r="BP445" s="28"/>
      <c r="BQ445" s="28"/>
      <c r="BR445" s="28"/>
      <c r="BS445" s="28"/>
      <c r="BT445" s="28"/>
      <c r="BU445" s="28"/>
      <c r="BV445" s="28"/>
      <c r="BW445" s="28"/>
      <c r="BX445" s="28"/>
      <c r="FL445" s="33" t="s">
        <v>741</v>
      </c>
      <c r="FM445" s="33" t="s">
        <v>255</v>
      </c>
    </row>
    <row r="446" spans="1:169" ht="23.25" customHeight="1" x14ac:dyDescent="0.15">
      <c r="A446" s="26">
        <v>44660.520425486116</v>
      </c>
      <c r="B446" s="27" t="s">
        <v>6</v>
      </c>
      <c r="C446" s="27" t="s">
        <v>11</v>
      </c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  <c r="AX446" s="27" t="s">
        <v>1543</v>
      </c>
      <c r="AY446" s="27" t="s">
        <v>1544</v>
      </c>
      <c r="AZ446" s="27" t="s">
        <v>1563</v>
      </c>
      <c r="BA446" s="27" t="s">
        <v>343</v>
      </c>
      <c r="BB446" s="27" t="s">
        <v>1564</v>
      </c>
      <c r="BC446" s="29">
        <v>44639</v>
      </c>
      <c r="BD446" s="29">
        <v>43991</v>
      </c>
      <c r="BE446" s="29">
        <v>43991</v>
      </c>
      <c r="BF446" s="36">
        <v>0.98</v>
      </c>
      <c r="BG446" s="27" t="s">
        <v>1547</v>
      </c>
      <c r="BH446" s="30" t="s">
        <v>1565</v>
      </c>
      <c r="BI446" s="28"/>
      <c r="BJ446" s="28"/>
      <c r="BK446" s="28"/>
      <c r="BL446" s="28"/>
      <c r="BM446" s="28"/>
      <c r="BN446" s="28"/>
      <c r="BO446" s="28"/>
      <c r="BP446" s="28"/>
      <c r="BQ446" s="28"/>
      <c r="BR446" s="28"/>
      <c r="BS446" s="28"/>
      <c r="BT446" s="28"/>
      <c r="BU446" s="28"/>
      <c r="BV446" s="28"/>
      <c r="BW446" s="28"/>
      <c r="BX446" s="28"/>
      <c r="FL446" s="33" t="s">
        <v>1549</v>
      </c>
      <c r="FM446" s="33" t="s">
        <v>321</v>
      </c>
    </row>
    <row r="447" spans="1:169" ht="23.25" customHeight="1" x14ac:dyDescent="0.15">
      <c r="A447" s="26">
        <v>44660.524050081018</v>
      </c>
      <c r="B447" s="27" t="s">
        <v>6</v>
      </c>
      <c r="C447" s="27" t="s">
        <v>11</v>
      </c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  <c r="AX447" s="27" t="s">
        <v>1536</v>
      </c>
      <c r="AY447" s="27" t="s">
        <v>1537</v>
      </c>
      <c r="AZ447" s="27" t="s">
        <v>1566</v>
      </c>
      <c r="BA447" s="27" t="s">
        <v>343</v>
      </c>
      <c r="BB447" s="27" t="s">
        <v>493</v>
      </c>
      <c r="BC447" s="29">
        <v>43961</v>
      </c>
      <c r="BD447" s="29">
        <v>43970</v>
      </c>
      <c r="BE447" s="29">
        <v>43970</v>
      </c>
      <c r="BF447" s="27" t="s">
        <v>470</v>
      </c>
      <c r="BG447" s="27" t="s">
        <v>470</v>
      </c>
      <c r="BH447" s="30" t="s">
        <v>1567</v>
      </c>
      <c r="BI447" s="28"/>
      <c r="BJ447" s="28"/>
      <c r="BK447" s="28"/>
      <c r="BL447" s="28"/>
      <c r="BM447" s="28"/>
      <c r="BN447" s="28"/>
      <c r="BO447" s="28"/>
      <c r="BP447" s="28"/>
      <c r="BQ447" s="28"/>
      <c r="BR447" s="28"/>
      <c r="BS447" s="28"/>
      <c r="BT447" s="28"/>
      <c r="BU447" s="28"/>
      <c r="BV447" s="28"/>
      <c r="BW447" s="28"/>
      <c r="BX447" s="28"/>
      <c r="FL447" s="33" t="s">
        <v>1540</v>
      </c>
      <c r="FM447" s="33" t="s">
        <v>255</v>
      </c>
    </row>
    <row r="448" spans="1:169" ht="23.25" customHeight="1" x14ac:dyDescent="0.15">
      <c r="A448" s="26">
        <v>44660.525745532403</v>
      </c>
      <c r="B448" s="27" t="s">
        <v>6</v>
      </c>
      <c r="C448" s="27" t="s">
        <v>12</v>
      </c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  <c r="AX448" s="28"/>
      <c r="AY448" s="28"/>
      <c r="AZ448" s="28"/>
      <c r="BA448" s="28"/>
      <c r="BB448" s="28"/>
      <c r="BC448" s="28"/>
      <c r="BD448" s="28"/>
      <c r="BE448" s="28"/>
      <c r="BF448" s="28"/>
      <c r="BG448" s="28"/>
      <c r="BH448" s="28"/>
      <c r="BI448" s="27" t="s">
        <v>1055</v>
      </c>
      <c r="BJ448" s="27" t="s">
        <v>1035</v>
      </c>
      <c r="BK448" s="27" t="s">
        <v>154</v>
      </c>
      <c r="BL448" s="27" t="s">
        <v>1285</v>
      </c>
      <c r="BM448" s="27" t="s">
        <v>1568</v>
      </c>
      <c r="BN448" s="27">
        <v>3</v>
      </c>
      <c r="BO448" s="29">
        <v>43689</v>
      </c>
      <c r="BP448" s="29">
        <v>43691</v>
      </c>
      <c r="BQ448" s="27" t="s">
        <v>1569</v>
      </c>
      <c r="BR448" s="27" t="s">
        <v>1569</v>
      </c>
      <c r="BS448" s="27" t="s">
        <v>271</v>
      </c>
      <c r="BT448" s="27" t="s">
        <v>151</v>
      </c>
      <c r="BU448" s="27">
        <v>0</v>
      </c>
      <c r="BV448" s="30" t="s">
        <v>1570</v>
      </c>
      <c r="BW448" s="28"/>
      <c r="BX448" s="28"/>
      <c r="FL448" s="33" t="s">
        <v>1040</v>
      </c>
      <c r="FM448" s="33" t="s">
        <v>255</v>
      </c>
    </row>
    <row r="449" spans="1:194" ht="23.25" customHeight="1" x14ac:dyDescent="0.15">
      <c r="A449" s="26">
        <v>44660.526338425931</v>
      </c>
      <c r="B449" s="27" t="s">
        <v>6</v>
      </c>
      <c r="C449" s="27" t="s">
        <v>11</v>
      </c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  <c r="AX449" s="27" t="s">
        <v>1543</v>
      </c>
      <c r="AY449" s="27" t="s">
        <v>1571</v>
      </c>
      <c r="AZ449" s="27" t="s">
        <v>1572</v>
      </c>
      <c r="BA449" s="27" t="s">
        <v>343</v>
      </c>
      <c r="BB449" s="27" t="s">
        <v>1546</v>
      </c>
      <c r="BC449" s="29">
        <v>44298</v>
      </c>
      <c r="BD449" s="29">
        <v>44366</v>
      </c>
      <c r="BE449" s="29">
        <v>44366</v>
      </c>
      <c r="BF449" s="36">
        <v>0.99</v>
      </c>
      <c r="BG449" s="27" t="s">
        <v>1547</v>
      </c>
      <c r="BH449" s="30" t="s">
        <v>1573</v>
      </c>
      <c r="BI449" s="28"/>
      <c r="BJ449" s="28"/>
      <c r="BK449" s="28"/>
      <c r="BL449" s="28"/>
      <c r="BM449" s="28"/>
      <c r="BN449" s="28"/>
      <c r="BO449" s="28"/>
      <c r="BP449" s="28"/>
      <c r="BQ449" s="28"/>
      <c r="BR449" s="28"/>
      <c r="BS449" s="28"/>
      <c r="BT449" s="28"/>
      <c r="BU449" s="28"/>
      <c r="BV449" s="28"/>
      <c r="BW449" s="28"/>
      <c r="BX449" s="28"/>
      <c r="FL449" s="33" t="s">
        <v>1549</v>
      </c>
      <c r="FM449" s="33" t="s">
        <v>321</v>
      </c>
    </row>
    <row r="450" spans="1:194" ht="23.25" customHeight="1" x14ac:dyDescent="0.15">
      <c r="A450" s="26">
        <v>44660.528550625</v>
      </c>
      <c r="B450" s="27" t="s">
        <v>6</v>
      </c>
      <c r="C450" s="27" t="s">
        <v>22</v>
      </c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  <c r="AX450" s="28"/>
      <c r="AY450" s="28"/>
      <c r="AZ450" s="28"/>
      <c r="BA450" s="28"/>
      <c r="BB450" s="28"/>
      <c r="BC450" s="28"/>
      <c r="BD450" s="28"/>
      <c r="BE450" s="28"/>
      <c r="BF450" s="28"/>
      <c r="BG450" s="28"/>
      <c r="BH450" s="28"/>
      <c r="BI450" s="28"/>
      <c r="BJ450" s="28"/>
      <c r="BK450" s="28"/>
      <c r="BL450" s="28"/>
      <c r="BM450" s="28"/>
      <c r="BN450" s="28"/>
      <c r="BO450" s="28"/>
      <c r="BP450" s="28"/>
      <c r="BQ450" s="28"/>
      <c r="BR450" s="28"/>
      <c r="BS450" s="28"/>
      <c r="BT450" s="28"/>
      <c r="BU450" s="28"/>
      <c r="BV450" s="28"/>
      <c r="BW450" s="28"/>
      <c r="BX450" s="28"/>
      <c r="FL450" s="33" t="s">
        <v>1217</v>
      </c>
      <c r="FM450" s="33" t="s">
        <v>255</v>
      </c>
      <c r="GF450" s="33" t="s">
        <v>1227</v>
      </c>
      <c r="GG450" s="33" t="s">
        <v>1214</v>
      </c>
      <c r="GH450" s="33" t="s">
        <v>1574</v>
      </c>
      <c r="GI450" s="34">
        <v>44720</v>
      </c>
      <c r="GJ450" s="35" t="s">
        <v>1575</v>
      </c>
      <c r="GK450" s="33" t="s">
        <v>1576</v>
      </c>
      <c r="GL450" s="33">
        <v>4</v>
      </c>
    </row>
    <row r="451" spans="1:194" ht="23.25" customHeight="1" x14ac:dyDescent="0.15">
      <c r="A451" s="26">
        <v>44660.529427175927</v>
      </c>
      <c r="B451" s="27" t="s">
        <v>6</v>
      </c>
      <c r="C451" s="27" t="s">
        <v>11</v>
      </c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  <c r="AX451" s="27" t="s">
        <v>1536</v>
      </c>
      <c r="AY451" s="27" t="s">
        <v>1537</v>
      </c>
      <c r="AZ451" s="27" t="s">
        <v>540</v>
      </c>
      <c r="BA451" s="27" t="s">
        <v>1383</v>
      </c>
      <c r="BB451" s="27" t="s">
        <v>493</v>
      </c>
      <c r="BC451" s="29">
        <v>43914</v>
      </c>
      <c r="BD451" s="29">
        <v>43945</v>
      </c>
      <c r="BE451" s="29">
        <v>43945</v>
      </c>
      <c r="BF451" s="27" t="s">
        <v>470</v>
      </c>
      <c r="BG451" s="27" t="s">
        <v>470</v>
      </c>
      <c r="BH451" s="30" t="s">
        <v>1577</v>
      </c>
      <c r="BI451" s="28"/>
      <c r="BJ451" s="28"/>
      <c r="BK451" s="28"/>
      <c r="BL451" s="28"/>
      <c r="BM451" s="28"/>
      <c r="BN451" s="28"/>
      <c r="BO451" s="28"/>
      <c r="BP451" s="28"/>
      <c r="BQ451" s="28"/>
      <c r="BR451" s="28"/>
      <c r="BS451" s="28"/>
      <c r="BT451" s="28"/>
      <c r="BU451" s="28"/>
      <c r="BV451" s="28"/>
      <c r="BW451" s="28"/>
      <c r="BX451" s="28"/>
      <c r="FL451" s="33" t="s">
        <v>1540</v>
      </c>
      <c r="FM451" s="33" t="s">
        <v>255</v>
      </c>
    </row>
    <row r="452" spans="1:194" ht="23.25" customHeight="1" x14ac:dyDescent="0.15">
      <c r="A452" s="26">
        <v>44660.531976087965</v>
      </c>
      <c r="B452" s="27" t="s">
        <v>6</v>
      </c>
      <c r="C452" s="27" t="s">
        <v>12</v>
      </c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  <c r="AX452" s="28"/>
      <c r="AY452" s="28"/>
      <c r="AZ452" s="28"/>
      <c r="BA452" s="28"/>
      <c r="BB452" s="28"/>
      <c r="BC452" s="28"/>
      <c r="BD452" s="28"/>
      <c r="BE452" s="28"/>
      <c r="BF452" s="28"/>
      <c r="BG452" s="28"/>
      <c r="BH452" s="28"/>
      <c r="BI452" s="27" t="s">
        <v>1578</v>
      </c>
      <c r="BJ452" s="27" t="s">
        <v>928</v>
      </c>
      <c r="BK452" s="27" t="s">
        <v>311</v>
      </c>
      <c r="BL452" s="27" t="s">
        <v>732</v>
      </c>
      <c r="BM452" s="27" t="s">
        <v>1579</v>
      </c>
      <c r="BN452" s="27">
        <v>1</v>
      </c>
      <c r="BO452" s="29">
        <v>44572</v>
      </c>
      <c r="BP452" s="29">
        <v>44572</v>
      </c>
      <c r="BQ452" s="27" t="s">
        <v>816</v>
      </c>
      <c r="BR452" s="27" t="s">
        <v>212</v>
      </c>
      <c r="BS452" s="27" t="s">
        <v>171</v>
      </c>
      <c r="BT452" s="27" t="s">
        <v>151</v>
      </c>
      <c r="BU452" s="28"/>
      <c r="BV452" s="30" t="s">
        <v>1580</v>
      </c>
      <c r="BW452" s="28"/>
      <c r="BX452" s="28"/>
      <c r="FL452" s="33" t="s">
        <v>932</v>
      </c>
      <c r="FM452" s="33" t="s">
        <v>273</v>
      </c>
    </row>
    <row r="453" spans="1:194" ht="23.25" customHeight="1" x14ac:dyDescent="0.15">
      <c r="A453" s="26">
        <v>44660.533092638885</v>
      </c>
      <c r="B453" s="27" t="s">
        <v>6</v>
      </c>
      <c r="C453" s="27" t="s">
        <v>10</v>
      </c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7" t="s">
        <v>1581</v>
      </c>
      <c r="AO453" s="27" t="s">
        <v>1582</v>
      </c>
      <c r="AP453" s="27" t="s">
        <v>307</v>
      </c>
      <c r="AQ453" s="27" t="s">
        <v>507</v>
      </c>
      <c r="AR453" s="29">
        <v>44470</v>
      </c>
      <c r="AS453" s="29">
        <v>44552</v>
      </c>
      <c r="AT453" s="27" t="s">
        <v>252</v>
      </c>
      <c r="AU453" s="27" t="s">
        <v>252</v>
      </c>
      <c r="AV453" s="27">
        <v>0</v>
      </c>
      <c r="AW453" s="30" t="s">
        <v>1583</v>
      </c>
      <c r="AX453" s="28"/>
      <c r="AY453" s="28"/>
      <c r="AZ453" s="28"/>
      <c r="BA453" s="28"/>
      <c r="BB453" s="28"/>
      <c r="BC453" s="28"/>
      <c r="BD453" s="28"/>
      <c r="BE453" s="28"/>
      <c r="BF453" s="28"/>
      <c r="BG453" s="28"/>
      <c r="BH453" s="28"/>
      <c r="BI453" s="28"/>
      <c r="BJ453" s="28"/>
      <c r="BK453" s="28"/>
      <c r="BL453" s="28"/>
      <c r="BM453" s="28"/>
      <c r="BN453" s="28"/>
      <c r="BO453" s="28"/>
      <c r="BP453" s="28"/>
      <c r="BQ453" s="28"/>
      <c r="BR453" s="28"/>
      <c r="BS453" s="28"/>
      <c r="BT453" s="28"/>
      <c r="BU453" s="28"/>
      <c r="BV453" s="28"/>
      <c r="BW453" s="28"/>
      <c r="BX453" s="28"/>
      <c r="FL453" s="33" t="s">
        <v>1584</v>
      </c>
      <c r="FM453" s="33" t="s">
        <v>273</v>
      </c>
    </row>
    <row r="454" spans="1:194" ht="23.25" customHeight="1" x14ac:dyDescent="0.15">
      <c r="A454" s="26">
        <v>44660.533270150467</v>
      </c>
      <c r="B454" s="27" t="s">
        <v>6</v>
      </c>
      <c r="C454" s="27" t="s">
        <v>11</v>
      </c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  <c r="AX454" s="27" t="s">
        <v>1468</v>
      </c>
      <c r="AY454" s="27" t="s">
        <v>1469</v>
      </c>
      <c r="AZ454" s="27" t="s">
        <v>1585</v>
      </c>
      <c r="BA454" s="27" t="s">
        <v>335</v>
      </c>
      <c r="BB454" s="27" t="s">
        <v>259</v>
      </c>
      <c r="BC454" s="29">
        <v>43800</v>
      </c>
      <c r="BD454" s="29">
        <v>43951</v>
      </c>
      <c r="BE454" s="29">
        <v>43967</v>
      </c>
      <c r="BF454" s="27">
        <v>85</v>
      </c>
      <c r="BG454" s="27" t="s">
        <v>1491</v>
      </c>
      <c r="BH454" s="30" t="s">
        <v>1586</v>
      </c>
      <c r="BI454" s="28"/>
      <c r="BJ454" s="28"/>
      <c r="BK454" s="28"/>
      <c r="BL454" s="28"/>
      <c r="BM454" s="28"/>
      <c r="BN454" s="28"/>
      <c r="BO454" s="28"/>
      <c r="BP454" s="28"/>
      <c r="BQ454" s="28"/>
      <c r="BR454" s="28"/>
      <c r="BS454" s="28"/>
      <c r="BT454" s="28"/>
      <c r="BU454" s="28"/>
      <c r="BV454" s="28"/>
      <c r="BW454" s="28"/>
      <c r="BX454" s="28"/>
      <c r="FL454" s="33" t="s">
        <v>1472</v>
      </c>
      <c r="FM454" s="33" t="s">
        <v>255</v>
      </c>
    </row>
    <row r="455" spans="1:194" ht="23.25" customHeight="1" x14ac:dyDescent="0.15">
      <c r="A455" s="26">
        <v>44660.535165150461</v>
      </c>
      <c r="B455" s="27" t="s">
        <v>6</v>
      </c>
      <c r="C455" s="27" t="s">
        <v>11</v>
      </c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  <c r="AX455" s="27" t="s">
        <v>1587</v>
      </c>
      <c r="AY455" s="27" t="s">
        <v>928</v>
      </c>
      <c r="AZ455" s="27" t="s">
        <v>1588</v>
      </c>
      <c r="BA455" s="27" t="s">
        <v>982</v>
      </c>
      <c r="BB455" s="27">
        <v>1</v>
      </c>
      <c r="BC455" s="29">
        <v>44489</v>
      </c>
      <c r="BD455" s="29">
        <v>44489</v>
      </c>
      <c r="BE455" s="29">
        <v>44489</v>
      </c>
      <c r="BF455" s="27">
        <v>100</v>
      </c>
      <c r="BG455" s="27" t="s">
        <v>1589</v>
      </c>
      <c r="BH455" s="30" t="s">
        <v>1590</v>
      </c>
      <c r="BI455" s="28"/>
      <c r="BJ455" s="28"/>
      <c r="BK455" s="28"/>
      <c r="BL455" s="28"/>
      <c r="BM455" s="28"/>
      <c r="BN455" s="28"/>
      <c r="BO455" s="28"/>
      <c r="BP455" s="28"/>
      <c r="BQ455" s="28"/>
      <c r="BR455" s="28"/>
      <c r="BS455" s="28"/>
      <c r="BT455" s="28"/>
      <c r="BU455" s="28"/>
      <c r="BV455" s="28"/>
      <c r="BW455" s="28"/>
      <c r="BX455" s="28"/>
      <c r="FL455" s="33" t="s">
        <v>932</v>
      </c>
      <c r="FM455" s="33" t="s">
        <v>278</v>
      </c>
    </row>
    <row r="456" spans="1:194" ht="23.25" customHeight="1" x14ac:dyDescent="0.15">
      <c r="A456" s="26">
        <v>44660.536037835649</v>
      </c>
      <c r="B456" s="27" t="s">
        <v>6</v>
      </c>
      <c r="C456" s="27" t="s">
        <v>11</v>
      </c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  <c r="AX456" s="27" t="s">
        <v>1468</v>
      </c>
      <c r="AY456" s="27" t="s">
        <v>1469</v>
      </c>
      <c r="AZ456" s="27" t="s">
        <v>1591</v>
      </c>
      <c r="BA456" s="27" t="s">
        <v>335</v>
      </c>
      <c r="BB456" s="27" t="s">
        <v>259</v>
      </c>
      <c r="BC456" s="29">
        <v>43800</v>
      </c>
      <c r="BD456" s="29">
        <v>43982</v>
      </c>
      <c r="BE456" s="29">
        <v>43990</v>
      </c>
      <c r="BF456" s="27">
        <v>80</v>
      </c>
      <c r="BG456" s="27" t="s">
        <v>1491</v>
      </c>
      <c r="BH456" s="30" t="s">
        <v>1592</v>
      </c>
      <c r="BI456" s="28"/>
      <c r="BJ456" s="28"/>
      <c r="BK456" s="28"/>
      <c r="BL456" s="28"/>
      <c r="BM456" s="28"/>
      <c r="BN456" s="28"/>
      <c r="BO456" s="28"/>
      <c r="BP456" s="28"/>
      <c r="BQ456" s="28"/>
      <c r="BR456" s="28"/>
      <c r="BS456" s="28"/>
      <c r="BT456" s="28"/>
      <c r="BU456" s="28"/>
      <c r="BV456" s="28"/>
      <c r="BW456" s="28"/>
      <c r="BX456" s="28"/>
      <c r="FL456" s="33" t="s">
        <v>1472</v>
      </c>
      <c r="FM456" s="33" t="s">
        <v>255</v>
      </c>
    </row>
    <row r="457" spans="1:194" ht="23.25" customHeight="1" x14ac:dyDescent="0.15">
      <c r="A457" s="26">
        <v>44660.537366099539</v>
      </c>
      <c r="B457" s="27" t="s">
        <v>6</v>
      </c>
      <c r="C457" s="27" t="s">
        <v>11</v>
      </c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  <c r="AX457" s="27" t="s">
        <v>1593</v>
      </c>
      <c r="AY457" s="27" t="s">
        <v>1594</v>
      </c>
      <c r="AZ457" s="27" t="s">
        <v>1595</v>
      </c>
      <c r="BA457" s="27" t="s">
        <v>1596</v>
      </c>
      <c r="BB457" s="27" t="s">
        <v>448</v>
      </c>
      <c r="BC457" s="29">
        <v>44722</v>
      </c>
      <c r="BD457" s="29">
        <v>44783</v>
      </c>
      <c r="BE457" s="29">
        <v>44672</v>
      </c>
      <c r="BF457" s="27">
        <v>100</v>
      </c>
      <c r="BG457" s="27" t="s">
        <v>1597</v>
      </c>
      <c r="BH457" s="30" t="s">
        <v>1598</v>
      </c>
      <c r="BI457" s="28"/>
      <c r="BJ457" s="28"/>
      <c r="BK457" s="28"/>
      <c r="BL457" s="28"/>
      <c r="BM457" s="28"/>
      <c r="BN457" s="28"/>
      <c r="BO457" s="28"/>
      <c r="BP457" s="28"/>
      <c r="BQ457" s="28"/>
      <c r="BR457" s="28"/>
      <c r="BS457" s="28"/>
      <c r="BT457" s="28"/>
      <c r="BU457" s="28"/>
      <c r="BV457" s="28"/>
      <c r="BW457" s="28"/>
      <c r="BX457" s="28"/>
      <c r="FL457" s="33" t="s">
        <v>1599</v>
      </c>
      <c r="FM457" s="33" t="s">
        <v>255</v>
      </c>
    </row>
    <row r="458" spans="1:194" ht="23.25" customHeight="1" x14ac:dyDescent="0.15">
      <c r="A458" s="26">
        <v>44660.538255150459</v>
      </c>
      <c r="B458" s="27" t="s">
        <v>6</v>
      </c>
      <c r="C458" s="27" t="s">
        <v>11</v>
      </c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  <c r="AX458" s="27" t="s">
        <v>1581</v>
      </c>
      <c r="AY458" s="27" t="s">
        <v>1582</v>
      </c>
      <c r="AZ458" s="27" t="s">
        <v>1600</v>
      </c>
      <c r="BA458" s="27" t="s">
        <v>1601</v>
      </c>
      <c r="BB458" s="27" t="s">
        <v>507</v>
      </c>
      <c r="BC458" s="29">
        <v>44317</v>
      </c>
      <c r="BD458" s="29">
        <v>44401</v>
      </c>
      <c r="BE458" s="29">
        <v>44354</v>
      </c>
      <c r="BF458" s="27">
        <v>85</v>
      </c>
      <c r="BG458" s="27" t="s">
        <v>1602</v>
      </c>
      <c r="BH458" s="30" t="s">
        <v>1603</v>
      </c>
      <c r="BI458" s="28"/>
      <c r="BJ458" s="28"/>
      <c r="BK458" s="28"/>
      <c r="BL458" s="28"/>
      <c r="BM458" s="28"/>
      <c r="BN458" s="28"/>
      <c r="BO458" s="28"/>
      <c r="BP458" s="28"/>
      <c r="BQ458" s="28"/>
      <c r="BR458" s="28"/>
      <c r="BS458" s="28"/>
      <c r="BT458" s="28"/>
      <c r="BU458" s="28"/>
      <c r="BV458" s="28"/>
      <c r="BW458" s="28"/>
      <c r="BX458" s="28"/>
      <c r="FL458" s="33" t="s">
        <v>1584</v>
      </c>
      <c r="FM458" s="33" t="s">
        <v>278</v>
      </c>
    </row>
    <row r="459" spans="1:194" ht="23.25" customHeight="1" x14ac:dyDescent="0.15">
      <c r="A459" s="26">
        <v>44660.539381412033</v>
      </c>
      <c r="B459" s="27" t="s">
        <v>6</v>
      </c>
      <c r="C459" s="27" t="s">
        <v>11</v>
      </c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  <c r="AX459" s="27" t="s">
        <v>1468</v>
      </c>
      <c r="AY459" s="27" t="s">
        <v>1469</v>
      </c>
      <c r="AZ459" s="27" t="s">
        <v>1604</v>
      </c>
      <c r="BA459" s="27" t="s">
        <v>335</v>
      </c>
      <c r="BB459" s="27" t="s">
        <v>259</v>
      </c>
      <c r="BC459" s="29">
        <v>43831</v>
      </c>
      <c r="BD459" s="29">
        <v>44012</v>
      </c>
      <c r="BE459" s="29">
        <v>43995</v>
      </c>
      <c r="BF459" s="27">
        <v>87</v>
      </c>
      <c r="BG459" s="27" t="s">
        <v>1491</v>
      </c>
      <c r="BH459" s="30" t="s">
        <v>1605</v>
      </c>
      <c r="BI459" s="28"/>
      <c r="BJ459" s="28"/>
      <c r="BK459" s="28"/>
      <c r="BL459" s="28"/>
      <c r="BM459" s="28"/>
      <c r="BN459" s="28"/>
      <c r="BO459" s="28"/>
      <c r="BP459" s="28"/>
      <c r="BQ459" s="28"/>
      <c r="BR459" s="28"/>
      <c r="BS459" s="28"/>
      <c r="BT459" s="28"/>
      <c r="BU459" s="28"/>
      <c r="BV459" s="28"/>
      <c r="BW459" s="28"/>
      <c r="BX459" s="28"/>
      <c r="FL459" s="33" t="s">
        <v>1472</v>
      </c>
      <c r="FM459" s="33" t="s">
        <v>255</v>
      </c>
    </row>
    <row r="460" spans="1:194" ht="23.25" customHeight="1" x14ac:dyDescent="0.15">
      <c r="A460" s="26">
        <v>44660.544148518515</v>
      </c>
      <c r="B460" s="27" t="s">
        <v>6</v>
      </c>
      <c r="C460" s="27" t="s">
        <v>22</v>
      </c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  <c r="AX460" s="28"/>
      <c r="AY460" s="28"/>
      <c r="AZ460" s="28"/>
      <c r="BA460" s="28"/>
      <c r="BB460" s="28"/>
      <c r="BC460" s="28"/>
      <c r="BD460" s="28"/>
      <c r="BE460" s="28"/>
      <c r="BF460" s="28"/>
      <c r="BG460" s="28"/>
      <c r="BH460" s="28"/>
      <c r="BI460" s="28"/>
      <c r="BJ460" s="28"/>
      <c r="BK460" s="28"/>
      <c r="BL460" s="28"/>
      <c r="BM460" s="28"/>
      <c r="BN460" s="28"/>
      <c r="BO460" s="28"/>
      <c r="BP460" s="28"/>
      <c r="BQ460" s="28"/>
      <c r="BR460" s="28"/>
      <c r="BS460" s="28"/>
      <c r="BT460" s="28"/>
      <c r="BU460" s="28"/>
      <c r="BV460" s="28"/>
      <c r="BW460" s="28"/>
      <c r="BX460" s="28"/>
      <c r="FL460" s="33" t="s">
        <v>1472</v>
      </c>
      <c r="FM460" s="33" t="s">
        <v>255</v>
      </c>
      <c r="GF460" s="33" t="s">
        <v>1468</v>
      </c>
      <c r="GG460" s="33" t="s">
        <v>1469</v>
      </c>
      <c r="GH460" s="33" t="s">
        <v>515</v>
      </c>
      <c r="GI460" s="34">
        <v>44707</v>
      </c>
      <c r="GJ460" s="35" t="s">
        <v>1606</v>
      </c>
      <c r="GK460" s="33" t="s">
        <v>1607</v>
      </c>
      <c r="GL460" s="33" t="s">
        <v>1608</v>
      </c>
    </row>
    <row r="461" spans="1:194" ht="23.25" customHeight="1" x14ac:dyDescent="0.15">
      <c r="A461" s="26">
        <v>44660.547842881948</v>
      </c>
      <c r="B461" s="27" t="s">
        <v>6</v>
      </c>
      <c r="C461" s="27" t="s">
        <v>20</v>
      </c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  <c r="AX461" s="28"/>
      <c r="AY461" s="28"/>
      <c r="AZ461" s="28"/>
      <c r="BA461" s="28"/>
      <c r="BB461" s="28"/>
      <c r="BC461" s="28"/>
      <c r="BD461" s="28"/>
      <c r="BE461" s="28"/>
      <c r="BF461" s="28"/>
      <c r="BG461" s="28"/>
      <c r="BH461" s="28"/>
      <c r="BI461" s="28"/>
      <c r="BJ461" s="28"/>
      <c r="BK461" s="28"/>
      <c r="BL461" s="28"/>
      <c r="BM461" s="28"/>
      <c r="BN461" s="28"/>
      <c r="BO461" s="28"/>
      <c r="BP461" s="28"/>
      <c r="BQ461" s="28"/>
      <c r="BR461" s="28"/>
      <c r="BS461" s="28"/>
      <c r="BT461" s="28"/>
      <c r="BU461" s="28"/>
      <c r="BV461" s="28"/>
      <c r="BW461" s="28"/>
      <c r="BX461" s="28"/>
      <c r="FL461" s="33" t="s">
        <v>386</v>
      </c>
      <c r="FM461" s="33" t="s">
        <v>552</v>
      </c>
      <c r="FT461" s="33" t="s">
        <v>381</v>
      </c>
      <c r="FU461" s="33" t="s">
        <v>382</v>
      </c>
      <c r="FV461" s="33" t="s">
        <v>1609</v>
      </c>
      <c r="FW461" s="34">
        <v>43663</v>
      </c>
      <c r="FX461" s="33" t="s">
        <v>1610</v>
      </c>
      <c r="FY461" s="35" t="s">
        <v>1611</v>
      </c>
    </row>
    <row r="462" spans="1:194" ht="23.25" customHeight="1" x14ac:dyDescent="0.15">
      <c r="A462" s="26">
        <v>44660.551080937497</v>
      </c>
      <c r="B462" s="27" t="s">
        <v>6</v>
      </c>
      <c r="C462" s="27" t="s">
        <v>17</v>
      </c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  <c r="AX462" s="28"/>
      <c r="AY462" s="28"/>
      <c r="AZ462" s="28"/>
      <c r="BA462" s="28"/>
      <c r="BB462" s="28"/>
      <c r="BC462" s="28"/>
      <c r="BD462" s="28"/>
      <c r="BE462" s="28"/>
      <c r="BF462" s="28"/>
      <c r="BG462" s="28"/>
      <c r="BH462" s="28"/>
      <c r="BI462" s="28"/>
      <c r="BJ462" s="28"/>
      <c r="BK462" s="28"/>
      <c r="BL462" s="28"/>
      <c r="BM462" s="28"/>
      <c r="BN462" s="28"/>
      <c r="BO462" s="28"/>
      <c r="BP462" s="28"/>
      <c r="BQ462" s="28"/>
      <c r="BR462" s="28"/>
      <c r="BS462" s="28"/>
      <c r="BT462" s="28"/>
      <c r="BU462" s="28"/>
      <c r="BV462" s="28"/>
      <c r="BW462" s="28"/>
      <c r="BX462" s="28"/>
      <c r="DX462" s="33" t="s">
        <v>381</v>
      </c>
      <c r="DY462" s="33" t="s">
        <v>382</v>
      </c>
      <c r="DZ462" s="33" t="s">
        <v>166</v>
      </c>
      <c r="EA462" s="33" t="s">
        <v>1612</v>
      </c>
      <c r="EB462" s="34">
        <v>44530</v>
      </c>
      <c r="EC462" s="33" t="s">
        <v>1613</v>
      </c>
      <c r="ED462" s="35" t="s">
        <v>1614</v>
      </c>
      <c r="FL462" s="33" t="s">
        <v>386</v>
      </c>
      <c r="FM462" s="33" t="s">
        <v>339</v>
      </c>
    </row>
    <row r="463" spans="1:194" ht="23.25" customHeight="1" x14ac:dyDescent="0.15">
      <c r="A463" s="26">
        <v>44660.551159224538</v>
      </c>
      <c r="B463" s="27" t="s">
        <v>6</v>
      </c>
      <c r="C463" s="17" t="s">
        <v>13</v>
      </c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  <c r="AX463" s="28"/>
      <c r="AY463" s="28"/>
      <c r="AZ463" s="28"/>
      <c r="BA463" s="28"/>
      <c r="BB463" s="28"/>
      <c r="BC463" s="28"/>
      <c r="BD463" s="28"/>
      <c r="BE463" s="28"/>
      <c r="BF463" s="28"/>
      <c r="BG463" s="28"/>
      <c r="BH463" s="28"/>
      <c r="BI463" s="28"/>
      <c r="BJ463" s="28"/>
      <c r="BK463" s="28"/>
      <c r="BL463" s="28"/>
      <c r="BM463" s="28"/>
      <c r="BN463" s="28"/>
      <c r="BO463" s="28"/>
      <c r="BP463" s="28"/>
      <c r="BQ463" s="28"/>
      <c r="BR463" s="28"/>
      <c r="BS463" s="28"/>
      <c r="BT463" s="28"/>
      <c r="BU463" s="28"/>
      <c r="BV463" s="28"/>
      <c r="BW463" s="27" t="s">
        <v>1615</v>
      </c>
      <c r="BX463" s="27" t="s">
        <v>1616</v>
      </c>
      <c r="BZ463" s="33" t="s">
        <v>311</v>
      </c>
      <c r="CA463" s="33" t="s">
        <v>1617</v>
      </c>
      <c r="CB463" s="33" t="s">
        <v>1148</v>
      </c>
      <c r="CC463" s="33" t="s">
        <v>550</v>
      </c>
      <c r="CD463" s="34">
        <v>43685</v>
      </c>
      <c r="CE463" s="34">
        <v>43746</v>
      </c>
      <c r="CF463" s="33">
        <v>51</v>
      </c>
      <c r="CG463" s="35" t="s">
        <v>1618</v>
      </c>
      <c r="FL463" s="33" t="s">
        <v>1619</v>
      </c>
      <c r="FM463" s="33" t="s">
        <v>255</v>
      </c>
    </row>
    <row r="464" spans="1:194" ht="23.25" customHeight="1" x14ac:dyDescent="0.15">
      <c r="A464" s="26">
        <v>44660.551484872689</v>
      </c>
      <c r="B464" s="27" t="s">
        <v>6</v>
      </c>
      <c r="C464" s="27" t="s">
        <v>11</v>
      </c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  <c r="AX464" s="27" t="s">
        <v>1620</v>
      </c>
      <c r="AY464" s="27" t="s">
        <v>1621</v>
      </c>
      <c r="AZ464" s="27" t="s">
        <v>1622</v>
      </c>
      <c r="BA464" s="27" t="s">
        <v>1623</v>
      </c>
      <c r="BB464" s="27" t="s">
        <v>448</v>
      </c>
      <c r="BC464" s="29">
        <v>43942</v>
      </c>
      <c r="BD464" s="29">
        <v>43982</v>
      </c>
      <c r="BE464" s="29">
        <v>43982</v>
      </c>
      <c r="BF464" s="27" t="s">
        <v>1624</v>
      </c>
      <c r="BG464" s="27" t="s">
        <v>1625</v>
      </c>
      <c r="BH464" s="30" t="s">
        <v>1626</v>
      </c>
      <c r="BI464" s="28"/>
      <c r="BJ464" s="28"/>
      <c r="BK464" s="28"/>
      <c r="BL464" s="28"/>
      <c r="BM464" s="28"/>
      <c r="BN464" s="28"/>
      <c r="BO464" s="28"/>
      <c r="BP464" s="28"/>
      <c r="BQ464" s="28"/>
      <c r="BR464" s="28"/>
      <c r="BS464" s="28"/>
      <c r="BT464" s="28"/>
      <c r="BU464" s="28"/>
      <c r="BV464" s="28"/>
      <c r="BW464" s="28"/>
      <c r="BX464" s="28"/>
      <c r="FL464" s="33" t="s">
        <v>1627</v>
      </c>
      <c r="FM464" s="33" t="s">
        <v>255</v>
      </c>
    </row>
    <row r="465" spans="1:169" ht="23.25" customHeight="1" x14ac:dyDescent="0.15">
      <c r="A465" s="26">
        <v>44660.553892060183</v>
      </c>
      <c r="B465" s="27" t="s">
        <v>6</v>
      </c>
      <c r="C465" s="27" t="s">
        <v>11</v>
      </c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  <c r="AX465" s="27" t="s">
        <v>381</v>
      </c>
      <c r="AY465" s="27" t="s">
        <v>382</v>
      </c>
      <c r="AZ465" s="27" t="s">
        <v>1628</v>
      </c>
      <c r="BA465" s="27" t="s">
        <v>335</v>
      </c>
      <c r="BB465" s="27" t="s">
        <v>1629</v>
      </c>
      <c r="BC465" s="29">
        <v>43506</v>
      </c>
      <c r="BD465" s="29">
        <v>43585</v>
      </c>
      <c r="BE465" s="29">
        <v>43570</v>
      </c>
      <c r="BF465" s="27" t="s">
        <v>1630</v>
      </c>
      <c r="BG465" s="27" t="s">
        <v>1631</v>
      </c>
      <c r="BH465" s="30" t="s">
        <v>1632</v>
      </c>
      <c r="BI465" s="28"/>
      <c r="BJ465" s="28"/>
      <c r="BK465" s="28"/>
      <c r="BL465" s="28"/>
      <c r="BM465" s="28"/>
      <c r="BN465" s="28"/>
      <c r="BO465" s="28"/>
      <c r="BP465" s="28"/>
      <c r="BQ465" s="28"/>
      <c r="BR465" s="28"/>
      <c r="BS465" s="28"/>
      <c r="BT465" s="28"/>
      <c r="BU465" s="28"/>
      <c r="BV465" s="28"/>
      <c r="BW465" s="28"/>
      <c r="BX465" s="28"/>
      <c r="FL465" s="33" t="s">
        <v>386</v>
      </c>
      <c r="FM465" s="33" t="s">
        <v>380</v>
      </c>
    </row>
    <row r="466" spans="1:169" ht="23.25" customHeight="1" x14ac:dyDescent="0.15">
      <c r="A466" s="26">
        <v>44660.554640104165</v>
      </c>
      <c r="B466" s="27" t="s">
        <v>6</v>
      </c>
      <c r="C466" s="27" t="s">
        <v>11</v>
      </c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  <c r="AX466" s="27" t="s">
        <v>1581</v>
      </c>
      <c r="AY466" s="27" t="s">
        <v>1582</v>
      </c>
      <c r="AZ466" s="27" t="s">
        <v>345</v>
      </c>
      <c r="BA466" s="27" t="s">
        <v>335</v>
      </c>
      <c r="BB466" s="27" t="s">
        <v>507</v>
      </c>
      <c r="BC466" s="29">
        <v>44317</v>
      </c>
      <c r="BD466" s="29">
        <v>44376</v>
      </c>
      <c r="BE466" s="29">
        <v>44379</v>
      </c>
      <c r="BF466" s="27">
        <v>96</v>
      </c>
      <c r="BG466" s="27" t="s">
        <v>1633</v>
      </c>
      <c r="BH466" s="30" t="s">
        <v>1634</v>
      </c>
      <c r="BI466" s="28"/>
      <c r="BJ466" s="28"/>
      <c r="BK466" s="28"/>
      <c r="BL466" s="28"/>
      <c r="BM466" s="28"/>
      <c r="BN466" s="28"/>
      <c r="BO466" s="28"/>
      <c r="BP466" s="28"/>
      <c r="BQ466" s="28"/>
      <c r="BR466" s="28"/>
      <c r="BS466" s="28"/>
      <c r="BT466" s="28"/>
      <c r="BU466" s="28"/>
      <c r="BV466" s="28"/>
      <c r="BW466" s="28"/>
      <c r="BX466" s="28"/>
      <c r="FL466" s="33" t="s">
        <v>1584</v>
      </c>
      <c r="FM466" s="33" t="s">
        <v>278</v>
      </c>
    </row>
    <row r="467" spans="1:169" ht="23.25" customHeight="1" x14ac:dyDescent="0.15">
      <c r="A467" s="26">
        <v>44660.555484629629</v>
      </c>
      <c r="B467" s="27" t="s">
        <v>6</v>
      </c>
      <c r="C467" s="27" t="s">
        <v>19</v>
      </c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  <c r="AX467" s="28"/>
      <c r="AY467" s="28"/>
      <c r="AZ467" s="28"/>
      <c r="BA467" s="28"/>
      <c r="BB467" s="28"/>
      <c r="BC467" s="28"/>
      <c r="BD467" s="28"/>
      <c r="BE467" s="28"/>
      <c r="BF467" s="28"/>
      <c r="BG467" s="28"/>
      <c r="BH467" s="28"/>
      <c r="BI467" s="28"/>
      <c r="BJ467" s="28"/>
      <c r="BK467" s="28"/>
      <c r="BL467" s="28"/>
      <c r="BM467" s="28"/>
      <c r="BN467" s="28"/>
      <c r="BO467" s="28"/>
      <c r="BP467" s="28"/>
      <c r="BQ467" s="28"/>
      <c r="BR467" s="28"/>
      <c r="BS467" s="28"/>
      <c r="BT467" s="28"/>
      <c r="BU467" s="28"/>
      <c r="BV467" s="28"/>
      <c r="BW467" s="28"/>
      <c r="BX467" s="28"/>
      <c r="FG467" s="33" t="s">
        <v>737</v>
      </c>
      <c r="FH467" s="33" t="s">
        <v>738</v>
      </c>
      <c r="FI467" s="33" t="s">
        <v>1635</v>
      </c>
      <c r="FJ467" s="34">
        <v>44581</v>
      </c>
      <c r="FK467" s="35" t="s">
        <v>1636</v>
      </c>
      <c r="FL467" s="33" t="s">
        <v>741</v>
      </c>
      <c r="FM467" s="33" t="s">
        <v>255</v>
      </c>
    </row>
    <row r="468" spans="1:169" ht="23.25" customHeight="1" x14ac:dyDescent="0.15">
      <c r="A468" s="26">
        <v>44660.556845833329</v>
      </c>
      <c r="B468" s="27" t="s">
        <v>6</v>
      </c>
      <c r="C468" s="27" t="s">
        <v>11</v>
      </c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  <c r="AX468" s="27" t="s">
        <v>1581</v>
      </c>
      <c r="AY468" s="27" t="s">
        <v>1582</v>
      </c>
      <c r="AZ468" s="27" t="s">
        <v>367</v>
      </c>
      <c r="BA468" s="27" t="s">
        <v>1375</v>
      </c>
      <c r="BB468" s="27" t="s">
        <v>507</v>
      </c>
      <c r="BC468" s="29">
        <v>43922</v>
      </c>
      <c r="BD468" s="29">
        <v>43984</v>
      </c>
      <c r="BE468" s="29">
        <v>43985</v>
      </c>
      <c r="BF468" s="27">
        <v>90</v>
      </c>
      <c r="BG468" s="27" t="s">
        <v>363</v>
      </c>
      <c r="BH468" s="30" t="s">
        <v>1637</v>
      </c>
      <c r="BI468" s="28"/>
      <c r="BJ468" s="28"/>
      <c r="BK468" s="28"/>
      <c r="BL468" s="28"/>
      <c r="BM468" s="28"/>
      <c r="BN468" s="28"/>
      <c r="BO468" s="28"/>
      <c r="BP468" s="28"/>
      <c r="BQ468" s="28"/>
      <c r="BR468" s="28"/>
      <c r="BS468" s="28"/>
      <c r="BT468" s="28"/>
      <c r="BU468" s="28"/>
      <c r="BV468" s="28"/>
      <c r="BW468" s="28"/>
      <c r="BX468" s="28"/>
      <c r="FL468" s="33" t="s">
        <v>1584</v>
      </c>
      <c r="FM468" s="33" t="s">
        <v>321</v>
      </c>
    </row>
    <row r="469" spans="1:169" ht="23.25" customHeight="1" x14ac:dyDescent="0.15">
      <c r="A469" s="26">
        <v>44660.558250624999</v>
      </c>
      <c r="B469" s="27" t="s">
        <v>6</v>
      </c>
      <c r="C469" s="27" t="s">
        <v>11</v>
      </c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  <c r="AX469" s="27" t="s">
        <v>1581</v>
      </c>
      <c r="AY469" s="27" t="s">
        <v>1582</v>
      </c>
      <c r="AZ469" s="27" t="s">
        <v>342</v>
      </c>
      <c r="BA469" s="27" t="s">
        <v>1375</v>
      </c>
      <c r="BB469" s="27" t="s">
        <v>507</v>
      </c>
      <c r="BC469" s="29">
        <v>43985</v>
      </c>
      <c r="BD469" s="29">
        <v>44043</v>
      </c>
      <c r="BE469" s="29">
        <v>44044</v>
      </c>
      <c r="BF469" s="27">
        <v>93</v>
      </c>
      <c r="BG469" s="27" t="s">
        <v>363</v>
      </c>
      <c r="BH469" s="30" t="s">
        <v>1638</v>
      </c>
      <c r="BI469" s="28"/>
      <c r="BJ469" s="28"/>
      <c r="BK469" s="28"/>
      <c r="BL469" s="28"/>
      <c r="BM469" s="28"/>
      <c r="BN469" s="28"/>
      <c r="BO469" s="28"/>
      <c r="BP469" s="28"/>
      <c r="BQ469" s="28"/>
      <c r="BR469" s="28"/>
      <c r="BS469" s="28"/>
      <c r="BT469" s="28"/>
      <c r="BU469" s="28"/>
      <c r="BV469" s="28"/>
      <c r="BW469" s="28"/>
      <c r="BX469" s="28"/>
      <c r="FL469" s="33" t="s">
        <v>1584</v>
      </c>
      <c r="FM469" s="33" t="s">
        <v>321</v>
      </c>
    </row>
    <row r="470" spans="1:169" ht="23.25" customHeight="1" x14ac:dyDescent="0.15">
      <c r="A470" s="26">
        <v>44660.559926597227</v>
      </c>
      <c r="B470" s="27" t="s">
        <v>6</v>
      </c>
      <c r="C470" s="27" t="s">
        <v>17</v>
      </c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  <c r="AX470" s="28"/>
      <c r="AY470" s="28"/>
      <c r="AZ470" s="28"/>
      <c r="BA470" s="28"/>
      <c r="BB470" s="28"/>
      <c r="BC470" s="28"/>
      <c r="BD470" s="28"/>
      <c r="BE470" s="28"/>
      <c r="BF470" s="28"/>
      <c r="BG470" s="28"/>
      <c r="BH470" s="28"/>
      <c r="BI470" s="28"/>
      <c r="BJ470" s="28"/>
      <c r="BK470" s="28"/>
      <c r="BL470" s="28"/>
      <c r="BM470" s="28"/>
      <c r="BN470" s="28"/>
      <c r="BO470" s="28"/>
      <c r="BP470" s="28"/>
      <c r="BQ470" s="28"/>
      <c r="BR470" s="28"/>
      <c r="BS470" s="28"/>
      <c r="BT470" s="28"/>
      <c r="BU470" s="28"/>
      <c r="BV470" s="28"/>
      <c r="BW470" s="28"/>
      <c r="BX470" s="28"/>
      <c r="DX470" s="33" t="s">
        <v>1581</v>
      </c>
      <c r="DY470" s="33" t="s">
        <v>1582</v>
      </c>
      <c r="DZ470" s="33" t="s">
        <v>154</v>
      </c>
      <c r="EA470" s="33" t="s">
        <v>363</v>
      </c>
      <c r="EB470" s="34">
        <v>43995</v>
      </c>
      <c r="EC470" s="33" t="s">
        <v>1639</v>
      </c>
      <c r="ED470" s="35" t="s">
        <v>1640</v>
      </c>
      <c r="FL470" s="33" t="s">
        <v>1584</v>
      </c>
      <c r="FM470" s="33" t="s">
        <v>321</v>
      </c>
    </row>
    <row r="471" spans="1:169" ht="23.25" customHeight="1" x14ac:dyDescent="0.15">
      <c r="A471" s="26">
        <v>44660.560570740738</v>
      </c>
      <c r="B471" s="27" t="s">
        <v>6</v>
      </c>
      <c r="C471" s="17" t="s">
        <v>13</v>
      </c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  <c r="AX471" s="28"/>
      <c r="AY471" s="28"/>
      <c r="AZ471" s="28"/>
      <c r="BA471" s="28"/>
      <c r="BB471" s="28"/>
      <c r="BC471" s="28"/>
      <c r="BD471" s="28"/>
      <c r="BE471" s="28"/>
      <c r="BF471" s="28"/>
      <c r="BG471" s="28"/>
      <c r="BH471" s="28"/>
      <c r="BI471" s="28"/>
      <c r="BJ471" s="28"/>
      <c r="BK471" s="28"/>
      <c r="BL471" s="28"/>
      <c r="BM471" s="28"/>
      <c r="BN471" s="28"/>
      <c r="BO471" s="28"/>
      <c r="BP471" s="28"/>
      <c r="BQ471" s="28"/>
      <c r="BR471" s="28"/>
      <c r="BS471" s="28"/>
      <c r="BT471" s="28"/>
      <c r="BU471" s="28"/>
      <c r="BV471" s="28"/>
      <c r="BW471" s="27" t="s">
        <v>1615</v>
      </c>
      <c r="BX471" s="27" t="s">
        <v>1616</v>
      </c>
      <c r="BZ471" s="33" t="s">
        <v>311</v>
      </c>
      <c r="CA471" s="33" t="s">
        <v>1641</v>
      </c>
      <c r="CB471" s="33" t="s">
        <v>1148</v>
      </c>
      <c r="CC471" s="33" t="s">
        <v>1642</v>
      </c>
      <c r="CD471" s="34">
        <v>44088</v>
      </c>
      <c r="CE471" s="34">
        <v>44181</v>
      </c>
      <c r="CF471" s="33">
        <v>52</v>
      </c>
      <c r="CG471" s="35" t="s">
        <v>1643</v>
      </c>
      <c r="FL471" s="33" t="s">
        <v>1619</v>
      </c>
      <c r="FM471" s="33" t="s">
        <v>255</v>
      </c>
    </row>
    <row r="472" spans="1:169" ht="23.25" customHeight="1" x14ac:dyDescent="0.15">
      <c r="A472" s="26">
        <v>44660.561925231479</v>
      </c>
      <c r="B472" s="27" t="s">
        <v>6</v>
      </c>
      <c r="C472" s="27" t="s">
        <v>12</v>
      </c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  <c r="AX472" s="28"/>
      <c r="AY472" s="28"/>
      <c r="AZ472" s="28"/>
      <c r="BA472" s="28"/>
      <c r="BB472" s="28"/>
      <c r="BC472" s="28"/>
      <c r="BD472" s="28"/>
      <c r="BE472" s="28"/>
      <c r="BF472" s="28"/>
      <c r="BG472" s="28"/>
      <c r="BH472" s="28"/>
      <c r="BI472" s="27" t="s">
        <v>451</v>
      </c>
      <c r="BJ472" s="27" t="s">
        <v>452</v>
      </c>
      <c r="BK472" s="27" t="s">
        <v>311</v>
      </c>
      <c r="BL472" s="27" t="s">
        <v>1285</v>
      </c>
      <c r="BM472" s="27" t="s">
        <v>810</v>
      </c>
      <c r="BN472" s="27">
        <v>2</v>
      </c>
      <c r="BO472" s="29">
        <v>43505</v>
      </c>
      <c r="BP472" s="29">
        <v>43506</v>
      </c>
      <c r="BQ472" s="27" t="s">
        <v>1644</v>
      </c>
      <c r="BR472" s="27" t="s">
        <v>1645</v>
      </c>
      <c r="BS472" s="27" t="s">
        <v>271</v>
      </c>
      <c r="BT472" s="27" t="s">
        <v>629</v>
      </c>
      <c r="BU472" s="27">
        <v>300</v>
      </c>
      <c r="BV472" s="30" t="s">
        <v>1646</v>
      </c>
      <c r="BW472" s="28"/>
      <c r="BX472" s="28"/>
      <c r="FL472" s="33" t="s">
        <v>457</v>
      </c>
      <c r="FM472" s="33" t="s">
        <v>255</v>
      </c>
    </row>
    <row r="473" spans="1:169" ht="23.25" customHeight="1" x14ac:dyDescent="0.15">
      <c r="A473" s="26">
        <v>44660.562049282409</v>
      </c>
      <c r="B473" s="27" t="s">
        <v>6</v>
      </c>
      <c r="C473" s="27" t="s">
        <v>11</v>
      </c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  <c r="AX473" s="27" t="s">
        <v>1620</v>
      </c>
      <c r="AY473" s="27" t="s">
        <v>1621</v>
      </c>
      <c r="AZ473" s="27" t="s">
        <v>1647</v>
      </c>
      <c r="BA473" s="27" t="s">
        <v>343</v>
      </c>
      <c r="BB473" s="27" t="s">
        <v>493</v>
      </c>
      <c r="BC473" s="29">
        <v>43922</v>
      </c>
      <c r="BD473" s="29">
        <v>43977</v>
      </c>
      <c r="BE473" s="29">
        <v>43977</v>
      </c>
      <c r="BF473" s="27" t="s">
        <v>1624</v>
      </c>
      <c r="BG473" s="27" t="s">
        <v>1625</v>
      </c>
      <c r="BH473" s="30" t="s">
        <v>1648</v>
      </c>
      <c r="BI473" s="28"/>
      <c r="BJ473" s="28"/>
      <c r="BK473" s="28"/>
      <c r="BL473" s="28"/>
      <c r="BM473" s="28"/>
      <c r="BN473" s="28"/>
      <c r="BO473" s="28"/>
      <c r="BP473" s="28"/>
      <c r="BQ473" s="28"/>
      <c r="BR473" s="28"/>
      <c r="BS473" s="28"/>
      <c r="BT473" s="28"/>
      <c r="BU473" s="28"/>
      <c r="BV473" s="28"/>
      <c r="BW473" s="28"/>
      <c r="BX473" s="28"/>
      <c r="FL473" s="33" t="s">
        <v>1627</v>
      </c>
      <c r="FM473" s="33" t="s">
        <v>255</v>
      </c>
    </row>
    <row r="474" spans="1:169" ht="23.25" customHeight="1" x14ac:dyDescent="0.15">
      <c r="A474" s="26">
        <v>44660.562375243055</v>
      </c>
      <c r="B474" s="27" t="s">
        <v>6</v>
      </c>
      <c r="C474" s="27" t="s">
        <v>11</v>
      </c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  <c r="AX474" s="27" t="s">
        <v>1581</v>
      </c>
      <c r="AY474" s="27" t="s">
        <v>1582</v>
      </c>
      <c r="AZ474" s="27" t="s">
        <v>639</v>
      </c>
      <c r="BA474" s="27" t="s">
        <v>1649</v>
      </c>
      <c r="BB474" s="27" t="s">
        <v>507</v>
      </c>
      <c r="BC474" s="29">
        <v>44318</v>
      </c>
      <c r="BD474" s="29">
        <v>44378</v>
      </c>
      <c r="BE474" s="29">
        <v>44380</v>
      </c>
      <c r="BF474" s="27">
        <v>93</v>
      </c>
      <c r="BG474" s="27" t="s">
        <v>363</v>
      </c>
      <c r="BH474" s="30" t="s">
        <v>1650</v>
      </c>
      <c r="BI474" s="28"/>
      <c r="BJ474" s="28"/>
      <c r="BK474" s="28"/>
      <c r="BL474" s="28"/>
      <c r="BM474" s="28"/>
      <c r="BN474" s="28"/>
      <c r="BO474" s="28"/>
      <c r="BP474" s="28"/>
      <c r="BQ474" s="28"/>
      <c r="BR474" s="28"/>
      <c r="BS474" s="28"/>
      <c r="BT474" s="28"/>
      <c r="BU474" s="28"/>
      <c r="BV474" s="28"/>
      <c r="BW474" s="28"/>
      <c r="BX474" s="28"/>
      <c r="FL474" s="33" t="s">
        <v>1584</v>
      </c>
      <c r="FM474" s="33" t="s">
        <v>278</v>
      </c>
    </row>
    <row r="475" spans="1:169" ht="23.25" customHeight="1" x14ac:dyDescent="0.15">
      <c r="A475" s="26">
        <v>44660.564938912037</v>
      </c>
      <c r="B475" s="27" t="s">
        <v>6</v>
      </c>
      <c r="C475" s="27" t="s">
        <v>11</v>
      </c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  <c r="AX475" s="27" t="s">
        <v>1620</v>
      </c>
      <c r="AY475" s="27" t="s">
        <v>1621</v>
      </c>
      <c r="AZ475" s="27" t="s">
        <v>1651</v>
      </c>
      <c r="BA475" s="27" t="s">
        <v>1652</v>
      </c>
      <c r="BB475" s="27" t="s">
        <v>493</v>
      </c>
      <c r="BC475" s="29">
        <v>43952</v>
      </c>
      <c r="BD475" s="29">
        <v>43973</v>
      </c>
      <c r="BE475" s="29">
        <v>43973</v>
      </c>
      <c r="BF475" s="27" t="s">
        <v>1624</v>
      </c>
      <c r="BG475" s="27" t="s">
        <v>1625</v>
      </c>
      <c r="BH475" s="30" t="s">
        <v>1653</v>
      </c>
      <c r="BI475" s="28"/>
      <c r="BJ475" s="28"/>
      <c r="BK475" s="28"/>
      <c r="BL475" s="28"/>
      <c r="BM475" s="28"/>
      <c r="BN475" s="28"/>
      <c r="BO475" s="28"/>
      <c r="BP475" s="28"/>
      <c r="BQ475" s="28"/>
      <c r="BR475" s="28"/>
      <c r="BS475" s="28"/>
      <c r="BT475" s="28"/>
      <c r="BU475" s="28"/>
      <c r="BV475" s="28"/>
      <c r="BW475" s="28"/>
      <c r="BX475" s="28"/>
      <c r="FL475" s="33" t="s">
        <v>1627</v>
      </c>
      <c r="FM475" s="33" t="s">
        <v>255</v>
      </c>
    </row>
    <row r="476" spans="1:169" ht="23.25" customHeight="1" x14ac:dyDescent="0.15">
      <c r="A476" s="26">
        <v>44660.568961261575</v>
      </c>
      <c r="B476" s="27" t="s">
        <v>6</v>
      </c>
      <c r="C476" s="27" t="s">
        <v>11</v>
      </c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  <c r="AX476" s="27" t="s">
        <v>1654</v>
      </c>
      <c r="AY476" s="27" t="s">
        <v>1655</v>
      </c>
      <c r="AZ476" s="27" t="s">
        <v>1656</v>
      </c>
      <c r="BA476" s="27" t="s">
        <v>1657</v>
      </c>
      <c r="BB476" s="27" t="s">
        <v>493</v>
      </c>
      <c r="BC476" s="29">
        <v>44367</v>
      </c>
      <c r="BD476" s="29">
        <v>44401</v>
      </c>
      <c r="BE476" s="29">
        <v>44400</v>
      </c>
      <c r="BF476" s="27">
        <v>100</v>
      </c>
      <c r="BG476" s="27" t="s">
        <v>1052</v>
      </c>
      <c r="BH476" s="30" t="s">
        <v>1658</v>
      </c>
      <c r="BI476" s="28"/>
      <c r="BJ476" s="28"/>
      <c r="BK476" s="28"/>
      <c r="BL476" s="28"/>
      <c r="BM476" s="28"/>
      <c r="BN476" s="28"/>
      <c r="BO476" s="28"/>
      <c r="BP476" s="28"/>
      <c r="BQ476" s="28"/>
      <c r="BR476" s="28"/>
      <c r="BS476" s="28"/>
      <c r="BT476" s="28"/>
      <c r="BU476" s="28"/>
      <c r="BV476" s="28"/>
      <c r="BW476" s="28"/>
      <c r="BX476" s="28"/>
      <c r="FL476" s="33" t="s">
        <v>1659</v>
      </c>
      <c r="FM476" s="33" t="s">
        <v>339</v>
      </c>
    </row>
    <row r="477" spans="1:169" ht="23.25" customHeight="1" x14ac:dyDescent="0.15">
      <c r="A477" s="26">
        <v>44660.570960671292</v>
      </c>
      <c r="B477" s="27" t="s">
        <v>6</v>
      </c>
      <c r="C477" s="27" t="s">
        <v>10</v>
      </c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7" t="s">
        <v>1654</v>
      </c>
      <c r="AO477" s="27" t="s">
        <v>1655</v>
      </c>
      <c r="AP477" s="27" t="s">
        <v>307</v>
      </c>
      <c r="AQ477" s="27" t="s">
        <v>308</v>
      </c>
      <c r="AR477" s="29">
        <v>44478</v>
      </c>
      <c r="AS477" s="29">
        <v>44545</v>
      </c>
      <c r="AT477" s="27" t="s">
        <v>252</v>
      </c>
      <c r="AU477" s="27" t="s">
        <v>252</v>
      </c>
      <c r="AV477" s="27">
        <v>0</v>
      </c>
      <c r="AW477" s="30" t="s">
        <v>1660</v>
      </c>
      <c r="AX477" s="28"/>
      <c r="AY477" s="28"/>
      <c r="AZ477" s="28"/>
      <c r="BA477" s="28"/>
      <c r="BB477" s="28"/>
      <c r="BC477" s="28"/>
      <c r="BD477" s="28"/>
      <c r="BE477" s="28"/>
      <c r="BF477" s="28"/>
      <c r="BG477" s="28"/>
      <c r="BH477" s="28"/>
      <c r="BI477" s="28"/>
      <c r="BJ477" s="28"/>
      <c r="BK477" s="28"/>
      <c r="BL477" s="28"/>
      <c r="BM477" s="28"/>
      <c r="BN477" s="28"/>
      <c r="BO477" s="28"/>
      <c r="BP477" s="28"/>
      <c r="BQ477" s="28"/>
      <c r="BR477" s="28"/>
      <c r="BS477" s="28"/>
      <c r="BT477" s="28"/>
      <c r="BU477" s="28"/>
      <c r="BV477" s="28"/>
      <c r="BW477" s="28"/>
      <c r="BX477" s="28"/>
      <c r="FL477" s="33" t="s">
        <v>1659</v>
      </c>
      <c r="FM477" s="33" t="s">
        <v>273</v>
      </c>
    </row>
    <row r="478" spans="1:169" ht="23.25" customHeight="1" x14ac:dyDescent="0.15">
      <c r="A478" s="26">
        <v>44660.573881099539</v>
      </c>
      <c r="B478" s="27" t="s">
        <v>6</v>
      </c>
      <c r="C478" s="27" t="s">
        <v>11</v>
      </c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  <c r="AX478" s="27" t="s">
        <v>1620</v>
      </c>
      <c r="AY478" s="27" t="s">
        <v>1621</v>
      </c>
      <c r="AZ478" s="27" t="s">
        <v>1661</v>
      </c>
      <c r="BA478" s="27" t="s">
        <v>343</v>
      </c>
      <c r="BB478" s="27" t="s">
        <v>1662</v>
      </c>
      <c r="BC478" s="29">
        <v>44013</v>
      </c>
      <c r="BD478" s="29">
        <v>44019</v>
      </c>
      <c r="BE478" s="29">
        <v>44019</v>
      </c>
      <c r="BF478" s="27" t="s">
        <v>1624</v>
      </c>
      <c r="BG478" s="27" t="s">
        <v>1625</v>
      </c>
      <c r="BH478" s="30" t="s">
        <v>1663</v>
      </c>
      <c r="BI478" s="28"/>
      <c r="BJ478" s="28"/>
      <c r="BK478" s="28"/>
      <c r="BL478" s="28"/>
      <c r="BM478" s="28"/>
      <c r="BN478" s="28"/>
      <c r="BO478" s="28"/>
      <c r="BP478" s="28"/>
      <c r="BQ478" s="28"/>
      <c r="BR478" s="28"/>
      <c r="BS478" s="28"/>
      <c r="BT478" s="28"/>
      <c r="BU478" s="28"/>
      <c r="BV478" s="28"/>
      <c r="BW478" s="28"/>
      <c r="BX478" s="28"/>
      <c r="FL478" s="33" t="s">
        <v>1627</v>
      </c>
      <c r="FM478" s="33" t="s">
        <v>255</v>
      </c>
    </row>
    <row r="479" spans="1:169" ht="23.25" customHeight="1" x14ac:dyDescent="0.15">
      <c r="A479" s="26">
        <v>44660.576247719902</v>
      </c>
      <c r="B479" s="27" t="s">
        <v>6</v>
      </c>
      <c r="C479" s="27" t="s">
        <v>11</v>
      </c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  <c r="AX479" s="27" t="s">
        <v>1620</v>
      </c>
      <c r="AY479" s="27" t="s">
        <v>1621</v>
      </c>
      <c r="AZ479" s="27" t="s">
        <v>1664</v>
      </c>
      <c r="BA479" s="27" t="s">
        <v>343</v>
      </c>
      <c r="BB479" s="27" t="s">
        <v>493</v>
      </c>
      <c r="BC479" s="29">
        <v>44013</v>
      </c>
      <c r="BD479" s="29">
        <v>44017</v>
      </c>
      <c r="BE479" s="29">
        <v>44017</v>
      </c>
      <c r="BF479" s="27" t="s">
        <v>1665</v>
      </c>
      <c r="BG479" s="27" t="s">
        <v>1625</v>
      </c>
      <c r="BH479" s="30" t="s">
        <v>1666</v>
      </c>
      <c r="BI479" s="28"/>
      <c r="BJ479" s="28"/>
      <c r="BK479" s="28"/>
      <c r="BL479" s="28"/>
      <c r="BM479" s="28"/>
      <c r="BN479" s="28"/>
      <c r="BO479" s="28"/>
      <c r="BP479" s="28"/>
      <c r="BQ479" s="28"/>
      <c r="BR479" s="28"/>
      <c r="BS479" s="28"/>
      <c r="BT479" s="28"/>
      <c r="BU479" s="28"/>
      <c r="BV479" s="28"/>
      <c r="BW479" s="28"/>
      <c r="BX479" s="28"/>
      <c r="FL479" s="33" t="s">
        <v>1627</v>
      </c>
      <c r="FM479" s="33" t="s">
        <v>255</v>
      </c>
    </row>
    <row r="480" spans="1:169" ht="23.25" customHeight="1" x14ac:dyDescent="0.15">
      <c r="A480" s="26">
        <v>44660.581638402778</v>
      </c>
      <c r="B480" s="27" t="s">
        <v>6</v>
      </c>
      <c r="C480" s="27" t="s">
        <v>11</v>
      </c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  <c r="AX480" s="27" t="s">
        <v>1620</v>
      </c>
      <c r="AY480" s="27" t="s">
        <v>1621</v>
      </c>
      <c r="AZ480" s="27" t="s">
        <v>1667</v>
      </c>
      <c r="BA480" s="27" t="s">
        <v>343</v>
      </c>
      <c r="BB480" s="27" t="s">
        <v>1490</v>
      </c>
      <c r="BC480" s="29">
        <v>43891</v>
      </c>
      <c r="BD480" s="29">
        <v>43968</v>
      </c>
      <c r="BE480" s="29">
        <v>43968</v>
      </c>
      <c r="BF480" s="27" t="s">
        <v>1668</v>
      </c>
      <c r="BG480" s="27" t="s">
        <v>1625</v>
      </c>
      <c r="BH480" s="30" t="s">
        <v>1669</v>
      </c>
      <c r="BI480" s="28"/>
      <c r="BJ480" s="28"/>
      <c r="BK480" s="28"/>
      <c r="BL480" s="28"/>
      <c r="BM480" s="28"/>
      <c r="BN480" s="28"/>
      <c r="BO480" s="28"/>
      <c r="BP480" s="28"/>
      <c r="BQ480" s="28"/>
      <c r="BR480" s="28"/>
      <c r="BS480" s="28"/>
      <c r="BT480" s="28"/>
      <c r="BU480" s="28"/>
      <c r="BV480" s="28"/>
      <c r="BW480" s="28"/>
      <c r="BX480" s="28"/>
      <c r="FL480" s="33" t="s">
        <v>1627</v>
      </c>
      <c r="FM480" s="33" t="s">
        <v>255</v>
      </c>
    </row>
    <row r="481" spans="1:194" ht="23.25" customHeight="1" x14ac:dyDescent="0.15">
      <c r="A481" s="26">
        <v>44660.586881111114</v>
      </c>
      <c r="B481" s="27" t="s">
        <v>6</v>
      </c>
      <c r="C481" s="27" t="s">
        <v>11</v>
      </c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  <c r="AX481" s="27" t="s">
        <v>1670</v>
      </c>
      <c r="AY481" s="27" t="s">
        <v>1671</v>
      </c>
      <c r="AZ481" s="27" t="s">
        <v>498</v>
      </c>
      <c r="BA481" s="27" t="s">
        <v>307</v>
      </c>
      <c r="BB481" s="27" t="s">
        <v>448</v>
      </c>
      <c r="BC481" s="29">
        <v>44476</v>
      </c>
      <c r="BD481" s="29">
        <v>44537</v>
      </c>
      <c r="BE481" s="29">
        <v>44536</v>
      </c>
      <c r="BF481" s="27">
        <v>100</v>
      </c>
      <c r="BG481" s="27" t="s">
        <v>1672</v>
      </c>
      <c r="BH481" s="30" t="s">
        <v>1673</v>
      </c>
      <c r="BI481" s="28"/>
      <c r="BJ481" s="28"/>
      <c r="BK481" s="28"/>
      <c r="BL481" s="28"/>
      <c r="BM481" s="28"/>
      <c r="BN481" s="28"/>
      <c r="BO481" s="28"/>
      <c r="BP481" s="28"/>
      <c r="BQ481" s="28"/>
      <c r="BR481" s="28"/>
      <c r="BS481" s="28"/>
      <c r="BT481" s="28"/>
      <c r="BU481" s="28"/>
      <c r="BV481" s="28"/>
      <c r="BW481" s="28"/>
      <c r="BX481" s="28"/>
      <c r="FL481" s="33" t="s">
        <v>1674</v>
      </c>
      <c r="FM481" s="33" t="s">
        <v>255</v>
      </c>
    </row>
    <row r="482" spans="1:194" ht="23.25" customHeight="1" x14ac:dyDescent="0.15">
      <c r="A482" s="26">
        <v>44660.587811493053</v>
      </c>
      <c r="B482" s="27" t="s">
        <v>6</v>
      </c>
      <c r="C482" s="27" t="s">
        <v>10</v>
      </c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7" t="s">
        <v>1302</v>
      </c>
      <c r="AO482" s="27" t="s">
        <v>1303</v>
      </c>
      <c r="AP482" s="27" t="s">
        <v>634</v>
      </c>
      <c r="AQ482" s="27" t="s">
        <v>300</v>
      </c>
      <c r="AR482" s="29">
        <v>44630</v>
      </c>
      <c r="AS482" s="29">
        <v>44712</v>
      </c>
      <c r="AT482" s="27" t="s">
        <v>252</v>
      </c>
      <c r="AU482" s="27" t="s">
        <v>252</v>
      </c>
      <c r="AV482" s="27">
        <v>0</v>
      </c>
      <c r="AW482" s="30" t="s">
        <v>1675</v>
      </c>
      <c r="AX482" s="28"/>
      <c r="AY482" s="28"/>
      <c r="AZ482" s="28"/>
      <c r="BA482" s="28"/>
      <c r="BB482" s="28"/>
      <c r="BC482" s="28"/>
      <c r="BD482" s="28"/>
      <c r="BE482" s="28"/>
      <c r="BF482" s="28"/>
      <c r="BG482" s="28"/>
      <c r="BH482" s="28"/>
      <c r="BI482" s="28"/>
      <c r="BJ482" s="28"/>
      <c r="BK482" s="28"/>
      <c r="BL482" s="28"/>
      <c r="BM482" s="28"/>
      <c r="BN482" s="28"/>
      <c r="BO482" s="28"/>
      <c r="BP482" s="28"/>
      <c r="BQ482" s="28"/>
      <c r="BR482" s="28"/>
      <c r="BS482" s="28"/>
      <c r="BT482" s="28"/>
      <c r="BU482" s="28"/>
      <c r="BV482" s="28"/>
      <c r="BW482" s="28"/>
      <c r="BX482" s="28"/>
      <c r="FL482" s="33" t="s">
        <v>1307</v>
      </c>
      <c r="FM482" s="33" t="s">
        <v>255</v>
      </c>
    </row>
    <row r="483" spans="1:194" ht="23.25" customHeight="1" x14ac:dyDescent="0.15">
      <c r="A483" s="26">
        <v>44660.591374386575</v>
      </c>
      <c r="B483" s="27" t="s">
        <v>6</v>
      </c>
      <c r="C483" s="27" t="s">
        <v>19</v>
      </c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  <c r="AX483" s="28"/>
      <c r="AY483" s="28"/>
      <c r="AZ483" s="28"/>
      <c r="BA483" s="28"/>
      <c r="BB483" s="28"/>
      <c r="BC483" s="28"/>
      <c r="BD483" s="28"/>
      <c r="BE483" s="28"/>
      <c r="BF483" s="28"/>
      <c r="BG483" s="28"/>
      <c r="BH483" s="28"/>
      <c r="BI483" s="28"/>
      <c r="BJ483" s="28"/>
      <c r="BK483" s="28"/>
      <c r="BL483" s="28"/>
      <c r="BM483" s="28"/>
      <c r="BN483" s="28"/>
      <c r="BO483" s="28"/>
      <c r="BP483" s="28"/>
      <c r="BQ483" s="28"/>
      <c r="BR483" s="28"/>
      <c r="BS483" s="28"/>
      <c r="BT483" s="28"/>
      <c r="BU483" s="28"/>
      <c r="BV483" s="28"/>
      <c r="BW483" s="28"/>
      <c r="BX483" s="28"/>
      <c r="FG483" s="33" t="s">
        <v>1670</v>
      </c>
      <c r="FH483" s="33" t="s">
        <v>1671</v>
      </c>
      <c r="FI483" s="33" t="s">
        <v>1676</v>
      </c>
      <c r="FJ483" s="34">
        <v>44486</v>
      </c>
      <c r="FK483" s="35" t="s">
        <v>1677</v>
      </c>
      <c r="FL483" s="33" t="s">
        <v>1674</v>
      </c>
      <c r="FM483" s="33" t="s">
        <v>255</v>
      </c>
    </row>
    <row r="484" spans="1:194" ht="23.25" customHeight="1" x14ac:dyDescent="0.15">
      <c r="A484" s="26">
        <v>44660.595302488422</v>
      </c>
      <c r="B484" s="27" t="s">
        <v>6</v>
      </c>
      <c r="C484" s="27" t="s">
        <v>10</v>
      </c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7" t="s">
        <v>1127</v>
      </c>
      <c r="AO484" s="27" t="s">
        <v>388</v>
      </c>
      <c r="AP484" s="27" t="s">
        <v>249</v>
      </c>
      <c r="AQ484" s="27" t="s">
        <v>448</v>
      </c>
      <c r="AR484" s="29">
        <v>44621</v>
      </c>
      <c r="AS484" s="29">
        <v>44712</v>
      </c>
      <c r="AT484" s="27" t="s">
        <v>252</v>
      </c>
      <c r="AU484" s="27" t="s">
        <v>252</v>
      </c>
      <c r="AV484" s="27">
        <v>0</v>
      </c>
      <c r="AW484" s="30" t="s">
        <v>1678</v>
      </c>
      <c r="AX484" s="28"/>
      <c r="AY484" s="28"/>
      <c r="AZ484" s="28"/>
      <c r="BA484" s="28"/>
      <c r="BB484" s="28"/>
      <c r="BC484" s="28"/>
      <c r="BD484" s="28"/>
      <c r="BE484" s="28"/>
      <c r="BF484" s="28"/>
      <c r="BG484" s="28"/>
      <c r="BH484" s="28"/>
      <c r="BI484" s="28"/>
      <c r="BJ484" s="28"/>
      <c r="BK484" s="28"/>
      <c r="BL484" s="28"/>
      <c r="BM484" s="28"/>
      <c r="BN484" s="28"/>
      <c r="BO484" s="28"/>
      <c r="BP484" s="28"/>
      <c r="BQ484" s="28"/>
      <c r="BR484" s="28"/>
      <c r="BS484" s="28"/>
      <c r="BT484" s="28"/>
      <c r="BU484" s="28"/>
      <c r="BV484" s="28"/>
      <c r="BW484" s="28"/>
      <c r="BX484" s="28"/>
      <c r="FL484" s="33" t="s">
        <v>391</v>
      </c>
      <c r="FM484" s="33" t="s">
        <v>255</v>
      </c>
    </row>
    <row r="485" spans="1:194" ht="23.25" customHeight="1" x14ac:dyDescent="0.15">
      <c r="A485" s="26">
        <v>44660.59872800926</v>
      </c>
      <c r="B485" s="27" t="s">
        <v>6</v>
      </c>
      <c r="C485" s="27" t="s">
        <v>11</v>
      </c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  <c r="AX485" s="27" t="s">
        <v>975</v>
      </c>
      <c r="AY485" s="27" t="s">
        <v>388</v>
      </c>
      <c r="AZ485" s="27" t="s">
        <v>1679</v>
      </c>
      <c r="BA485" s="27" t="s">
        <v>1449</v>
      </c>
      <c r="BB485" s="27" t="s">
        <v>1680</v>
      </c>
      <c r="BC485" s="29">
        <v>43930</v>
      </c>
      <c r="BD485" s="29">
        <v>43931</v>
      </c>
      <c r="BE485" s="29">
        <v>43930</v>
      </c>
      <c r="BF485" s="27">
        <v>80</v>
      </c>
      <c r="BG485" s="27" t="s">
        <v>395</v>
      </c>
      <c r="BH485" s="30" t="s">
        <v>1681</v>
      </c>
      <c r="BI485" s="28"/>
      <c r="BJ485" s="28"/>
      <c r="BK485" s="28"/>
      <c r="BL485" s="28"/>
      <c r="BM485" s="28"/>
      <c r="BN485" s="28"/>
      <c r="BO485" s="28"/>
      <c r="BP485" s="28"/>
      <c r="BQ485" s="28"/>
      <c r="BR485" s="28"/>
      <c r="BS485" s="28"/>
      <c r="BT485" s="28"/>
      <c r="BU485" s="28"/>
      <c r="BV485" s="28"/>
      <c r="BW485" s="28"/>
      <c r="BX485" s="28"/>
      <c r="FL485" s="33" t="s">
        <v>391</v>
      </c>
      <c r="FM485" s="33" t="s">
        <v>255</v>
      </c>
    </row>
    <row r="486" spans="1:194" ht="23.25" customHeight="1" x14ac:dyDescent="0.15">
      <c r="A486" s="26">
        <v>44660.601015451393</v>
      </c>
      <c r="B486" s="27" t="s">
        <v>6</v>
      </c>
      <c r="C486" s="27" t="s">
        <v>10</v>
      </c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7" t="s">
        <v>1682</v>
      </c>
      <c r="AO486" s="27" t="s">
        <v>1683</v>
      </c>
      <c r="AP486" s="27" t="s">
        <v>634</v>
      </c>
      <c r="AQ486" s="27" t="s">
        <v>448</v>
      </c>
      <c r="AR486" s="29">
        <v>44668</v>
      </c>
      <c r="AS486" s="29">
        <v>44759</v>
      </c>
      <c r="AT486" s="27" t="s">
        <v>252</v>
      </c>
      <c r="AU486" s="27" t="s">
        <v>252</v>
      </c>
      <c r="AV486" s="27">
        <v>0</v>
      </c>
      <c r="AW486" s="30" t="s">
        <v>1684</v>
      </c>
      <c r="AX486" s="28"/>
      <c r="AY486" s="28"/>
      <c r="AZ486" s="28"/>
      <c r="BA486" s="28"/>
      <c r="BB486" s="28"/>
      <c r="BC486" s="28"/>
      <c r="BD486" s="28"/>
      <c r="BE486" s="28"/>
      <c r="BF486" s="28"/>
      <c r="BG486" s="28"/>
      <c r="BH486" s="28"/>
      <c r="BI486" s="28"/>
      <c r="BJ486" s="28"/>
      <c r="BK486" s="28"/>
      <c r="BL486" s="28"/>
      <c r="BM486" s="28"/>
      <c r="BN486" s="28"/>
      <c r="BO486" s="28"/>
      <c r="BP486" s="28"/>
      <c r="BQ486" s="28"/>
      <c r="BR486" s="28"/>
      <c r="BS486" s="28"/>
      <c r="BT486" s="28"/>
      <c r="BU486" s="28"/>
      <c r="BV486" s="28"/>
      <c r="BW486" s="28"/>
      <c r="BX486" s="28"/>
      <c r="FL486" s="33" t="s">
        <v>1685</v>
      </c>
      <c r="FM486" s="33" t="s">
        <v>255</v>
      </c>
    </row>
    <row r="487" spans="1:194" ht="23.25" customHeight="1" x14ac:dyDescent="0.15">
      <c r="A487" s="26">
        <v>44660.60587211806</v>
      </c>
      <c r="B487" s="27" t="s">
        <v>6</v>
      </c>
      <c r="C487" s="27" t="s">
        <v>22</v>
      </c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  <c r="AX487" s="28"/>
      <c r="AY487" s="28"/>
      <c r="AZ487" s="28"/>
      <c r="BA487" s="28"/>
      <c r="BB487" s="28"/>
      <c r="BC487" s="28"/>
      <c r="BD487" s="28"/>
      <c r="BE487" s="28"/>
      <c r="BF487" s="28"/>
      <c r="BG487" s="28"/>
      <c r="BH487" s="28"/>
      <c r="BI487" s="28"/>
      <c r="BJ487" s="28"/>
      <c r="BK487" s="28"/>
      <c r="BL487" s="28"/>
      <c r="BM487" s="28"/>
      <c r="BN487" s="28"/>
      <c r="BO487" s="28"/>
      <c r="BP487" s="28"/>
      <c r="BQ487" s="28"/>
      <c r="BR487" s="28"/>
      <c r="BS487" s="28"/>
      <c r="BT487" s="28"/>
      <c r="BU487" s="28"/>
      <c r="BV487" s="28"/>
      <c r="BW487" s="28"/>
      <c r="BX487" s="28"/>
      <c r="FL487" s="33" t="s">
        <v>1685</v>
      </c>
      <c r="FM487" s="33" t="s">
        <v>255</v>
      </c>
      <c r="GF487" s="33" t="s">
        <v>1682</v>
      </c>
      <c r="GG487" s="33" t="s">
        <v>1683</v>
      </c>
      <c r="GH487" s="33" t="s">
        <v>634</v>
      </c>
      <c r="GI487" s="34">
        <v>44732</v>
      </c>
      <c r="GJ487" s="35" t="s">
        <v>1686</v>
      </c>
      <c r="GK487" s="33" t="s">
        <v>1687</v>
      </c>
      <c r="GL487" s="33">
        <v>3.5</v>
      </c>
    </row>
    <row r="488" spans="1:194" ht="23.25" customHeight="1" x14ac:dyDescent="0.15">
      <c r="A488" s="26">
        <v>44660.607070081023</v>
      </c>
      <c r="B488" s="27" t="s">
        <v>6</v>
      </c>
      <c r="C488" s="27" t="s">
        <v>22</v>
      </c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  <c r="AX488" s="28"/>
      <c r="AY488" s="28"/>
      <c r="AZ488" s="28"/>
      <c r="BA488" s="28"/>
      <c r="BB488" s="28"/>
      <c r="BC488" s="28"/>
      <c r="BD488" s="28"/>
      <c r="BE488" s="28"/>
      <c r="BF488" s="28"/>
      <c r="BG488" s="28"/>
      <c r="BH488" s="28"/>
      <c r="BI488" s="28"/>
      <c r="BJ488" s="28"/>
      <c r="BK488" s="28"/>
      <c r="BL488" s="28"/>
      <c r="BM488" s="28"/>
      <c r="BN488" s="28"/>
      <c r="BO488" s="28"/>
      <c r="BP488" s="28"/>
      <c r="BQ488" s="28"/>
      <c r="BR488" s="28"/>
      <c r="BS488" s="28"/>
      <c r="BT488" s="28"/>
      <c r="BU488" s="28"/>
      <c r="BV488" s="28"/>
      <c r="BW488" s="28"/>
      <c r="BX488" s="28"/>
      <c r="FL488" s="33" t="s">
        <v>1685</v>
      </c>
      <c r="FM488" s="33" t="s">
        <v>255</v>
      </c>
      <c r="GF488" s="33" t="s">
        <v>1682</v>
      </c>
      <c r="GG488" s="33" t="s">
        <v>1683</v>
      </c>
      <c r="GH488" s="33" t="s">
        <v>249</v>
      </c>
      <c r="GI488" s="34">
        <v>44737</v>
      </c>
      <c r="GJ488" s="35" t="s">
        <v>1688</v>
      </c>
      <c r="GK488" s="33" t="s">
        <v>1687</v>
      </c>
      <c r="GL488" s="33">
        <v>4</v>
      </c>
    </row>
    <row r="489" spans="1:194" ht="23.25" customHeight="1" x14ac:dyDescent="0.15">
      <c r="A489" s="26">
        <v>44660.608143530088</v>
      </c>
      <c r="B489" s="27" t="s">
        <v>6</v>
      </c>
      <c r="C489" s="27" t="s">
        <v>22</v>
      </c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  <c r="AX489" s="28"/>
      <c r="AY489" s="28"/>
      <c r="AZ489" s="28"/>
      <c r="BA489" s="28"/>
      <c r="BB489" s="28"/>
      <c r="BC489" s="28"/>
      <c r="BD489" s="28"/>
      <c r="BE489" s="28"/>
      <c r="BF489" s="28"/>
      <c r="BG489" s="28"/>
      <c r="BH489" s="28"/>
      <c r="BI489" s="28"/>
      <c r="BJ489" s="28"/>
      <c r="BK489" s="28"/>
      <c r="BL489" s="28"/>
      <c r="BM489" s="28"/>
      <c r="BN489" s="28"/>
      <c r="BO489" s="28"/>
      <c r="BP489" s="28"/>
      <c r="BQ489" s="28"/>
      <c r="BR489" s="28"/>
      <c r="BS489" s="28"/>
      <c r="BT489" s="28"/>
      <c r="BU489" s="28"/>
      <c r="BV489" s="28"/>
      <c r="BW489" s="28"/>
      <c r="BX489" s="28"/>
      <c r="FL489" s="33" t="s">
        <v>1685</v>
      </c>
      <c r="FM489" s="33" t="s">
        <v>255</v>
      </c>
      <c r="GF489" s="33" t="s">
        <v>1682</v>
      </c>
      <c r="GG489" s="33" t="s">
        <v>1683</v>
      </c>
      <c r="GH489" s="33" t="s">
        <v>264</v>
      </c>
      <c r="GI489" s="34">
        <v>44754</v>
      </c>
      <c r="GJ489" s="35" t="s">
        <v>1689</v>
      </c>
      <c r="GK489" s="33" t="s">
        <v>1687</v>
      </c>
      <c r="GL489" s="33">
        <v>3.6</v>
      </c>
    </row>
    <row r="490" spans="1:194" ht="23.25" customHeight="1" x14ac:dyDescent="0.15">
      <c r="A490" s="26">
        <v>44660.614878298613</v>
      </c>
      <c r="B490" s="27" t="s">
        <v>6</v>
      </c>
      <c r="C490" s="27" t="s">
        <v>10</v>
      </c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7" t="s">
        <v>1690</v>
      </c>
      <c r="AO490" s="27" t="s">
        <v>616</v>
      </c>
      <c r="AP490" s="27" t="s">
        <v>634</v>
      </c>
      <c r="AQ490" s="27" t="s">
        <v>448</v>
      </c>
      <c r="AR490" s="29">
        <v>44657</v>
      </c>
      <c r="AS490" s="29">
        <v>44742</v>
      </c>
      <c r="AT490" s="27" t="s">
        <v>252</v>
      </c>
      <c r="AU490" s="27" t="s">
        <v>252</v>
      </c>
      <c r="AV490" s="27">
        <v>0</v>
      </c>
      <c r="AW490" s="30" t="s">
        <v>1691</v>
      </c>
      <c r="AX490" s="28"/>
      <c r="AY490" s="28"/>
      <c r="AZ490" s="28"/>
      <c r="BA490" s="28"/>
      <c r="BB490" s="28"/>
      <c r="BC490" s="28"/>
      <c r="BD490" s="28"/>
      <c r="BE490" s="28"/>
      <c r="BF490" s="28"/>
      <c r="BG490" s="28"/>
      <c r="BH490" s="28"/>
      <c r="BI490" s="28"/>
      <c r="BJ490" s="28"/>
      <c r="BK490" s="28"/>
      <c r="BL490" s="28"/>
      <c r="BM490" s="28"/>
      <c r="BN490" s="28"/>
      <c r="BO490" s="28"/>
      <c r="BP490" s="28"/>
      <c r="BQ490" s="28"/>
      <c r="BR490" s="28"/>
      <c r="BS490" s="28"/>
      <c r="BT490" s="28"/>
      <c r="BU490" s="28"/>
      <c r="BV490" s="28"/>
      <c r="BW490" s="28"/>
      <c r="BX490" s="28"/>
      <c r="FL490" s="33" t="s">
        <v>619</v>
      </c>
      <c r="FM490" s="33" t="s">
        <v>255</v>
      </c>
    </row>
    <row r="491" spans="1:194" ht="23.25" customHeight="1" x14ac:dyDescent="0.15">
      <c r="A491" s="26">
        <v>44660.614935405094</v>
      </c>
      <c r="B491" s="27" t="s">
        <v>6</v>
      </c>
      <c r="C491" s="27" t="s">
        <v>11</v>
      </c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  <c r="AX491" s="27" t="s">
        <v>1682</v>
      </c>
      <c r="AY491" s="27" t="s">
        <v>1683</v>
      </c>
      <c r="AZ491" s="27" t="s">
        <v>1692</v>
      </c>
      <c r="BA491" s="27" t="s">
        <v>498</v>
      </c>
      <c r="BB491" s="27" t="s">
        <v>448</v>
      </c>
      <c r="BC491" s="29">
        <v>44479</v>
      </c>
      <c r="BD491" s="29">
        <v>44571</v>
      </c>
      <c r="BE491" s="29">
        <v>44572</v>
      </c>
      <c r="BF491" s="27">
        <v>100</v>
      </c>
      <c r="BG491" s="27" t="s">
        <v>1434</v>
      </c>
      <c r="BH491" s="30" t="s">
        <v>1693</v>
      </c>
      <c r="BI491" s="28"/>
      <c r="BJ491" s="28"/>
      <c r="BK491" s="28"/>
      <c r="BL491" s="28"/>
      <c r="BM491" s="28"/>
      <c r="BN491" s="28"/>
      <c r="BO491" s="28"/>
      <c r="BP491" s="28"/>
      <c r="BQ491" s="28"/>
      <c r="BR491" s="28"/>
      <c r="BS491" s="28"/>
      <c r="BT491" s="28"/>
      <c r="BU491" s="28"/>
      <c r="BV491" s="28"/>
      <c r="BW491" s="28"/>
      <c r="BX491" s="28"/>
      <c r="FL491" s="33" t="s">
        <v>1685</v>
      </c>
      <c r="FM491" s="33" t="s">
        <v>255</v>
      </c>
    </row>
    <row r="492" spans="1:194" ht="23.25" customHeight="1" x14ac:dyDescent="0.15">
      <c r="A492" s="26">
        <v>44660.615751342593</v>
      </c>
      <c r="B492" s="27" t="s">
        <v>6</v>
      </c>
      <c r="C492" s="27" t="s">
        <v>10</v>
      </c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7" t="s">
        <v>1694</v>
      </c>
      <c r="AO492" s="27" t="s">
        <v>401</v>
      </c>
      <c r="AP492" s="27" t="s">
        <v>634</v>
      </c>
      <c r="AQ492" s="27" t="s">
        <v>1065</v>
      </c>
      <c r="AR492" s="29">
        <v>44645</v>
      </c>
      <c r="AS492" s="29">
        <v>44737</v>
      </c>
      <c r="AT492" s="27" t="s">
        <v>252</v>
      </c>
      <c r="AU492" s="27" t="s">
        <v>252</v>
      </c>
      <c r="AV492" s="27">
        <v>0</v>
      </c>
      <c r="AW492" s="30" t="s">
        <v>1695</v>
      </c>
      <c r="AX492" s="28"/>
      <c r="AY492" s="28"/>
      <c r="AZ492" s="28"/>
      <c r="BA492" s="28"/>
      <c r="BB492" s="28"/>
      <c r="BC492" s="28"/>
      <c r="BD492" s="28"/>
      <c r="BE492" s="28"/>
      <c r="BF492" s="28"/>
      <c r="BG492" s="28"/>
      <c r="BH492" s="28"/>
      <c r="BI492" s="28"/>
      <c r="BJ492" s="28"/>
      <c r="BK492" s="28"/>
      <c r="BL492" s="28"/>
      <c r="BM492" s="28"/>
      <c r="BN492" s="28"/>
      <c r="BO492" s="28"/>
      <c r="BP492" s="28"/>
      <c r="BQ492" s="28"/>
      <c r="BR492" s="28"/>
      <c r="BS492" s="28"/>
      <c r="BT492" s="28"/>
      <c r="BU492" s="28"/>
      <c r="BV492" s="28"/>
      <c r="BW492" s="28"/>
      <c r="BX492" s="28"/>
      <c r="FL492" s="33" t="s">
        <v>403</v>
      </c>
      <c r="FM492" s="33" t="s">
        <v>255</v>
      </c>
    </row>
    <row r="493" spans="1:194" ht="23.25" customHeight="1" x14ac:dyDescent="0.15">
      <c r="A493" s="26">
        <v>44660.618638703701</v>
      </c>
      <c r="B493" s="27" t="s">
        <v>6</v>
      </c>
      <c r="C493" s="27" t="s">
        <v>11</v>
      </c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  <c r="AX493" s="27" t="s">
        <v>1696</v>
      </c>
      <c r="AY493" s="27" t="s">
        <v>1697</v>
      </c>
      <c r="AZ493" s="27" t="s">
        <v>1698</v>
      </c>
      <c r="BA493" s="27" t="s">
        <v>375</v>
      </c>
      <c r="BB493" s="27" t="s">
        <v>308</v>
      </c>
      <c r="BC493" s="29">
        <v>43601</v>
      </c>
      <c r="BD493" s="29">
        <v>43672</v>
      </c>
      <c r="BE493" s="29">
        <v>43672</v>
      </c>
      <c r="BF493" s="27">
        <v>90</v>
      </c>
      <c r="BG493" s="27" t="s">
        <v>1672</v>
      </c>
      <c r="BH493" s="30" t="s">
        <v>1699</v>
      </c>
      <c r="BI493" s="28"/>
      <c r="BJ493" s="28"/>
      <c r="BK493" s="28"/>
      <c r="BL493" s="28"/>
      <c r="BM493" s="28"/>
      <c r="BN493" s="28"/>
      <c r="BO493" s="28"/>
      <c r="BP493" s="28"/>
      <c r="BQ493" s="28"/>
      <c r="BR493" s="28"/>
      <c r="BS493" s="28"/>
      <c r="BT493" s="28"/>
      <c r="BU493" s="28"/>
      <c r="BV493" s="28"/>
      <c r="BW493" s="28"/>
      <c r="BX493" s="28"/>
      <c r="FL493" s="33" t="s">
        <v>1700</v>
      </c>
      <c r="FM493" s="33" t="s">
        <v>412</v>
      </c>
    </row>
    <row r="494" spans="1:194" ht="23.25" customHeight="1" x14ac:dyDescent="0.15">
      <c r="A494" s="26">
        <v>44660.621747094905</v>
      </c>
      <c r="B494" s="27" t="s">
        <v>6</v>
      </c>
      <c r="C494" s="27" t="s">
        <v>22</v>
      </c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  <c r="AX494" s="28"/>
      <c r="AY494" s="28"/>
      <c r="AZ494" s="28"/>
      <c r="BA494" s="28"/>
      <c r="BB494" s="28"/>
      <c r="BC494" s="28"/>
      <c r="BD494" s="28"/>
      <c r="BE494" s="28"/>
      <c r="BF494" s="28"/>
      <c r="BG494" s="28"/>
      <c r="BH494" s="28"/>
      <c r="BI494" s="28"/>
      <c r="BJ494" s="28"/>
      <c r="BK494" s="28"/>
      <c r="BL494" s="28"/>
      <c r="BM494" s="28"/>
      <c r="BN494" s="28"/>
      <c r="BO494" s="28"/>
      <c r="BP494" s="28"/>
      <c r="BQ494" s="28"/>
      <c r="BR494" s="28"/>
      <c r="BS494" s="28"/>
      <c r="BT494" s="28"/>
      <c r="BU494" s="28"/>
      <c r="BV494" s="28"/>
      <c r="BW494" s="28"/>
      <c r="BX494" s="28"/>
      <c r="FL494" s="33" t="s">
        <v>1674</v>
      </c>
      <c r="FM494" s="33" t="s">
        <v>255</v>
      </c>
      <c r="GF494" s="33" t="s">
        <v>1670</v>
      </c>
      <c r="GG494" s="33" t="s">
        <v>1671</v>
      </c>
      <c r="GH494" s="33" t="s">
        <v>1701</v>
      </c>
      <c r="GI494" s="34">
        <v>44781</v>
      </c>
      <c r="GJ494" s="35" t="s">
        <v>1702</v>
      </c>
      <c r="GK494" s="33" t="s">
        <v>1703</v>
      </c>
      <c r="GL494" s="33">
        <v>4.5</v>
      </c>
    </row>
    <row r="495" spans="1:194" ht="23.25" customHeight="1" x14ac:dyDescent="0.15">
      <c r="A495" s="26">
        <v>44660.623308807873</v>
      </c>
      <c r="B495" s="27" t="s">
        <v>6</v>
      </c>
      <c r="C495" s="27" t="s">
        <v>11</v>
      </c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  <c r="AX495" s="27" t="s">
        <v>1682</v>
      </c>
      <c r="AY495" s="27" t="s">
        <v>1683</v>
      </c>
      <c r="AZ495" s="27" t="s">
        <v>349</v>
      </c>
      <c r="BA495" s="27" t="s">
        <v>375</v>
      </c>
      <c r="BB495" s="27" t="s">
        <v>448</v>
      </c>
      <c r="BC495" s="29">
        <v>43564</v>
      </c>
      <c r="BD495" s="29">
        <v>43665</v>
      </c>
      <c r="BE495" s="29">
        <v>43672</v>
      </c>
      <c r="BF495" s="27">
        <v>98</v>
      </c>
      <c r="BG495" s="27" t="s">
        <v>495</v>
      </c>
      <c r="BH495" s="30" t="s">
        <v>1704</v>
      </c>
      <c r="BI495" s="28"/>
      <c r="BJ495" s="28"/>
      <c r="BK495" s="28"/>
      <c r="BL495" s="28"/>
      <c r="BM495" s="28"/>
      <c r="BN495" s="28"/>
      <c r="BO495" s="28"/>
      <c r="BP495" s="28"/>
      <c r="BQ495" s="28"/>
      <c r="BR495" s="28"/>
      <c r="BS495" s="28"/>
      <c r="BT495" s="28"/>
      <c r="BU495" s="28"/>
      <c r="BV495" s="28"/>
      <c r="BW495" s="28"/>
      <c r="BX495" s="28"/>
      <c r="FL495" s="33" t="s">
        <v>1685</v>
      </c>
      <c r="FM495" s="33" t="s">
        <v>255</v>
      </c>
    </row>
    <row r="496" spans="1:194" ht="23.25" customHeight="1" x14ac:dyDescent="0.15">
      <c r="A496" s="26">
        <v>44660.624412997684</v>
      </c>
      <c r="B496" s="27" t="s">
        <v>6</v>
      </c>
      <c r="C496" s="27" t="s">
        <v>22</v>
      </c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  <c r="AX496" s="28"/>
      <c r="AY496" s="28"/>
      <c r="AZ496" s="28"/>
      <c r="BA496" s="28"/>
      <c r="BB496" s="28"/>
      <c r="BC496" s="28"/>
      <c r="BD496" s="28"/>
      <c r="BE496" s="28"/>
      <c r="BF496" s="28"/>
      <c r="BG496" s="28"/>
      <c r="BH496" s="28"/>
      <c r="BI496" s="28"/>
      <c r="BJ496" s="28"/>
      <c r="BK496" s="28"/>
      <c r="BL496" s="28"/>
      <c r="BM496" s="28"/>
      <c r="BN496" s="28"/>
      <c r="BO496" s="28"/>
      <c r="BP496" s="28"/>
      <c r="BQ496" s="28"/>
      <c r="BR496" s="28"/>
      <c r="BS496" s="28"/>
      <c r="BT496" s="28"/>
      <c r="BU496" s="28"/>
      <c r="BV496" s="28"/>
      <c r="BW496" s="28"/>
      <c r="BX496" s="28"/>
      <c r="FL496" s="33" t="s">
        <v>1674</v>
      </c>
      <c r="FM496" s="33" t="s">
        <v>255</v>
      </c>
      <c r="GF496" s="33" t="s">
        <v>1670</v>
      </c>
      <c r="GG496" s="33" t="s">
        <v>1671</v>
      </c>
      <c r="GH496" s="33" t="s">
        <v>634</v>
      </c>
      <c r="GI496" s="34">
        <v>44753</v>
      </c>
      <c r="GJ496" s="35" t="s">
        <v>1705</v>
      </c>
      <c r="GK496" s="33" t="s">
        <v>1687</v>
      </c>
      <c r="GL496" s="33">
        <v>3.6</v>
      </c>
    </row>
    <row r="497" spans="1:194" ht="23.25" customHeight="1" x14ac:dyDescent="0.15">
      <c r="A497" s="26">
        <v>44660.626770844909</v>
      </c>
      <c r="B497" s="27" t="s">
        <v>6</v>
      </c>
      <c r="C497" s="27" t="s">
        <v>10</v>
      </c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7" t="s">
        <v>1706</v>
      </c>
      <c r="AO497" s="27" t="s">
        <v>1707</v>
      </c>
      <c r="AP497" s="27" t="s">
        <v>249</v>
      </c>
      <c r="AQ497" s="27" t="s">
        <v>448</v>
      </c>
      <c r="AR497" s="29">
        <v>44620</v>
      </c>
      <c r="AS497" s="29">
        <v>44696</v>
      </c>
      <c r="AT497" s="27" t="s">
        <v>251</v>
      </c>
      <c r="AU497" s="27" t="s">
        <v>252</v>
      </c>
      <c r="AV497" s="27">
        <v>22000</v>
      </c>
      <c r="AW497" s="30" t="s">
        <v>1708</v>
      </c>
      <c r="AX497" s="28"/>
      <c r="AY497" s="28"/>
      <c r="AZ497" s="28"/>
      <c r="BA497" s="28"/>
      <c r="BB497" s="28"/>
      <c r="BC497" s="28"/>
      <c r="BD497" s="28"/>
      <c r="BE497" s="28"/>
      <c r="BF497" s="28"/>
      <c r="BG497" s="28"/>
      <c r="BH497" s="28"/>
      <c r="BI497" s="28"/>
      <c r="BJ497" s="28"/>
      <c r="BK497" s="28"/>
      <c r="BL497" s="28"/>
      <c r="BM497" s="28"/>
      <c r="BN497" s="28"/>
      <c r="BO497" s="28"/>
      <c r="BP497" s="28"/>
      <c r="BQ497" s="28"/>
      <c r="BR497" s="28"/>
      <c r="BS497" s="28"/>
      <c r="BT497" s="28"/>
      <c r="BU497" s="28"/>
      <c r="BV497" s="28"/>
      <c r="BW497" s="28"/>
      <c r="BX497" s="28"/>
      <c r="FL497" s="33" t="s">
        <v>1709</v>
      </c>
      <c r="FM497" s="33" t="s">
        <v>255</v>
      </c>
    </row>
    <row r="498" spans="1:194" ht="23.25" customHeight="1" x14ac:dyDescent="0.15">
      <c r="A498" s="26">
        <v>44660.62867229167</v>
      </c>
      <c r="B498" s="27" t="s">
        <v>6</v>
      </c>
      <c r="C498" s="27" t="s">
        <v>22</v>
      </c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  <c r="AX498" s="28"/>
      <c r="AY498" s="28"/>
      <c r="AZ498" s="28"/>
      <c r="BA498" s="28"/>
      <c r="BB498" s="28"/>
      <c r="BC498" s="28"/>
      <c r="BD498" s="28"/>
      <c r="BE498" s="28"/>
      <c r="BF498" s="28"/>
      <c r="BG498" s="28"/>
      <c r="BH498" s="28"/>
      <c r="BI498" s="28"/>
      <c r="BJ498" s="28"/>
      <c r="BK498" s="28"/>
      <c r="BL498" s="28"/>
      <c r="BM498" s="28"/>
      <c r="BN498" s="28"/>
      <c r="BO498" s="28"/>
      <c r="BP498" s="28"/>
      <c r="BQ498" s="28"/>
      <c r="BR498" s="28"/>
      <c r="BS498" s="28"/>
      <c r="BT498" s="28"/>
      <c r="BU498" s="28"/>
      <c r="BV498" s="28"/>
      <c r="BW498" s="28"/>
      <c r="BX498" s="28"/>
      <c r="FL498" s="33" t="s">
        <v>1674</v>
      </c>
      <c r="FM498" s="33" t="s">
        <v>255</v>
      </c>
      <c r="GF498" s="33" t="s">
        <v>1670</v>
      </c>
      <c r="GG498" s="33" t="s">
        <v>1671</v>
      </c>
      <c r="GH498" s="33" t="s">
        <v>1710</v>
      </c>
      <c r="GI498" s="34">
        <v>44652</v>
      </c>
      <c r="GJ498" s="35" t="s">
        <v>1711</v>
      </c>
      <c r="GK498" s="33" t="s">
        <v>1712</v>
      </c>
      <c r="GL498" s="33">
        <v>7.7</v>
      </c>
    </row>
    <row r="499" spans="1:194" ht="23.25" customHeight="1" x14ac:dyDescent="0.15">
      <c r="A499" s="26">
        <v>44660.629905254631</v>
      </c>
      <c r="B499" s="27" t="s">
        <v>6</v>
      </c>
      <c r="C499" s="27" t="s">
        <v>11</v>
      </c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  <c r="AX499" s="27" t="s">
        <v>1713</v>
      </c>
      <c r="AY499" s="27" t="s">
        <v>1707</v>
      </c>
      <c r="AZ499" s="27" t="s">
        <v>644</v>
      </c>
      <c r="BA499" s="27" t="s">
        <v>1449</v>
      </c>
      <c r="BB499" s="27" t="s">
        <v>493</v>
      </c>
      <c r="BC499" s="29">
        <v>44063</v>
      </c>
      <c r="BD499" s="29">
        <v>44092</v>
      </c>
      <c r="BE499" s="29">
        <v>44094</v>
      </c>
      <c r="BF499" s="27">
        <v>90</v>
      </c>
      <c r="BG499" s="27" t="s">
        <v>1028</v>
      </c>
      <c r="BH499" s="30" t="s">
        <v>1714</v>
      </c>
      <c r="BI499" s="28"/>
      <c r="BJ499" s="28"/>
      <c r="BK499" s="28"/>
      <c r="BL499" s="28"/>
      <c r="BM499" s="28"/>
      <c r="BN499" s="28"/>
      <c r="BO499" s="28"/>
      <c r="BP499" s="28"/>
      <c r="BQ499" s="28"/>
      <c r="BR499" s="28"/>
      <c r="BS499" s="28"/>
      <c r="BT499" s="28"/>
      <c r="BU499" s="28"/>
      <c r="BV499" s="28"/>
      <c r="BW499" s="28"/>
      <c r="BX499" s="28"/>
      <c r="FL499" s="33" t="s">
        <v>1709</v>
      </c>
      <c r="FM499" s="33" t="s">
        <v>255</v>
      </c>
    </row>
    <row r="500" spans="1:194" ht="23.25" customHeight="1" x14ac:dyDescent="0.15">
      <c r="A500" s="26">
        <v>44660.632632673616</v>
      </c>
      <c r="B500" s="27" t="s">
        <v>6</v>
      </c>
      <c r="C500" s="27" t="s">
        <v>11</v>
      </c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  <c r="AX500" s="27" t="s">
        <v>1713</v>
      </c>
      <c r="AY500" s="27" t="s">
        <v>1707</v>
      </c>
      <c r="AZ500" s="27" t="s">
        <v>1715</v>
      </c>
      <c r="BA500" s="27" t="s">
        <v>1429</v>
      </c>
      <c r="BB500" s="27" t="s">
        <v>448</v>
      </c>
      <c r="BC500" s="29">
        <v>44096</v>
      </c>
      <c r="BD500" s="29">
        <v>44181</v>
      </c>
      <c r="BE500" s="29">
        <v>44157</v>
      </c>
      <c r="BF500" s="27" t="s">
        <v>1028</v>
      </c>
      <c r="BG500" s="27" t="s">
        <v>1716</v>
      </c>
      <c r="BH500" s="30" t="s">
        <v>1717</v>
      </c>
      <c r="BI500" s="28"/>
      <c r="BJ500" s="28"/>
      <c r="BK500" s="28"/>
      <c r="BL500" s="28"/>
      <c r="BM500" s="28"/>
      <c r="BN500" s="28"/>
      <c r="BO500" s="28"/>
      <c r="BP500" s="28"/>
      <c r="BQ500" s="28"/>
      <c r="BR500" s="28"/>
      <c r="BS500" s="28"/>
      <c r="BT500" s="28"/>
      <c r="BU500" s="28"/>
      <c r="BV500" s="28"/>
      <c r="BW500" s="28"/>
      <c r="BX500" s="28"/>
      <c r="FL500" s="33" t="s">
        <v>1709</v>
      </c>
      <c r="FM500" s="33" t="s">
        <v>255</v>
      </c>
    </row>
    <row r="501" spans="1:194" ht="23.25" customHeight="1" x14ac:dyDescent="0.15">
      <c r="A501" s="26">
        <v>44660.641297395836</v>
      </c>
      <c r="B501" s="27" t="s">
        <v>6</v>
      </c>
      <c r="C501" s="27" t="s">
        <v>12</v>
      </c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  <c r="AX501" s="28"/>
      <c r="AY501" s="28"/>
      <c r="AZ501" s="28"/>
      <c r="BA501" s="28"/>
      <c r="BB501" s="28"/>
      <c r="BC501" s="28"/>
      <c r="BD501" s="28"/>
      <c r="BE501" s="28"/>
      <c r="BF501" s="28"/>
      <c r="BG501" s="28"/>
      <c r="BH501" s="28"/>
      <c r="BI501" s="27" t="s">
        <v>1682</v>
      </c>
      <c r="BJ501" s="27" t="s">
        <v>1683</v>
      </c>
      <c r="BK501" s="27" t="s">
        <v>311</v>
      </c>
      <c r="BL501" s="27" t="s">
        <v>732</v>
      </c>
      <c r="BM501" s="27" t="s">
        <v>1718</v>
      </c>
      <c r="BN501" s="27">
        <v>1</v>
      </c>
      <c r="BO501" s="29">
        <v>44292</v>
      </c>
      <c r="BP501" s="29">
        <v>44292</v>
      </c>
      <c r="BQ501" s="27" t="s">
        <v>204</v>
      </c>
      <c r="BR501" s="27" t="s">
        <v>1719</v>
      </c>
      <c r="BS501" s="27" t="s">
        <v>171</v>
      </c>
      <c r="BT501" s="27" t="s">
        <v>629</v>
      </c>
      <c r="BU501" s="27">
        <v>0</v>
      </c>
      <c r="BV501" s="30" t="s">
        <v>1720</v>
      </c>
      <c r="BW501" s="28"/>
      <c r="BX501" s="28"/>
      <c r="FL501" s="33" t="s">
        <v>1685</v>
      </c>
      <c r="FM501" s="33" t="s">
        <v>255</v>
      </c>
    </row>
    <row r="502" spans="1:194" ht="23.25" customHeight="1" x14ac:dyDescent="0.15">
      <c r="A502" s="26">
        <v>44660.643890115738</v>
      </c>
      <c r="B502" s="27" t="s">
        <v>6</v>
      </c>
      <c r="C502" s="27" t="s">
        <v>11</v>
      </c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  <c r="AX502" s="27" t="s">
        <v>1682</v>
      </c>
      <c r="AY502" s="27" t="s">
        <v>1683</v>
      </c>
      <c r="AZ502" s="27" t="s">
        <v>1721</v>
      </c>
      <c r="BA502" s="27" t="s">
        <v>343</v>
      </c>
      <c r="BB502" s="27" t="s">
        <v>448</v>
      </c>
      <c r="BC502" s="29">
        <v>43875</v>
      </c>
      <c r="BD502" s="29">
        <v>43971</v>
      </c>
      <c r="BE502" s="29">
        <v>43976</v>
      </c>
      <c r="BF502" s="27">
        <v>99</v>
      </c>
      <c r="BG502" s="27" t="s">
        <v>395</v>
      </c>
      <c r="BH502" s="30" t="s">
        <v>1722</v>
      </c>
      <c r="BI502" s="28"/>
      <c r="BJ502" s="28"/>
      <c r="BK502" s="28"/>
      <c r="BL502" s="28"/>
      <c r="BM502" s="28"/>
      <c r="BN502" s="28"/>
      <c r="BO502" s="28"/>
      <c r="BP502" s="28"/>
      <c r="BQ502" s="28"/>
      <c r="BR502" s="28"/>
      <c r="BS502" s="28"/>
      <c r="BT502" s="28"/>
      <c r="BU502" s="28"/>
      <c r="BV502" s="28"/>
      <c r="BW502" s="28"/>
      <c r="BX502" s="28"/>
      <c r="FL502" s="33" t="s">
        <v>1685</v>
      </c>
      <c r="FM502" s="33" t="s">
        <v>255</v>
      </c>
    </row>
    <row r="503" spans="1:194" ht="23.25" customHeight="1" x14ac:dyDescent="0.15">
      <c r="A503" s="26">
        <v>44660.645040706018</v>
      </c>
      <c r="B503" s="27" t="s">
        <v>6</v>
      </c>
      <c r="C503" s="27" t="s">
        <v>22</v>
      </c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  <c r="AX503" s="28"/>
      <c r="AY503" s="28"/>
      <c r="AZ503" s="28"/>
      <c r="BA503" s="28"/>
      <c r="BB503" s="28"/>
      <c r="BC503" s="28"/>
      <c r="BD503" s="28"/>
      <c r="BE503" s="28"/>
      <c r="BF503" s="28"/>
      <c r="BG503" s="28"/>
      <c r="BH503" s="28"/>
      <c r="BI503" s="28"/>
      <c r="BJ503" s="28"/>
      <c r="BK503" s="28"/>
      <c r="BL503" s="28"/>
      <c r="BM503" s="28"/>
      <c r="BN503" s="28"/>
      <c r="BO503" s="28"/>
      <c r="BP503" s="28"/>
      <c r="BQ503" s="28"/>
      <c r="BR503" s="28"/>
      <c r="BS503" s="28"/>
      <c r="BT503" s="28"/>
      <c r="BU503" s="28"/>
      <c r="BV503" s="28"/>
      <c r="BW503" s="28"/>
      <c r="BX503" s="28"/>
      <c r="FL503" s="33" t="s">
        <v>1723</v>
      </c>
      <c r="FM503" s="33" t="s">
        <v>255</v>
      </c>
      <c r="GF503" s="33" t="s">
        <v>1724</v>
      </c>
      <c r="GG503" s="33" t="s">
        <v>1725</v>
      </c>
      <c r="GH503" s="33" t="s">
        <v>249</v>
      </c>
      <c r="GI503" s="34">
        <v>44716</v>
      </c>
      <c r="GJ503" s="35" t="s">
        <v>1726</v>
      </c>
      <c r="GK503" s="33" t="s">
        <v>1727</v>
      </c>
      <c r="GL503" s="33">
        <v>4</v>
      </c>
    </row>
    <row r="504" spans="1:194" ht="23.25" customHeight="1" x14ac:dyDescent="0.15">
      <c r="A504" s="26">
        <v>44660.64603181713</v>
      </c>
      <c r="B504" s="27" t="s">
        <v>6</v>
      </c>
      <c r="C504" s="27" t="s">
        <v>11</v>
      </c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  <c r="AX504" s="27" t="s">
        <v>1682</v>
      </c>
      <c r="AY504" s="27" t="s">
        <v>1683</v>
      </c>
      <c r="AZ504" s="27" t="s">
        <v>1728</v>
      </c>
      <c r="BA504" s="27" t="s">
        <v>1449</v>
      </c>
      <c r="BB504" s="27" t="s">
        <v>1729</v>
      </c>
      <c r="BC504" s="29">
        <v>43525</v>
      </c>
      <c r="BD504" s="29">
        <v>43531</v>
      </c>
      <c r="BE504" s="29">
        <v>43547</v>
      </c>
      <c r="BF504" s="27">
        <v>100</v>
      </c>
      <c r="BG504" s="27" t="s">
        <v>395</v>
      </c>
      <c r="BH504" s="30" t="s">
        <v>1730</v>
      </c>
      <c r="BI504" s="28"/>
      <c r="BJ504" s="28"/>
      <c r="BK504" s="28"/>
      <c r="BL504" s="28"/>
      <c r="BM504" s="28"/>
      <c r="BN504" s="28"/>
      <c r="BO504" s="28"/>
      <c r="BP504" s="28"/>
      <c r="BQ504" s="28"/>
      <c r="BR504" s="28"/>
      <c r="BS504" s="28"/>
      <c r="BT504" s="28"/>
      <c r="BU504" s="28"/>
      <c r="BV504" s="28"/>
      <c r="BW504" s="28"/>
      <c r="BX504" s="28"/>
      <c r="FL504" s="33" t="s">
        <v>1685</v>
      </c>
      <c r="FM504" s="33" t="s">
        <v>255</v>
      </c>
    </row>
    <row r="505" spans="1:194" ht="23.25" customHeight="1" x14ac:dyDescent="0.15">
      <c r="A505" s="26">
        <v>44660.647814571756</v>
      </c>
      <c r="B505" s="27" t="s">
        <v>6</v>
      </c>
      <c r="C505" s="27" t="s">
        <v>11</v>
      </c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  <c r="AX505" s="27" t="s">
        <v>1682</v>
      </c>
      <c r="AY505" s="27" t="s">
        <v>1683</v>
      </c>
      <c r="AZ505" s="27" t="s">
        <v>1731</v>
      </c>
      <c r="BA505" s="27" t="s">
        <v>1449</v>
      </c>
      <c r="BB505" s="27" t="s">
        <v>1732</v>
      </c>
      <c r="BC505" s="29">
        <v>43970</v>
      </c>
      <c r="BD505" s="29">
        <v>43976</v>
      </c>
      <c r="BE505" s="29">
        <v>43976</v>
      </c>
      <c r="BF505" s="27" t="s">
        <v>252</v>
      </c>
      <c r="BG505" s="27" t="s">
        <v>395</v>
      </c>
      <c r="BH505" s="30" t="s">
        <v>1733</v>
      </c>
      <c r="BI505" s="28"/>
      <c r="BJ505" s="28"/>
      <c r="BK505" s="28"/>
      <c r="BL505" s="28"/>
      <c r="BM505" s="28"/>
      <c r="BN505" s="28"/>
      <c r="BO505" s="28"/>
      <c r="BP505" s="28"/>
      <c r="BQ505" s="28"/>
      <c r="BR505" s="28"/>
      <c r="BS505" s="28"/>
      <c r="BT505" s="28"/>
      <c r="BU505" s="28"/>
      <c r="BV505" s="28"/>
      <c r="BW505" s="28"/>
      <c r="BX505" s="28"/>
      <c r="FL505" s="33" t="s">
        <v>1685</v>
      </c>
      <c r="FM505" s="33" t="s">
        <v>255</v>
      </c>
    </row>
    <row r="506" spans="1:194" ht="23.25" customHeight="1" x14ac:dyDescent="0.15">
      <c r="A506" s="26">
        <v>44660.647962592593</v>
      </c>
      <c r="B506" s="27" t="s">
        <v>6</v>
      </c>
      <c r="C506" s="27" t="s">
        <v>11</v>
      </c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  <c r="AX506" s="27" t="s">
        <v>1713</v>
      </c>
      <c r="AY506" s="27" t="s">
        <v>1707</v>
      </c>
      <c r="AZ506" s="27" t="s">
        <v>1734</v>
      </c>
      <c r="BA506" s="27" t="s">
        <v>739</v>
      </c>
      <c r="BB506" s="27" t="s">
        <v>308</v>
      </c>
      <c r="BC506" s="29">
        <v>44166</v>
      </c>
      <c r="BD506" s="29">
        <v>44177</v>
      </c>
      <c r="BE506" s="29">
        <v>44177</v>
      </c>
      <c r="BF506" s="27">
        <v>95</v>
      </c>
      <c r="BG506" s="27" t="s">
        <v>522</v>
      </c>
      <c r="BH506" s="30" t="s">
        <v>1735</v>
      </c>
      <c r="BI506" s="28"/>
      <c r="BJ506" s="28"/>
      <c r="BK506" s="28"/>
      <c r="BL506" s="28"/>
      <c r="BM506" s="28"/>
      <c r="BN506" s="28"/>
      <c r="BO506" s="28"/>
      <c r="BP506" s="28"/>
      <c r="BQ506" s="28"/>
      <c r="BR506" s="28"/>
      <c r="BS506" s="28"/>
      <c r="BT506" s="28"/>
      <c r="BU506" s="28"/>
      <c r="BV506" s="28"/>
      <c r="BW506" s="28"/>
      <c r="BX506" s="28"/>
      <c r="FL506" s="33" t="s">
        <v>1709</v>
      </c>
      <c r="FM506" s="33" t="s">
        <v>255</v>
      </c>
    </row>
    <row r="507" spans="1:194" ht="23.25" customHeight="1" x14ac:dyDescent="0.15">
      <c r="A507" s="26">
        <v>44660.64800700231</v>
      </c>
      <c r="B507" s="27" t="s">
        <v>6</v>
      </c>
      <c r="C507" s="27" t="s">
        <v>11</v>
      </c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  <c r="AX507" s="27" t="s">
        <v>1670</v>
      </c>
      <c r="AY507" s="27" t="s">
        <v>1671</v>
      </c>
      <c r="AZ507" s="27" t="s">
        <v>1736</v>
      </c>
      <c r="BA507" s="27" t="s">
        <v>1449</v>
      </c>
      <c r="BB507" s="27" t="s">
        <v>1737</v>
      </c>
      <c r="BC507" s="29">
        <v>43434</v>
      </c>
      <c r="BD507" s="29">
        <v>43441</v>
      </c>
      <c r="BE507" s="29">
        <v>43441</v>
      </c>
      <c r="BF507" s="27">
        <v>90</v>
      </c>
      <c r="BG507" s="27" t="s">
        <v>328</v>
      </c>
      <c r="BH507" s="30" t="s">
        <v>1738</v>
      </c>
      <c r="BI507" s="28"/>
      <c r="BJ507" s="28"/>
      <c r="BK507" s="28"/>
      <c r="BL507" s="28"/>
      <c r="BM507" s="28"/>
      <c r="BN507" s="28"/>
      <c r="BO507" s="28"/>
      <c r="BP507" s="28"/>
      <c r="BQ507" s="28"/>
      <c r="BR507" s="28"/>
      <c r="BS507" s="28"/>
      <c r="BT507" s="28"/>
      <c r="BU507" s="28"/>
      <c r="BV507" s="28"/>
      <c r="BW507" s="28"/>
      <c r="BX507" s="28"/>
      <c r="FL507" s="33" t="s">
        <v>1674</v>
      </c>
      <c r="FM507" s="33" t="s">
        <v>412</v>
      </c>
    </row>
    <row r="508" spans="1:194" ht="23.25" customHeight="1" x14ac:dyDescent="0.15">
      <c r="A508" s="26">
        <v>44660.653522881941</v>
      </c>
      <c r="B508" s="27" t="s">
        <v>6</v>
      </c>
      <c r="C508" s="27" t="s">
        <v>11</v>
      </c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  <c r="AX508" s="27" t="s">
        <v>1739</v>
      </c>
      <c r="AY508" s="27" t="s">
        <v>1740</v>
      </c>
      <c r="AZ508" s="27" t="s">
        <v>498</v>
      </c>
      <c r="BA508" s="27" t="s">
        <v>1741</v>
      </c>
      <c r="BB508" s="27" t="s">
        <v>550</v>
      </c>
      <c r="BC508" s="29">
        <v>44481</v>
      </c>
      <c r="BD508" s="29">
        <v>44542</v>
      </c>
      <c r="BE508" s="29">
        <v>44554</v>
      </c>
      <c r="BF508" s="27" t="s">
        <v>252</v>
      </c>
      <c r="BG508" s="27" t="s">
        <v>1052</v>
      </c>
      <c r="BH508" s="30" t="s">
        <v>1742</v>
      </c>
      <c r="BI508" s="28"/>
      <c r="BJ508" s="28"/>
      <c r="BK508" s="28"/>
      <c r="BL508" s="28"/>
      <c r="BM508" s="28"/>
      <c r="BN508" s="28"/>
      <c r="BO508" s="28"/>
      <c r="BP508" s="28"/>
      <c r="BQ508" s="28"/>
      <c r="BR508" s="28"/>
      <c r="BS508" s="28"/>
      <c r="BT508" s="28"/>
      <c r="BU508" s="28"/>
      <c r="BV508" s="28"/>
      <c r="BW508" s="28"/>
      <c r="BX508" s="28"/>
      <c r="FL508" s="33" t="s">
        <v>1743</v>
      </c>
      <c r="FM508" s="33" t="s">
        <v>255</v>
      </c>
    </row>
    <row r="509" spans="1:194" ht="23.25" customHeight="1" x14ac:dyDescent="0.15">
      <c r="A509" s="26">
        <v>44660.65446716435</v>
      </c>
      <c r="B509" s="27" t="s">
        <v>6</v>
      </c>
      <c r="C509" s="27" t="s">
        <v>12</v>
      </c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  <c r="AX509" s="28"/>
      <c r="AY509" s="28"/>
      <c r="AZ509" s="28"/>
      <c r="BA509" s="28"/>
      <c r="BB509" s="28"/>
      <c r="BC509" s="28"/>
      <c r="BD509" s="28"/>
      <c r="BE509" s="28"/>
      <c r="BF509" s="28"/>
      <c r="BG509" s="28"/>
      <c r="BH509" s="28"/>
      <c r="BI509" s="27" t="s">
        <v>1682</v>
      </c>
      <c r="BJ509" s="27" t="s">
        <v>1683</v>
      </c>
      <c r="BK509" s="27" t="s">
        <v>166</v>
      </c>
      <c r="BL509" s="27" t="s">
        <v>1285</v>
      </c>
      <c r="BM509" s="27" t="s">
        <v>1744</v>
      </c>
      <c r="BN509" s="27">
        <v>1</v>
      </c>
      <c r="BO509" s="29">
        <v>44008</v>
      </c>
      <c r="BP509" s="29">
        <v>44008</v>
      </c>
      <c r="BQ509" s="27" t="s">
        <v>1745</v>
      </c>
      <c r="BR509" s="27" t="s">
        <v>1746</v>
      </c>
      <c r="BS509" s="27" t="s">
        <v>150</v>
      </c>
      <c r="BT509" s="27" t="s">
        <v>151</v>
      </c>
      <c r="BU509" s="28"/>
      <c r="BV509" s="30" t="s">
        <v>1747</v>
      </c>
      <c r="BW509" s="28"/>
      <c r="BX509" s="28"/>
      <c r="FL509" s="33" t="s">
        <v>1685</v>
      </c>
      <c r="FM509" s="33" t="s">
        <v>255</v>
      </c>
    </row>
    <row r="510" spans="1:194" ht="23.25" customHeight="1" x14ac:dyDescent="0.15">
      <c r="A510" s="26">
        <v>44660.658255104165</v>
      </c>
      <c r="B510" s="27" t="s">
        <v>6</v>
      </c>
      <c r="C510" s="27" t="s">
        <v>12</v>
      </c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  <c r="AX510" s="28"/>
      <c r="AY510" s="28"/>
      <c r="AZ510" s="28"/>
      <c r="BA510" s="28"/>
      <c r="BB510" s="28"/>
      <c r="BC510" s="28"/>
      <c r="BD510" s="28"/>
      <c r="BE510" s="28"/>
      <c r="BF510" s="28"/>
      <c r="BG510" s="28"/>
      <c r="BH510" s="28"/>
      <c r="BI510" s="27" t="s">
        <v>1682</v>
      </c>
      <c r="BJ510" s="27" t="s">
        <v>1683</v>
      </c>
      <c r="BK510" s="27" t="s">
        <v>311</v>
      </c>
      <c r="BL510" s="27" t="s">
        <v>1285</v>
      </c>
      <c r="BM510" s="27" t="s">
        <v>1748</v>
      </c>
      <c r="BN510" s="27">
        <v>5</v>
      </c>
      <c r="BO510" s="29">
        <v>44379</v>
      </c>
      <c r="BP510" s="29">
        <v>44387</v>
      </c>
      <c r="BQ510" s="27" t="s">
        <v>1745</v>
      </c>
      <c r="BR510" s="27" t="s">
        <v>1749</v>
      </c>
      <c r="BS510" s="27" t="s">
        <v>171</v>
      </c>
      <c r="BT510" s="27" t="s">
        <v>151</v>
      </c>
      <c r="BU510" s="28"/>
      <c r="BV510" s="30" t="s">
        <v>1750</v>
      </c>
      <c r="BW510" s="28"/>
      <c r="BX510" s="28"/>
      <c r="FL510" s="33" t="s">
        <v>1685</v>
      </c>
      <c r="FM510" s="33" t="s">
        <v>255</v>
      </c>
    </row>
    <row r="511" spans="1:194" ht="23.25" customHeight="1" x14ac:dyDescent="0.15">
      <c r="A511" s="26">
        <v>44660.673469120375</v>
      </c>
      <c r="B511" s="27" t="s">
        <v>6</v>
      </c>
      <c r="C511" s="27" t="s">
        <v>11</v>
      </c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  <c r="AX511" s="27" t="s">
        <v>749</v>
      </c>
      <c r="AY511" s="27" t="s">
        <v>750</v>
      </c>
      <c r="AZ511" s="27" t="s">
        <v>1751</v>
      </c>
      <c r="BA511" s="27" t="s">
        <v>343</v>
      </c>
      <c r="BB511" s="27" t="s">
        <v>318</v>
      </c>
      <c r="BC511" s="29">
        <v>43899</v>
      </c>
      <c r="BD511" s="29">
        <v>43949</v>
      </c>
      <c r="BE511" s="29">
        <v>43949</v>
      </c>
      <c r="BF511" s="27" t="s">
        <v>1752</v>
      </c>
      <c r="BG511" s="27" t="s">
        <v>343</v>
      </c>
      <c r="BH511" s="30" t="s">
        <v>1753</v>
      </c>
      <c r="BI511" s="28"/>
      <c r="BJ511" s="28"/>
      <c r="BK511" s="28"/>
      <c r="BL511" s="28"/>
      <c r="BM511" s="28"/>
      <c r="BN511" s="28"/>
      <c r="BO511" s="28"/>
      <c r="BP511" s="28"/>
      <c r="BQ511" s="28"/>
      <c r="BR511" s="28"/>
      <c r="BS511" s="28"/>
      <c r="BT511" s="28"/>
      <c r="BU511" s="28"/>
      <c r="BV511" s="28"/>
      <c r="BW511" s="28"/>
      <c r="BX511" s="28"/>
      <c r="FL511" s="33" t="s">
        <v>753</v>
      </c>
      <c r="FM511" s="33" t="s">
        <v>255</v>
      </c>
    </row>
    <row r="512" spans="1:194" ht="23.25" customHeight="1" x14ac:dyDescent="0.15">
      <c r="A512" s="26">
        <v>44660.676574594909</v>
      </c>
      <c r="B512" s="27" t="s">
        <v>6</v>
      </c>
      <c r="C512" s="27" t="s">
        <v>11</v>
      </c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  <c r="AX512" s="27" t="s">
        <v>749</v>
      </c>
      <c r="AY512" s="27" t="s">
        <v>750</v>
      </c>
      <c r="AZ512" s="27" t="s">
        <v>540</v>
      </c>
      <c r="BA512" s="27" t="s">
        <v>343</v>
      </c>
      <c r="BB512" s="27" t="s">
        <v>318</v>
      </c>
      <c r="BC512" s="29">
        <v>43959</v>
      </c>
      <c r="BD512" s="29">
        <v>43990</v>
      </c>
      <c r="BE512" s="29">
        <v>43990</v>
      </c>
      <c r="BF512" s="27" t="s">
        <v>1752</v>
      </c>
      <c r="BG512" s="27" t="s">
        <v>343</v>
      </c>
      <c r="BH512" s="30" t="s">
        <v>1754</v>
      </c>
      <c r="BI512" s="28"/>
      <c r="BJ512" s="28"/>
      <c r="BK512" s="28"/>
      <c r="BL512" s="28"/>
      <c r="BM512" s="28"/>
      <c r="BN512" s="28"/>
      <c r="BO512" s="28"/>
      <c r="BP512" s="28"/>
      <c r="BQ512" s="28"/>
      <c r="BR512" s="28"/>
      <c r="BS512" s="28"/>
      <c r="BT512" s="28"/>
      <c r="BU512" s="28"/>
      <c r="BV512" s="28"/>
      <c r="BW512" s="28"/>
      <c r="BX512" s="28"/>
      <c r="FL512" s="33" t="s">
        <v>753</v>
      </c>
      <c r="FM512" s="33" t="s">
        <v>255</v>
      </c>
    </row>
    <row r="513" spans="1:169" ht="23.25" customHeight="1" x14ac:dyDescent="0.15">
      <c r="A513" s="26">
        <v>44660.679957916669</v>
      </c>
      <c r="B513" s="27" t="s">
        <v>6</v>
      </c>
      <c r="C513" s="27" t="s">
        <v>12</v>
      </c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  <c r="AX513" s="28"/>
      <c r="AY513" s="28"/>
      <c r="AZ513" s="28"/>
      <c r="BA513" s="28"/>
      <c r="BB513" s="28"/>
      <c r="BC513" s="28"/>
      <c r="BD513" s="28"/>
      <c r="BE513" s="28"/>
      <c r="BF513" s="28"/>
      <c r="BG513" s="28"/>
      <c r="BH513" s="28"/>
      <c r="BI513" s="27" t="s">
        <v>749</v>
      </c>
      <c r="BJ513" s="27" t="s">
        <v>750</v>
      </c>
      <c r="BK513" s="27" t="s">
        <v>311</v>
      </c>
      <c r="BL513" s="27" t="s">
        <v>1285</v>
      </c>
      <c r="BM513" s="27" t="s">
        <v>1755</v>
      </c>
      <c r="BN513" s="27">
        <v>20</v>
      </c>
      <c r="BO513" s="29">
        <v>44354</v>
      </c>
      <c r="BP513" s="29">
        <v>44373</v>
      </c>
      <c r="BQ513" s="27" t="s">
        <v>1756</v>
      </c>
      <c r="BR513" s="27" t="s">
        <v>1757</v>
      </c>
      <c r="BS513" s="27" t="s">
        <v>271</v>
      </c>
      <c r="BT513" s="27" t="s">
        <v>629</v>
      </c>
      <c r="BU513" s="27">
        <v>200</v>
      </c>
      <c r="BV513" s="30" t="s">
        <v>1758</v>
      </c>
      <c r="BW513" s="28"/>
      <c r="BX513" s="28"/>
      <c r="FL513" s="33" t="s">
        <v>753</v>
      </c>
      <c r="FM513" s="33" t="s">
        <v>255</v>
      </c>
    </row>
    <row r="514" spans="1:169" ht="23.25" customHeight="1" x14ac:dyDescent="0.15">
      <c r="A514" s="26">
        <v>44660.683059907409</v>
      </c>
      <c r="B514" s="27" t="s">
        <v>6</v>
      </c>
      <c r="C514" s="17" t="s">
        <v>13</v>
      </c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  <c r="AX514" s="28"/>
      <c r="AY514" s="28"/>
      <c r="AZ514" s="28"/>
      <c r="BA514" s="28"/>
      <c r="BB514" s="28"/>
      <c r="BC514" s="28"/>
      <c r="BD514" s="28"/>
      <c r="BE514" s="28"/>
      <c r="BF514" s="28"/>
      <c r="BG514" s="28"/>
      <c r="BH514" s="28"/>
      <c r="BI514" s="28"/>
      <c r="BJ514" s="28"/>
      <c r="BK514" s="28"/>
      <c r="BL514" s="28"/>
      <c r="BM514" s="28"/>
      <c r="BN514" s="28"/>
      <c r="BO514" s="28"/>
      <c r="BP514" s="28"/>
      <c r="BQ514" s="28"/>
      <c r="BR514" s="28"/>
      <c r="BS514" s="28"/>
      <c r="BT514" s="28"/>
      <c r="BU514" s="28"/>
      <c r="BV514" s="28"/>
      <c r="BW514" s="27" t="s">
        <v>749</v>
      </c>
      <c r="BX514" s="27" t="s">
        <v>750</v>
      </c>
      <c r="BZ514" s="33" t="s">
        <v>311</v>
      </c>
      <c r="CA514" s="33" t="s">
        <v>1759</v>
      </c>
      <c r="CB514" s="33" t="s">
        <v>454</v>
      </c>
      <c r="CC514" s="33" t="s">
        <v>318</v>
      </c>
      <c r="CD514" s="34">
        <v>43664</v>
      </c>
      <c r="CE514" s="34">
        <v>43717</v>
      </c>
      <c r="CF514" s="33">
        <v>77</v>
      </c>
      <c r="CG514" s="35" t="s">
        <v>1760</v>
      </c>
      <c r="FL514" s="33" t="s">
        <v>753</v>
      </c>
      <c r="FM514" s="33" t="s">
        <v>255</v>
      </c>
    </row>
    <row r="515" spans="1:169" ht="23.25" customHeight="1" x14ac:dyDescent="0.15">
      <c r="A515" s="26">
        <v>44660.686269074075</v>
      </c>
      <c r="B515" s="27" t="s">
        <v>6</v>
      </c>
      <c r="C515" s="27" t="s">
        <v>12</v>
      </c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  <c r="AX515" s="28"/>
      <c r="AY515" s="28"/>
      <c r="AZ515" s="28"/>
      <c r="BA515" s="28"/>
      <c r="BB515" s="28"/>
      <c r="BC515" s="28"/>
      <c r="BD515" s="28"/>
      <c r="BE515" s="28"/>
      <c r="BF515" s="28"/>
      <c r="BG515" s="28"/>
      <c r="BH515" s="28"/>
      <c r="BI515" s="27" t="s">
        <v>1761</v>
      </c>
      <c r="BJ515" s="27" t="s">
        <v>1762</v>
      </c>
      <c r="BK515" s="27" t="s">
        <v>311</v>
      </c>
      <c r="BL515" s="27" t="s">
        <v>1285</v>
      </c>
      <c r="BM515" s="27" t="s">
        <v>1763</v>
      </c>
      <c r="BN515" s="27">
        <v>2</v>
      </c>
      <c r="BO515" s="29">
        <v>43694</v>
      </c>
      <c r="BP515" s="29">
        <v>43695</v>
      </c>
      <c r="BQ515" s="27" t="s">
        <v>1764</v>
      </c>
      <c r="BR515" s="27" t="s">
        <v>1765</v>
      </c>
      <c r="BS515" s="27" t="s">
        <v>271</v>
      </c>
      <c r="BT515" s="27" t="s">
        <v>151</v>
      </c>
      <c r="BU515" s="28"/>
      <c r="BV515" s="30" t="s">
        <v>1766</v>
      </c>
      <c r="BW515" s="28"/>
      <c r="BX515" s="28"/>
      <c r="FL515" s="33" t="s">
        <v>1767</v>
      </c>
      <c r="FM515" s="33" t="s">
        <v>255</v>
      </c>
    </row>
    <row r="516" spans="1:169" ht="23.25" customHeight="1" x14ac:dyDescent="0.15">
      <c r="A516" s="26">
        <v>44660.687325960651</v>
      </c>
      <c r="B516" s="27" t="s">
        <v>6</v>
      </c>
      <c r="C516" s="27" t="s">
        <v>11</v>
      </c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  <c r="AX516" s="27" t="s">
        <v>749</v>
      </c>
      <c r="AY516" s="27" t="s">
        <v>750</v>
      </c>
      <c r="AZ516" s="27" t="s">
        <v>783</v>
      </c>
      <c r="BA516" s="27" t="s">
        <v>335</v>
      </c>
      <c r="BB516" s="27" t="s">
        <v>318</v>
      </c>
      <c r="BC516" s="29">
        <v>43918</v>
      </c>
      <c r="BD516" s="29">
        <v>43979</v>
      </c>
      <c r="BE516" s="29">
        <v>43979</v>
      </c>
      <c r="BF516" s="27" t="s">
        <v>1752</v>
      </c>
      <c r="BG516" s="27" t="s">
        <v>1768</v>
      </c>
      <c r="BH516" s="30" t="s">
        <v>1769</v>
      </c>
      <c r="BI516" s="28"/>
      <c r="BJ516" s="28"/>
      <c r="BK516" s="28"/>
      <c r="BL516" s="28"/>
      <c r="BM516" s="28"/>
      <c r="BN516" s="28"/>
      <c r="BO516" s="28"/>
      <c r="BP516" s="28"/>
      <c r="BQ516" s="28"/>
      <c r="BR516" s="28"/>
      <c r="BS516" s="28"/>
      <c r="BT516" s="28"/>
      <c r="BU516" s="28"/>
      <c r="BV516" s="28"/>
      <c r="BW516" s="28"/>
      <c r="BX516" s="28"/>
      <c r="FL516" s="33" t="s">
        <v>753</v>
      </c>
      <c r="FM516" s="33" t="s">
        <v>255</v>
      </c>
    </row>
    <row r="517" spans="1:169" ht="23.25" customHeight="1" x14ac:dyDescent="0.15">
      <c r="A517" s="26">
        <v>44660.689683819444</v>
      </c>
      <c r="B517" s="27" t="s">
        <v>6</v>
      </c>
      <c r="C517" s="27" t="s">
        <v>11</v>
      </c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  <c r="AX517" s="27" t="s">
        <v>749</v>
      </c>
      <c r="AY517" s="27" t="s">
        <v>750</v>
      </c>
      <c r="AZ517" s="27" t="s">
        <v>352</v>
      </c>
      <c r="BA517" s="27" t="s">
        <v>335</v>
      </c>
      <c r="BB517" s="27" t="s">
        <v>415</v>
      </c>
      <c r="BC517" s="29">
        <v>43686</v>
      </c>
      <c r="BD517" s="29">
        <v>43777</v>
      </c>
      <c r="BE517" s="29">
        <v>43777</v>
      </c>
      <c r="BF517" s="27" t="s">
        <v>1752</v>
      </c>
      <c r="BG517" s="27" t="s">
        <v>1770</v>
      </c>
      <c r="BH517" s="30" t="s">
        <v>1771</v>
      </c>
      <c r="BI517" s="28"/>
      <c r="BJ517" s="28"/>
      <c r="BK517" s="28"/>
      <c r="BL517" s="28"/>
      <c r="BM517" s="28"/>
      <c r="BN517" s="28"/>
      <c r="BO517" s="28"/>
      <c r="BP517" s="28"/>
      <c r="BQ517" s="28"/>
      <c r="BR517" s="28"/>
      <c r="BS517" s="28"/>
      <c r="BT517" s="28"/>
      <c r="BU517" s="28"/>
      <c r="BV517" s="28"/>
      <c r="BW517" s="28"/>
      <c r="BX517" s="28"/>
      <c r="FL517" s="33" t="s">
        <v>753</v>
      </c>
      <c r="FM517" s="33" t="s">
        <v>255</v>
      </c>
    </row>
    <row r="518" spans="1:169" ht="23.25" customHeight="1" x14ac:dyDescent="0.15">
      <c r="A518" s="26">
        <v>44660.691161111114</v>
      </c>
      <c r="B518" s="27" t="s">
        <v>6</v>
      </c>
      <c r="C518" s="27" t="s">
        <v>11</v>
      </c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  <c r="AX518" s="27" t="s">
        <v>1772</v>
      </c>
      <c r="AY518" s="27" t="s">
        <v>1762</v>
      </c>
      <c r="AZ518" s="27" t="s">
        <v>1773</v>
      </c>
      <c r="BA518" s="27" t="s">
        <v>1383</v>
      </c>
      <c r="BB518" s="27" t="s">
        <v>493</v>
      </c>
      <c r="BC518" s="29">
        <v>43836</v>
      </c>
      <c r="BD518" s="29">
        <v>43867</v>
      </c>
      <c r="BE518" s="29">
        <v>43867</v>
      </c>
      <c r="BF518" s="27">
        <v>95</v>
      </c>
      <c r="BG518" s="27" t="s">
        <v>1385</v>
      </c>
      <c r="BH518" s="30" t="s">
        <v>1774</v>
      </c>
      <c r="BI518" s="28"/>
      <c r="BJ518" s="28"/>
      <c r="BK518" s="28"/>
      <c r="BL518" s="28"/>
      <c r="BM518" s="28"/>
      <c r="BN518" s="28"/>
      <c r="BO518" s="28"/>
      <c r="BP518" s="28"/>
      <c r="BQ518" s="28"/>
      <c r="BR518" s="28"/>
      <c r="BS518" s="28"/>
      <c r="BT518" s="28"/>
      <c r="BU518" s="28"/>
      <c r="BV518" s="28"/>
      <c r="BW518" s="28"/>
      <c r="BX518" s="28"/>
      <c r="FL518" s="33" t="s">
        <v>1767</v>
      </c>
      <c r="FM518" s="33" t="s">
        <v>255</v>
      </c>
    </row>
    <row r="519" spans="1:169" ht="23.25" customHeight="1" x14ac:dyDescent="0.15">
      <c r="A519" s="26">
        <v>44660.691829664356</v>
      </c>
      <c r="B519" s="27" t="s">
        <v>6</v>
      </c>
      <c r="C519" s="27" t="s">
        <v>11</v>
      </c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  <c r="AX519" s="27" t="s">
        <v>749</v>
      </c>
      <c r="AY519" s="27" t="s">
        <v>750</v>
      </c>
      <c r="AZ519" s="27" t="s">
        <v>349</v>
      </c>
      <c r="BA519" s="27" t="s">
        <v>335</v>
      </c>
      <c r="BB519" s="27" t="s">
        <v>698</v>
      </c>
      <c r="BC519" s="29">
        <v>44007</v>
      </c>
      <c r="BD519" s="29">
        <v>43672</v>
      </c>
      <c r="BE519" s="29">
        <v>43672</v>
      </c>
      <c r="BF519" s="27" t="s">
        <v>1752</v>
      </c>
      <c r="BG519" s="27" t="s">
        <v>765</v>
      </c>
      <c r="BH519" s="30" t="s">
        <v>1775</v>
      </c>
      <c r="BI519" s="28"/>
      <c r="BJ519" s="28"/>
      <c r="BK519" s="28"/>
      <c r="BL519" s="28"/>
      <c r="BM519" s="28"/>
      <c r="BN519" s="28"/>
      <c r="BO519" s="28"/>
      <c r="BP519" s="28"/>
      <c r="BQ519" s="28"/>
      <c r="BR519" s="28"/>
      <c r="BS519" s="28"/>
      <c r="BT519" s="28"/>
      <c r="BU519" s="28"/>
      <c r="BV519" s="28"/>
      <c r="BW519" s="28"/>
      <c r="BX519" s="28"/>
      <c r="FL519" s="33" t="s">
        <v>753</v>
      </c>
      <c r="FM519" s="33" t="s">
        <v>255</v>
      </c>
    </row>
    <row r="520" spans="1:169" ht="23.25" customHeight="1" x14ac:dyDescent="0.15">
      <c r="A520" s="26">
        <v>44660.695655763891</v>
      </c>
      <c r="B520" s="27" t="s">
        <v>6</v>
      </c>
      <c r="C520" s="27" t="s">
        <v>11</v>
      </c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  <c r="AX520" s="27" t="s">
        <v>749</v>
      </c>
      <c r="AY520" s="27" t="s">
        <v>750</v>
      </c>
      <c r="AZ520" s="27" t="s">
        <v>345</v>
      </c>
      <c r="BA520" s="27" t="s">
        <v>335</v>
      </c>
      <c r="BB520" s="27" t="s">
        <v>318</v>
      </c>
      <c r="BC520" s="29">
        <v>44325</v>
      </c>
      <c r="BD520" s="29">
        <v>44386</v>
      </c>
      <c r="BE520" s="29">
        <v>44386</v>
      </c>
      <c r="BF520" s="27" t="s">
        <v>1752</v>
      </c>
      <c r="BG520" s="27" t="s">
        <v>1770</v>
      </c>
      <c r="BH520" s="30" t="s">
        <v>1776</v>
      </c>
      <c r="BI520" s="28"/>
      <c r="BJ520" s="28"/>
      <c r="BK520" s="28"/>
      <c r="BL520" s="28"/>
      <c r="BM520" s="28"/>
      <c r="BN520" s="28"/>
      <c r="BO520" s="28"/>
      <c r="BP520" s="28"/>
      <c r="BQ520" s="28"/>
      <c r="BR520" s="28"/>
      <c r="BS520" s="28"/>
      <c r="BT520" s="28"/>
      <c r="BU520" s="28"/>
      <c r="BV520" s="28"/>
      <c r="BW520" s="28"/>
      <c r="BX520" s="28"/>
      <c r="FL520" s="33" t="s">
        <v>753</v>
      </c>
      <c r="FM520" s="33" t="s">
        <v>255</v>
      </c>
    </row>
    <row r="521" spans="1:169" ht="23.25" customHeight="1" x14ac:dyDescent="0.15">
      <c r="A521" s="26">
        <v>44660.697483368058</v>
      </c>
      <c r="B521" s="27" t="s">
        <v>6</v>
      </c>
      <c r="C521" s="27" t="s">
        <v>11</v>
      </c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  <c r="AX521" s="27" t="s">
        <v>749</v>
      </c>
      <c r="AY521" s="27" t="s">
        <v>750</v>
      </c>
      <c r="AZ521" s="27" t="s">
        <v>978</v>
      </c>
      <c r="BA521" s="27" t="s">
        <v>335</v>
      </c>
      <c r="BB521" s="27" t="s">
        <v>318</v>
      </c>
      <c r="BC521" s="29">
        <v>43611</v>
      </c>
      <c r="BD521" s="29">
        <v>43672</v>
      </c>
      <c r="BE521" s="29">
        <v>43672</v>
      </c>
      <c r="BF521" s="27" t="s">
        <v>1752</v>
      </c>
      <c r="BG521" s="27" t="s">
        <v>839</v>
      </c>
      <c r="BH521" s="30" t="s">
        <v>1777</v>
      </c>
      <c r="BI521" s="28"/>
      <c r="BJ521" s="28"/>
      <c r="BK521" s="28"/>
      <c r="BL521" s="28"/>
      <c r="BM521" s="28"/>
      <c r="BN521" s="28"/>
      <c r="BO521" s="28"/>
      <c r="BP521" s="28"/>
      <c r="BQ521" s="28"/>
      <c r="BR521" s="28"/>
      <c r="BS521" s="28"/>
      <c r="BT521" s="28"/>
      <c r="BU521" s="28"/>
      <c r="BV521" s="28"/>
      <c r="BW521" s="28"/>
      <c r="BX521" s="28"/>
      <c r="FL521" s="33" t="s">
        <v>753</v>
      </c>
      <c r="FM521" s="33" t="s">
        <v>255</v>
      </c>
    </row>
    <row r="522" spans="1:169" ht="23.25" customHeight="1" x14ac:dyDescent="0.15">
      <c r="A522" s="26">
        <v>44660.699658761572</v>
      </c>
      <c r="B522" s="27" t="s">
        <v>6</v>
      </c>
      <c r="C522" s="27" t="s">
        <v>11</v>
      </c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  <c r="AX522" s="27" t="s">
        <v>749</v>
      </c>
      <c r="AY522" s="27" t="s">
        <v>750</v>
      </c>
      <c r="AZ522" s="27" t="s">
        <v>568</v>
      </c>
      <c r="BA522" s="27" t="s">
        <v>335</v>
      </c>
      <c r="BB522" s="27" t="s">
        <v>318</v>
      </c>
      <c r="BC522" s="29">
        <v>44320</v>
      </c>
      <c r="BD522" s="29">
        <v>44381</v>
      </c>
      <c r="BE522" s="29">
        <v>44381</v>
      </c>
      <c r="BF522" s="27" t="s">
        <v>1752</v>
      </c>
      <c r="BG522" s="27" t="s">
        <v>765</v>
      </c>
      <c r="BH522" s="30" t="s">
        <v>1778</v>
      </c>
      <c r="BI522" s="28"/>
      <c r="BJ522" s="28"/>
      <c r="BK522" s="28"/>
      <c r="BL522" s="28"/>
      <c r="BM522" s="28"/>
      <c r="BN522" s="28"/>
      <c r="BO522" s="28"/>
      <c r="BP522" s="28"/>
      <c r="BQ522" s="28"/>
      <c r="BR522" s="28"/>
      <c r="BS522" s="28"/>
      <c r="BT522" s="28"/>
      <c r="BU522" s="28"/>
      <c r="BV522" s="28"/>
      <c r="BW522" s="28"/>
      <c r="BX522" s="28"/>
      <c r="FL522" s="33" t="s">
        <v>753</v>
      </c>
      <c r="FM522" s="33" t="s">
        <v>255</v>
      </c>
    </row>
    <row r="523" spans="1:169" ht="23.25" customHeight="1" x14ac:dyDescent="0.15">
      <c r="A523" s="26">
        <v>44660.702423564813</v>
      </c>
      <c r="B523" s="27" t="s">
        <v>6</v>
      </c>
      <c r="C523" s="27" t="s">
        <v>11</v>
      </c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  <c r="AX523" s="27" t="s">
        <v>749</v>
      </c>
      <c r="AY523" s="27" t="s">
        <v>750</v>
      </c>
      <c r="AZ523" s="27" t="s">
        <v>1436</v>
      </c>
      <c r="BA523" s="27" t="s">
        <v>875</v>
      </c>
      <c r="BB523" s="27" t="s">
        <v>1032</v>
      </c>
      <c r="BC523" s="29">
        <v>44625</v>
      </c>
      <c r="BD523" s="29">
        <v>44656</v>
      </c>
      <c r="BE523" s="29">
        <v>44656</v>
      </c>
      <c r="BF523" s="27" t="s">
        <v>1752</v>
      </c>
      <c r="BG523" s="27" t="s">
        <v>1770</v>
      </c>
      <c r="BH523" s="30" t="s">
        <v>1779</v>
      </c>
      <c r="BI523" s="28"/>
      <c r="BJ523" s="28"/>
      <c r="BK523" s="28"/>
      <c r="BL523" s="28"/>
      <c r="BM523" s="28"/>
      <c r="BN523" s="28"/>
      <c r="BO523" s="28"/>
      <c r="BP523" s="28"/>
      <c r="BQ523" s="28"/>
      <c r="BR523" s="28"/>
      <c r="BS523" s="28"/>
      <c r="BT523" s="28"/>
      <c r="BU523" s="28"/>
      <c r="BV523" s="28"/>
      <c r="BW523" s="28"/>
      <c r="BX523" s="28"/>
      <c r="FL523" s="33" t="s">
        <v>753</v>
      </c>
      <c r="FM523" s="33" t="s">
        <v>255</v>
      </c>
    </row>
    <row r="524" spans="1:169" ht="23.25" customHeight="1" x14ac:dyDescent="0.15">
      <c r="A524" s="26">
        <v>44660.705691724535</v>
      </c>
      <c r="B524" s="27" t="s">
        <v>6</v>
      </c>
      <c r="C524" s="27" t="s">
        <v>11</v>
      </c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  <c r="AX524" s="27" t="s">
        <v>749</v>
      </c>
      <c r="AY524" s="27" t="s">
        <v>750</v>
      </c>
      <c r="AZ524" s="27" t="s">
        <v>1780</v>
      </c>
      <c r="BA524" s="27" t="s">
        <v>1781</v>
      </c>
      <c r="BB524" s="27" t="s">
        <v>1782</v>
      </c>
      <c r="BC524" s="29">
        <v>44174</v>
      </c>
      <c r="BD524" s="29">
        <v>44296</v>
      </c>
      <c r="BE524" s="29">
        <v>44296</v>
      </c>
      <c r="BF524" s="27" t="s">
        <v>1752</v>
      </c>
      <c r="BG524" s="27" t="s">
        <v>1757</v>
      </c>
      <c r="BH524" s="30" t="s">
        <v>1783</v>
      </c>
      <c r="BI524" s="28"/>
      <c r="BJ524" s="28"/>
      <c r="BK524" s="28"/>
      <c r="BL524" s="28"/>
      <c r="BM524" s="28"/>
      <c r="BN524" s="28"/>
      <c r="BO524" s="28"/>
      <c r="BP524" s="28"/>
      <c r="BQ524" s="28"/>
      <c r="BR524" s="28"/>
      <c r="BS524" s="28"/>
      <c r="BT524" s="28"/>
      <c r="BU524" s="28"/>
      <c r="BV524" s="28"/>
      <c r="BW524" s="28"/>
      <c r="BX524" s="28"/>
      <c r="FL524" s="33" t="s">
        <v>753</v>
      </c>
      <c r="FM524" s="33" t="s">
        <v>255</v>
      </c>
    </row>
    <row r="525" spans="1:169" ht="23.25" customHeight="1" x14ac:dyDescent="0.15">
      <c r="A525" s="26">
        <v>44660.708405011574</v>
      </c>
      <c r="B525" s="27" t="s">
        <v>6</v>
      </c>
      <c r="C525" s="27" t="s">
        <v>10</v>
      </c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7" t="s">
        <v>749</v>
      </c>
      <c r="AO525" s="27" t="s">
        <v>750</v>
      </c>
      <c r="AP525" s="27" t="s">
        <v>307</v>
      </c>
      <c r="AQ525" s="27" t="s">
        <v>1784</v>
      </c>
      <c r="AR525" s="29">
        <v>44485</v>
      </c>
      <c r="AS525" s="29">
        <v>44560</v>
      </c>
      <c r="AT525" s="27" t="s">
        <v>252</v>
      </c>
      <c r="AU525" s="27" t="s">
        <v>252</v>
      </c>
      <c r="AV525" s="27">
        <v>0</v>
      </c>
      <c r="AW525" s="30" t="s">
        <v>1785</v>
      </c>
      <c r="AX525" s="28"/>
      <c r="AY525" s="28"/>
      <c r="AZ525" s="28"/>
      <c r="BA525" s="28"/>
      <c r="BB525" s="28"/>
      <c r="BC525" s="28"/>
      <c r="BD525" s="28"/>
      <c r="BE525" s="28"/>
      <c r="BF525" s="28"/>
      <c r="BG525" s="28"/>
      <c r="BH525" s="28"/>
      <c r="BI525" s="28"/>
      <c r="BJ525" s="28"/>
      <c r="BK525" s="28"/>
      <c r="BL525" s="28"/>
      <c r="BM525" s="28"/>
      <c r="BN525" s="28"/>
      <c r="BO525" s="28"/>
      <c r="BP525" s="28"/>
      <c r="BQ525" s="28"/>
      <c r="BR525" s="28"/>
      <c r="BS525" s="28"/>
      <c r="BT525" s="28"/>
      <c r="BU525" s="28"/>
      <c r="BV525" s="28"/>
      <c r="BW525" s="28"/>
      <c r="BX525" s="28"/>
      <c r="FL525" s="33" t="s">
        <v>753</v>
      </c>
      <c r="FM525" s="33" t="s">
        <v>255</v>
      </c>
    </row>
    <row r="526" spans="1:169" ht="23.25" customHeight="1" x14ac:dyDescent="0.15">
      <c r="A526" s="26">
        <v>44660.71176795139</v>
      </c>
      <c r="B526" s="27" t="s">
        <v>6</v>
      </c>
      <c r="C526" s="27" t="s">
        <v>11</v>
      </c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  <c r="AX526" s="27" t="s">
        <v>749</v>
      </c>
      <c r="AY526" s="27" t="s">
        <v>750</v>
      </c>
      <c r="AZ526" s="27" t="s">
        <v>1786</v>
      </c>
      <c r="BA526" s="27" t="s">
        <v>335</v>
      </c>
      <c r="BB526" s="27" t="s">
        <v>624</v>
      </c>
      <c r="BC526" s="29">
        <v>44357</v>
      </c>
      <c r="BD526" s="29">
        <v>44387</v>
      </c>
      <c r="BE526" s="29">
        <v>44387</v>
      </c>
      <c r="BF526" s="27" t="s">
        <v>1752</v>
      </c>
      <c r="BG526" s="27" t="s">
        <v>1757</v>
      </c>
      <c r="BH526" s="30" t="s">
        <v>1787</v>
      </c>
      <c r="BI526" s="28"/>
      <c r="BJ526" s="28"/>
      <c r="BK526" s="28"/>
      <c r="BL526" s="28"/>
      <c r="BM526" s="28"/>
      <c r="BN526" s="28"/>
      <c r="BO526" s="28"/>
      <c r="BP526" s="28"/>
      <c r="BQ526" s="28"/>
      <c r="BR526" s="28"/>
      <c r="BS526" s="28"/>
      <c r="BT526" s="28"/>
      <c r="BU526" s="28"/>
      <c r="BV526" s="28"/>
      <c r="BW526" s="28"/>
      <c r="BX526" s="28"/>
      <c r="FL526" s="33" t="s">
        <v>753</v>
      </c>
      <c r="FM526" s="33" t="s">
        <v>255</v>
      </c>
    </row>
    <row r="527" spans="1:169" ht="23.25" customHeight="1" x14ac:dyDescent="0.15">
      <c r="A527" s="26">
        <v>44660.71430206018</v>
      </c>
      <c r="B527" s="27" t="s">
        <v>6</v>
      </c>
      <c r="C527" s="27" t="s">
        <v>12</v>
      </c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  <c r="AX527" s="28"/>
      <c r="AY527" s="28"/>
      <c r="AZ527" s="28"/>
      <c r="BA527" s="28"/>
      <c r="BB527" s="28"/>
      <c r="BC527" s="28"/>
      <c r="BD527" s="28"/>
      <c r="BE527" s="28"/>
      <c r="BF527" s="28"/>
      <c r="BG527" s="28"/>
      <c r="BH527" s="28"/>
      <c r="BI527" s="27" t="s">
        <v>749</v>
      </c>
      <c r="BJ527" s="27" t="s">
        <v>750</v>
      </c>
      <c r="BK527" s="27" t="s">
        <v>311</v>
      </c>
      <c r="BL527" s="27" t="s">
        <v>1285</v>
      </c>
      <c r="BM527" s="27" t="s">
        <v>1788</v>
      </c>
      <c r="BN527" s="27">
        <v>15</v>
      </c>
      <c r="BO527" s="29">
        <v>44627</v>
      </c>
      <c r="BP527" s="29">
        <v>44642</v>
      </c>
      <c r="BQ527" s="27" t="s">
        <v>1789</v>
      </c>
      <c r="BR527" s="27" t="s">
        <v>1757</v>
      </c>
      <c r="BS527" s="27" t="s">
        <v>171</v>
      </c>
      <c r="BT527" s="27" t="s">
        <v>151</v>
      </c>
      <c r="BU527" s="28"/>
      <c r="BV527" s="30" t="s">
        <v>1790</v>
      </c>
      <c r="BW527" s="28"/>
      <c r="BX527" s="28"/>
      <c r="FL527" s="33" t="s">
        <v>753</v>
      </c>
      <c r="FM527" s="33" t="s">
        <v>255</v>
      </c>
    </row>
    <row r="528" spans="1:169" ht="23.25" customHeight="1" x14ac:dyDescent="0.15">
      <c r="A528" s="26">
        <v>44660.716427222222</v>
      </c>
      <c r="B528" s="27" t="s">
        <v>6</v>
      </c>
      <c r="C528" s="27" t="s">
        <v>12</v>
      </c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  <c r="AX528" s="28"/>
      <c r="AY528" s="28"/>
      <c r="AZ528" s="28"/>
      <c r="BA528" s="28"/>
      <c r="BB528" s="28"/>
      <c r="BC528" s="28"/>
      <c r="BD528" s="28"/>
      <c r="BE528" s="28"/>
      <c r="BF528" s="28"/>
      <c r="BG528" s="28"/>
      <c r="BH528" s="28"/>
      <c r="BI528" s="27" t="s">
        <v>749</v>
      </c>
      <c r="BJ528" s="27" t="s">
        <v>750</v>
      </c>
      <c r="BK528" s="27" t="s">
        <v>311</v>
      </c>
      <c r="BL528" s="27" t="s">
        <v>1285</v>
      </c>
      <c r="BM528" s="27" t="s">
        <v>1788</v>
      </c>
      <c r="BN528" s="27">
        <v>15</v>
      </c>
      <c r="BO528" s="29">
        <v>44643</v>
      </c>
      <c r="BP528" s="29">
        <v>44657</v>
      </c>
      <c r="BQ528" s="27" t="s">
        <v>1789</v>
      </c>
      <c r="BR528" s="27" t="s">
        <v>1757</v>
      </c>
      <c r="BS528" s="27" t="s">
        <v>171</v>
      </c>
      <c r="BT528" s="27" t="s">
        <v>151</v>
      </c>
      <c r="BU528" s="28"/>
      <c r="BV528" s="30" t="s">
        <v>1791</v>
      </c>
      <c r="BW528" s="28"/>
      <c r="BX528" s="28"/>
      <c r="FL528" s="33" t="s">
        <v>753</v>
      </c>
      <c r="FM528" s="33" t="s">
        <v>255</v>
      </c>
    </row>
    <row r="529" spans="1:194" ht="23.25" customHeight="1" x14ac:dyDescent="0.15">
      <c r="A529" s="26">
        <v>44660.743163402774</v>
      </c>
      <c r="B529" s="27" t="s">
        <v>6</v>
      </c>
      <c r="C529" s="27" t="s">
        <v>11</v>
      </c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  <c r="AX529" s="27" t="s">
        <v>1792</v>
      </c>
      <c r="AY529" s="27" t="s">
        <v>1793</v>
      </c>
      <c r="AZ529" s="27" t="s">
        <v>716</v>
      </c>
      <c r="BA529" s="27" t="s">
        <v>335</v>
      </c>
      <c r="BB529" s="27" t="s">
        <v>1782</v>
      </c>
      <c r="BC529" s="29">
        <v>43109</v>
      </c>
      <c r="BD529" s="29">
        <v>43565</v>
      </c>
      <c r="BE529" s="29">
        <v>43205</v>
      </c>
      <c r="BF529" s="27" t="s">
        <v>1794</v>
      </c>
      <c r="BG529" s="27" t="s">
        <v>392</v>
      </c>
      <c r="BH529" s="30" t="s">
        <v>1795</v>
      </c>
      <c r="BI529" s="28"/>
      <c r="BJ529" s="28"/>
      <c r="BK529" s="28"/>
      <c r="BL529" s="28"/>
      <c r="BM529" s="28"/>
      <c r="BN529" s="28"/>
      <c r="BO529" s="28"/>
      <c r="BP529" s="28"/>
      <c r="BQ529" s="28"/>
      <c r="BR529" s="28"/>
      <c r="BS529" s="28"/>
      <c r="BT529" s="28"/>
      <c r="BU529" s="28"/>
      <c r="BV529" s="28"/>
      <c r="BW529" s="28"/>
      <c r="BX529" s="28"/>
      <c r="FL529" s="33" t="s">
        <v>1796</v>
      </c>
      <c r="FM529" s="33" t="s">
        <v>412</v>
      </c>
    </row>
    <row r="530" spans="1:194" ht="23.25" customHeight="1" x14ac:dyDescent="0.15">
      <c r="A530" s="26">
        <v>44660.745686539347</v>
      </c>
      <c r="B530" s="27" t="s">
        <v>6</v>
      </c>
      <c r="C530" s="27" t="s">
        <v>11</v>
      </c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  <c r="AX530" s="27" t="s">
        <v>1792</v>
      </c>
      <c r="AY530" s="27" t="s">
        <v>1793</v>
      </c>
      <c r="AZ530" s="27" t="s">
        <v>349</v>
      </c>
      <c r="BA530" s="27" t="s">
        <v>335</v>
      </c>
      <c r="BB530" s="27" t="s">
        <v>1797</v>
      </c>
      <c r="BC530" s="29">
        <v>43447</v>
      </c>
      <c r="BD530" s="29">
        <v>43651</v>
      </c>
      <c r="BE530" s="29">
        <v>43664</v>
      </c>
      <c r="BF530" s="27" t="s">
        <v>1794</v>
      </c>
      <c r="BG530" s="27" t="s">
        <v>392</v>
      </c>
      <c r="BH530" s="30" t="s">
        <v>1798</v>
      </c>
      <c r="BI530" s="28"/>
      <c r="BJ530" s="28"/>
      <c r="BK530" s="28"/>
      <c r="BL530" s="28"/>
      <c r="BM530" s="28"/>
      <c r="BN530" s="28"/>
      <c r="BO530" s="28"/>
      <c r="BP530" s="28"/>
      <c r="BQ530" s="28"/>
      <c r="BR530" s="28"/>
      <c r="BS530" s="28"/>
      <c r="BT530" s="28"/>
      <c r="BU530" s="28"/>
      <c r="BV530" s="28"/>
      <c r="BW530" s="28"/>
      <c r="BX530" s="28"/>
      <c r="FL530" s="33" t="s">
        <v>1796</v>
      </c>
      <c r="FM530" s="33" t="s">
        <v>380</v>
      </c>
    </row>
    <row r="531" spans="1:194" ht="23.25" customHeight="1" x14ac:dyDescent="0.15">
      <c r="A531" s="26">
        <v>44660.748296840276</v>
      </c>
      <c r="B531" s="27" t="s">
        <v>6</v>
      </c>
      <c r="C531" s="27" t="s">
        <v>11</v>
      </c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  <c r="AX531" s="27" t="s">
        <v>1792</v>
      </c>
      <c r="AY531" s="27" t="s">
        <v>1793</v>
      </c>
      <c r="AZ531" s="27" t="s">
        <v>500</v>
      </c>
      <c r="BA531" s="27" t="s">
        <v>335</v>
      </c>
      <c r="BB531" s="27" t="s">
        <v>1797</v>
      </c>
      <c r="BC531" s="29">
        <v>43505</v>
      </c>
      <c r="BD531" s="29">
        <v>43649</v>
      </c>
      <c r="BE531" s="29">
        <v>43659</v>
      </c>
      <c r="BF531" s="27" t="s">
        <v>1794</v>
      </c>
      <c r="BG531" s="27" t="s">
        <v>392</v>
      </c>
      <c r="BH531" s="30" t="s">
        <v>1799</v>
      </c>
      <c r="BI531" s="28"/>
      <c r="BJ531" s="28"/>
      <c r="BK531" s="28"/>
      <c r="BL531" s="28"/>
      <c r="BM531" s="28"/>
      <c r="BN531" s="28"/>
      <c r="BO531" s="28"/>
      <c r="BP531" s="28"/>
      <c r="BQ531" s="28"/>
      <c r="BR531" s="28"/>
      <c r="BS531" s="28"/>
      <c r="BT531" s="28"/>
      <c r="BU531" s="28"/>
      <c r="BV531" s="28"/>
      <c r="BW531" s="28"/>
      <c r="BX531" s="28"/>
      <c r="FL531" s="33" t="s">
        <v>1796</v>
      </c>
      <c r="FM531" s="33" t="s">
        <v>380</v>
      </c>
    </row>
    <row r="532" spans="1:194" ht="23.25" customHeight="1" x14ac:dyDescent="0.15">
      <c r="A532" s="26">
        <v>44660.75072034722</v>
      </c>
      <c r="B532" s="27" t="s">
        <v>6</v>
      </c>
      <c r="C532" s="27" t="s">
        <v>11</v>
      </c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  <c r="AX532" s="27" t="s">
        <v>1792</v>
      </c>
      <c r="AY532" s="27" t="s">
        <v>1793</v>
      </c>
      <c r="AZ532" s="27" t="s">
        <v>1800</v>
      </c>
      <c r="BA532" s="27" t="s">
        <v>343</v>
      </c>
      <c r="BB532" s="27" t="s">
        <v>1801</v>
      </c>
      <c r="BC532" s="29">
        <v>43910</v>
      </c>
      <c r="BD532" s="29">
        <v>43941</v>
      </c>
      <c r="BE532" s="29">
        <v>43941</v>
      </c>
      <c r="BF532" s="27" t="s">
        <v>1802</v>
      </c>
      <c r="BG532" s="27" t="s">
        <v>1803</v>
      </c>
      <c r="BH532" s="30" t="s">
        <v>1804</v>
      </c>
      <c r="BI532" s="28"/>
      <c r="BJ532" s="28"/>
      <c r="BK532" s="28"/>
      <c r="BL532" s="28"/>
      <c r="BM532" s="28"/>
      <c r="BN532" s="28"/>
      <c r="BO532" s="28"/>
      <c r="BP532" s="28"/>
      <c r="BQ532" s="28"/>
      <c r="BR532" s="28"/>
      <c r="BS532" s="28"/>
      <c r="BT532" s="28"/>
      <c r="BU532" s="28"/>
      <c r="BV532" s="28"/>
      <c r="BW532" s="28"/>
      <c r="BX532" s="28"/>
      <c r="FL532" s="33" t="s">
        <v>1796</v>
      </c>
      <c r="FM532" s="33" t="s">
        <v>552</v>
      </c>
    </row>
    <row r="533" spans="1:194" ht="23.25" customHeight="1" x14ac:dyDescent="0.15">
      <c r="A533" s="26">
        <v>44660.75278185185</v>
      </c>
      <c r="B533" s="27" t="s">
        <v>6</v>
      </c>
      <c r="C533" s="27" t="s">
        <v>11</v>
      </c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  <c r="AX533" s="27" t="s">
        <v>1792</v>
      </c>
      <c r="AY533" s="27" t="s">
        <v>1793</v>
      </c>
      <c r="AZ533" s="27" t="s">
        <v>1805</v>
      </c>
      <c r="BA533" s="27" t="s">
        <v>343</v>
      </c>
      <c r="BB533" s="27" t="s">
        <v>1801</v>
      </c>
      <c r="BC533" s="29">
        <v>43909</v>
      </c>
      <c r="BD533" s="29">
        <v>43940</v>
      </c>
      <c r="BE533" s="29">
        <v>43941</v>
      </c>
      <c r="BF533" s="27" t="s">
        <v>1794</v>
      </c>
      <c r="BG533" s="27" t="s">
        <v>1806</v>
      </c>
      <c r="BH533" s="30" t="s">
        <v>1807</v>
      </c>
      <c r="BI533" s="28"/>
      <c r="BJ533" s="28"/>
      <c r="BK533" s="28"/>
      <c r="BL533" s="28"/>
      <c r="BM533" s="28"/>
      <c r="BN533" s="28"/>
      <c r="BO533" s="28"/>
      <c r="BP533" s="28"/>
      <c r="BQ533" s="28"/>
      <c r="BR533" s="28"/>
      <c r="BS533" s="28"/>
      <c r="BT533" s="28"/>
      <c r="BU533" s="28"/>
      <c r="BV533" s="28"/>
      <c r="BW533" s="28"/>
      <c r="BX533" s="28"/>
      <c r="FL533" s="33" t="s">
        <v>1796</v>
      </c>
      <c r="FM533" s="33" t="s">
        <v>321</v>
      </c>
    </row>
    <row r="534" spans="1:194" ht="23.25" customHeight="1" x14ac:dyDescent="0.15">
      <c r="A534" s="26">
        <v>44660.755560138889</v>
      </c>
      <c r="B534" s="27" t="s">
        <v>6</v>
      </c>
      <c r="C534" s="27" t="s">
        <v>11</v>
      </c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  <c r="AX534" s="27" t="s">
        <v>1792</v>
      </c>
      <c r="AY534" s="27" t="s">
        <v>1793</v>
      </c>
      <c r="AZ534" s="27" t="s">
        <v>1348</v>
      </c>
      <c r="BA534" s="27" t="s">
        <v>343</v>
      </c>
      <c r="BB534" s="27" t="s">
        <v>1808</v>
      </c>
      <c r="BC534" s="29">
        <v>43920</v>
      </c>
      <c r="BD534" s="29">
        <v>43941</v>
      </c>
      <c r="BE534" s="29">
        <v>43941</v>
      </c>
      <c r="BF534" s="27" t="s">
        <v>1794</v>
      </c>
      <c r="BG534" s="27" t="s">
        <v>1398</v>
      </c>
      <c r="BH534" s="30" t="s">
        <v>1809</v>
      </c>
      <c r="BI534" s="28"/>
      <c r="BJ534" s="28"/>
      <c r="BK534" s="28"/>
      <c r="BL534" s="28"/>
      <c r="BM534" s="28"/>
      <c r="BN534" s="28"/>
      <c r="BO534" s="28"/>
      <c r="BP534" s="28"/>
      <c r="BQ534" s="28"/>
      <c r="BR534" s="28"/>
      <c r="BS534" s="28"/>
      <c r="BT534" s="28"/>
      <c r="BU534" s="28"/>
      <c r="BV534" s="28"/>
      <c r="BW534" s="28"/>
      <c r="BX534" s="28"/>
      <c r="FL534" s="33" t="s">
        <v>1796</v>
      </c>
      <c r="FM534" s="33" t="s">
        <v>321</v>
      </c>
    </row>
    <row r="535" spans="1:194" ht="23.25" customHeight="1" x14ac:dyDescent="0.15">
      <c r="A535" s="26">
        <v>44660.771631331023</v>
      </c>
      <c r="B535" s="27" t="s">
        <v>6</v>
      </c>
      <c r="C535" s="27" t="s">
        <v>11</v>
      </c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  <c r="AX535" s="27" t="s">
        <v>1792</v>
      </c>
      <c r="AY535" s="27" t="s">
        <v>1793</v>
      </c>
      <c r="AZ535" s="27" t="s">
        <v>684</v>
      </c>
      <c r="BA535" s="27" t="s">
        <v>335</v>
      </c>
      <c r="BB535" s="27" t="s">
        <v>308</v>
      </c>
      <c r="BC535" s="29">
        <v>44301</v>
      </c>
      <c r="BD535" s="29">
        <v>44362</v>
      </c>
      <c r="BE535" s="29">
        <v>44377</v>
      </c>
      <c r="BF535" s="27" t="s">
        <v>1794</v>
      </c>
      <c r="BG535" s="27" t="s">
        <v>392</v>
      </c>
      <c r="BH535" s="30" t="s">
        <v>1810</v>
      </c>
      <c r="BI535" s="28"/>
      <c r="BJ535" s="28"/>
      <c r="BK535" s="28"/>
      <c r="BL535" s="28"/>
      <c r="BM535" s="28"/>
      <c r="BN535" s="28"/>
      <c r="BO535" s="28"/>
      <c r="BP535" s="28"/>
      <c r="BQ535" s="28"/>
      <c r="BR535" s="28"/>
      <c r="BS535" s="28"/>
      <c r="BT535" s="28"/>
      <c r="BU535" s="28"/>
      <c r="BV535" s="28"/>
      <c r="BW535" s="28"/>
      <c r="BX535" s="28"/>
      <c r="FL535" s="33" t="s">
        <v>1796</v>
      </c>
      <c r="FM535" s="33" t="s">
        <v>278</v>
      </c>
    </row>
    <row r="536" spans="1:194" ht="23.25" customHeight="1" x14ac:dyDescent="0.15">
      <c r="A536" s="26">
        <v>44660.775100787039</v>
      </c>
      <c r="B536" s="27" t="s">
        <v>6</v>
      </c>
      <c r="C536" s="27" t="s">
        <v>11</v>
      </c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  <c r="AX536" s="27" t="s">
        <v>1811</v>
      </c>
      <c r="AY536" s="27" t="s">
        <v>1812</v>
      </c>
      <c r="AZ536" s="27" t="s">
        <v>1813</v>
      </c>
      <c r="BA536" s="27" t="s">
        <v>1814</v>
      </c>
      <c r="BB536" s="27" t="s">
        <v>1308</v>
      </c>
      <c r="BC536" s="29">
        <v>43971</v>
      </c>
      <c r="BD536" s="29">
        <v>43979</v>
      </c>
      <c r="BE536" s="29">
        <v>43979</v>
      </c>
      <c r="BF536" s="36">
        <v>0.92</v>
      </c>
      <c r="BG536" s="27" t="s">
        <v>1815</v>
      </c>
      <c r="BH536" s="30" t="s">
        <v>1816</v>
      </c>
      <c r="BI536" s="28"/>
      <c r="BJ536" s="28"/>
      <c r="BK536" s="28"/>
      <c r="BL536" s="28"/>
      <c r="BM536" s="28"/>
      <c r="BN536" s="28"/>
      <c r="BO536" s="28"/>
      <c r="BP536" s="28"/>
      <c r="BQ536" s="28"/>
      <c r="BR536" s="28"/>
      <c r="BS536" s="28"/>
      <c r="BT536" s="28"/>
      <c r="BU536" s="28"/>
      <c r="BV536" s="28"/>
      <c r="BW536" s="28"/>
      <c r="BX536" s="28"/>
      <c r="FL536" s="33" t="s">
        <v>1817</v>
      </c>
      <c r="FM536" s="33" t="s">
        <v>255</v>
      </c>
    </row>
    <row r="537" spans="1:194" ht="23.25" customHeight="1" x14ac:dyDescent="0.15">
      <c r="A537" s="26">
        <v>44660.776653761575</v>
      </c>
      <c r="B537" s="27" t="s">
        <v>6</v>
      </c>
      <c r="C537" s="27" t="s">
        <v>11</v>
      </c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  <c r="AX537" s="27" t="s">
        <v>1792</v>
      </c>
      <c r="AY537" s="27" t="s">
        <v>1793</v>
      </c>
      <c r="AZ537" s="27" t="s">
        <v>1818</v>
      </c>
      <c r="BA537" s="27" t="s">
        <v>1819</v>
      </c>
      <c r="BB537" s="27" t="s">
        <v>656</v>
      </c>
      <c r="BC537" s="29">
        <v>44456</v>
      </c>
      <c r="BD537" s="29">
        <v>44456</v>
      </c>
      <c r="BE537" s="29">
        <v>44303</v>
      </c>
      <c r="BF537" s="27" t="s">
        <v>1820</v>
      </c>
      <c r="BG537" s="27" t="s">
        <v>1821</v>
      </c>
      <c r="BH537" s="30" t="s">
        <v>1822</v>
      </c>
      <c r="BI537" s="28"/>
      <c r="BJ537" s="28"/>
      <c r="BK537" s="28"/>
      <c r="BL537" s="28"/>
      <c r="BM537" s="28"/>
      <c r="BN537" s="28"/>
      <c r="BO537" s="28"/>
      <c r="BP537" s="28"/>
      <c r="BQ537" s="28"/>
      <c r="BR537" s="28"/>
      <c r="BS537" s="28"/>
      <c r="BT537" s="28"/>
      <c r="BU537" s="28"/>
      <c r="BV537" s="28"/>
      <c r="BW537" s="28"/>
      <c r="BX537" s="28"/>
      <c r="FL537" s="33" t="s">
        <v>1796</v>
      </c>
      <c r="FM537" s="33" t="s">
        <v>273</v>
      </c>
    </row>
    <row r="538" spans="1:194" ht="23.25" customHeight="1" x14ac:dyDescent="0.15">
      <c r="A538" s="26">
        <v>44660.781510115739</v>
      </c>
      <c r="B538" s="27" t="s">
        <v>6</v>
      </c>
      <c r="C538" s="27" t="s">
        <v>11</v>
      </c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  <c r="AX538" s="27" t="s">
        <v>1823</v>
      </c>
      <c r="AY538" s="27" t="s">
        <v>1824</v>
      </c>
      <c r="AZ538" s="27" t="s">
        <v>498</v>
      </c>
      <c r="BA538" s="27" t="s">
        <v>420</v>
      </c>
      <c r="BB538" s="27" t="s">
        <v>667</v>
      </c>
      <c r="BC538" s="29">
        <v>44511</v>
      </c>
      <c r="BD538" s="29">
        <v>44512</v>
      </c>
      <c r="BE538" s="29">
        <v>44512</v>
      </c>
      <c r="BF538" s="27">
        <v>80</v>
      </c>
      <c r="BG538" s="27" t="s">
        <v>1825</v>
      </c>
      <c r="BH538" s="30" t="s">
        <v>1826</v>
      </c>
      <c r="BI538" s="28"/>
      <c r="BJ538" s="28"/>
      <c r="BK538" s="28"/>
      <c r="BL538" s="28"/>
      <c r="BM538" s="28"/>
      <c r="BN538" s="28"/>
      <c r="BO538" s="28"/>
      <c r="BP538" s="28"/>
      <c r="BQ538" s="28"/>
      <c r="BR538" s="28"/>
      <c r="BS538" s="28"/>
      <c r="BT538" s="28"/>
      <c r="BU538" s="28"/>
      <c r="BV538" s="28"/>
      <c r="BW538" s="28"/>
      <c r="BX538" s="28"/>
      <c r="FL538" s="33" t="s">
        <v>1827</v>
      </c>
      <c r="FM538" s="33" t="s">
        <v>255</v>
      </c>
    </row>
    <row r="539" spans="1:194" ht="23.25" customHeight="1" x14ac:dyDescent="0.15">
      <c r="A539" s="26">
        <v>44660.782265428235</v>
      </c>
      <c r="B539" s="27" t="s">
        <v>6</v>
      </c>
      <c r="C539" s="27" t="s">
        <v>22</v>
      </c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  <c r="AX539" s="28"/>
      <c r="AY539" s="28"/>
      <c r="AZ539" s="28"/>
      <c r="BA539" s="28"/>
      <c r="BB539" s="28"/>
      <c r="BC539" s="28"/>
      <c r="BD539" s="28"/>
      <c r="BE539" s="28"/>
      <c r="BF539" s="28"/>
      <c r="BG539" s="28"/>
      <c r="BH539" s="28"/>
      <c r="BI539" s="28"/>
      <c r="BJ539" s="28"/>
      <c r="BK539" s="28"/>
      <c r="BL539" s="28"/>
      <c r="BM539" s="28"/>
      <c r="BN539" s="28"/>
      <c r="BO539" s="28"/>
      <c r="BP539" s="28"/>
      <c r="BQ539" s="28"/>
      <c r="BR539" s="28"/>
      <c r="BS539" s="28"/>
      <c r="BT539" s="28"/>
      <c r="BU539" s="28"/>
      <c r="BV539" s="28"/>
      <c r="BW539" s="28"/>
      <c r="BX539" s="28"/>
      <c r="FL539" s="33" t="s">
        <v>1796</v>
      </c>
      <c r="FM539" s="33" t="s">
        <v>255</v>
      </c>
      <c r="GF539" s="33" t="s">
        <v>1792</v>
      </c>
      <c r="GG539" s="33" t="s">
        <v>1793</v>
      </c>
      <c r="GH539" s="33" t="s">
        <v>634</v>
      </c>
      <c r="GI539" s="34">
        <v>44663</v>
      </c>
      <c r="GJ539" s="35" t="s">
        <v>1828</v>
      </c>
      <c r="GK539" s="33" t="s">
        <v>1829</v>
      </c>
      <c r="GL539" s="33" t="s">
        <v>1830</v>
      </c>
    </row>
    <row r="540" spans="1:194" ht="23.25" customHeight="1" x14ac:dyDescent="0.15">
      <c r="A540" s="26">
        <v>44660.7870209838</v>
      </c>
      <c r="B540" s="27" t="s">
        <v>6</v>
      </c>
      <c r="C540" s="27" t="s">
        <v>11</v>
      </c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  <c r="AX540" s="27" t="s">
        <v>1823</v>
      </c>
      <c r="AY540" s="27" t="s">
        <v>1824</v>
      </c>
      <c r="AZ540" s="27" t="s">
        <v>1657</v>
      </c>
      <c r="BA540" s="27" t="s">
        <v>639</v>
      </c>
      <c r="BB540" s="27">
        <v>20</v>
      </c>
      <c r="BC540" s="29">
        <v>44398</v>
      </c>
      <c r="BD540" s="29">
        <v>44399</v>
      </c>
      <c r="BE540" s="29">
        <v>44400</v>
      </c>
      <c r="BF540" s="27">
        <v>85</v>
      </c>
      <c r="BG540" s="27" t="s">
        <v>1825</v>
      </c>
      <c r="BH540" s="30" t="s">
        <v>1831</v>
      </c>
      <c r="BI540" s="28"/>
      <c r="BJ540" s="28"/>
      <c r="BK540" s="28"/>
      <c r="BL540" s="28"/>
      <c r="BM540" s="28"/>
      <c r="BN540" s="28"/>
      <c r="BO540" s="28"/>
      <c r="BP540" s="28"/>
      <c r="BQ540" s="28"/>
      <c r="BR540" s="28"/>
      <c r="BS540" s="28"/>
      <c r="BT540" s="28"/>
      <c r="BU540" s="28"/>
      <c r="BV540" s="28"/>
      <c r="BW540" s="28"/>
      <c r="BX540" s="28"/>
      <c r="FL540" s="33" t="s">
        <v>1827</v>
      </c>
      <c r="FM540" s="33" t="s">
        <v>255</v>
      </c>
    </row>
    <row r="541" spans="1:194" ht="23.25" customHeight="1" x14ac:dyDescent="0.15">
      <c r="A541" s="26">
        <v>44660.788418425931</v>
      </c>
      <c r="B541" s="27" t="s">
        <v>6</v>
      </c>
      <c r="C541" s="27" t="s">
        <v>11</v>
      </c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  <c r="AX541" s="27" t="s">
        <v>1792</v>
      </c>
      <c r="AY541" s="27" t="s">
        <v>1793</v>
      </c>
      <c r="AZ541" s="27" t="s">
        <v>639</v>
      </c>
      <c r="BA541" s="27" t="s">
        <v>1832</v>
      </c>
      <c r="BB541" s="27" t="s">
        <v>1833</v>
      </c>
      <c r="BC541" s="29">
        <v>44360</v>
      </c>
      <c r="BD541" s="29">
        <v>44400</v>
      </c>
      <c r="BE541" s="29">
        <v>44401</v>
      </c>
      <c r="BF541" s="27" t="s">
        <v>1794</v>
      </c>
      <c r="BG541" s="27" t="s">
        <v>1834</v>
      </c>
      <c r="BH541" s="30" t="s">
        <v>1835</v>
      </c>
      <c r="BI541" s="28"/>
      <c r="BJ541" s="28"/>
      <c r="BK541" s="28"/>
      <c r="BL541" s="28"/>
      <c r="BM541" s="28"/>
      <c r="BN541" s="28"/>
      <c r="BO541" s="28"/>
      <c r="BP541" s="28"/>
      <c r="BQ541" s="28"/>
      <c r="BR541" s="28"/>
      <c r="BS541" s="28"/>
      <c r="BT541" s="28"/>
      <c r="BU541" s="28"/>
      <c r="BV541" s="28"/>
      <c r="BW541" s="28"/>
      <c r="BX541" s="28"/>
      <c r="FL541" s="33" t="s">
        <v>1796</v>
      </c>
      <c r="FM541" s="33" t="s">
        <v>273</v>
      </c>
    </row>
    <row r="542" spans="1:194" ht="23.25" customHeight="1" x14ac:dyDescent="0.15">
      <c r="A542" s="26">
        <v>44660.78988744213</v>
      </c>
      <c r="B542" s="27" t="s">
        <v>6</v>
      </c>
      <c r="C542" s="27" t="s">
        <v>11</v>
      </c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  <c r="AX542" s="27" t="s">
        <v>1823</v>
      </c>
      <c r="AY542" s="27" t="s">
        <v>1824</v>
      </c>
      <c r="AZ542" s="27" t="s">
        <v>1836</v>
      </c>
      <c r="BA542" s="27" t="s">
        <v>727</v>
      </c>
      <c r="BB542" s="27" t="s">
        <v>1837</v>
      </c>
      <c r="BC542" s="29">
        <v>44420</v>
      </c>
      <c r="BD542" s="29">
        <v>44535</v>
      </c>
      <c r="BE542" s="29">
        <v>44547</v>
      </c>
      <c r="BF542" s="27">
        <v>80</v>
      </c>
      <c r="BG542" s="27" t="s">
        <v>1825</v>
      </c>
      <c r="BH542" s="30" t="s">
        <v>1838</v>
      </c>
      <c r="BI542" s="28"/>
      <c r="BJ542" s="28"/>
      <c r="BK542" s="28"/>
      <c r="BL542" s="28"/>
      <c r="BM542" s="28"/>
      <c r="BN542" s="28"/>
      <c r="BO542" s="28"/>
      <c r="BP542" s="28"/>
      <c r="BQ542" s="28"/>
      <c r="BR542" s="28"/>
      <c r="BS542" s="28"/>
      <c r="BT542" s="28"/>
      <c r="BU542" s="28"/>
      <c r="BV542" s="28"/>
      <c r="BW542" s="28"/>
      <c r="BX542" s="28"/>
      <c r="FL542" s="33" t="s">
        <v>1827</v>
      </c>
      <c r="FM542" s="33" t="s">
        <v>255</v>
      </c>
    </row>
    <row r="543" spans="1:194" ht="23.25" customHeight="1" x14ac:dyDescent="0.15">
      <c r="A543" s="26">
        <v>44660.792938692131</v>
      </c>
      <c r="B543" s="27" t="s">
        <v>6</v>
      </c>
      <c r="C543" s="27" t="s">
        <v>11</v>
      </c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  <c r="AX543" s="27" t="s">
        <v>1823</v>
      </c>
      <c r="AY543" s="27" t="s">
        <v>1824</v>
      </c>
      <c r="AZ543" s="27" t="s">
        <v>1839</v>
      </c>
      <c r="BA543" s="27" t="s">
        <v>1840</v>
      </c>
      <c r="BB543" s="27">
        <v>15</v>
      </c>
      <c r="BC543" s="29">
        <v>44567</v>
      </c>
      <c r="BD543" s="29">
        <v>44573</v>
      </c>
      <c r="BE543" s="29">
        <v>44573</v>
      </c>
      <c r="BF543" s="27">
        <v>79</v>
      </c>
      <c r="BG543" s="27" t="s">
        <v>1825</v>
      </c>
      <c r="BH543" s="30" t="s">
        <v>1841</v>
      </c>
      <c r="BI543" s="28"/>
      <c r="BJ543" s="28"/>
      <c r="BK543" s="28"/>
      <c r="BL543" s="28"/>
      <c r="BM543" s="28"/>
      <c r="BN543" s="28"/>
      <c r="BO543" s="28"/>
      <c r="BP543" s="28"/>
      <c r="BQ543" s="28"/>
      <c r="BR543" s="28"/>
      <c r="BS543" s="28"/>
      <c r="BT543" s="28"/>
      <c r="BU543" s="28"/>
      <c r="BV543" s="28"/>
      <c r="BW543" s="28"/>
      <c r="BX543" s="28"/>
      <c r="FL543" s="33" t="s">
        <v>1827</v>
      </c>
      <c r="FM543" s="33" t="s">
        <v>255</v>
      </c>
    </row>
    <row r="544" spans="1:194" ht="23.25" customHeight="1" x14ac:dyDescent="0.15">
      <c r="A544" s="26">
        <v>44660.798188807872</v>
      </c>
      <c r="B544" s="27" t="s">
        <v>6</v>
      </c>
      <c r="C544" s="27" t="s">
        <v>11</v>
      </c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  <c r="AX544" s="27" t="s">
        <v>1823</v>
      </c>
      <c r="AY544" s="27" t="s">
        <v>1824</v>
      </c>
      <c r="AZ544" s="27" t="s">
        <v>1842</v>
      </c>
      <c r="BA544" s="27" t="s">
        <v>1843</v>
      </c>
      <c r="BB544" s="27" t="s">
        <v>1844</v>
      </c>
      <c r="BC544" s="29">
        <v>44242</v>
      </c>
      <c r="BD544" s="29">
        <v>44322</v>
      </c>
      <c r="BE544" s="29">
        <v>44354</v>
      </c>
      <c r="BF544" s="27">
        <v>43</v>
      </c>
      <c r="BG544" s="27" t="s">
        <v>1825</v>
      </c>
      <c r="BH544" s="30" t="s">
        <v>1845</v>
      </c>
      <c r="BI544" s="28"/>
      <c r="BJ544" s="28"/>
      <c r="BK544" s="28"/>
      <c r="BL544" s="28"/>
      <c r="BM544" s="28"/>
      <c r="BN544" s="28"/>
      <c r="BO544" s="28"/>
      <c r="BP544" s="28"/>
      <c r="BQ544" s="28"/>
      <c r="BR544" s="28"/>
      <c r="BS544" s="28"/>
      <c r="BT544" s="28"/>
      <c r="BU544" s="28"/>
      <c r="BV544" s="28"/>
      <c r="BW544" s="28"/>
      <c r="BX544" s="28"/>
      <c r="FL544" s="33" t="s">
        <v>1827</v>
      </c>
      <c r="FM544" s="33" t="s">
        <v>255</v>
      </c>
    </row>
    <row r="545" spans="1:169" ht="23.25" customHeight="1" x14ac:dyDescent="0.15">
      <c r="A545" s="26">
        <v>44660.800131585653</v>
      </c>
      <c r="B545" s="27" t="s">
        <v>6</v>
      </c>
      <c r="C545" s="27" t="s">
        <v>11</v>
      </c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  <c r="AX545" s="27" t="s">
        <v>1823</v>
      </c>
      <c r="AY545" s="27" t="s">
        <v>1824</v>
      </c>
      <c r="AZ545" s="27" t="s">
        <v>1846</v>
      </c>
      <c r="BA545" s="27" t="s">
        <v>1847</v>
      </c>
      <c r="BB545" s="27" t="s">
        <v>1848</v>
      </c>
      <c r="BC545" s="29">
        <v>44632</v>
      </c>
      <c r="BD545" s="29">
        <v>44653</v>
      </c>
      <c r="BE545" s="29">
        <v>44654</v>
      </c>
      <c r="BF545" s="27">
        <v>100</v>
      </c>
      <c r="BG545" s="27" t="s">
        <v>1825</v>
      </c>
      <c r="BH545" s="30" t="s">
        <v>1849</v>
      </c>
      <c r="BI545" s="28"/>
      <c r="BJ545" s="28"/>
      <c r="BK545" s="28"/>
      <c r="BL545" s="28"/>
      <c r="BM545" s="28"/>
      <c r="BN545" s="28"/>
      <c r="BO545" s="28"/>
      <c r="BP545" s="28"/>
      <c r="BQ545" s="28"/>
      <c r="BR545" s="28"/>
      <c r="BS545" s="28"/>
      <c r="BT545" s="28"/>
      <c r="BU545" s="28"/>
      <c r="BV545" s="28"/>
      <c r="BW545" s="28"/>
      <c r="BX545" s="28"/>
      <c r="FL545" s="33" t="s">
        <v>1827</v>
      </c>
      <c r="FM545" s="33" t="s">
        <v>255</v>
      </c>
    </row>
    <row r="546" spans="1:169" ht="23.25" customHeight="1" x14ac:dyDescent="0.15">
      <c r="A546" s="26">
        <v>44660.802979456013</v>
      </c>
      <c r="B546" s="27" t="s">
        <v>6</v>
      </c>
      <c r="C546" s="27" t="s">
        <v>11</v>
      </c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  <c r="AX546" s="27" t="s">
        <v>1823</v>
      </c>
      <c r="AY546" s="27" t="s">
        <v>1824</v>
      </c>
      <c r="AZ546" s="27" t="s">
        <v>1850</v>
      </c>
      <c r="BA546" s="27" t="s">
        <v>1851</v>
      </c>
      <c r="BB546" s="27" t="s">
        <v>1852</v>
      </c>
      <c r="BC546" s="29">
        <v>43633</v>
      </c>
      <c r="BD546" s="29">
        <v>43634</v>
      </c>
      <c r="BE546" s="29">
        <v>43634</v>
      </c>
      <c r="BF546" s="27">
        <v>90</v>
      </c>
      <c r="BG546" s="27" t="s">
        <v>1825</v>
      </c>
      <c r="BH546" s="30" t="s">
        <v>1853</v>
      </c>
      <c r="BI546" s="28"/>
      <c r="BJ546" s="28"/>
      <c r="BK546" s="28"/>
      <c r="BL546" s="28"/>
      <c r="BM546" s="28"/>
      <c r="BN546" s="28"/>
      <c r="BO546" s="28"/>
      <c r="BP546" s="28"/>
      <c r="BQ546" s="28"/>
      <c r="BR546" s="28"/>
      <c r="BS546" s="28"/>
      <c r="BT546" s="28"/>
      <c r="BU546" s="28"/>
      <c r="BV546" s="28"/>
      <c r="BW546" s="28"/>
      <c r="BX546" s="28"/>
      <c r="FL546" s="33" t="s">
        <v>1827</v>
      </c>
      <c r="FM546" s="33" t="s">
        <v>255</v>
      </c>
    </row>
    <row r="547" spans="1:169" ht="23.25" customHeight="1" x14ac:dyDescent="0.15">
      <c r="A547" s="26">
        <v>44660.806703518523</v>
      </c>
      <c r="B547" s="27" t="s">
        <v>6</v>
      </c>
      <c r="C547" s="27" t="s">
        <v>11</v>
      </c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  <c r="AX547" s="27" t="s">
        <v>1823</v>
      </c>
      <c r="AY547" s="27" t="s">
        <v>1824</v>
      </c>
      <c r="AZ547" s="27" t="s">
        <v>1854</v>
      </c>
      <c r="BA547" s="27" t="s">
        <v>1855</v>
      </c>
      <c r="BB547" s="27">
        <v>4</v>
      </c>
      <c r="BC547" s="29">
        <v>44659</v>
      </c>
      <c r="BD547" s="29">
        <v>44659</v>
      </c>
      <c r="BE547" s="29">
        <v>44659</v>
      </c>
      <c r="BF547" s="27">
        <v>86</v>
      </c>
      <c r="BG547" s="27" t="s">
        <v>1825</v>
      </c>
      <c r="BH547" s="30" t="s">
        <v>1856</v>
      </c>
      <c r="BI547" s="28"/>
      <c r="BJ547" s="28"/>
      <c r="BK547" s="28"/>
      <c r="BL547" s="28"/>
      <c r="BM547" s="28"/>
      <c r="BN547" s="28"/>
      <c r="BO547" s="28"/>
      <c r="BP547" s="28"/>
      <c r="BQ547" s="28"/>
      <c r="BR547" s="28"/>
      <c r="BS547" s="28"/>
      <c r="BT547" s="28"/>
      <c r="BU547" s="28"/>
      <c r="BV547" s="28"/>
      <c r="BW547" s="28"/>
      <c r="BX547" s="28"/>
      <c r="FL547" s="33" t="s">
        <v>1827</v>
      </c>
      <c r="FM547" s="33" t="s">
        <v>255</v>
      </c>
    </row>
    <row r="548" spans="1:169" ht="23.25" customHeight="1" x14ac:dyDescent="0.15">
      <c r="A548" s="26">
        <v>44660.807936863421</v>
      </c>
      <c r="B548" s="27" t="s">
        <v>6</v>
      </c>
      <c r="C548" s="27" t="s">
        <v>11</v>
      </c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  <c r="AX548" s="27" t="s">
        <v>1857</v>
      </c>
      <c r="AY548" s="27" t="s">
        <v>1858</v>
      </c>
      <c r="AZ548" s="27" t="s">
        <v>1859</v>
      </c>
      <c r="BA548" s="27" t="s">
        <v>1860</v>
      </c>
      <c r="BB548" s="27">
        <v>1</v>
      </c>
      <c r="BC548" s="29">
        <v>44644</v>
      </c>
      <c r="BD548" s="29">
        <v>44681</v>
      </c>
      <c r="BE548" s="29">
        <v>44658</v>
      </c>
      <c r="BF548" s="27">
        <v>100</v>
      </c>
      <c r="BG548" s="27" t="s">
        <v>1861</v>
      </c>
      <c r="BH548" s="30" t="s">
        <v>1862</v>
      </c>
      <c r="BI548" s="28"/>
      <c r="BJ548" s="28"/>
      <c r="BK548" s="28"/>
      <c r="BL548" s="28"/>
      <c r="BM548" s="28"/>
      <c r="BN548" s="28"/>
      <c r="BO548" s="28"/>
      <c r="BP548" s="28"/>
      <c r="BQ548" s="28"/>
      <c r="BR548" s="28"/>
      <c r="BS548" s="28"/>
      <c r="BT548" s="28"/>
      <c r="BU548" s="28"/>
      <c r="BV548" s="28"/>
      <c r="BW548" s="28"/>
      <c r="BX548" s="28"/>
      <c r="FL548" s="33" t="s">
        <v>1863</v>
      </c>
      <c r="FM548" s="33" t="s">
        <v>255</v>
      </c>
    </row>
    <row r="549" spans="1:169" ht="23.25" customHeight="1" x14ac:dyDescent="0.15">
      <c r="A549" s="26">
        <v>44660.808565208332</v>
      </c>
      <c r="B549" s="27" t="s">
        <v>6</v>
      </c>
      <c r="C549" s="27" t="s">
        <v>11</v>
      </c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  <c r="AX549" s="27" t="s">
        <v>1864</v>
      </c>
      <c r="AY549" s="27" t="s">
        <v>1865</v>
      </c>
      <c r="AZ549" s="27" t="s">
        <v>1866</v>
      </c>
      <c r="BA549" s="27" t="s">
        <v>1867</v>
      </c>
      <c r="BB549" s="27" t="s">
        <v>408</v>
      </c>
      <c r="BC549" s="29">
        <v>44644</v>
      </c>
      <c r="BD549" s="29">
        <v>44681</v>
      </c>
      <c r="BE549" s="29">
        <v>44658</v>
      </c>
      <c r="BF549" s="27">
        <v>100</v>
      </c>
      <c r="BG549" s="27" t="s">
        <v>1868</v>
      </c>
      <c r="BH549" s="30" t="s">
        <v>1869</v>
      </c>
      <c r="BI549" s="28"/>
      <c r="BJ549" s="28"/>
      <c r="BK549" s="28"/>
      <c r="BL549" s="28"/>
      <c r="BM549" s="28"/>
      <c r="BN549" s="28"/>
      <c r="BO549" s="28"/>
      <c r="BP549" s="28"/>
      <c r="BQ549" s="28"/>
      <c r="BR549" s="28"/>
      <c r="BS549" s="28"/>
      <c r="BT549" s="28"/>
      <c r="BU549" s="28"/>
      <c r="BV549" s="28"/>
      <c r="BW549" s="28"/>
      <c r="BX549" s="28"/>
      <c r="FL549" s="33" t="s">
        <v>1870</v>
      </c>
      <c r="FM549" s="33" t="s">
        <v>255</v>
      </c>
    </row>
    <row r="550" spans="1:169" ht="23.25" customHeight="1" x14ac:dyDescent="0.15">
      <c r="A550" s="26">
        <v>44660.808769374999</v>
      </c>
      <c r="B550" s="27" t="s">
        <v>6</v>
      </c>
      <c r="C550" s="27" t="s">
        <v>11</v>
      </c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  <c r="AX550" s="27" t="s">
        <v>1823</v>
      </c>
      <c r="AY550" s="27" t="s">
        <v>1824</v>
      </c>
      <c r="AZ550" s="27" t="s">
        <v>1854</v>
      </c>
      <c r="BA550" s="27" t="s">
        <v>1871</v>
      </c>
      <c r="BB550" s="27">
        <v>2</v>
      </c>
      <c r="BC550" s="29">
        <v>44659</v>
      </c>
      <c r="BD550" s="29">
        <v>44659</v>
      </c>
      <c r="BE550" s="29">
        <v>44659</v>
      </c>
      <c r="BF550" s="27">
        <v>87</v>
      </c>
      <c r="BG550" s="27" t="s">
        <v>1825</v>
      </c>
      <c r="BH550" s="30" t="s">
        <v>1872</v>
      </c>
      <c r="BI550" s="28"/>
      <c r="BJ550" s="28"/>
      <c r="BK550" s="28"/>
      <c r="BL550" s="28"/>
      <c r="BM550" s="28"/>
      <c r="BN550" s="28"/>
      <c r="BO550" s="28"/>
      <c r="BP550" s="28"/>
      <c r="BQ550" s="28"/>
      <c r="BR550" s="28"/>
      <c r="BS550" s="28"/>
      <c r="BT550" s="28"/>
      <c r="BU550" s="28"/>
      <c r="BV550" s="28"/>
      <c r="BW550" s="28"/>
      <c r="BX550" s="28"/>
      <c r="FL550" s="33" t="s">
        <v>1827</v>
      </c>
      <c r="FM550" s="33" t="s">
        <v>255</v>
      </c>
    </row>
    <row r="551" spans="1:169" ht="23.25" customHeight="1" x14ac:dyDescent="0.15">
      <c r="A551" s="26">
        <v>44660.813406724541</v>
      </c>
      <c r="B551" s="27" t="s">
        <v>6</v>
      </c>
      <c r="C551" s="27" t="s">
        <v>11</v>
      </c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  <c r="AX551" s="27" t="s">
        <v>1823</v>
      </c>
      <c r="AY551" s="27" t="s">
        <v>1824</v>
      </c>
      <c r="AZ551" s="27" t="s">
        <v>1873</v>
      </c>
      <c r="BA551" s="27" t="s">
        <v>1874</v>
      </c>
      <c r="BB551" s="27">
        <v>5</v>
      </c>
      <c r="BC551" s="29">
        <v>43865</v>
      </c>
      <c r="BD551" s="29">
        <v>43865</v>
      </c>
      <c r="BE551" s="29">
        <v>43895</v>
      </c>
      <c r="BF551" s="27">
        <v>90</v>
      </c>
      <c r="BG551" s="27" t="s">
        <v>1825</v>
      </c>
      <c r="BH551" s="30" t="s">
        <v>1875</v>
      </c>
      <c r="BI551" s="28"/>
      <c r="BJ551" s="28"/>
      <c r="BK551" s="28"/>
      <c r="BL551" s="28"/>
      <c r="BM551" s="28"/>
      <c r="BN551" s="28"/>
      <c r="BO551" s="28"/>
      <c r="BP551" s="28"/>
      <c r="BQ551" s="28"/>
      <c r="BR551" s="28"/>
      <c r="BS551" s="28"/>
      <c r="BT551" s="28"/>
      <c r="BU551" s="28"/>
      <c r="BV551" s="28"/>
      <c r="BW551" s="28"/>
      <c r="BX551" s="28"/>
      <c r="FL551" s="33" t="s">
        <v>1827</v>
      </c>
      <c r="FM551" s="33" t="s">
        <v>255</v>
      </c>
    </row>
    <row r="552" spans="1:169" ht="23.25" customHeight="1" x14ac:dyDescent="0.15">
      <c r="A552" s="26">
        <v>44660.815039224537</v>
      </c>
      <c r="B552" s="27" t="s">
        <v>6</v>
      </c>
      <c r="C552" s="27" t="s">
        <v>11</v>
      </c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  <c r="AX552" s="27" t="s">
        <v>1823</v>
      </c>
      <c r="AY552" s="27" t="s">
        <v>1824</v>
      </c>
      <c r="AZ552" s="27" t="s">
        <v>1876</v>
      </c>
      <c r="BA552" s="27" t="s">
        <v>1348</v>
      </c>
      <c r="BB552" s="27">
        <v>16</v>
      </c>
      <c r="BC552" s="29">
        <v>43905</v>
      </c>
      <c r="BD552" s="29">
        <v>43920</v>
      </c>
      <c r="BE552" s="29">
        <v>43920</v>
      </c>
      <c r="BF552" s="27">
        <v>86</v>
      </c>
      <c r="BG552" s="27" t="s">
        <v>1877</v>
      </c>
      <c r="BH552" s="30" t="s">
        <v>1878</v>
      </c>
      <c r="BI552" s="28"/>
      <c r="BJ552" s="28"/>
      <c r="BK552" s="28"/>
      <c r="BL552" s="28"/>
      <c r="BM552" s="28"/>
      <c r="BN552" s="28"/>
      <c r="BO552" s="28"/>
      <c r="BP552" s="28"/>
      <c r="BQ552" s="28"/>
      <c r="BR552" s="28"/>
      <c r="BS552" s="28"/>
      <c r="BT552" s="28"/>
      <c r="BU552" s="28"/>
      <c r="BV552" s="28"/>
      <c r="BW552" s="28"/>
      <c r="BX552" s="28"/>
      <c r="FL552" s="33" t="s">
        <v>1827</v>
      </c>
      <c r="FM552" s="33" t="s">
        <v>255</v>
      </c>
    </row>
    <row r="553" spans="1:169" ht="23.25" customHeight="1" x14ac:dyDescent="0.15">
      <c r="A553" s="26">
        <v>44660.816567199072</v>
      </c>
      <c r="B553" s="27" t="s">
        <v>6</v>
      </c>
      <c r="C553" s="27" t="s">
        <v>11</v>
      </c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  <c r="AX553" s="27" t="s">
        <v>1823</v>
      </c>
      <c r="AY553" s="27" t="s">
        <v>1824</v>
      </c>
      <c r="AZ553" s="27" t="s">
        <v>1879</v>
      </c>
      <c r="BA553" s="27" t="s">
        <v>1880</v>
      </c>
      <c r="BB553" s="27">
        <v>15</v>
      </c>
      <c r="BC553" s="29">
        <v>43925</v>
      </c>
      <c r="BD553" s="29">
        <v>43941</v>
      </c>
      <c r="BE553" s="29">
        <v>43942</v>
      </c>
      <c r="BF553" s="27">
        <v>86</v>
      </c>
      <c r="BG553" s="27" t="s">
        <v>1877</v>
      </c>
      <c r="BH553" s="30" t="s">
        <v>1881</v>
      </c>
      <c r="BI553" s="28"/>
      <c r="BJ553" s="28"/>
      <c r="BK553" s="28"/>
      <c r="BL553" s="28"/>
      <c r="BM553" s="28"/>
      <c r="BN553" s="28"/>
      <c r="BO553" s="28"/>
      <c r="BP553" s="28"/>
      <c r="BQ553" s="28"/>
      <c r="BR553" s="28"/>
      <c r="BS553" s="28"/>
      <c r="BT553" s="28"/>
      <c r="BU553" s="28"/>
      <c r="BV553" s="28"/>
      <c r="BW553" s="28"/>
      <c r="BX553" s="28"/>
      <c r="FL553" s="33" t="s">
        <v>1827</v>
      </c>
      <c r="FM553" s="33" t="s">
        <v>255</v>
      </c>
    </row>
    <row r="554" spans="1:169" ht="23.25" customHeight="1" x14ac:dyDescent="0.15">
      <c r="A554" s="26">
        <v>44660.817103703703</v>
      </c>
      <c r="B554" s="27" t="s">
        <v>6</v>
      </c>
      <c r="C554" s="27" t="s">
        <v>11</v>
      </c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  <c r="AX554" s="27" t="s">
        <v>1882</v>
      </c>
      <c r="AY554" s="27" t="s">
        <v>1883</v>
      </c>
      <c r="AZ554" s="27" t="s">
        <v>1348</v>
      </c>
      <c r="BA554" s="27" t="s">
        <v>1375</v>
      </c>
      <c r="BB554" s="27" t="s">
        <v>879</v>
      </c>
      <c r="BC554" s="29">
        <v>43948</v>
      </c>
      <c r="BD554" s="29">
        <v>43950</v>
      </c>
      <c r="BE554" s="29">
        <v>43950</v>
      </c>
      <c r="BF554" s="27">
        <v>90</v>
      </c>
      <c r="BG554" s="27" t="s">
        <v>1884</v>
      </c>
      <c r="BH554" s="30" t="s">
        <v>1885</v>
      </c>
      <c r="BI554" s="28"/>
      <c r="BJ554" s="28"/>
      <c r="BK554" s="28"/>
      <c r="BL554" s="28"/>
      <c r="BM554" s="28"/>
      <c r="BN554" s="28"/>
      <c r="BO554" s="28"/>
      <c r="BP554" s="28"/>
      <c r="BQ554" s="28"/>
      <c r="BR554" s="28"/>
      <c r="BS554" s="28"/>
      <c r="BT554" s="28"/>
      <c r="BU554" s="28"/>
      <c r="BV554" s="28"/>
      <c r="BW554" s="28"/>
      <c r="BX554" s="28"/>
      <c r="FL554" s="33" t="s">
        <v>1886</v>
      </c>
      <c r="FM554" s="33" t="s">
        <v>255</v>
      </c>
    </row>
    <row r="555" spans="1:169" ht="23.25" customHeight="1" x14ac:dyDescent="0.15">
      <c r="A555" s="26">
        <v>44660.817913935185</v>
      </c>
      <c r="B555" s="27" t="s">
        <v>6</v>
      </c>
      <c r="C555" s="27" t="s">
        <v>11</v>
      </c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  <c r="AX555" s="27" t="s">
        <v>1823</v>
      </c>
      <c r="AY555" s="27" t="s">
        <v>1824</v>
      </c>
      <c r="AZ555" s="27" t="s">
        <v>1879</v>
      </c>
      <c r="BA555" s="27" t="s">
        <v>1751</v>
      </c>
      <c r="BB555" s="27">
        <v>15</v>
      </c>
      <c r="BC555" s="29">
        <v>43955</v>
      </c>
      <c r="BD555" s="29">
        <v>43970</v>
      </c>
      <c r="BE555" s="29">
        <v>43971</v>
      </c>
      <c r="BF555" s="27">
        <v>94</v>
      </c>
      <c r="BG555" s="27" t="s">
        <v>1877</v>
      </c>
      <c r="BH555" s="30" t="s">
        <v>1887</v>
      </c>
      <c r="BI555" s="28"/>
      <c r="BJ555" s="28"/>
      <c r="BK555" s="28"/>
      <c r="BL555" s="28"/>
      <c r="BM555" s="28"/>
      <c r="BN555" s="28"/>
      <c r="BO555" s="28"/>
      <c r="BP555" s="28"/>
      <c r="BQ555" s="28"/>
      <c r="BR555" s="28"/>
      <c r="BS555" s="28"/>
      <c r="BT555" s="28"/>
      <c r="BU555" s="28"/>
      <c r="BV555" s="28"/>
      <c r="BW555" s="28"/>
      <c r="BX555" s="28"/>
      <c r="FL555" s="33" t="s">
        <v>1827</v>
      </c>
      <c r="FM555" s="33" t="s">
        <v>255</v>
      </c>
    </row>
    <row r="556" spans="1:169" ht="23.25" customHeight="1" x14ac:dyDescent="0.15">
      <c r="A556" s="26">
        <v>44660.819513414353</v>
      </c>
      <c r="B556" s="27" t="s">
        <v>6</v>
      </c>
      <c r="C556" s="27" t="s">
        <v>11</v>
      </c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  <c r="AX556" s="27" t="s">
        <v>1823</v>
      </c>
      <c r="AY556" s="27" t="s">
        <v>1824</v>
      </c>
      <c r="AZ556" s="27" t="s">
        <v>1879</v>
      </c>
      <c r="BA556" s="27" t="s">
        <v>1382</v>
      </c>
      <c r="BB556" s="27">
        <v>15</v>
      </c>
      <c r="BC556" s="29">
        <v>43955</v>
      </c>
      <c r="BD556" s="29">
        <v>43966</v>
      </c>
      <c r="BE556" s="29">
        <v>43967</v>
      </c>
      <c r="BF556" s="27">
        <v>96</v>
      </c>
      <c r="BG556" s="27" t="s">
        <v>1877</v>
      </c>
      <c r="BH556" s="30" t="s">
        <v>1888</v>
      </c>
      <c r="BI556" s="28"/>
      <c r="BJ556" s="28"/>
      <c r="BK556" s="28"/>
      <c r="BL556" s="28"/>
      <c r="BM556" s="28"/>
      <c r="BN556" s="28"/>
      <c r="BO556" s="28"/>
      <c r="BP556" s="28"/>
      <c r="BQ556" s="28"/>
      <c r="BR556" s="28"/>
      <c r="BS556" s="28"/>
      <c r="BT556" s="28"/>
      <c r="BU556" s="28"/>
      <c r="BV556" s="28"/>
      <c r="BW556" s="28"/>
      <c r="BX556" s="28"/>
      <c r="FL556" s="33" t="s">
        <v>1827</v>
      </c>
      <c r="FM556" s="33" t="s">
        <v>255</v>
      </c>
    </row>
    <row r="557" spans="1:169" ht="23.25" customHeight="1" x14ac:dyDescent="0.15">
      <c r="A557" s="26">
        <v>44660.820411388893</v>
      </c>
      <c r="B557" s="27" t="s">
        <v>6</v>
      </c>
      <c r="C557" s="27" t="s">
        <v>11</v>
      </c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  <c r="AX557" s="27" t="s">
        <v>1882</v>
      </c>
      <c r="AY557" s="27" t="s">
        <v>1889</v>
      </c>
      <c r="AZ557" s="27" t="s">
        <v>1382</v>
      </c>
      <c r="BA557" s="27" t="s">
        <v>1375</v>
      </c>
      <c r="BB557" s="27" t="s">
        <v>1890</v>
      </c>
      <c r="BC557" s="29">
        <v>43976</v>
      </c>
      <c r="BD557" s="29">
        <v>43997</v>
      </c>
      <c r="BE557" s="29">
        <v>44004</v>
      </c>
      <c r="BF557" s="27">
        <v>90</v>
      </c>
      <c r="BG557" s="27" t="s">
        <v>1884</v>
      </c>
      <c r="BH557" s="30" t="s">
        <v>1891</v>
      </c>
      <c r="BI557" s="28"/>
      <c r="BJ557" s="28"/>
      <c r="BK557" s="28"/>
      <c r="BL557" s="28"/>
      <c r="BM557" s="28"/>
      <c r="BN557" s="28"/>
      <c r="BO557" s="28"/>
      <c r="BP557" s="28"/>
      <c r="BQ557" s="28"/>
      <c r="BR557" s="28"/>
      <c r="BS557" s="28"/>
      <c r="BT557" s="28"/>
      <c r="BU557" s="28"/>
      <c r="BV557" s="28"/>
      <c r="BW557" s="28"/>
      <c r="BX557" s="28"/>
      <c r="FL557" s="33" t="s">
        <v>1886</v>
      </c>
      <c r="FM557" s="33" t="s">
        <v>255</v>
      </c>
    </row>
    <row r="558" spans="1:169" ht="23.25" customHeight="1" x14ac:dyDescent="0.15">
      <c r="A558" s="26">
        <v>44660.822444548612</v>
      </c>
      <c r="B558" s="27" t="s">
        <v>6</v>
      </c>
      <c r="C558" s="27" t="s">
        <v>12</v>
      </c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  <c r="AX558" s="28"/>
      <c r="AY558" s="28"/>
      <c r="AZ558" s="28"/>
      <c r="BA558" s="28"/>
      <c r="BB558" s="28"/>
      <c r="BC558" s="28"/>
      <c r="BD558" s="28"/>
      <c r="BE558" s="28"/>
      <c r="BF558" s="28"/>
      <c r="BG558" s="28"/>
      <c r="BH558" s="28"/>
      <c r="BI558" s="27" t="s">
        <v>1892</v>
      </c>
      <c r="BJ558" s="27" t="s">
        <v>1865</v>
      </c>
      <c r="BK558" s="27" t="s">
        <v>145</v>
      </c>
      <c r="BL558" s="27" t="s">
        <v>1285</v>
      </c>
      <c r="BM558" s="27" t="s">
        <v>1893</v>
      </c>
      <c r="BN558" s="27">
        <v>2</v>
      </c>
      <c r="BO558" s="29">
        <v>43505</v>
      </c>
      <c r="BP558" s="29">
        <v>43506</v>
      </c>
      <c r="BQ558" s="27" t="s">
        <v>1894</v>
      </c>
      <c r="BR558" s="27" t="s">
        <v>810</v>
      </c>
      <c r="BS558" s="27" t="s">
        <v>271</v>
      </c>
      <c r="BT558" s="27" t="s">
        <v>629</v>
      </c>
      <c r="BU558" s="27">
        <v>250</v>
      </c>
      <c r="BV558" s="30" t="s">
        <v>1895</v>
      </c>
      <c r="BW558" s="28"/>
      <c r="BX558" s="28"/>
      <c r="FL558" s="33" t="s">
        <v>1870</v>
      </c>
      <c r="FM558" s="33" t="s">
        <v>255</v>
      </c>
    </row>
    <row r="559" spans="1:169" ht="23.25" customHeight="1" x14ac:dyDescent="0.15">
      <c r="A559" s="26">
        <v>44660.823042453703</v>
      </c>
      <c r="B559" s="27" t="s">
        <v>6</v>
      </c>
      <c r="C559" s="27" t="s">
        <v>11</v>
      </c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  <c r="AX559" s="27" t="s">
        <v>1896</v>
      </c>
      <c r="AY559" s="27" t="s">
        <v>1858</v>
      </c>
      <c r="AZ559" s="27" t="s">
        <v>1897</v>
      </c>
      <c r="BA559" s="27" t="s">
        <v>1898</v>
      </c>
      <c r="BB559" s="27" t="s">
        <v>1852</v>
      </c>
      <c r="BC559" s="29">
        <v>43694</v>
      </c>
      <c r="BD559" s="29">
        <v>43695</v>
      </c>
      <c r="BE559" s="29">
        <v>43695</v>
      </c>
      <c r="BF559" s="27">
        <v>100</v>
      </c>
      <c r="BG559" s="27" t="s">
        <v>1899</v>
      </c>
      <c r="BH559" s="30" t="s">
        <v>1900</v>
      </c>
      <c r="BI559" s="28"/>
      <c r="BJ559" s="28"/>
      <c r="BK559" s="28"/>
      <c r="BL559" s="28"/>
      <c r="BM559" s="28"/>
      <c r="BN559" s="28"/>
      <c r="BO559" s="28"/>
      <c r="BP559" s="28"/>
      <c r="BQ559" s="28"/>
      <c r="BR559" s="28"/>
      <c r="BS559" s="28"/>
      <c r="BT559" s="28"/>
      <c r="BU559" s="28"/>
      <c r="BV559" s="28"/>
      <c r="BW559" s="28"/>
      <c r="BX559" s="28"/>
      <c r="FL559" s="33" t="s">
        <v>1863</v>
      </c>
      <c r="FM559" s="33" t="s">
        <v>255</v>
      </c>
    </row>
    <row r="560" spans="1:169" ht="23.25" customHeight="1" x14ac:dyDescent="0.15">
      <c r="A560" s="26">
        <v>44660.823334386572</v>
      </c>
      <c r="B560" s="27" t="s">
        <v>6</v>
      </c>
      <c r="C560" s="27" t="s">
        <v>11</v>
      </c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  <c r="AX560" s="27" t="s">
        <v>1882</v>
      </c>
      <c r="AY560" s="27" t="s">
        <v>1883</v>
      </c>
      <c r="AZ560" s="27" t="s">
        <v>1901</v>
      </c>
      <c r="BA560" s="27" t="s">
        <v>1375</v>
      </c>
      <c r="BB560" s="27" t="s">
        <v>1890</v>
      </c>
      <c r="BC560" s="29">
        <v>43997</v>
      </c>
      <c r="BD560" s="29">
        <v>44018</v>
      </c>
      <c r="BE560" s="29">
        <v>44018</v>
      </c>
      <c r="BF560" s="27">
        <v>90</v>
      </c>
      <c r="BG560" s="27" t="s">
        <v>1884</v>
      </c>
      <c r="BH560" s="30" t="s">
        <v>1902</v>
      </c>
      <c r="BI560" s="28"/>
      <c r="BJ560" s="28"/>
      <c r="BK560" s="28"/>
      <c r="BL560" s="28"/>
      <c r="BM560" s="28"/>
      <c r="BN560" s="28"/>
      <c r="BO560" s="28"/>
      <c r="BP560" s="28"/>
      <c r="BQ560" s="28"/>
      <c r="BR560" s="28"/>
      <c r="BS560" s="28"/>
      <c r="BT560" s="28"/>
      <c r="BU560" s="28"/>
      <c r="BV560" s="28"/>
      <c r="BW560" s="28"/>
      <c r="BX560" s="28"/>
      <c r="FL560" s="33" t="s">
        <v>1886</v>
      </c>
      <c r="FM560" s="33" t="s">
        <v>255</v>
      </c>
    </row>
    <row r="561" spans="1:194" ht="23.25" customHeight="1" x14ac:dyDescent="0.15">
      <c r="A561" s="26">
        <v>44660.824104016203</v>
      </c>
      <c r="B561" s="27" t="s">
        <v>6</v>
      </c>
      <c r="C561" s="27" t="s">
        <v>22</v>
      </c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  <c r="AX561" s="28"/>
      <c r="AY561" s="28"/>
      <c r="AZ561" s="28"/>
      <c r="BA561" s="28"/>
      <c r="BB561" s="28"/>
      <c r="BC561" s="28"/>
      <c r="BD561" s="28"/>
      <c r="BE561" s="28"/>
      <c r="BF561" s="28"/>
      <c r="BG561" s="28"/>
      <c r="BH561" s="28"/>
      <c r="BI561" s="28"/>
      <c r="BJ561" s="28"/>
      <c r="BK561" s="28"/>
      <c r="BL561" s="28"/>
      <c r="BM561" s="28"/>
      <c r="BN561" s="28"/>
      <c r="BO561" s="28"/>
      <c r="BP561" s="28"/>
      <c r="BQ561" s="28"/>
      <c r="BR561" s="28"/>
      <c r="BS561" s="28"/>
      <c r="BT561" s="28"/>
      <c r="BU561" s="28"/>
      <c r="BV561" s="28"/>
      <c r="BW561" s="28"/>
      <c r="BX561" s="28"/>
      <c r="FL561" s="33" t="s">
        <v>1903</v>
      </c>
      <c r="FM561" s="33" t="s">
        <v>255</v>
      </c>
      <c r="GF561" s="33" t="s">
        <v>1904</v>
      </c>
      <c r="GG561" s="33" t="s">
        <v>1905</v>
      </c>
      <c r="GH561" s="33" t="s">
        <v>1906</v>
      </c>
      <c r="GI561" s="34">
        <v>44743</v>
      </c>
      <c r="GJ561" s="35" t="s">
        <v>1907</v>
      </c>
      <c r="GK561" s="33" t="s">
        <v>653</v>
      </c>
      <c r="GL561" s="33" t="s">
        <v>1908</v>
      </c>
    </row>
    <row r="562" spans="1:194" ht="23.25" customHeight="1" x14ac:dyDescent="0.15">
      <c r="A562" s="26">
        <v>44660.828833969907</v>
      </c>
      <c r="B562" s="27" t="s">
        <v>6</v>
      </c>
      <c r="C562" s="27" t="s">
        <v>10</v>
      </c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7" t="s">
        <v>1904</v>
      </c>
      <c r="AO562" s="27" t="s">
        <v>1905</v>
      </c>
      <c r="AP562" s="27" t="s">
        <v>1909</v>
      </c>
      <c r="AQ562" s="27" t="s">
        <v>493</v>
      </c>
      <c r="AR562" s="29">
        <v>43992</v>
      </c>
      <c r="AS562" s="29">
        <v>44024</v>
      </c>
      <c r="AT562" s="27" t="s">
        <v>252</v>
      </c>
      <c r="AU562" s="27" t="s">
        <v>252</v>
      </c>
      <c r="AV562" s="27">
        <v>0</v>
      </c>
      <c r="AW562" s="30" t="s">
        <v>1910</v>
      </c>
      <c r="AX562" s="28"/>
      <c r="AY562" s="28"/>
      <c r="AZ562" s="28"/>
      <c r="BA562" s="28"/>
      <c r="BB562" s="28"/>
      <c r="BC562" s="28"/>
      <c r="BD562" s="28"/>
      <c r="BE562" s="28"/>
      <c r="BF562" s="28"/>
      <c r="BG562" s="28"/>
      <c r="BH562" s="28"/>
      <c r="BI562" s="28"/>
      <c r="BJ562" s="28"/>
      <c r="BK562" s="28"/>
      <c r="BL562" s="28"/>
      <c r="BM562" s="28"/>
      <c r="BN562" s="28"/>
      <c r="BO562" s="28"/>
      <c r="BP562" s="28"/>
      <c r="BQ562" s="28"/>
      <c r="BR562" s="28"/>
      <c r="BS562" s="28"/>
      <c r="BT562" s="28"/>
      <c r="BU562" s="28"/>
      <c r="BV562" s="28"/>
      <c r="BW562" s="28"/>
      <c r="BX562" s="28"/>
      <c r="FL562" s="33" t="s">
        <v>1903</v>
      </c>
      <c r="FM562" s="33" t="s">
        <v>255</v>
      </c>
    </row>
    <row r="563" spans="1:194" ht="23.25" customHeight="1" x14ac:dyDescent="0.15">
      <c r="A563" s="26">
        <v>44660.829505532412</v>
      </c>
      <c r="B563" s="27" t="s">
        <v>6</v>
      </c>
      <c r="C563" s="27" t="s">
        <v>11</v>
      </c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  <c r="AX563" s="27" t="s">
        <v>1882</v>
      </c>
      <c r="AY563" s="27" t="s">
        <v>1883</v>
      </c>
      <c r="AZ563" s="27" t="s">
        <v>1911</v>
      </c>
      <c r="BA563" s="27" t="s">
        <v>1375</v>
      </c>
      <c r="BB563" s="27" t="s">
        <v>1912</v>
      </c>
      <c r="BC563" s="29">
        <v>44041</v>
      </c>
      <c r="BD563" s="29">
        <v>44052</v>
      </c>
      <c r="BE563" s="29">
        <v>44052</v>
      </c>
      <c r="BF563" s="27">
        <v>90</v>
      </c>
      <c r="BG563" s="27" t="s">
        <v>1884</v>
      </c>
      <c r="BH563" s="30" t="s">
        <v>1913</v>
      </c>
      <c r="BI563" s="28"/>
      <c r="BJ563" s="28"/>
      <c r="BK563" s="28"/>
      <c r="BL563" s="28"/>
      <c r="BM563" s="28"/>
      <c r="BN563" s="28"/>
      <c r="BO563" s="28"/>
      <c r="BP563" s="28"/>
      <c r="BQ563" s="28"/>
      <c r="BR563" s="28"/>
      <c r="BS563" s="28"/>
      <c r="BT563" s="28"/>
      <c r="BU563" s="28"/>
      <c r="BV563" s="28"/>
      <c r="BW563" s="28"/>
      <c r="BX563" s="28"/>
      <c r="FL563" s="33" t="s">
        <v>1886</v>
      </c>
      <c r="FM563" s="33" t="s">
        <v>255</v>
      </c>
    </row>
    <row r="564" spans="1:194" ht="23.25" customHeight="1" x14ac:dyDescent="0.15">
      <c r="A564" s="26">
        <v>44660.830536990739</v>
      </c>
      <c r="B564" s="27" t="s">
        <v>6</v>
      </c>
      <c r="C564" s="27" t="s">
        <v>11</v>
      </c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  <c r="AX564" s="27" t="s">
        <v>1857</v>
      </c>
      <c r="AY564" s="27" t="s">
        <v>1858</v>
      </c>
      <c r="AZ564" s="27" t="s">
        <v>349</v>
      </c>
      <c r="BA564" s="27" t="s">
        <v>335</v>
      </c>
      <c r="BB564" s="27" t="s">
        <v>698</v>
      </c>
      <c r="BC564" s="29">
        <v>43637</v>
      </c>
      <c r="BD564" s="29">
        <v>43675</v>
      </c>
      <c r="BE564" s="29">
        <v>43675</v>
      </c>
      <c r="BF564" s="27">
        <v>100</v>
      </c>
      <c r="BG564" s="27" t="s">
        <v>1914</v>
      </c>
      <c r="BH564" s="30" t="s">
        <v>1915</v>
      </c>
      <c r="BI564" s="28"/>
      <c r="BJ564" s="28"/>
      <c r="BK564" s="28"/>
      <c r="BL564" s="28"/>
      <c r="BM564" s="28"/>
      <c r="BN564" s="28"/>
      <c r="BO564" s="28"/>
      <c r="BP564" s="28"/>
      <c r="BQ564" s="28"/>
      <c r="BR564" s="28"/>
      <c r="BS564" s="28"/>
      <c r="BT564" s="28"/>
      <c r="BU564" s="28"/>
      <c r="BV564" s="28"/>
      <c r="BW564" s="28"/>
      <c r="BX564" s="28"/>
      <c r="FL564" s="33" t="s">
        <v>1863</v>
      </c>
      <c r="FM564" s="33" t="s">
        <v>255</v>
      </c>
    </row>
    <row r="565" spans="1:194" ht="23.25" customHeight="1" x14ac:dyDescent="0.15">
      <c r="A565" s="26">
        <v>44660.833577453704</v>
      </c>
      <c r="B565" s="27" t="s">
        <v>6</v>
      </c>
      <c r="C565" s="27" t="s">
        <v>11</v>
      </c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  <c r="AX565" s="27" t="s">
        <v>1882</v>
      </c>
      <c r="AY565" s="27" t="s">
        <v>1883</v>
      </c>
      <c r="AZ565" s="27" t="s">
        <v>1916</v>
      </c>
      <c r="BA565" s="27" t="s">
        <v>1375</v>
      </c>
      <c r="BB565" s="27" t="s">
        <v>1917</v>
      </c>
      <c r="BC565" s="29">
        <v>44014</v>
      </c>
      <c r="BD565" s="29">
        <v>44042</v>
      </c>
      <c r="BE565" s="29">
        <v>44042</v>
      </c>
      <c r="BF565" s="27">
        <v>99</v>
      </c>
      <c r="BG565" s="27" t="s">
        <v>1884</v>
      </c>
      <c r="BH565" s="30" t="s">
        <v>1918</v>
      </c>
      <c r="BI565" s="28"/>
      <c r="BJ565" s="28"/>
      <c r="BK565" s="28"/>
      <c r="BL565" s="28"/>
      <c r="BM565" s="28"/>
      <c r="BN565" s="28"/>
      <c r="BO565" s="28"/>
      <c r="BP565" s="28"/>
      <c r="BQ565" s="28"/>
      <c r="BR565" s="28"/>
      <c r="BS565" s="28"/>
      <c r="BT565" s="28"/>
      <c r="BU565" s="28"/>
      <c r="BV565" s="28"/>
      <c r="BW565" s="28"/>
      <c r="BX565" s="28"/>
      <c r="FL565" s="33" t="s">
        <v>1886</v>
      </c>
      <c r="FM565" s="33" t="s">
        <v>255</v>
      </c>
    </row>
    <row r="566" spans="1:194" ht="23.25" customHeight="1" x14ac:dyDescent="0.15">
      <c r="A566" s="26">
        <v>44660.834690219912</v>
      </c>
      <c r="B566" s="27" t="s">
        <v>6</v>
      </c>
      <c r="C566" s="27" t="s">
        <v>11</v>
      </c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  <c r="AX566" s="27" t="s">
        <v>1857</v>
      </c>
      <c r="AY566" s="27" t="s">
        <v>1858</v>
      </c>
      <c r="AZ566" s="27" t="s">
        <v>1919</v>
      </c>
      <c r="BA566" s="27" t="s">
        <v>335</v>
      </c>
      <c r="BB566" s="27" t="s">
        <v>698</v>
      </c>
      <c r="BC566" s="29">
        <v>43583</v>
      </c>
      <c r="BD566" s="29">
        <v>43600</v>
      </c>
      <c r="BE566" s="29">
        <v>43600</v>
      </c>
      <c r="BF566" s="27">
        <v>100</v>
      </c>
      <c r="BG566" s="27" t="s">
        <v>1914</v>
      </c>
      <c r="BH566" s="30" t="s">
        <v>1920</v>
      </c>
      <c r="BI566" s="28"/>
      <c r="BJ566" s="28"/>
      <c r="BK566" s="28"/>
      <c r="BL566" s="28"/>
      <c r="BM566" s="28"/>
      <c r="BN566" s="28"/>
      <c r="BO566" s="28"/>
      <c r="BP566" s="28"/>
      <c r="BQ566" s="28"/>
      <c r="BR566" s="28"/>
      <c r="BS566" s="28"/>
      <c r="BT566" s="28"/>
      <c r="BU566" s="28"/>
      <c r="BV566" s="28"/>
      <c r="BW566" s="28"/>
      <c r="BX566" s="28"/>
      <c r="FL566" s="33" t="s">
        <v>1863</v>
      </c>
      <c r="FM566" s="33" t="s">
        <v>255</v>
      </c>
    </row>
    <row r="567" spans="1:194" ht="23.25" customHeight="1" x14ac:dyDescent="0.15">
      <c r="A567" s="26">
        <v>44660.835696354166</v>
      </c>
      <c r="B567" s="27" t="s">
        <v>6</v>
      </c>
      <c r="C567" s="27" t="s">
        <v>11</v>
      </c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  <c r="AX567" s="27" t="s">
        <v>1892</v>
      </c>
      <c r="AY567" s="27" t="s">
        <v>1865</v>
      </c>
      <c r="AZ567" s="27" t="s">
        <v>349</v>
      </c>
      <c r="BA567" s="27" t="s">
        <v>375</v>
      </c>
      <c r="BB567" s="27">
        <v>1</v>
      </c>
      <c r="BC567" s="29">
        <v>43645</v>
      </c>
      <c r="BD567" s="29">
        <v>43675</v>
      </c>
      <c r="BE567" s="29">
        <v>43675</v>
      </c>
      <c r="BF567" s="27">
        <v>100</v>
      </c>
      <c r="BG567" s="27" t="s">
        <v>1921</v>
      </c>
      <c r="BH567" s="30" t="s">
        <v>1922</v>
      </c>
      <c r="BI567" s="28"/>
      <c r="BJ567" s="28"/>
      <c r="BK567" s="28"/>
      <c r="BL567" s="28"/>
      <c r="BM567" s="28"/>
      <c r="BN567" s="28"/>
      <c r="BO567" s="28"/>
      <c r="BP567" s="28"/>
      <c r="BQ567" s="28"/>
      <c r="BR567" s="28"/>
      <c r="BS567" s="28"/>
      <c r="BT567" s="28"/>
      <c r="BU567" s="28"/>
      <c r="BV567" s="28"/>
      <c r="BW567" s="28"/>
      <c r="BX567" s="28"/>
      <c r="FL567" s="33" t="s">
        <v>1870</v>
      </c>
      <c r="FM567" s="33" t="s">
        <v>255</v>
      </c>
    </row>
    <row r="568" spans="1:194" ht="23.25" customHeight="1" x14ac:dyDescent="0.15">
      <c r="A568" s="26">
        <v>44660.837092488422</v>
      </c>
      <c r="B568" s="27" t="s">
        <v>6</v>
      </c>
      <c r="C568" s="27" t="s">
        <v>11</v>
      </c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  <c r="AX568" s="27" t="s">
        <v>1882</v>
      </c>
      <c r="AY568" s="27" t="s">
        <v>1883</v>
      </c>
      <c r="AZ568" s="27" t="s">
        <v>528</v>
      </c>
      <c r="BA568" s="27" t="s">
        <v>1375</v>
      </c>
      <c r="BB568" s="27" t="s">
        <v>1923</v>
      </c>
      <c r="BC568" s="29">
        <v>44005</v>
      </c>
      <c r="BD568" s="29">
        <v>44039</v>
      </c>
      <c r="BE568" s="29">
        <v>44039</v>
      </c>
      <c r="BF568" s="27">
        <v>97</v>
      </c>
      <c r="BG568" s="27" t="s">
        <v>1884</v>
      </c>
      <c r="BH568" s="30" t="s">
        <v>1924</v>
      </c>
      <c r="BI568" s="28"/>
      <c r="BJ568" s="28"/>
      <c r="BK568" s="28"/>
      <c r="BL568" s="28"/>
      <c r="BM568" s="28"/>
      <c r="BN568" s="28"/>
      <c r="BO568" s="28"/>
      <c r="BP568" s="28"/>
      <c r="BQ568" s="28"/>
      <c r="BR568" s="28"/>
      <c r="BS568" s="28"/>
      <c r="BT568" s="28"/>
      <c r="BU568" s="28"/>
      <c r="BV568" s="28"/>
      <c r="BW568" s="28"/>
      <c r="BX568" s="28"/>
      <c r="FL568" s="33" t="s">
        <v>1886</v>
      </c>
      <c r="FM568" s="33" t="s">
        <v>255</v>
      </c>
    </row>
    <row r="569" spans="1:194" ht="23.25" customHeight="1" x14ac:dyDescent="0.15">
      <c r="A569" s="26">
        <v>44660.840953425926</v>
      </c>
      <c r="B569" s="27" t="s">
        <v>6</v>
      </c>
      <c r="C569" s="27" t="s">
        <v>11</v>
      </c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  <c r="AX569" s="27" t="s">
        <v>1892</v>
      </c>
      <c r="AY569" s="27" t="s">
        <v>1865</v>
      </c>
      <c r="AZ569" s="27" t="s">
        <v>500</v>
      </c>
      <c r="BA569" s="27" t="s">
        <v>375</v>
      </c>
      <c r="BB569" s="27">
        <v>1</v>
      </c>
      <c r="BC569" s="29">
        <v>44660</v>
      </c>
      <c r="BD569" s="29">
        <v>44302</v>
      </c>
      <c r="BE569" s="29">
        <v>44302</v>
      </c>
      <c r="BF569" s="27">
        <v>100</v>
      </c>
      <c r="BG569" s="27" t="s">
        <v>1925</v>
      </c>
      <c r="BH569" s="30" t="s">
        <v>1926</v>
      </c>
      <c r="BI569" s="28"/>
      <c r="BJ569" s="28"/>
      <c r="BK569" s="28"/>
      <c r="BL569" s="28"/>
      <c r="BM569" s="28"/>
      <c r="BN569" s="28"/>
      <c r="BO569" s="28"/>
      <c r="BP569" s="28"/>
      <c r="BQ569" s="28"/>
      <c r="BR569" s="28"/>
      <c r="BS569" s="28"/>
      <c r="BT569" s="28"/>
      <c r="BU569" s="28"/>
      <c r="BV569" s="28"/>
      <c r="BW569" s="28"/>
      <c r="BX569" s="28"/>
      <c r="FL569" s="33" t="s">
        <v>1870</v>
      </c>
      <c r="FM569" s="33" t="s">
        <v>255</v>
      </c>
    </row>
    <row r="570" spans="1:194" ht="23.25" customHeight="1" x14ac:dyDescent="0.15">
      <c r="A570" s="26">
        <v>44660.842256481483</v>
      </c>
      <c r="B570" s="27" t="s">
        <v>6</v>
      </c>
      <c r="C570" s="27" t="s">
        <v>12</v>
      </c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  <c r="AX570" s="28"/>
      <c r="AY570" s="28"/>
      <c r="AZ570" s="28"/>
      <c r="BA570" s="28"/>
      <c r="BB570" s="28"/>
      <c r="BC570" s="28"/>
      <c r="BD570" s="28"/>
      <c r="BE570" s="28"/>
      <c r="BF570" s="28"/>
      <c r="BG570" s="28"/>
      <c r="BH570" s="28"/>
      <c r="BI570" s="27" t="s">
        <v>1927</v>
      </c>
      <c r="BJ570" s="27" t="s">
        <v>1883</v>
      </c>
      <c r="BK570" s="27" t="s">
        <v>154</v>
      </c>
      <c r="BL570" s="27" t="s">
        <v>1285</v>
      </c>
      <c r="BM570" s="27" t="s">
        <v>1928</v>
      </c>
      <c r="BN570" s="27">
        <v>3</v>
      </c>
      <c r="BO570" s="29">
        <v>44037</v>
      </c>
      <c r="BP570" s="29">
        <v>44039</v>
      </c>
      <c r="BQ570" s="27" t="s">
        <v>1042</v>
      </c>
      <c r="BR570" s="27" t="s">
        <v>1884</v>
      </c>
      <c r="BS570" s="27" t="s">
        <v>171</v>
      </c>
      <c r="BT570" s="27" t="s">
        <v>151</v>
      </c>
      <c r="BU570" s="28"/>
      <c r="BV570" s="30" t="s">
        <v>1929</v>
      </c>
      <c r="BW570" s="28"/>
      <c r="BX570" s="28"/>
      <c r="FL570" s="33" t="s">
        <v>1886</v>
      </c>
      <c r="FM570" s="33" t="s">
        <v>255</v>
      </c>
    </row>
    <row r="571" spans="1:194" ht="23.25" customHeight="1" x14ac:dyDescent="0.15">
      <c r="A571" s="26">
        <v>44660.844724861112</v>
      </c>
      <c r="B571" s="27" t="s">
        <v>6</v>
      </c>
      <c r="C571" s="27" t="s">
        <v>22</v>
      </c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  <c r="AX571" s="28"/>
      <c r="AY571" s="28"/>
      <c r="AZ571" s="28"/>
      <c r="BA571" s="28"/>
      <c r="BB571" s="28"/>
      <c r="BC571" s="28"/>
      <c r="BD571" s="28"/>
      <c r="BE571" s="28"/>
      <c r="BF571" s="28"/>
      <c r="BG571" s="28"/>
      <c r="BH571" s="28"/>
      <c r="BI571" s="28"/>
      <c r="BJ571" s="28"/>
      <c r="BK571" s="28"/>
      <c r="BL571" s="28"/>
      <c r="BM571" s="28"/>
      <c r="BN571" s="28"/>
      <c r="BO571" s="28"/>
      <c r="BP571" s="28"/>
      <c r="BQ571" s="28"/>
      <c r="BR571" s="28"/>
      <c r="BS571" s="28"/>
      <c r="BT571" s="28"/>
      <c r="BU571" s="28"/>
      <c r="BV571" s="28"/>
      <c r="BW571" s="28"/>
      <c r="BX571" s="28"/>
      <c r="FL571" s="33" t="s">
        <v>1886</v>
      </c>
      <c r="FM571" s="33" t="s">
        <v>255</v>
      </c>
      <c r="GF571" s="33" t="s">
        <v>1927</v>
      </c>
      <c r="GG571" s="33" t="s">
        <v>1883</v>
      </c>
      <c r="GH571" s="33" t="s">
        <v>1930</v>
      </c>
      <c r="GI571" s="34">
        <v>44628</v>
      </c>
      <c r="GJ571" s="35" t="s">
        <v>1931</v>
      </c>
      <c r="GK571" s="33" t="s">
        <v>1932</v>
      </c>
      <c r="GL571" s="33" t="s">
        <v>1933</v>
      </c>
    </row>
    <row r="572" spans="1:194" ht="23.25" customHeight="1" x14ac:dyDescent="0.15">
      <c r="A572" s="26">
        <v>44660.84516449074</v>
      </c>
      <c r="B572" s="27" t="s">
        <v>6</v>
      </c>
      <c r="C572" s="27" t="s">
        <v>11</v>
      </c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  <c r="AX572" s="27" t="s">
        <v>754</v>
      </c>
      <c r="AY572" s="27" t="s">
        <v>745</v>
      </c>
      <c r="AZ572" s="27" t="s">
        <v>1390</v>
      </c>
      <c r="BA572" s="27" t="s">
        <v>1375</v>
      </c>
      <c r="BB572" s="27" t="s">
        <v>1934</v>
      </c>
      <c r="BC572" s="29">
        <v>43925</v>
      </c>
      <c r="BD572" s="29">
        <v>43945</v>
      </c>
      <c r="BE572" s="29">
        <v>43945</v>
      </c>
      <c r="BF572" s="27">
        <v>100</v>
      </c>
      <c r="BG572" s="27" t="s">
        <v>520</v>
      </c>
      <c r="BH572" s="30" t="s">
        <v>1935</v>
      </c>
      <c r="BI572" s="28"/>
      <c r="BJ572" s="28"/>
      <c r="BK572" s="28"/>
      <c r="BL572" s="28"/>
      <c r="BM572" s="28"/>
      <c r="BN572" s="28"/>
      <c r="BO572" s="28"/>
      <c r="BP572" s="28"/>
      <c r="BQ572" s="28"/>
      <c r="BR572" s="28"/>
      <c r="BS572" s="28"/>
      <c r="BT572" s="28"/>
      <c r="BU572" s="28"/>
      <c r="BV572" s="28"/>
      <c r="BW572" s="28"/>
      <c r="BX572" s="28"/>
      <c r="FL572" s="33" t="s">
        <v>748</v>
      </c>
      <c r="FM572" s="33" t="s">
        <v>255</v>
      </c>
    </row>
    <row r="573" spans="1:194" ht="23.25" customHeight="1" x14ac:dyDescent="0.15">
      <c r="A573" s="26">
        <v>44660.846513414348</v>
      </c>
      <c r="B573" s="27" t="s">
        <v>6</v>
      </c>
      <c r="C573" s="27" t="s">
        <v>11</v>
      </c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  <c r="AX573" s="27" t="s">
        <v>1936</v>
      </c>
      <c r="AY573" s="27" t="s">
        <v>1858</v>
      </c>
      <c r="AZ573" s="27" t="s">
        <v>1937</v>
      </c>
      <c r="BA573" s="27" t="s">
        <v>1375</v>
      </c>
      <c r="BB573" s="27" t="s">
        <v>1917</v>
      </c>
      <c r="BC573" s="29">
        <v>43924</v>
      </c>
      <c r="BD573" s="29">
        <v>43961</v>
      </c>
      <c r="BE573" s="29">
        <v>43961</v>
      </c>
      <c r="BF573" s="27">
        <v>100</v>
      </c>
      <c r="BG573" s="27" t="s">
        <v>1398</v>
      </c>
      <c r="BH573" s="30" t="s">
        <v>1938</v>
      </c>
      <c r="BI573" s="28"/>
      <c r="BJ573" s="28"/>
      <c r="BK573" s="28"/>
      <c r="BL573" s="28"/>
      <c r="BM573" s="28"/>
      <c r="BN573" s="28"/>
      <c r="BO573" s="28"/>
      <c r="BP573" s="28"/>
      <c r="BQ573" s="28"/>
      <c r="BR573" s="28"/>
      <c r="BS573" s="28"/>
      <c r="BT573" s="28"/>
      <c r="BU573" s="28"/>
      <c r="BV573" s="28"/>
      <c r="BW573" s="28"/>
      <c r="BX573" s="28"/>
      <c r="FL573" s="33" t="s">
        <v>1863</v>
      </c>
      <c r="FM573" s="33" t="s">
        <v>255</v>
      </c>
    </row>
    <row r="574" spans="1:194" ht="23.25" customHeight="1" x14ac:dyDescent="0.15">
      <c r="A574" s="26">
        <v>44660.848244537032</v>
      </c>
      <c r="B574" s="27" t="s">
        <v>6</v>
      </c>
      <c r="C574" s="27" t="s">
        <v>11</v>
      </c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  <c r="AX574" s="27" t="s">
        <v>1892</v>
      </c>
      <c r="AY574" s="27" t="s">
        <v>1865</v>
      </c>
      <c r="AZ574" s="27" t="s">
        <v>1939</v>
      </c>
      <c r="BA574" s="27" t="s">
        <v>375</v>
      </c>
      <c r="BB574" s="27">
        <v>1</v>
      </c>
      <c r="BC574" s="29">
        <v>43642</v>
      </c>
      <c r="BD574" s="29">
        <v>43672</v>
      </c>
      <c r="BE574" s="29">
        <v>43672</v>
      </c>
      <c r="BF574" s="27">
        <v>100</v>
      </c>
      <c r="BG574" s="27" t="s">
        <v>337</v>
      </c>
      <c r="BH574" s="30" t="s">
        <v>1940</v>
      </c>
      <c r="BI574" s="28"/>
      <c r="BJ574" s="28"/>
      <c r="BK574" s="28"/>
      <c r="BL574" s="28"/>
      <c r="BM574" s="28"/>
      <c r="BN574" s="28"/>
      <c r="BO574" s="28"/>
      <c r="BP574" s="28"/>
      <c r="BQ574" s="28"/>
      <c r="BR574" s="28"/>
      <c r="BS574" s="28"/>
      <c r="BT574" s="28"/>
      <c r="BU574" s="28"/>
      <c r="BV574" s="28"/>
      <c r="BW574" s="28"/>
      <c r="BX574" s="28"/>
      <c r="FL574" s="33" t="s">
        <v>1870</v>
      </c>
      <c r="FM574" s="33" t="s">
        <v>255</v>
      </c>
    </row>
    <row r="575" spans="1:194" ht="23.25" customHeight="1" x14ac:dyDescent="0.15">
      <c r="A575" s="26">
        <v>44660.850106134254</v>
      </c>
      <c r="B575" s="27" t="s">
        <v>6</v>
      </c>
      <c r="C575" s="27" t="s">
        <v>11</v>
      </c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  <c r="AX575" s="27" t="s">
        <v>1882</v>
      </c>
      <c r="AY575" s="27" t="s">
        <v>1883</v>
      </c>
      <c r="AZ575" s="27" t="s">
        <v>1941</v>
      </c>
      <c r="BA575" s="27" t="s">
        <v>335</v>
      </c>
      <c r="BB575" s="27" t="s">
        <v>308</v>
      </c>
      <c r="BC575" s="29">
        <v>44348</v>
      </c>
      <c r="BD575" s="29">
        <v>44403</v>
      </c>
      <c r="BE575" s="29">
        <v>44404</v>
      </c>
      <c r="BF575" s="27">
        <v>89</v>
      </c>
      <c r="BG575" s="27" t="s">
        <v>1942</v>
      </c>
      <c r="BH575" s="30" t="s">
        <v>1943</v>
      </c>
      <c r="BI575" s="28"/>
      <c r="BJ575" s="28"/>
      <c r="BK575" s="28"/>
      <c r="BL575" s="28"/>
      <c r="BM575" s="28"/>
      <c r="BN575" s="28"/>
      <c r="BO575" s="28"/>
      <c r="BP575" s="28"/>
      <c r="BQ575" s="28"/>
      <c r="BR575" s="28"/>
      <c r="BS575" s="28"/>
      <c r="BT575" s="28"/>
      <c r="BU575" s="28"/>
      <c r="BV575" s="28"/>
      <c r="BW575" s="28"/>
      <c r="BX575" s="28"/>
      <c r="FL575" s="33" t="s">
        <v>1886</v>
      </c>
      <c r="FM575" s="33" t="s">
        <v>255</v>
      </c>
    </row>
    <row r="576" spans="1:194" ht="23.25" customHeight="1" x14ac:dyDescent="0.15">
      <c r="A576" s="26">
        <v>44660.850449432866</v>
      </c>
      <c r="B576" s="27" t="s">
        <v>6</v>
      </c>
      <c r="C576" s="27" t="s">
        <v>11</v>
      </c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  <c r="AX576" s="27" t="s">
        <v>744</v>
      </c>
      <c r="AY576" s="27" t="s">
        <v>745</v>
      </c>
      <c r="AZ576" s="27" t="s">
        <v>1944</v>
      </c>
      <c r="BA576" s="27" t="s">
        <v>1383</v>
      </c>
      <c r="BB576" s="27" t="s">
        <v>493</v>
      </c>
      <c r="BC576" s="29">
        <v>43926</v>
      </c>
      <c r="BD576" s="29">
        <v>43956</v>
      </c>
      <c r="BE576" s="29">
        <v>43956</v>
      </c>
      <c r="BF576" s="36">
        <v>0.95</v>
      </c>
      <c r="BG576" s="27" t="s">
        <v>1945</v>
      </c>
      <c r="BH576" s="30" t="s">
        <v>1946</v>
      </c>
      <c r="BI576" s="28"/>
      <c r="BJ576" s="28"/>
      <c r="BK576" s="28"/>
      <c r="BL576" s="28"/>
      <c r="BM576" s="28"/>
      <c r="BN576" s="28"/>
      <c r="BO576" s="28"/>
      <c r="BP576" s="28"/>
      <c r="BQ576" s="28"/>
      <c r="BR576" s="28"/>
      <c r="BS576" s="28"/>
      <c r="BT576" s="28"/>
      <c r="BU576" s="28"/>
      <c r="BV576" s="28"/>
      <c r="BW576" s="28"/>
      <c r="BX576" s="28"/>
      <c r="FL576" s="33" t="s">
        <v>748</v>
      </c>
      <c r="FM576" s="33" t="s">
        <v>255</v>
      </c>
    </row>
    <row r="577" spans="1:169" ht="23.25" customHeight="1" x14ac:dyDescent="0.15">
      <c r="A577" s="26">
        <v>44660.85150769676</v>
      </c>
      <c r="B577" s="27" t="s">
        <v>6</v>
      </c>
      <c r="C577" s="27" t="s">
        <v>11</v>
      </c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  <c r="AX577" s="27" t="s">
        <v>1947</v>
      </c>
      <c r="AY577" s="27" t="s">
        <v>1858</v>
      </c>
      <c r="AZ577" s="27" t="s">
        <v>1948</v>
      </c>
      <c r="BA577" s="27" t="s">
        <v>1375</v>
      </c>
      <c r="BB577" s="27" t="s">
        <v>1923</v>
      </c>
      <c r="BC577" s="29">
        <v>43924</v>
      </c>
      <c r="BD577" s="29">
        <v>43968</v>
      </c>
      <c r="BE577" s="29">
        <v>43968</v>
      </c>
      <c r="BF577" s="27">
        <v>100</v>
      </c>
      <c r="BG577" s="27" t="s">
        <v>1372</v>
      </c>
      <c r="BH577" s="30" t="s">
        <v>1949</v>
      </c>
      <c r="BI577" s="28"/>
      <c r="BJ577" s="28"/>
      <c r="BK577" s="28"/>
      <c r="BL577" s="28"/>
      <c r="BM577" s="28"/>
      <c r="BN577" s="28"/>
      <c r="BO577" s="28"/>
      <c r="BP577" s="28"/>
      <c r="BQ577" s="28"/>
      <c r="BR577" s="28"/>
      <c r="BS577" s="28"/>
      <c r="BT577" s="28"/>
      <c r="BU577" s="28"/>
      <c r="BV577" s="28"/>
      <c r="BW577" s="28"/>
      <c r="BX577" s="28"/>
      <c r="FL577" s="33" t="s">
        <v>1863</v>
      </c>
      <c r="FM577" s="33" t="s">
        <v>255</v>
      </c>
    </row>
    <row r="578" spans="1:169" ht="23.25" customHeight="1" x14ac:dyDescent="0.15">
      <c r="A578" s="26">
        <v>44660.852499259257</v>
      </c>
      <c r="B578" s="27" t="s">
        <v>6</v>
      </c>
      <c r="C578" s="27" t="s">
        <v>11</v>
      </c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  <c r="AX578" s="27" t="s">
        <v>1882</v>
      </c>
      <c r="AY578" s="27" t="s">
        <v>1883</v>
      </c>
      <c r="AZ578" s="27" t="s">
        <v>374</v>
      </c>
      <c r="BA578" s="27" t="s">
        <v>375</v>
      </c>
      <c r="BB578" s="27" t="s">
        <v>376</v>
      </c>
      <c r="BC578" s="29">
        <v>43647</v>
      </c>
      <c r="BD578" s="29">
        <v>43681</v>
      </c>
      <c r="BE578" s="29">
        <v>43803</v>
      </c>
      <c r="BF578" s="27">
        <v>90</v>
      </c>
      <c r="BG578" s="27" t="s">
        <v>377</v>
      </c>
      <c r="BH578" s="30" t="s">
        <v>1950</v>
      </c>
      <c r="BI578" s="28"/>
      <c r="BJ578" s="28"/>
      <c r="BK578" s="28"/>
      <c r="BL578" s="28"/>
      <c r="BM578" s="28"/>
      <c r="BN578" s="28"/>
      <c r="BO578" s="28"/>
      <c r="BP578" s="28"/>
      <c r="BQ578" s="28"/>
      <c r="BR578" s="28"/>
      <c r="BS578" s="28"/>
      <c r="BT578" s="28"/>
      <c r="BU578" s="28"/>
      <c r="BV578" s="28"/>
      <c r="BW578" s="28"/>
      <c r="BX578" s="28"/>
      <c r="FL578" s="33" t="s">
        <v>1886</v>
      </c>
      <c r="FM578" s="33" t="s">
        <v>255</v>
      </c>
    </row>
    <row r="579" spans="1:169" ht="23.25" customHeight="1" x14ac:dyDescent="0.15">
      <c r="A579" s="26">
        <v>44660.85430575232</v>
      </c>
      <c r="B579" s="27" t="s">
        <v>6</v>
      </c>
      <c r="C579" s="27" t="s">
        <v>11</v>
      </c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  <c r="AX579" s="27" t="s">
        <v>1892</v>
      </c>
      <c r="AY579" s="27" t="s">
        <v>1865</v>
      </c>
      <c r="AZ579" s="27" t="s">
        <v>1951</v>
      </c>
      <c r="BA579" s="27" t="s">
        <v>343</v>
      </c>
      <c r="BB579" s="27">
        <v>1</v>
      </c>
      <c r="BC579" s="29">
        <v>43953</v>
      </c>
      <c r="BD579" s="29">
        <v>43984</v>
      </c>
      <c r="BE579" s="29">
        <v>43984</v>
      </c>
      <c r="BF579" s="27">
        <v>100</v>
      </c>
      <c r="BG579" s="27" t="s">
        <v>343</v>
      </c>
      <c r="BH579" s="30" t="s">
        <v>1952</v>
      </c>
      <c r="BI579" s="28"/>
      <c r="BJ579" s="28"/>
      <c r="BK579" s="28"/>
      <c r="BL579" s="28"/>
      <c r="BM579" s="28"/>
      <c r="BN579" s="28"/>
      <c r="BO579" s="28"/>
      <c r="BP579" s="28"/>
      <c r="BQ579" s="28"/>
      <c r="BR579" s="28"/>
      <c r="BS579" s="28"/>
      <c r="BT579" s="28"/>
      <c r="BU579" s="28"/>
      <c r="BV579" s="28"/>
      <c r="BW579" s="28"/>
      <c r="BX579" s="28"/>
      <c r="FL579" s="33" t="s">
        <v>1870</v>
      </c>
      <c r="FM579" s="33" t="s">
        <v>255</v>
      </c>
    </row>
    <row r="580" spans="1:169" ht="23.25" customHeight="1" x14ac:dyDescent="0.15">
      <c r="A580" s="26">
        <v>44660.855850671302</v>
      </c>
      <c r="B580" s="27" t="s">
        <v>6</v>
      </c>
      <c r="C580" s="27" t="s">
        <v>11</v>
      </c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  <c r="AX580" s="27" t="s">
        <v>744</v>
      </c>
      <c r="AY580" s="27" t="s">
        <v>745</v>
      </c>
      <c r="AZ580" s="27" t="s">
        <v>1953</v>
      </c>
      <c r="BA580" s="27" t="s">
        <v>335</v>
      </c>
      <c r="BB580" s="27" t="s">
        <v>1954</v>
      </c>
      <c r="BC580" s="29">
        <v>43472</v>
      </c>
      <c r="BD580" s="29">
        <v>43563</v>
      </c>
      <c r="BE580" s="29">
        <v>43567</v>
      </c>
      <c r="BF580" s="36">
        <v>0.9</v>
      </c>
      <c r="BG580" s="27" t="s">
        <v>1955</v>
      </c>
      <c r="BH580" s="30" t="s">
        <v>1956</v>
      </c>
      <c r="BI580" s="28"/>
      <c r="BJ580" s="28"/>
      <c r="BK580" s="28"/>
      <c r="BL580" s="28"/>
      <c r="BM580" s="28"/>
      <c r="BN580" s="28"/>
      <c r="BO580" s="28"/>
      <c r="BP580" s="28"/>
      <c r="BQ580" s="28"/>
      <c r="BR580" s="28"/>
      <c r="BS580" s="28"/>
      <c r="BT580" s="28"/>
      <c r="BU580" s="28"/>
      <c r="BV580" s="28"/>
      <c r="BW580" s="28"/>
      <c r="BX580" s="28"/>
      <c r="FL580" s="33" t="s">
        <v>748</v>
      </c>
      <c r="FM580" s="33" t="s">
        <v>255</v>
      </c>
    </row>
    <row r="581" spans="1:169" ht="23.25" customHeight="1" x14ac:dyDescent="0.15">
      <c r="A581" s="26">
        <v>44660.856549363423</v>
      </c>
      <c r="B581" s="27" t="s">
        <v>6</v>
      </c>
      <c r="C581" s="27" t="s">
        <v>11</v>
      </c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  <c r="AX581" s="27" t="s">
        <v>1947</v>
      </c>
      <c r="AY581" s="27" t="s">
        <v>1858</v>
      </c>
      <c r="AZ581" s="27" t="s">
        <v>1957</v>
      </c>
      <c r="BA581" s="27" t="s">
        <v>1375</v>
      </c>
      <c r="BB581" s="27" t="s">
        <v>1912</v>
      </c>
      <c r="BC581" s="29">
        <v>43974</v>
      </c>
      <c r="BD581" s="29">
        <v>44016</v>
      </c>
      <c r="BE581" s="29">
        <v>44016</v>
      </c>
      <c r="BF581" s="27">
        <v>100</v>
      </c>
      <c r="BG581" s="27" t="s">
        <v>1958</v>
      </c>
      <c r="BH581" s="30" t="s">
        <v>1959</v>
      </c>
      <c r="BI581" s="28"/>
      <c r="BJ581" s="28"/>
      <c r="BK581" s="28"/>
      <c r="BL581" s="28"/>
      <c r="BM581" s="28"/>
      <c r="BN581" s="28"/>
      <c r="BO581" s="28"/>
      <c r="BP581" s="28"/>
      <c r="BQ581" s="28"/>
      <c r="BR581" s="28"/>
      <c r="BS581" s="28"/>
      <c r="BT581" s="28"/>
      <c r="BU581" s="28"/>
      <c r="BV581" s="28"/>
      <c r="BW581" s="28"/>
      <c r="BX581" s="28"/>
      <c r="FL581" s="33" t="s">
        <v>1863</v>
      </c>
      <c r="FM581" s="33" t="s">
        <v>255</v>
      </c>
    </row>
    <row r="582" spans="1:169" ht="23.25" customHeight="1" x14ac:dyDescent="0.15">
      <c r="A582" s="26">
        <v>44660.856999525466</v>
      </c>
      <c r="B582" s="27" t="s">
        <v>6</v>
      </c>
      <c r="C582" s="27" t="s">
        <v>11</v>
      </c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  <c r="AX582" s="27" t="s">
        <v>1960</v>
      </c>
      <c r="AY582" s="27" t="s">
        <v>1961</v>
      </c>
      <c r="AZ582" s="27" t="s">
        <v>500</v>
      </c>
      <c r="BA582" s="27" t="s">
        <v>897</v>
      </c>
      <c r="BB582" s="27" t="s">
        <v>318</v>
      </c>
      <c r="BC582" s="29">
        <v>44251</v>
      </c>
      <c r="BD582" s="29">
        <v>44310</v>
      </c>
      <c r="BE582" s="29">
        <v>44308</v>
      </c>
      <c r="BF582" s="27">
        <v>99</v>
      </c>
      <c r="BG582" s="27" t="s">
        <v>1962</v>
      </c>
      <c r="BH582" s="30" t="s">
        <v>1963</v>
      </c>
      <c r="BI582" s="28"/>
      <c r="BJ582" s="28"/>
      <c r="BK582" s="28"/>
      <c r="BL582" s="28"/>
      <c r="BM582" s="28"/>
      <c r="BN582" s="28"/>
      <c r="BO582" s="28"/>
      <c r="BP582" s="28"/>
      <c r="BQ582" s="28"/>
      <c r="BR582" s="28"/>
      <c r="BS582" s="28"/>
      <c r="BT582" s="28"/>
      <c r="BU582" s="28"/>
      <c r="BV582" s="28"/>
      <c r="BW582" s="28"/>
      <c r="BX582" s="28"/>
      <c r="FL582" s="33" t="s">
        <v>1335</v>
      </c>
      <c r="FM582" s="33" t="s">
        <v>255</v>
      </c>
    </row>
    <row r="583" spans="1:169" ht="23.25" customHeight="1" x14ac:dyDescent="0.15">
      <c r="A583" s="26">
        <v>44660.860330856478</v>
      </c>
      <c r="B583" s="27" t="s">
        <v>6</v>
      </c>
      <c r="C583" s="27" t="s">
        <v>10</v>
      </c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7" t="s">
        <v>1892</v>
      </c>
      <c r="AO583" s="27" t="s">
        <v>1865</v>
      </c>
      <c r="AP583" s="27" t="s">
        <v>307</v>
      </c>
      <c r="AQ583" s="27">
        <v>3</v>
      </c>
      <c r="AR583" s="29">
        <v>44484</v>
      </c>
      <c r="AS583" s="29">
        <v>44546</v>
      </c>
      <c r="AT583" s="27" t="s">
        <v>252</v>
      </c>
      <c r="AU583" s="27" t="s">
        <v>252</v>
      </c>
      <c r="AV583" s="27">
        <v>0</v>
      </c>
      <c r="AW583" s="30" t="s">
        <v>1964</v>
      </c>
      <c r="AX583" s="28"/>
      <c r="AY583" s="28"/>
      <c r="AZ583" s="28"/>
      <c r="BA583" s="28"/>
      <c r="BB583" s="28"/>
      <c r="BC583" s="28"/>
      <c r="BD583" s="28"/>
      <c r="BE583" s="28"/>
      <c r="BF583" s="28"/>
      <c r="BG583" s="28"/>
      <c r="BH583" s="28"/>
      <c r="BI583" s="28"/>
      <c r="BJ583" s="28"/>
      <c r="BK583" s="28"/>
      <c r="BL583" s="28"/>
      <c r="BM583" s="28"/>
      <c r="BN583" s="28"/>
      <c r="BO583" s="28"/>
      <c r="BP583" s="28"/>
      <c r="BQ583" s="28"/>
      <c r="BR583" s="28"/>
      <c r="BS583" s="28"/>
      <c r="BT583" s="28"/>
      <c r="BU583" s="28"/>
      <c r="BV583" s="28"/>
      <c r="BW583" s="28"/>
      <c r="BX583" s="28"/>
      <c r="FL583" s="33" t="s">
        <v>1870</v>
      </c>
      <c r="FM583" s="33" t="s">
        <v>255</v>
      </c>
    </row>
    <row r="584" spans="1:169" ht="23.25" customHeight="1" x14ac:dyDescent="0.15">
      <c r="A584" s="26">
        <v>44660.863723020833</v>
      </c>
      <c r="B584" s="27" t="s">
        <v>6</v>
      </c>
      <c r="C584" s="27" t="s">
        <v>10</v>
      </c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7" t="s">
        <v>1965</v>
      </c>
      <c r="AO584" s="27" t="s">
        <v>1858</v>
      </c>
      <c r="AP584" s="27" t="s">
        <v>264</v>
      </c>
      <c r="AQ584" s="27" t="s">
        <v>501</v>
      </c>
      <c r="AR584" s="29">
        <v>44640</v>
      </c>
      <c r="AS584" s="29">
        <v>44732</v>
      </c>
      <c r="AT584" s="27" t="s">
        <v>252</v>
      </c>
      <c r="AU584" s="27" t="s">
        <v>252</v>
      </c>
      <c r="AV584" s="27">
        <v>0</v>
      </c>
      <c r="AW584" s="30" t="s">
        <v>1966</v>
      </c>
      <c r="AX584" s="28"/>
      <c r="AY584" s="28"/>
      <c r="AZ584" s="28"/>
      <c r="BA584" s="28"/>
      <c r="BB584" s="28"/>
      <c r="BC584" s="28"/>
      <c r="BD584" s="28"/>
      <c r="BE584" s="28"/>
      <c r="BF584" s="28"/>
      <c r="BG584" s="28"/>
      <c r="BH584" s="28"/>
      <c r="BI584" s="28"/>
      <c r="BJ584" s="28"/>
      <c r="BK584" s="28"/>
      <c r="BL584" s="28"/>
      <c r="BM584" s="28"/>
      <c r="BN584" s="28"/>
      <c r="BO584" s="28"/>
      <c r="BP584" s="28"/>
      <c r="BQ584" s="28"/>
      <c r="BR584" s="28"/>
      <c r="BS584" s="28"/>
      <c r="BT584" s="28"/>
      <c r="BU584" s="28"/>
      <c r="BV584" s="28"/>
      <c r="BW584" s="28"/>
      <c r="BX584" s="28"/>
      <c r="FL584" s="33" t="s">
        <v>1863</v>
      </c>
      <c r="FM584" s="33" t="s">
        <v>255</v>
      </c>
    </row>
    <row r="585" spans="1:169" ht="23.25" customHeight="1" x14ac:dyDescent="0.15">
      <c r="A585" s="26">
        <v>44660.869151874998</v>
      </c>
      <c r="B585" s="27" t="s">
        <v>6</v>
      </c>
      <c r="C585" s="27" t="s">
        <v>14</v>
      </c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  <c r="AX585" s="28"/>
      <c r="AY585" s="28"/>
      <c r="AZ585" s="28"/>
      <c r="BA585" s="28"/>
      <c r="BB585" s="28"/>
      <c r="BC585" s="28"/>
      <c r="BD585" s="28"/>
      <c r="BE585" s="28"/>
      <c r="BF585" s="28"/>
      <c r="BG585" s="28"/>
      <c r="BH585" s="28"/>
      <c r="BI585" s="28"/>
      <c r="BJ585" s="28"/>
      <c r="BK585" s="28"/>
      <c r="BL585" s="28"/>
      <c r="BM585" s="28"/>
      <c r="BN585" s="28"/>
      <c r="BO585" s="28"/>
      <c r="BP585" s="28"/>
      <c r="BQ585" s="28"/>
      <c r="BR585" s="28"/>
      <c r="BS585" s="28"/>
      <c r="BT585" s="28"/>
      <c r="BU585" s="28"/>
      <c r="BV585" s="28"/>
      <c r="BW585" s="28"/>
      <c r="BX585" s="28"/>
      <c r="CS585" s="33" t="s">
        <v>1892</v>
      </c>
      <c r="CT585" s="33">
        <v>1</v>
      </c>
      <c r="CU585" s="34">
        <v>44469</v>
      </c>
      <c r="CV585" s="34">
        <v>44469</v>
      </c>
      <c r="CW585" s="33">
        <v>150</v>
      </c>
      <c r="CX585" s="33" t="s">
        <v>1967</v>
      </c>
      <c r="CY585" s="33" t="s">
        <v>1968</v>
      </c>
      <c r="DC585" s="35" t="s">
        <v>1969</v>
      </c>
      <c r="FL585" s="33" t="s">
        <v>1870</v>
      </c>
      <c r="FM585" s="33" t="s">
        <v>255</v>
      </c>
    </row>
    <row r="586" spans="1:169" ht="23.25" customHeight="1" x14ac:dyDescent="0.15">
      <c r="A586" s="26">
        <v>44660.878356921297</v>
      </c>
      <c r="B586" s="27" t="s">
        <v>6</v>
      </c>
      <c r="C586" s="27" t="s">
        <v>11</v>
      </c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  <c r="AX586" s="27" t="s">
        <v>1823</v>
      </c>
      <c r="AY586" s="27" t="s">
        <v>1824</v>
      </c>
      <c r="AZ586" s="27" t="s">
        <v>617</v>
      </c>
      <c r="BA586" s="27" t="s">
        <v>1970</v>
      </c>
      <c r="BB586" s="27">
        <v>15</v>
      </c>
      <c r="BC586" s="29">
        <v>44422</v>
      </c>
      <c r="BD586" s="29">
        <v>44453</v>
      </c>
      <c r="BE586" s="29">
        <v>44454</v>
      </c>
      <c r="BF586" s="27">
        <v>94</v>
      </c>
      <c r="BG586" s="27" t="s">
        <v>1877</v>
      </c>
      <c r="BH586" s="30" t="s">
        <v>1971</v>
      </c>
      <c r="BI586" s="28"/>
      <c r="BJ586" s="28"/>
      <c r="BK586" s="28"/>
      <c r="BL586" s="28"/>
      <c r="BM586" s="28"/>
      <c r="BN586" s="28"/>
      <c r="BO586" s="28"/>
      <c r="BP586" s="28"/>
      <c r="BQ586" s="28"/>
      <c r="BR586" s="28"/>
      <c r="BS586" s="28"/>
      <c r="BT586" s="28"/>
      <c r="BU586" s="28"/>
      <c r="BV586" s="28"/>
      <c r="BW586" s="28"/>
      <c r="BX586" s="28"/>
      <c r="FL586" s="33" t="s">
        <v>1827</v>
      </c>
      <c r="FM586" s="33" t="s">
        <v>255</v>
      </c>
    </row>
    <row r="587" spans="1:169" ht="23.25" customHeight="1" x14ac:dyDescent="0.15">
      <c r="A587" s="26">
        <v>44660.882657743059</v>
      </c>
      <c r="B587" s="27" t="s">
        <v>6</v>
      </c>
      <c r="C587" s="27" t="s">
        <v>11</v>
      </c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  <c r="AX587" s="27" t="s">
        <v>1823</v>
      </c>
      <c r="AY587" s="27" t="s">
        <v>1824</v>
      </c>
      <c r="AZ587" s="27" t="s">
        <v>617</v>
      </c>
      <c r="BA587" s="27" t="s">
        <v>500</v>
      </c>
      <c r="BB587" s="27">
        <v>15</v>
      </c>
      <c r="BC587" s="29">
        <v>44362</v>
      </c>
      <c r="BD587" s="29">
        <v>44400</v>
      </c>
      <c r="BE587" s="29">
        <v>44401</v>
      </c>
      <c r="BF587" s="27">
        <v>86</v>
      </c>
      <c r="BG587" s="27" t="s">
        <v>1877</v>
      </c>
      <c r="BH587" s="30" t="s">
        <v>1972</v>
      </c>
      <c r="BI587" s="28"/>
      <c r="BJ587" s="28"/>
      <c r="BK587" s="28"/>
      <c r="BL587" s="28"/>
      <c r="BM587" s="28"/>
      <c r="BN587" s="28"/>
      <c r="BO587" s="28"/>
      <c r="BP587" s="28"/>
      <c r="BQ587" s="28"/>
      <c r="BR587" s="28"/>
      <c r="BS587" s="28"/>
      <c r="BT587" s="28"/>
      <c r="BU587" s="28"/>
      <c r="BV587" s="28"/>
      <c r="BW587" s="28"/>
      <c r="BX587" s="28"/>
      <c r="FL587" s="33" t="s">
        <v>1827</v>
      </c>
      <c r="FM587" s="33" t="s">
        <v>255</v>
      </c>
    </row>
    <row r="588" spans="1:169" ht="23.25" customHeight="1" x14ac:dyDescent="0.15">
      <c r="A588" s="26">
        <v>44660.884125625002</v>
      </c>
      <c r="B588" s="27" t="s">
        <v>6</v>
      </c>
      <c r="C588" s="27" t="s">
        <v>11</v>
      </c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  <c r="AX588" s="27" t="s">
        <v>1823</v>
      </c>
      <c r="AY588" s="27" t="s">
        <v>1824</v>
      </c>
      <c r="AZ588" s="27" t="s">
        <v>617</v>
      </c>
      <c r="BA588" s="27" t="s">
        <v>354</v>
      </c>
      <c r="BB588" s="27">
        <v>15</v>
      </c>
      <c r="BC588" s="29">
        <v>44384</v>
      </c>
      <c r="BD588" s="29">
        <v>44403</v>
      </c>
      <c r="BE588" s="29">
        <v>44404</v>
      </c>
      <c r="BF588" s="27">
        <v>97</v>
      </c>
      <c r="BG588" s="27" t="s">
        <v>1877</v>
      </c>
      <c r="BH588" s="30" t="s">
        <v>1973</v>
      </c>
      <c r="BI588" s="28"/>
      <c r="BJ588" s="28"/>
      <c r="BK588" s="28"/>
      <c r="BL588" s="28"/>
      <c r="BM588" s="28"/>
      <c r="BN588" s="28"/>
      <c r="BO588" s="28"/>
      <c r="BP588" s="28"/>
      <c r="BQ588" s="28"/>
      <c r="BR588" s="28"/>
      <c r="BS588" s="28"/>
      <c r="BT588" s="28"/>
      <c r="BU588" s="28"/>
      <c r="BV588" s="28"/>
      <c r="BW588" s="28"/>
      <c r="BX588" s="28"/>
      <c r="FL588" s="33" t="s">
        <v>1827</v>
      </c>
      <c r="FM588" s="33" t="s">
        <v>255</v>
      </c>
    </row>
    <row r="589" spans="1:169" ht="23.25" customHeight="1" x14ac:dyDescent="0.15">
      <c r="A589" s="26">
        <v>44660.884306886575</v>
      </c>
      <c r="B589" s="27" t="s">
        <v>6</v>
      </c>
      <c r="C589" s="27" t="s">
        <v>11</v>
      </c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  <c r="AX589" s="27" t="s">
        <v>1346</v>
      </c>
      <c r="AY589" s="27" t="s">
        <v>1347</v>
      </c>
      <c r="AZ589" s="27" t="s">
        <v>1974</v>
      </c>
      <c r="BA589" s="27" t="s">
        <v>1975</v>
      </c>
      <c r="BB589" s="27" t="s">
        <v>1308</v>
      </c>
      <c r="BC589" s="29">
        <v>43968</v>
      </c>
      <c r="BD589" s="29">
        <v>43975</v>
      </c>
      <c r="BE589" s="29">
        <v>43975</v>
      </c>
      <c r="BF589" s="27">
        <v>100</v>
      </c>
      <c r="BG589" s="27" t="s">
        <v>1385</v>
      </c>
      <c r="BH589" s="30" t="s">
        <v>1976</v>
      </c>
      <c r="BI589" s="28"/>
      <c r="BJ589" s="28"/>
      <c r="BK589" s="28"/>
      <c r="BL589" s="28"/>
      <c r="BM589" s="28"/>
      <c r="BN589" s="28"/>
      <c r="BO589" s="28"/>
      <c r="BP589" s="28"/>
      <c r="BQ589" s="28"/>
      <c r="BR589" s="28"/>
      <c r="BS589" s="28"/>
      <c r="BT589" s="28"/>
      <c r="BU589" s="28"/>
      <c r="BV589" s="28"/>
      <c r="BW589" s="28"/>
      <c r="BX589" s="28"/>
      <c r="FL589" s="33" t="s">
        <v>1352</v>
      </c>
      <c r="FM589" s="33" t="s">
        <v>321</v>
      </c>
    </row>
    <row r="590" spans="1:169" ht="23.25" customHeight="1" x14ac:dyDescent="0.15">
      <c r="A590" s="26">
        <v>44660.885027858792</v>
      </c>
      <c r="B590" s="27" t="s">
        <v>6</v>
      </c>
      <c r="C590" s="27" t="s">
        <v>11</v>
      </c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  <c r="AX590" s="27" t="s">
        <v>1380</v>
      </c>
      <c r="AY590" s="27" t="s">
        <v>1381</v>
      </c>
      <c r="AZ590" s="27" t="s">
        <v>716</v>
      </c>
      <c r="BA590" s="27" t="s">
        <v>407</v>
      </c>
      <c r="BB590" s="27" t="s">
        <v>376</v>
      </c>
      <c r="BC590" s="29">
        <v>43472</v>
      </c>
      <c r="BD590" s="29">
        <v>43563</v>
      </c>
      <c r="BE590" s="29">
        <v>43567</v>
      </c>
      <c r="BF590" s="27">
        <v>90</v>
      </c>
      <c r="BG590" s="27" t="s">
        <v>1977</v>
      </c>
      <c r="BH590" s="30" t="s">
        <v>1978</v>
      </c>
      <c r="BI590" s="28"/>
      <c r="BJ590" s="28"/>
      <c r="BK590" s="28"/>
      <c r="BL590" s="28"/>
      <c r="BM590" s="28"/>
      <c r="BN590" s="28"/>
      <c r="BO590" s="28"/>
      <c r="BP590" s="28"/>
      <c r="BQ590" s="28"/>
      <c r="BR590" s="28"/>
      <c r="BS590" s="28"/>
      <c r="BT590" s="28"/>
      <c r="BU590" s="28"/>
      <c r="BV590" s="28"/>
      <c r="BW590" s="28"/>
      <c r="BX590" s="28"/>
      <c r="FL590" s="33" t="s">
        <v>1387</v>
      </c>
      <c r="FM590" s="33" t="s">
        <v>380</v>
      </c>
    </row>
    <row r="591" spans="1:169" ht="23.25" customHeight="1" x14ac:dyDescent="0.15">
      <c r="A591" s="26">
        <v>44660.885384803245</v>
      </c>
      <c r="B591" s="27" t="s">
        <v>6</v>
      </c>
      <c r="C591" s="27" t="s">
        <v>11</v>
      </c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  <c r="AX591" s="27" t="s">
        <v>1823</v>
      </c>
      <c r="AY591" s="27" t="s">
        <v>1824</v>
      </c>
      <c r="AZ591" s="27" t="s">
        <v>617</v>
      </c>
      <c r="BA591" s="27" t="s">
        <v>1979</v>
      </c>
      <c r="BB591" s="27">
        <v>4</v>
      </c>
      <c r="BC591" s="29">
        <v>44381</v>
      </c>
      <c r="BD591" s="29">
        <v>44320</v>
      </c>
      <c r="BE591" s="29">
        <v>44322</v>
      </c>
      <c r="BF591" s="27">
        <v>93</v>
      </c>
      <c r="BG591" s="27" t="s">
        <v>1877</v>
      </c>
      <c r="BH591" s="30" t="s">
        <v>1980</v>
      </c>
      <c r="BI591" s="28"/>
      <c r="BJ591" s="28"/>
      <c r="BK591" s="28"/>
      <c r="BL591" s="28"/>
      <c r="BM591" s="28"/>
      <c r="BN591" s="28"/>
      <c r="BO591" s="28"/>
      <c r="BP591" s="28"/>
      <c r="BQ591" s="28"/>
      <c r="BR591" s="28"/>
      <c r="BS591" s="28"/>
      <c r="BT591" s="28"/>
      <c r="BU591" s="28"/>
      <c r="BV591" s="28"/>
      <c r="BW591" s="28"/>
      <c r="BX591" s="28"/>
      <c r="FL591" s="33" t="s">
        <v>1827</v>
      </c>
      <c r="FM591" s="33" t="s">
        <v>255</v>
      </c>
    </row>
    <row r="592" spans="1:169" ht="23.25" customHeight="1" x14ac:dyDescent="0.15">
      <c r="A592" s="26">
        <v>44660.886830821764</v>
      </c>
      <c r="B592" s="27" t="s">
        <v>6</v>
      </c>
      <c r="C592" s="27" t="s">
        <v>11</v>
      </c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  <c r="AX592" s="27" t="s">
        <v>1823</v>
      </c>
      <c r="AY592" s="27" t="s">
        <v>1824</v>
      </c>
      <c r="AZ592" s="27" t="s">
        <v>617</v>
      </c>
      <c r="BA592" s="27" t="s">
        <v>568</v>
      </c>
      <c r="BB592" s="27">
        <v>12</v>
      </c>
      <c r="BC592" s="29">
        <v>44394</v>
      </c>
      <c r="BD592" s="29">
        <v>44405</v>
      </c>
      <c r="BE592" s="29">
        <v>44406</v>
      </c>
      <c r="BF592" s="27">
        <v>89</v>
      </c>
      <c r="BG592" s="27" t="s">
        <v>1877</v>
      </c>
      <c r="BH592" s="30" t="s">
        <v>1981</v>
      </c>
      <c r="BI592" s="28"/>
      <c r="BJ592" s="28"/>
      <c r="BK592" s="28"/>
      <c r="BL592" s="28"/>
      <c r="BM592" s="28"/>
      <c r="BN592" s="28"/>
      <c r="BO592" s="28"/>
      <c r="BP592" s="28"/>
      <c r="BQ592" s="28"/>
      <c r="BR592" s="28"/>
      <c r="BS592" s="28"/>
      <c r="BT592" s="28"/>
      <c r="BU592" s="28"/>
      <c r="BV592" s="28"/>
      <c r="BW592" s="28"/>
      <c r="BX592" s="28"/>
      <c r="FL592" s="33" t="s">
        <v>1827</v>
      </c>
      <c r="FM592" s="33" t="s">
        <v>255</v>
      </c>
    </row>
    <row r="593" spans="1:194" ht="23.25" customHeight="1" x14ac:dyDescent="0.15">
      <c r="A593" s="26">
        <v>44660.888140428244</v>
      </c>
      <c r="B593" s="27" t="s">
        <v>6</v>
      </c>
      <c r="C593" s="27" t="s">
        <v>11</v>
      </c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  <c r="AX593" s="27" t="s">
        <v>1823</v>
      </c>
      <c r="AY593" s="27" t="s">
        <v>1824</v>
      </c>
      <c r="AZ593" s="27" t="s">
        <v>617</v>
      </c>
      <c r="BA593" s="27" t="s">
        <v>349</v>
      </c>
      <c r="BB593" s="27">
        <v>4</v>
      </c>
      <c r="BC593" s="29">
        <v>44407</v>
      </c>
      <c r="BD593" s="29">
        <v>44384</v>
      </c>
      <c r="BE593" s="29">
        <v>44385</v>
      </c>
      <c r="BF593" s="27">
        <v>90</v>
      </c>
      <c r="BG593" s="27" t="s">
        <v>1877</v>
      </c>
      <c r="BH593" s="30" t="s">
        <v>1982</v>
      </c>
      <c r="BI593" s="28"/>
      <c r="BJ593" s="28"/>
      <c r="BK593" s="28"/>
      <c r="BL593" s="28"/>
      <c r="BM593" s="28"/>
      <c r="BN593" s="28"/>
      <c r="BO593" s="28"/>
      <c r="BP593" s="28"/>
      <c r="BQ593" s="28"/>
      <c r="BR593" s="28"/>
      <c r="BS593" s="28"/>
      <c r="BT593" s="28"/>
      <c r="BU593" s="28"/>
      <c r="BV593" s="28"/>
      <c r="BW593" s="28"/>
      <c r="BX593" s="28"/>
      <c r="FL593" s="33" t="s">
        <v>1827</v>
      </c>
      <c r="FM593" s="33" t="s">
        <v>255</v>
      </c>
    </row>
    <row r="594" spans="1:194" ht="23.25" customHeight="1" x14ac:dyDescent="0.15">
      <c r="A594" s="26">
        <v>44660.889437199075</v>
      </c>
      <c r="B594" s="27" t="s">
        <v>6</v>
      </c>
      <c r="C594" s="27" t="s">
        <v>11</v>
      </c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  <c r="AX594" s="27" t="s">
        <v>1823</v>
      </c>
      <c r="AY594" s="27" t="s">
        <v>1824</v>
      </c>
      <c r="AZ594" s="27" t="s">
        <v>617</v>
      </c>
      <c r="BA594" s="27" t="s">
        <v>1983</v>
      </c>
      <c r="BB594" s="27">
        <v>6</v>
      </c>
      <c r="BC594" s="29">
        <v>44410</v>
      </c>
      <c r="BD594" s="29">
        <v>44422</v>
      </c>
      <c r="BE594" s="29">
        <v>44423</v>
      </c>
      <c r="BF594" s="27">
        <v>89</v>
      </c>
      <c r="BG594" s="27" t="s">
        <v>1877</v>
      </c>
      <c r="BH594" s="30" t="s">
        <v>1984</v>
      </c>
      <c r="BI594" s="28"/>
      <c r="BJ594" s="28"/>
      <c r="BK594" s="28"/>
      <c r="BL594" s="28"/>
      <c r="BM594" s="28"/>
      <c r="BN594" s="28"/>
      <c r="BO594" s="28"/>
      <c r="BP594" s="28"/>
      <c r="BQ594" s="28"/>
      <c r="BR594" s="28"/>
      <c r="BS594" s="28"/>
      <c r="BT594" s="28"/>
      <c r="BU594" s="28"/>
      <c r="BV594" s="28"/>
      <c r="BW594" s="28"/>
      <c r="BX594" s="28"/>
      <c r="FL594" s="33" t="s">
        <v>1827</v>
      </c>
      <c r="FM594" s="33" t="s">
        <v>255</v>
      </c>
    </row>
    <row r="595" spans="1:194" ht="23.25" customHeight="1" x14ac:dyDescent="0.15">
      <c r="A595" s="26">
        <v>44660.890260416665</v>
      </c>
      <c r="B595" s="27" t="s">
        <v>6</v>
      </c>
      <c r="C595" s="27" t="s">
        <v>10</v>
      </c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7" t="s">
        <v>1985</v>
      </c>
      <c r="AO595" s="27" t="s">
        <v>1986</v>
      </c>
      <c r="AP595" s="27" t="s">
        <v>307</v>
      </c>
      <c r="AQ595" s="27" t="s">
        <v>346</v>
      </c>
      <c r="AR595" s="29">
        <v>44470</v>
      </c>
      <c r="AS595" s="29">
        <v>44560</v>
      </c>
      <c r="AT595" s="27" t="s">
        <v>252</v>
      </c>
      <c r="AU595" s="27" t="s">
        <v>252</v>
      </c>
      <c r="AV595" s="27">
        <v>0</v>
      </c>
      <c r="AW595" s="30" t="s">
        <v>1987</v>
      </c>
      <c r="AX595" s="28"/>
      <c r="AY595" s="28"/>
      <c r="AZ595" s="28"/>
      <c r="BA595" s="28"/>
      <c r="BB595" s="28"/>
      <c r="BC595" s="28"/>
      <c r="BD595" s="28"/>
      <c r="BE595" s="28"/>
      <c r="BF595" s="28"/>
      <c r="BG595" s="28"/>
      <c r="BH595" s="28"/>
      <c r="BI595" s="28"/>
      <c r="BJ595" s="28"/>
      <c r="BK595" s="28"/>
      <c r="BL595" s="28"/>
      <c r="BM595" s="28"/>
      <c r="BN595" s="28"/>
      <c r="BO595" s="28"/>
      <c r="BP595" s="28"/>
      <c r="BQ595" s="28"/>
      <c r="BR595" s="28"/>
      <c r="BS595" s="28"/>
      <c r="BT595" s="28"/>
      <c r="BU595" s="28"/>
      <c r="BV595" s="28"/>
      <c r="BW595" s="28"/>
      <c r="BX595" s="28"/>
      <c r="FL595" s="33" t="s">
        <v>1988</v>
      </c>
      <c r="FM595" s="33" t="s">
        <v>273</v>
      </c>
    </row>
    <row r="596" spans="1:194" ht="23.25" customHeight="1" x14ac:dyDescent="0.15">
      <c r="A596" s="26">
        <v>44660.891041087962</v>
      </c>
      <c r="B596" s="27" t="s">
        <v>6</v>
      </c>
      <c r="C596" s="27" t="s">
        <v>11</v>
      </c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  <c r="AX596" s="27" t="s">
        <v>1823</v>
      </c>
      <c r="AY596" s="27" t="s">
        <v>1824</v>
      </c>
      <c r="AZ596" s="27" t="s">
        <v>617</v>
      </c>
      <c r="BA596" s="27" t="s">
        <v>664</v>
      </c>
      <c r="BB596" s="27">
        <v>5</v>
      </c>
      <c r="BC596" s="29">
        <v>44453</v>
      </c>
      <c r="BD596" s="29">
        <v>44455</v>
      </c>
      <c r="BE596" s="29">
        <v>44458</v>
      </c>
      <c r="BF596" s="27">
        <v>96</v>
      </c>
      <c r="BG596" s="27" t="s">
        <v>1877</v>
      </c>
      <c r="BH596" s="30" t="s">
        <v>1989</v>
      </c>
      <c r="BI596" s="28"/>
      <c r="BJ596" s="28"/>
      <c r="BK596" s="28"/>
      <c r="BL596" s="28"/>
      <c r="BM596" s="28"/>
      <c r="BN596" s="28"/>
      <c r="BO596" s="28"/>
      <c r="BP596" s="28"/>
      <c r="BQ596" s="28"/>
      <c r="BR596" s="28"/>
      <c r="BS596" s="28"/>
      <c r="BT596" s="28"/>
      <c r="BU596" s="28"/>
      <c r="BV596" s="28"/>
      <c r="BW596" s="28"/>
      <c r="BX596" s="28"/>
      <c r="FL596" s="33" t="s">
        <v>1827</v>
      </c>
      <c r="FM596" s="33" t="s">
        <v>255</v>
      </c>
    </row>
    <row r="597" spans="1:194" ht="23.25" customHeight="1" x14ac:dyDescent="0.15">
      <c r="A597" s="26">
        <v>44660.891583159726</v>
      </c>
      <c r="B597" s="27" t="s">
        <v>6</v>
      </c>
      <c r="C597" s="27" t="s">
        <v>11</v>
      </c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  <c r="AX597" s="27" t="s">
        <v>1960</v>
      </c>
      <c r="AY597" s="27" t="s">
        <v>1961</v>
      </c>
      <c r="AZ597" s="27" t="s">
        <v>354</v>
      </c>
      <c r="BA597" s="27" t="s">
        <v>897</v>
      </c>
      <c r="BB597" s="27" t="s">
        <v>308</v>
      </c>
      <c r="BC597" s="29">
        <v>44236</v>
      </c>
      <c r="BD597" s="29">
        <v>44311</v>
      </c>
      <c r="BE597" s="29">
        <v>44309</v>
      </c>
      <c r="BF597" s="27">
        <v>98</v>
      </c>
      <c r="BG597" s="27" t="s">
        <v>921</v>
      </c>
      <c r="BH597" s="30" t="s">
        <v>1990</v>
      </c>
      <c r="BI597" s="28"/>
      <c r="BJ597" s="28"/>
      <c r="BK597" s="28"/>
      <c r="BL597" s="28"/>
      <c r="BM597" s="28"/>
      <c r="BN597" s="28"/>
      <c r="BO597" s="28"/>
      <c r="BP597" s="28"/>
      <c r="BQ597" s="28"/>
      <c r="BR597" s="28"/>
      <c r="BS597" s="28"/>
      <c r="BT597" s="28"/>
      <c r="BU597" s="28"/>
      <c r="BV597" s="28"/>
      <c r="BW597" s="28"/>
      <c r="BX597" s="28"/>
      <c r="FL597" s="33" t="s">
        <v>1335</v>
      </c>
      <c r="FM597" s="33" t="s">
        <v>255</v>
      </c>
    </row>
    <row r="598" spans="1:194" ht="23.25" customHeight="1" x14ac:dyDescent="0.15">
      <c r="A598" s="26">
        <v>44660.892019780091</v>
      </c>
      <c r="B598" s="27" t="s">
        <v>6</v>
      </c>
      <c r="C598" s="27" t="s">
        <v>22</v>
      </c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  <c r="AX598" s="28"/>
      <c r="AY598" s="28"/>
      <c r="AZ598" s="28"/>
      <c r="BA598" s="28"/>
      <c r="BB598" s="28"/>
      <c r="BC598" s="28"/>
      <c r="BD598" s="28"/>
      <c r="BE598" s="28"/>
      <c r="BF598" s="28"/>
      <c r="BG598" s="28"/>
      <c r="BH598" s="28"/>
      <c r="BI598" s="28"/>
      <c r="BJ598" s="28"/>
      <c r="BK598" s="28"/>
      <c r="BL598" s="28"/>
      <c r="BM598" s="28"/>
      <c r="BN598" s="28"/>
      <c r="BO598" s="28"/>
      <c r="BP598" s="28"/>
      <c r="BQ598" s="28"/>
      <c r="BR598" s="28"/>
      <c r="BS598" s="28"/>
      <c r="BT598" s="28"/>
      <c r="BU598" s="28"/>
      <c r="BV598" s="28"/>
      <c r="BW598" s="28"/>
      <c r="BX598" s="28"/>
      <c r="FL598" s="33" t="s">
        <v>1352</v>
      </c>
      <c r="FM598" s="33" t="s">
        <v>278</v>
      </c>
      <c r="GF598" s="33" t="s">
        <v>1346</v>
      </c>
      <c r="GG598" s="33" t="s">
        <v>1347</v>
      </c>
      <c r="GH598" s="33" t="s">
        <v>264</v>
      </c>
      <c r="GI598" s="34">
        <v>44748</v>
      </c>
      <c r="GJ598" s="35" t="s">
        <v>1991</v>
      </c>
      <c r="GK598" s="33" t="s">
        <v>1687</v>
      </c>
      <c r="GL598" s="33">
        <v>3.36</v>
      </c>
    </row>
    <row r="599" spans="1:194" ht="23.25" customHeight="1" x14ac:dyDescent="0.15">
      <c r="A599" s="26">
        <v>44660.892339999999</v>
      </c>
      <c r="B599" s="27" t="s">
        <v>6</v>
      </c>
      <c r="C599" s="27" t="s">
        <v>11</v>
      </c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  <c r="AX599" s="27" t="s">
        <v>1823</v>
      </c>
      <c r="AY599" s="27" t="s">
        <v>1824</v>
      </c>
      <c r="AZ599" s="27" t="s">
        <v>617</v>
      </c>
      <c r="BA599" s="27" t="s">
        <v>568</v>
      </c>
      <c r="BB599" s="27">
        <v>5</v>
      </c>
      <c r="BC599" s="29">
        <v>44363</v>
      </c>
      <c r="BD599" s="29">
        <v>44366</v>
      </c>
      <c r="BE599" s="29">
        <v>44370</v>
      </c>
      <c r="BF599" s="27">
        <v>97</v>
      </c>
      <c r="BG599" s="27" t="s">
        <v>1877</v>
      </c>
      <c r="BH599" s="30" t="s">
        <v>1992</v>
      </c>
      <c r="BI599" s="28"/>
      <c r="BJ599" s="28"/>
      <c r="BK599" s="28"/>
      <c r="BL599" s="28"/>
      <c r="BM599" s="28"/>
      <c r="BN599" s="28"/>
      <c r="BO599" s="28"/>
      <c r="BP599" s="28"/>
      <c r="BQ599" s="28"/>
      <c r="BR599" s="28"/>
      <c r="BS599" s="28"/>
      <c r="BT599" s="28"/>
      <c r="BU599" s="28"/>
      <c r="BV599" s="28"/>
      <c r="BW599" s="28"/>
      <c r="BX599" s="28"/>
      <c r="FL599" s="33" t="s">
        <v>1827</v>
      </c>
      <c r="FM599" s="33" t="s">
        <v>255</v>
      </c>
    </row>
    <row r="600" spans="1:194" ht="23.25" customHeight="1" x14ac:dyDescent="0.15">
      <c r="A600" s="26">
        <v>44660.893804988431</v>
      </c>
      <c r="B600" s="27" t="s">
        <v>6</v>
      </c>
      <c r="C600" s="27" t="s">
        <v>22</v>
      </c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  <c r="AX600" s="28"/>
      <c r="AY600" s="28"/>
      <c r="AZ600" s="28"/>
      <c r="BA600" s="28"/>
      <c r="BB600" s="28"/>
      <c r="BC600" s="28"/>
      <c r="BD600" s="28"/>
      <c r="BE600" s="28"/>
      <c r="BF600" s="28"/>
      <c r="BG600" s="28"/>
      <c r="BH600" s="28"/>
      <c r="BI600" s="28"/>
      <c r="BJ600" s="28"/>
      <c r="BK600" s="28"/>
      <c r="BL600" s="28"/>
      <c r="BM600" s="28"/>
      <c r="BN600" s="28"/>
      <c r="BO600" s="28"/>
      <c r="BP600" s="28"/>
      <c r="BQ600" s="28"/>
      <c r="BR600" s="28"/>
      <c r="BS600" s="28"/>
      <c r="BT600" s="28"/>
      <c r="BU600" s="28"/>
      <c r="BV600" s="28"/>
      <c r="BW600" s="28"/>
      <c r="BX600" s="28"/>
      <c r="FL600" s="33" t="s">
        <v>1352</v>
      </c>
      <c r="FM600" s="33" t="s">
        <v>278</v>
      </c>
      <c r="GF600" s="33" t="s">
        <v>1346</v>
      </c>
      <c r="GG600" s="33" t="s">
        <v>1347</v>
      </c>
      <c r="GH600" s="33" t="s">
        <v>249</v>
      </c>
      <c r="GI600" s="34">
        <v>44762</v>
      </c>
      <c r="GJ600" s="35" t="s">
        <v>1993</v>
      </c>
      <c r="GK600" s="33" t="s">
        <v>1687</v>
      </c>
      <c r="GL600" s="33">
        <v>4</v>
      </c>
    </row>
    <row r="601" spans="1:194" ht="23.25" customHeight="1" x14ac:dyDescent="0.15">
      <c r="A601" s="26">
        <v>44660.893934178239</v>
      </c>
      <c r="B601" s="27" t="s">
        <v>6</v>
      </c>
      <c r="C601" s="27" t="s">
        <v>11</v>
      </c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  <c r="AX601" s="27" t="s">
        <v>1985</v>
      </c>
      <c r="AY601" s="27" t="s">
        <v>1986</v>
      </c>
      <c r="AZ601" s="27" t="s">
        <v>342</v>
      </c>
      <c r="BA601" s="27" t="s">
        <v>343</v>
      </c>
      <c r="BB601" s="27" t="s">
        <v>308</v>
      </c>
      <c r="BC601" s="29">
        <v>43924</v>
      </c>
      <c r="BD601" s="29">
        <v>44714</v>
      </c>
      <c r="BE601" s="29">
        <v>43986</v>
      </c>
      <c r="BF601" s="27">
        <v>96</v>
      </c>
      <c r="BG601" s="27" t="s">
        <v>363</v>
      </c>
      <c r="BH601" s="30" t="s">
        <v>1994</v>
      </c>
      <c r="BI601" s="28"/>
      <c r="BJ601" s="28"/>
      <c r="BK601" s="28"/>
      <c r="BL601" s="28"/>
      <c r="BM601" s="28"/>
      <c r="BN601" s="28"/>
      <c r="BO601" s="28"/>
      <c r="BP601" s="28"/>
      <c r="BQ601" s="28"/>
      <c r="BR601" s="28"/>
      <c r="BS601" s="28"/>
      <c r="BT601" s="28"/>
      <c r="BU601" s="28"/>
      <c r="BV601" s="28"/>
      <c r="BW601" s="28"/>
      <c r="BX601" s="28"/>
      <c r="FL601" s="33" t="s">
        <v>1988</v>
      </c>
      <c r="FM601" s="33" t="s">
        <v>321</v>
      </c>
    </row>
    <row r="602" spans="1:194" ht="23.25" customHeight="1" x14ac:dyDescent="0.15">
      <c r="A602" s="26">
        <v>44660.894643969907</v>
      </c>
      <c r="B602" s="27" t="s">
        <v>6</v>
      </c>
      <c r="C602" s="27" t="s">
        <v>10</v>
      </c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7" t="s">
        <v>1823</v>
      </c>
      <c r="AO602" s="27" t="s">
        <v>1824</v>
      </c>
      <c r="AP602" s="27" t="s">
        <v>1995</v>
      </c>
      <c r="AQ602" s="27" t="s">
        <v>1996</v>
      </c>
      <c r="AR602" s="29">
        <v>44423</v>
      </c>
      <c r="AS602" s="29">
        <v>44536</v>
      </c>
      <c r="AT602" s="27" t="s">
        <v>252</v>
      </c>
      <c r="AU602" s="27" t="s">
        <v>252</v>
      </c>
      <c r="AV602" s="27">
        <v>0</v>
      </c>
      <c r="AW602" s="30" t="s">
        <v>1997</v>
      </c>
      <c r="AX602" s="28"/>
      <c r="AY602" s="28"/>
      <c r="AZ602" s="28"/>
      <c r="BA602" s="28"/>
      <c r="BB602" s="28"/>
      <c r="BC602" s="28"/>
      <c r="BD602" s="28"/>
      <c r="BE602" s="28"/>
      <c r="BF602" s="28"/>
      <c r="BG602" s="28"/>
      <c r="BH602" s="28"/>
      <c r="BI602" s="28"/>
      <c r="BJ602" s="28"/>
      <c r="BK602" s="28"/>
      <c r="BL602" s="28"/>
      <c r="BM602" s="28"/>
      <c r="BN602" s="28"/>
      <c r="BO602" s="28"/>
      <c r="BP602" s="28"/>
      <c r="BQ602" s="28"/>
      <c r="BR602" s="28"/>
      <c r="BS602" s="28"/>
      <c r="BT602" s="28"/>
      <c r="BU602" s="28"/>
      <c r="BV602" s="28"/>
      <c r="BW602" s="28"/>
      <c r="BX602" s="28"/>
      <c r="FL602" s="33" t="s">
        <v>1827</v>
      </c>
      <c r="FM602" s="33" t="s">
        <v>255</v>
      </c>
    </row>
    <row r="603" spans="1:194" ht="23.25" customHeight="1" x14ac:dyDescent="0.15">
      <c r="A603" s="26">
        <v>44660.896613472221</v>
      </c>
      <c r="B603" s="27" t="s">
        <v>6</v>
      </c>
      <c r="C603" s="27" t="s">
        <v>11</v>
      </c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  <c r="AX603" s="27" t="s">
        <v>1380</v>
      </c>
      <c r="AY603" s="27" t="s">
        <v>1381</v>
      </c>
      <c r="AZ603" s="27" t="s">
        <v>349</v>
      </c>
      <c r="BA603" s="27" t="s">
        <v>407</v>
      </c>
      <c r="BB603" s="27" t="s">
        <v>308</v>
      </c>
      <c r="BC603" s="29">
        <v>43587</v>
      </c>
      <c r="BD603" s="29">
        <v>43664</v>
      </c>
      <c r="BE603" s="29">
        <v>43676</v>
      </c>
      <c r="BF603" s="27">
        <v>89</v>
      </c>
      <c r="BG603" s="27" t="s">
        <v>1228</v>
      </c>
      <c r="BH603" s="30" t="s">
        <v>1998</v>
      </c>
      <c r="BI603" s="28"/>
      <c r="BJ603" s="28"/>
      <c r="BK603" s="28"/>
      <c r="BL603" s="28"/>
      <c r="BM603" s="28"/>
      <c r="BN603" s="28"/>
      <c r="BO603" s="28"/>
      <c r="BP603" s="28"/>
      <c r="BQ603" s="28"/>
      <c r="BR603" s="28"/>
      <c r="BS603" s="28"/>
      <c r="BT603" s="28"/>
      <c r="BU603" s="28"/>
      <c r="BV603" s="28"/>
      <c r="BW603" s="28"/>
      <c r="BX603" s="28"/>
      <c r="FL603" s="33" t="s">
        <v>1387</v>
      </c>
      <c r="FM603" s="33" t="s">
        <v>380</v>
      </c>
    </row>
    <row r="604" spans="1:194" ht="23.25" customHeight="1" x14ac:dyDescent="0.15">
      <c r="A604" s="26">
        <v>44660.901740347224</v>
      </c>
      <c r="B604" s="27" t="s">
        <v>6</v>
      </c>
      <c r="C604" s="27" t="s">
        <v>10</v>
      </c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7" t="s">
        <v>1346</v>
      </c>
      <c r="AO604" s="27" t="s">
        <v>1347</v>
      </c>
      <c r="AP604" s="27" t="s">
        <v>264</v>
      </c>
      <c r="AQ604" s="27" t="s">
        <v>308</v>
      </c>
      <c r="AR604" s="29">
        <v>44615</v>
      </c>
      <c r="AS604" s="29">
        <v>44680</v>
      </c>
      <c r="AT604" s="27" t="s">
        <v>252</v>
      </c>
      <c r="AU604" s="27" t="s">
        <v>252</v>
      </c>
      <c r="AV604" s="27">
        <v>0</v>
      </c>
      <c r="AW604" s="30" t="s">
        <v>1999</v>
      </c>
      <c r="AX604" s="28"/>
      <c r="AY604" s="28"/>
      <c r="AZ604" s="28"/>
      <c r="BA604" s="28"/>
      <c r="BB604" s="28"/>
      <c r="BC604" s="28"/>
      <c r="BD604" s="28"/>
      <c r="BE604" s="28"/>
      <c r="BF604" s="28"/>
      <c r="BG604" s="28"/>
      <c r="BH604" s="28"/>
      <c r="BI604" s="28"/>
      <c r="BJ604" s="28"/>
      <c r="BK604" s="28"/>
      <c r="BL604" s="28"/>
      <c r="BM604" s="28"/>
      <c r="BN604" s="28"/>
      <c r="BO604" s="28"/>
      <c r="BP604" s="28"/>
      <c r="BQ604" s="28"/>
      <c r="BR604" s="28"/>
      <c r="BS604" s="28"/>
      <c r="BT604" s="28"/>
      <c r="BU604" s="28"/>
      <c r="BV604" s="28"/>
      <c r="BW604" s="28"/>
      <c r="BX604" s="28"/>
      <c r="FL604" s="33" t="s">
        <v>1352</v>
      </c>
      <c r="FM604" s="33" t="s">
        <v>255</v>
      </c>
    </row>
    <row r="605" spans="1:194" ht="23.25" customHeight="1" x14ac:dyDescent="0.15">
      <c r="A605" s="26">
        <v>44660.902330833334</v>
      </c>
      <c r="B605" s="27" t="s">
        <v>6</v>
      </c>
      <c r="C605" s="27" t="s">
        <v>12</v>
      </c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  <c r="AX605" s="28"/>
      <c r="AY605" s="28"/>
      <c r="AZ605" s="28"/>
      <c r="BA605" s="28"/>
      <c r="BB605" s="28"/>
      <c r="BC605" s="28"/>
      <c r="BD605" s="28"/>
      <c r="BE605" s="28"/>
      <c r="BF605" s="28"/>
      <c r="BG605" s="28"/>
      <c r="BH605" s="28"/>
      <c r="BI605" s="27" t="s">
        <v>1985</v>
      </c>
      <c r="BJ605" s="27" t="s">
        <v>1986</v>
      </c>
      <c r="BK605" s="27" t="s">
        <v>311</v>
      </c>
      <c r="BL605" s="27" t="s">
        <v>1285</v>
      </c>
      <c r="BM605" s="27" t="s">
        <v>435</v>
      </c>
      <c r="BN605" s="27">
        <v>1</v>
      </c>
      <c r="BO605" s="29">
        <v>44572</v>
      </c>
      <c r="BP605" s="29">
        <v>44572</v>
      </c>
      <c r="BQ605" s="27" t="s">
        <v>613</v>
      </c>
      <c r="BR605" s="27" t="s">
        <v>363</v>
      </c>
      <c r="BS605" s="27" t="s">
        <v>171</v>
      </c>
      <c r="BT605" s="27" t="s">
        <v>151</v>
      </c>
      <c r="BU605" s="28"/>
      <c r="BV605" s="30" t="s">
        <v>2000</v>
      </c>
      <c r="BW605" s="28"/>
      <c r="BX605" s="28"/>
      <c r="FL605" s="33" t="s">
        <v>1988</v>
      </c>
      <c r="FM605" s="33" t="s">
        <v>273</v>
      </c>
    </row>
    <row r="606" spans="1:194" ht="23.25" customHeight="1" x14ac:dyDescent="0.15">
      <c r="A606" s="26">
        <v>44660.904400949075</v>
      </c>
      <c r="B606" s="27" t="s">
        <v>6</v>
      </c>
      <c r="C606" s="27" t="s">
        <v>11</v>
      </c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  <c r="AX606" s="27" t="s">
        <v>1985</v>
      </c>
      <c r="AY606" s="27" t="s">
        <v>1986</v>
      </c>
      <c r="AZ606" s="27" t="s">
        <v>2001</v>
      </c>
      <c r="BA606" s="27" t="s">
        <v>343</v>
      </c>
      <c r="BB606" s="27" t="s">
        <v>308</v>
      </c>
      <c r="BC606" s="29">
        <v>44531</v>
      </c>
      <c r="BD606" s="29">
        <v>44582</v>
      </c>
      <c r="BE606" s="29">
        <v>44585</v>
      </c>
      <c r="BF606" s="27">
        <v>96</v>
      </c>
      <c r="BG606" s="27" t="s">
        <v>363</v>
      </c>
      <c r="BH606" s="30" t="s">
        <v>2002</v>
      </c>
      <c r="BI606" s="28"/>
      <c r="BJ606" s="28"/>
      <c r="BK606" s="28"/>
      <c r="BL606" s="28"/>
      <c r="BM606" s="28"/>
      <c r="BN606" s="28"/>
      <c r="BO606" s="28"/>
      <c r="BP606" s="28"/>
      <c r="BQ606" s="28"/>
      <c r="BR606" s="28"/>
      <c r="BS606" s="28"/>
      <c r="BT606" s="28"/>
      <c r="BU606" s="28"/>
      <c r="BV606" s="28"/>
      <c r="BW606" s="28"/>
      <c r="BX606" s="28"/>
      <c r="FL606" s="33" t="s">
        <v>1988</v>
      </c>
      <c r="FM606" s="33" t="s">
        <v>321</v>
      </c>
    </row>
    <row r="607" spans="1:194" ht="23.25" customHeight="1" x14ac:dyDescent="0.15">
      <c r="A607" s="26">
        <v>44660.904606469907</v>
      </c>
      <c r="B607" s="27" t="s">
        <v>6</v>
      </c>
      <c r="C607" s="27" t="s">
        <v>11</v>
      </c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  <c r="AX607" s="27" t="s">
        <v>1960</v>
      </c>
      <c r="AY607" s="27" t="s">
        <v>2003</v>
      </c>
      <c r="AZ607" s="27" t="s">
        <v>530</v>
      </c>
      <c r="BA607" s="27" t="s">
        <v>481</v>
      </c>
      <c r="BB607" s="27" t="s">
        <v>308</v>
      </c>
      <c r="BC607" s="29">
        <v>44174</v>
      </c>
      <c r="BD607" s="29">
        <v>44234</v>
      </c>
      <c r="BE607" s="29">
        <v>44233</v>
      </c>
      <c r="BF607" s="27">
        <v>100</v>
      </c>
      <c r="BG607" s="27" t="s">
        <v>2004</v>
      </c>
      <c r="BH607" s="30" t="s">
        <v>2005</v>
      </c>
      <c r="BI607" s="28"/>
      <c r="BJ607" s="28"/>
      <c r="BK607" s="28"/>
      <c r="BL607" s="28"/>
      <c r="BM607" s="28"/>
      <c r="BN607" s="28"/>
      <c r="BO607" s="28"/>
      <c r="BP607" s="28"/>
      <c r="BQ607" s="28"/>
      <c r="BR607" s="28"/>
      <c r="BS607" s="28"/>
      <c r="BT607" s="28"/>
      <c r="BU607" s="28"/>
      <c r="BV607" s="28"/>
      <c r="BW607" s="28"/>
      <c r="BX607" s="28"/>
      <c r="FL607" s="33" t="s">
        <v>1335</v>
      </c>
      <c r="FM607" s="33" t="s">
        <v>255</v>
      </c>
    </row>
    <row r="608" spans="1:194" ht="23.25" customHeight="1" x14ac:dyDescent="0.15">
      <c r="A608" s="26">
        <v>44660.907049016205</v>
      </c>
      <c r="B608" s="27" t="s">
        <v>6</v>
      </c>
      <c r="C608" s="27" t="s">
        <v>11</v>
      </c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  <c r="AX608" s="27" t="s">
        <v>1960</v>
      </c>
      <c r="AY608" s="27" t="s">
        <v>1961</v>
      </c>
      <c r="AZ608" s="27" t="s">
        <v>2006</v>
      </c>
      <c r="BA608" s="27" t="s">
        <v>1383</v>
      </c>
      <c r="BB608" s="27" t="s">
        <v>493</v>
      </c>
      <c r="BC608" s="29">
        <v>43960</v>
      </c>
      <c r="BD608" s="29">
        <v>43995</v>
      </c>
      <c r="BE608" s="29">
        <v>43987</v>
      </c>
      <c r="BF608" s="27">
        <v>100</v>
      </c>
      <c r="BG608" s="27" t="s">
        <v>2007</v>
      </c>
      <c r="BH608" s="30" t="s">
        <v>2008</v>
      </c>
      <c r="BI608" s="28"/>
      <c r="BJ608" s="28"/>
      <c r="BK608" s="28"/>
      <c r="BL608" s="28"/>
      <c r="BM608" s="28"/>
      <c r="BN608" s="28"/>
      <c r="BO608" s="28"/>
      <c r="BP608" s="28"/>
      <c r="BQ608" s="28"/>
      <c r="BR608" s="28"/>
      <c r="BS608" s="28"/>
      <c r="BT608" s="28"/>
      <c r="BU608" s="28"/>
      <c r="BV608" s="28"/>
      <c r="BW608" s="28"/>
      <c r="BX608" s="28"/>
      <c r="FL608" s="33" t="s">
        <v>1335</v>
      </c>
      <c r="FM608" s="33" t="s">
        <v>255</v>
      </c>
    </row>
    <row r="609" spans="1:194" ht="23.25" customHeight="1" x14ac:dyDescent="0.15">
      <c r="A609" s="26">
        <v>44660.91015851852</v>
      </c>
      <c r="B609" s="27" t="s">
        <v>6</v>
      </c>
      <c r="C609" s="27" t="s">
        <v>11</v>
      </c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  <c r="AX609" s="27" t="s">
        <v>1960</v>
      </c>
      <c r="AY609" s="27" t="s">
        <v>1961</v>
      </c>
      <c r="AZ609" s="27" t="s">
        <v>2009</v>
      </c>
      <c r="BA609" s="27" t="s">
        <v>1383</v>
      </c>
      <c r="BB609" s="27" t="s">
        <v>493</v>
      </c>
      <c r="BC609" s="29">
        <v>43956</v>
      </c>
      <c r="BD609" s="29">
        <v>43997</v>
      </c>
      <c r="BE609" s="29">
        <v>43991</v>
      </c>
      <c r="BF609" s="27">
        <v>100</v>
      </c>
      <c r="BG609" s="27" t="s">
        <v>2010</v>
      </c>
      <c r="BH609" s="30" t="s">
        <v>2011</v>
      </c>
      <c r="BI609" s="28"/>
      <c r="BJ609" s="28"/>
      <c r="BK609" s="28"/>
      <c r="BL609" s="28"/>
      <c r="BM609" s="28"/>
      <c r="BN609" s="28"/>
      <c r="BO609" s="28"/>
      <c r="BP609" s="28"/>
      <c r="BQ609" s="28"/>
      <c r="BR609" s="28"/>
      <c r="BS609" s="28"/>
      <c r="BT609" s="28"/>
      <c r="BU609" s="28"/>
      <c r="BV609" s="28"/>
      <c r="BW609" s="28"/>
      <c r="BX609" s="28"/>
      <c r="FL609" s="33" t="s">
        <v>1335</v>
      </c>
      <c r="FM609" s="33" t="s">
        <v>255</v>
      </c>
    </row>
    <row r="610" spans="1:194" ht="23.25" customHeight="1" x14ac:dyDescent="0.15">
      <c r="A610" s="26">
        <v>44660.910261516205</v>
      </c>
      <c r="B610" s="27" t="s">
        <v>6</v>
      </c>
      <c r="C610" s="27" t="s">
        <v>12</v>
      </c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  <c r="AX610" s="28"/>
      <c r="AY610" s="28"/>
      <c r="AZ610" s="28"/>
      <c r="BA610" s="28"/>
      <c r="BB610" s="28"/>
      <c r="BC610" s="28"/>
      <c r="BD610" s="28"/>
      <c r="BE610" s="28"/>
      <c r="BF610" s="28"/>
      <c r="BG610" s="28"/>
      <c r="BH610" s="28"/>
      <c r="BI610" s="27" t="s">
        <v>1380</v>
      </c>
      <c r="BJ610" s="27" t="s">
        <v>1381</v>
      </c>
      <c r="BK610" s="27" t="s">
        <v>154</v>
      </c>
      <c r="BL610" s="27" t="s">
        <v>1285</v>
      </c>
      <c r="BM610" s="27" t="s">
        <v>2012</v>
      </c>
      <c r="BN610" s="27">
        <v>3</v>
      </c>
      <c r="BO610" s="29">
        <v>44037</v>
      </c>
      <c r="BP610" s="29">
        <v>44039</v>
      </c>
      <c r="BQ610" s="27" t="s">
        <v>1042</v>
      </c>
      <c r="BR610" s="27" t="s">
        <v>1884</v>
      </c>
      <c r="BS610" s="27" t="s">
        <v>171</v>
      </c>
      <c r="BT610" s="27" t="s">
        <v>151</v>
      </c>
      <c r="BU610" s="28"/>
      <c r="BV610" s="30" t="s">
        <v>2013</v>
      </c>
      <c r="BW610" s="28"/>
      <c r="BX610" s="28"/>
      <c r="FL610" s="33" t="s">
        <v>1387</v>
      </c>
      <c r="FM610" s="33" t="s">
        <v>321</v>
      </c>
    </row>
    <row r="611" spans="1:194" ht="23.25" customHeight="1" x14ac:dyDescent="0.15">
      <c r="A611" s="26">
        <v>44660.912827314816</v>
      </c>
      <c r="B611" s="27" t="s">
        <v>6</v>
      </c>
      <c r="C611" s="27" t="s">
        <v>11</v>
      </c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  <c r="AX611" s="27" t="s">
        <v>1346</v>
      </c>
      <c r="AY611" s="27" t="s">
        <v>1347</v>
      </c>
      <c r="AZ611" s="27" t="s">
        <v>349</v>
      </c>
      <c r="BA611" s="27" t="s">
        <v>335</v>
      </c>
      <c r="BB611" s="27" t="s">
        <v>376</v>
      </c>
      <c r="BC611" s="29">
        <v>43556</v>
      </c>
      <c r="BD611" s="29">
        <v>43676</v>
      </c>
      <c r="BE611" s="29">
        <v>43676</v>
      </c>
      <c r="BF611" s="27">
        <v>90</v>
      </c>
      <c r="BG611" s="27" t="s">
        <v>2014</v>
      </c>
      <c r="BH611" s="30" t="s">
        <v>2015</v>
      </c>
      <c r="BI611" s="28"/>
      <c r="BJ611" s="28"/>
      <c r="BK611" s="28"/>
      <c r="BL611" s="28"/>
      <c r="BM611" s="28"/>
      <c r="BN611" s="28"/>
      <c r="BO611" s="28"/>
      <c r="BP611" s="28"/>
      <c r="BQ611" s="28"/>
      <c r="BR611" s="28"/>
      <c r="BS611" s="28"/>
      <c r="BT611" s="28"/>
      <c r="BU611" s="28"/>
      <c r="BV611" s="28"/>
      <c r="BW611" s="28"/>
      <c r="BX611" s="28"/>
      <c r="FL611" s="33" t="s">
        <v>1352</v>
      </c>
      <c r="FM611" s="33" t="s">
        <v>380</v>
      </c>
    </row>
    <row r="612" spans="1:194" ht="23.25" customHeight="1" x14ac:dyDescent="0.15">
      <c r="A612" s="26">
        <v>44660.913210104161</v>
      </c>
      <c r="B612" s="27" t="s">
        <v>6</v>
      </c>
      <c r="C612" s="27" t="s">
        <v>22</v>
      </c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  <c r="AX612" s="28"/>
      <c r="AY612" s="28"/>
      <c r="AZ612" s="28"/>
      <c r="BA612" s="28"/>
      <c r="BB612" s="28"/>
      <c r="BC612" s="28"/>
      <c r="BD612" s="28"/>
      <c r="BE612" s="28"/>
      <c r="BF612" s="28"/>
      <c r="BG612" s="28"/>
      <c r="BH612" s="28"/>
      <c r="BI612" s="28"/>
      <c r="BJ612" s="28"/>
      <c r="BK612" s="28"/>
      <c r="BL612" s="28"/>
      <c r="BM612" s="28"/>
      <c r="BN612" s="28"/>
      <c r="BO612" s="28"/>
      <c r="BP612" s="28"/>
      <c r="BQ612" s="28"/>
      <c r="BR612" s="28"/>
      <c r="BS612" s="28"/>
      <c r="BT612" s="28"/>
      <c r="BU612" s="28"/>
      <c r="BV612" s="28"/>
      <c r="BW612" s="28"/>
      <c r="BX612" s="28"/>
      <c r="FL612" s="33" t="s">
        <v>1387</v>
      </c>
      <c r="FM612" s="33" t="s">
        <v>255</v>
      </c>
      <c r="GF612" s="33" t="s">
        <v>1380</v>
      </c>
      <c r="GG612" s="33" t="s">
        <v>1381</v>
      </c>
      <c r="GH612" s="33" t="s">
        <v>634</v>
      </c>
      <c r="GI612" s="34">
        <v>44656</v>
      </c>
      <c r="GJ612" s="35" t="s">
        <v>2016</v>
      </c>
      <c r="GK612" s="33" t="s">
        <v>1687</v>
      </c>
      <c r="GL612" s="33">
        <v>3.5</v>
      </c>
    </row>
    <row r="613" spans="1:194" ht="23.25" customHeight="1" x14ac:dyDescent="0.15">
      <c r="A613" s="26">
        <v>44660.913473622684</v>
      </c>
      <c r="B613" s="27" t="s">
        <v>6</v>
      </c>
      <c r="C613" s="27" t="s">
        <v>11</v>
      </c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  <c r="AX613" s="27" t="s">
        <v>1960</v>
      </c>
      <c r="AY613" s="27" t="s">
        <v>1961</v>
      </c>
      <c r="AZ613" s="27" t="s">
        <v>2017</v>
      </c>
      <c r="BA613" s="27" t="s">
        <v>1383</v>
      </c>
      <c r="BB613" s="27" t="s">
        <v>493</v>
      </c>
      <c r="BC613" s="29">
        <v>43956</v>
      </c>
      <c r="BD613" s="29">
        <v>44012</v>
      </c>
      <c r="BE613" s="29">
        <v>44005</v>
      </c>
      <c r="BF613" s="27">
        <v>100</v>
      </c>
      <c r="BG613" s="27" t="s">
        <v>1372</v>
      </c>
      <c r="BH613" s="30" t="s">
        <v>2018</v>
      </c>
      <c r="BI613" s="28"/>
      <c r="BJ613" s="28"/>
      <c r="BK613" s="28"/>
      <c r="BL613" s="28"/>
      <c r="BM613" s="28"/>
      <c r="BN613" s="28"/>
      <c r="BO613" s="28"/>
      <c r="BP613" s="28"/>
      <c r="BQ613" s="28"/>
      <c r="BR613" s="28"/>
      <c r="BS613" s="28"/>
      <c r="BT613" s="28"/>
      <c r="BU613" s="28"/>
      <c r="BV613" s="28"/>
      <c r="BW613" s="28"/>
      <c r="BX613" s="28"/>
      <c r="FL613" s="33" t="s">
        <v>1335</v>
      </c>
      <c r="FM613" s="33" t="s">
        <v>255</v>
      </c>
    </row>
    <row r="614" spans="1:194" ht="23.25" customHeight="1" x14ac:dyDescent="0.15">
      <c r="A614" s="26">
        <v>44660.916604421298</v>
      </c>
      <c r="B614" s="27" t="s">
        <v>6</v>
      </c>
      <c r="C614" s="27" t="s">
        <v>11</v>
      </c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  <c r="AX614" s="27" t="s">
        <v>1960</v>
      </c>
      <c r="AY614" s="27" t="s">
        <v>1961</v>
      </c>
      <c r="AZ614" s="27" t="s">
        <v>1751</v>
      </c>
      <c r="BA614" s="27" t="s">
        <v>1383</v>
      </c>
      <c r="BB614" s="27" t="s">
        <v>493</v>
      </c>
      <c r="BC614" s="29">
        <v>43960</v>
      </c>
      <c r="BD614" s="29">
        <v>43997</v>
      </c>
      <c r="BE614" s="29">
        <v>43991</v>
      </c>
      <c r="BF614" s="27">
        <v>100</v>
      </c>
      <c r="BG614" s="27" t="s">
        <v>1372</v>
      </c>
      <c r="BH614" s="30" t="s">
        <v>2019</v>
      </c>
      <c r="BI614" s="28"/>
      <c r="BJ614" s="28"/>
      <c r="BK614" s="28"/>
      <c r="BL614" s="28"/>
      <c r="BM614" s="28"/>
      <c r="BN614" s="28"/>
      <c r="BO614" s="28"/>
      <c r="BP614" s="28"/>
      <c r="BQ614" s="28"/>
      <c r="BR614" s="28"/>
      <c r="BS614" s="28"/>
      <c r="BT614" s="28"/>
      <c r="BU614" s="28"/>
      <c r="BV614" s="28"/>
      <c r="BW614" s="28"/>
      <c r="BX614" s="28"/>
      <c r="FL614" s="33" t="s">
        <v>1335</v>
      </c>
      <c r="FM614" s="33" t="s">
        <v>255</v>
      </c>
    </row>
    <row r="615" spans="1:194" ht="23.25" customHeight="1" x14ac:dyDescent="0.15">
      <c r="A615" s="26">
        <v>44660.916987152777</v>
      </c>
      <c r="B615" s="27" t="s">
        <v>6</v>
      </c>
      <c r="C615" s="27" t="s">
        <v>11</v>
      </c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  <c r="AX615" s="27" t="s">
        <v>1346</v>
      </c>
      <c r="AY615" s="27" t="s">
        <v>1347</v>
      </c>
      <c r="AZ615" s="27" t="s">
        <v>978</v>
      </c>
      <c r="BA615" s="27" t="s">
        <v>335</v>
      </c>
      <c r="BB615" s="27" t="s">
        <v>448</v>
      </c>
      <c r="BC615" s="29">
        <v>43587</v>
      </c>
      <c r="BD615" s="29">
        <v>43699</v>
      </c>
      <c r="BE615" s="29">
        <v>43699</v>
      </c>
      <c r="BF615" s="27">
        <v>90</v>
      </c>
      <c r="BG615" s="27" t="s">
        <v>2014</v>
      </c>
      <c r="BH615" s="30" t="s">
        <v>2020</v>
      </c>
      <c r="BI615" s="28"/>
      <c r="BJ615" s="28"/>
      <c r="BK615" s="28"/>
      <c r="BL615" s="28"/>
      <c r="BM615" s="28"/>
      <c r="BN615" s="28"/>
      <c r="BO615" s="28"/>
      <c r="BP615" s="28"/>
      <c r="BQ615" s="28"/>
      <c r="BR615" s="28"/>
      <c r="BS615" s="28"/>
      <c r="BT615" s="28"/>
      <c r="BU615" s="28"/>
      <c r="BV615" s="28"/>
      <c r="BW615" s="28"/>
      <c r="BX615" s="28"/>
      <c r="FL615" s="33" t="s">
        <v>1352</v>
      </c>
      <c r="FM615" s="33" t="s">
        <v>380</v>
      </c>
    </row>
    <row r="616" spans="1:194" ht="23.25" customHeight="1" x14ac:dyDescent="0.15">
      <c r="A616" s="26">
        <v>44660.918197928244</v>
      </c>
      <c r="B616" s="27" t="s">
        <v>6</v>
      </c>
      <c r="C616" s="27" t="s">
        <v>11</v>
      </c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  <c r="AX616" s="27" t="s">
        <v>1380</v>
      </c>
      <c r="AY616" s="27" t="s">
        <v>1381</v>
      </c>
      <c r="AZ616" s="27" t="s">
        <v>1974</v>
      </c>
      <c r="BA616" s="27" t="s">
        <v>1975</v>
      </c>
      <c r="BB616" s="27" t="s">
        <v>1308</v>
      </c>
      <c r="BC616" s="29">
        <v>43968</v>
      </c>
      <c r="BD616" s="29">
        <v>43975</v>
      </c>
      <c r="BE616" s="29">
        <v>43975</v>
      </c>
      <c r="BF616" s="27">
        <v>100</v>
      </c>
      <c r="BG616" s="27" t="s">
        <v>1385</v>
      </c>
      <c r="BH616" s="30" t="s">
        <v>2021</v>
      </c>
      <c r="BI616" s="28"/>
      <c r="BJ616" s="28"/>
      <c r="BK616" s="28"/>
      <c r="BL616" s="28"/>
      <c r="BM616" s="28"/>
      <c r="BN616" s="28"/>
      <c r="BO616" s="28"/>
      <c r="BP616" s="28"/>
      <c r="BQ616" s="28"/>
      <c r="BR616" s="28"/>
      <c r="BS616" s="28"/>
      <c r="BT616" s="28"/>
      <c r="BU616" s="28"/>
      <c r="BV616" s="28"/>
      <c r="BW616" s="28"/>
      <c r="BX616" s="28"/>
      <c r="FL616" s="33" t="s">
        <v>1387</v>
      </c>
      <c r="FM616" s="33" t="s">
        <v>321</v>
      </c>
    </row>
    <row r="617" spans="1:194" ht="23.25" customHeight="1" x14ac:dyDescent="0.15">
      <c r="A617" s="26">
        <v>44660.918744988427</v>
      </c>
      <c r="B617" s="27" t="s">
        <v>6</v>
      </c>
      <c r="C617" s="27" t="s">
        <v>11</v>
      </c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  <c r="AX617" s="27" t="s">
        <v>1960</v>
      </c>
      <c r="AY617" s="27" t="s">
        <v>1961</v>
      </c>
      <c r="AZ617" s="27" t="s">
        <v>2022</v>
      </c>
      <c r="BA617" s="27" t="s">
        <v>1383</v>
      </c>
      <c r="BB617" s="27" t="s">
        <v>493</v>
      </c>
      <c r="BC617" s="29">
        <v>43899</v>
      </c>
      <c r="BD617" s="29">
        <v>43928</v>
      </c>
      <c r="BE617" s="29">
        <v>43927</v>
      </c>
      <c r="BF617" s="27">
        <v>100</v>
      </c>
      <c r="BG617" s="27" t="s">
        <v>2023</v>
      </c>
      <c r="BH617" s="30" t="s">
        <v>2024</v>
      </c>
      <c r="BI617" s="28"/>
      <c r="BJ617" s="28"/>
      <c r="BK617" s="28"/>
      <c r="BL617" s="28"/>
      <c r="BM617" s="28"/>
      <c r="BN617" s="28"/>
      <c r="BO617" s="28"/>
      <c r="BP617" s="28"/>
      <c r="BQ617" s="28"/>
      <c r="BR617" s="28"/>
      <c r="BS617" s="28"/>
      <c r="BT617" s="28"/>
      <c r="BU617" s="28"/>
      <c r="BV617" s="28"/>
      <c r="BW617" s="28"/>
      <c r="BX617" s="28"/>
      <c r="FL617" s="33" t="s">
        <v>1335</v>
      </c>
      <c r="FM617" s="33" t="s">
        <v>255</v>
      </c>
    </row>
    <row r="618" spans="1:194" ht="23.25" customHeight="1" x14ac:dyDescent="0.15">
      <c r="A618" s="26">
        <v>44660.921558252317</v>
      </c>
      <c r="B618" s="27" t="s">
        <v>6</v>
      </c>
      <c r="C618" s="27" t="s">
        <v>12</v>
      </c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  <c r="AX618" s="28"/>
      <c r="AY618" s="28"/>
      <c r="AZ618" s="28"/>
      <c r="BA618" s="28"/>
      <c r="BB618" s="28"/>
      <c r="BC618" s="28"/>
      <c r="BD618" s="28"/>
      <c r="BE618" s="28"/>
      <c r="BF618" s="28"/>
      <c r="BG618" s="28"/>
      <c r="BH618" s="28"/>
      <c r="BI618" s="27" t="s">
        <v>1346</v>
      </c>
      <c r="BJ618" s="27" t="s">
        <v>1347</v>
      </c>
      <c r="BK618" s="27" t="s">
        <v>154</v>
      </c>
      <c r="BL618" s="27" t="s">
        <v>1285</v>
      </c>
      <c r="BM618" s="27" t="s">
        <v>1928</v>
      </c>
      <c r="BN618" s="27">
        <v>3</v>
      </c>
      <c r="BO618" s="29">
        <v>44037</v>
      </c>
      <c r="BP618" s="29">
        <v>44039</v>
      </c>
      <c r="BQ618" s="27" t="s">
        <v>1042</v>
      </c>
      <c r="BR618" s="27" t="s">
        <v>1884</v>
      </c>
      <c r="BS618" s="27" t="s">
        <v>171</v>
      </c>
      <c r="BT618" s="27" t="s">
        <v>151</v>
      </c>
      <c r="BU618" s="28"/>
      <c r="BV618" s="30" t="s">
        <v>2025</v>
      </c>
      <c r="BW618" s="28"/>
      <c r="BX618" s="28"/>
      <c r="FL618" s="33" t="s">
        <v>1352</v>
      </c>
      <c r="FM618" s="33" t="s">
        <v>321</v>
      </c>
    </row>
    <row r="619" spans="1:194" ht="23.25" customHeight="1" x14ac:dyDescent="0.15">
      <c r="A619" s="26">
        <v>44660.921868634265</v>
      </c>
      <c r="B619" s="27" t="s">
        <v>6</v>
      </c>
      <c r="C619" s="27" t="s">
        <v>11</v>
      </c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  <c r="AX619" s="27" t="s">
        <v>1960</v>
      </c>
      <c r="AY619" s="27" t="s">
        <v>1961</v>
      </c>
      <c r="AZ619" s="27" t="s">
        <v>2026</v>
      </c>
      <c r="BA619" s="27" t="s">
        <v>1383</v>
      </c>
      <c r="BB619" s="27" t="s">
        <v>493</v>
      </c>
      <c r="BC619" s="29">
        <v>43989</v>
      </c>
      <c r="BD619" s="29">
        <v>44025</v>
      </c>
      <c r="BE619" s="29">
        <v>44021</v>
      </c>
      <c r="BF619" s="27">
        <v>100</v>
      </c>
      <c r="BG619" s="27" t="s">
        <v>2027</v>
      </c>
      <c r="BH619" s="30" t="s">
        <v>2028</v>
      </c>
      <c r="BI619" s="28"/>
      <c r="BJ619" s="28"/>
      <c r="BK619" s="28"/>
      <c r="BL619" s="28"/>
      <c r="BM619" s="28"/>
      <c r="BN619" s="28"/>
      <c r="BO619" s="28"/>
      <c r="BP619" s="28"/>
      <c r="BQ619" s="28"/>
      <c r="BR619" s="28"/>
      <c r="BS619" s="28"/>
      <c r="BT619" s="28"/>
      <c r="BU619" s="28"/>
      <c r="BV619" s="28"/>
      <c r="BW619" s="28"/>
      <c r="BX619" s="28"/>
      <c r="FL619" s="33" t="s">
        <v>1335</v>
      </c>
      <c r="FM619" s="33" t="s">
        <v>255</v>
      </c>
    </row>
    <row r="620" spans="1:194" ht="23.25" customHeight="1" x14ac:dyDescent="0.15">
      <c r="A620" s="26">
        <v>44660.924056643518</v>
      </c>
      <c r="B620" s="27" t="s">
        <v>6</v>
      </c>
      <c r="C620" s="27" t="s">
        <v>11</v>
      </c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  <c r="AX620" s="27" t="s">
        <v>1960</v>
      </c>
      <c r="AY620" s="27" t="s">
        <v>1961</v>
      </c>
      <c r="AZ620" s="27" t="s">
        <v>2029</v>
      </c>
      <c r="BA620" s="27" t="s">
        <v>1383</v>
      </c>
      <c r="BB620" s="27" t="s">
        <v>493</v>
      </c>
      <c r="BC620" s="29">
        <v>43988</v>
      </c>
      <c r="BD620" s="29">
        <v>44018</v>
      </c>
      <c r="BE620" s="29">
        <v>44016</v>
      </c>
      <c r="BF620" s="27">
        <v>100</v>
      </c>
      <c r="BG620" s="27" t="s">
        <v>2030</v>
      </c>
      <c r="BH620" s="30" t="s">
        <v>2031</v>
      </c>
      <c r="BI620" s="28"/>
      <c r="BJ620" s="28"/>
      <c r="BK620" s="28"/>
      <c r="BL620" s="28"/>
      <c r="BM620" s="28"/>
      <c r="BN620" s="28"/>
      <c r="BO620" s="28"/>
      <c r="BP620" s="28"/>
      <c r="BQ620" s="28"/>
      <c r="BR620" s="28"/>
      <c r="BS620" s="28"/>
      <c r="BT620" s="28"/>
      <c r="BU620" s="28"/>
      <c r="BV620" s="28"/>
      <c r="BW620" s="28"/>
      <c r="BX620" s="28"/>
      <c r="FL620" s="33" t="s">
        <v>1335</v>
      </c>
      <c r="FM620" s="33" t="s">
        <v>255</v>
      </c>
    </row>
    <row r="621" spans="1:194" ht="23.25" customHeight="1" x14ac:dyDescent="0.15">
      <c r="A621" s="26">
        <v>44660.926996157403</v>
      </c>
      <c r="B621" s="27" t="s">
        <v>6</v>
      </c>
      <c r="C621" s="27" t="s">
        <v>11</v>
      </c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  <c r="AX621" s="27" t="s">
        <v>1960</v>
      </c>
      <c r="AY621" s="27" t="s">
        <v>1961</v>
      </c>
      <c r="AZ621" s="27" t="s">
        <v>2032</v>
      </c>
      <c r="BA621" s="27" t="s">
        <v>1383</v>
      </c>
      <c r="BB621" s="27" t="s">
        <v>493</v>
      </c>
      <c r="BC621" s="29">
        <v>43960</v>
      </c>
      <c r="BD621" s="29">
        <v>44011</v>
      </c>
      <c r="BE621" s="29">
        <v>44006</v>
      </c>
      <c r="BF621" s="27">
        <v>100</v>
      </c>
      <c r="BG621" s="27" t="s">
        <v>2033</v>
      </c>
      <c r="BH621" s="30" t="s">
        <v>2034</v>
      </c>
      <c r="BI621" s="28"/>
      <c r="BJ621" s="28"/>
      <c r="BK621" s="28"/>
      <c r="BL621" s="28"/>
      <c r="BM621" s="28"/>
      <c r="BN621" s="28"/>
      <c r="BO621" s="28"/>
      <c r="BP621" s="28"/>
      <c r="BQ621" s="28"/>
      <c r="BR621" s="28"/>
      <c r="BS621" s="28"/>
      <c r="BT621" s="28"/>
      <c r="BU621" s="28"/>
      <c r="BV621" s="28"/>
      <c r="BW621" s="28"/>
      <c r="BX621" s="28"/>
      <c r="FL621" s="33" t="s">
        <v>1335</v>
      </c>
      <c r="FM621" s="33" t="s">
        <v>255</v>
      </c>
    </row>
    <row r="622" spans="1:194" ht="23.25" customHeight="1" x14ac:dyDescent="0.15">
      <c r="A622" s="26">
        <v>44660.929521840277</v>
      </c>
      <c r="B622" s="27" t="s">
        <v>6</v>
      </c>
      <c r="C622" s="27" t="s">
        <v>11</v>
      </c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  <c r="AX622" s="27" t="s">
        <v>1960</v>
      </c>
      <c r="AY622" s="27" t="s">
        <v>1961</v>
      </c>
      <c r="AZ622" s="27" t="s">
        <v>1348</v>
      </c>
      <c r="BA622" s="27" t="s">
        <v>1383</v>
      </c>
      <c r="BB622" s="27" t="s">
        <v>493</v>
      </c>
      <c r="BC622" s="29">
        <v>43925</v>
      </c>
      <c r="BD622" s="29">
        <v>43968</v>
      </c>
      <c r="BE622" s="29">
        <v>43960</v>
      </c>
      <c r="BF622" s="27">
        <v>100</v>
      </c>
      <c r="BG622" s="27" t="s">
        <v>2035</v>
      </c>
      <c r="BH622" s="30" t="s">
        <v>2036</v>
      </c>
      <c r="BI622" s="28"/>
      <c r="BJ622" s="28"/>
      <c r="BK622" s="28"/>
      <c r="BL622" s="28"/>
      <c r="BM622" s="28"/>
      <c r="BN622" s="28"/>
      <c r="BO622" s="28"/>
      <c r="BP622" s="28"/>
      <c r="BQ622" s="28"/>
      <c r="BR622" s="28"/>
      <c r="BS622" s="28"/>
      <c r="BT622" s="28"/>
      <c r="BU622" s="28"/>
      <c r="BV622" s="28"/>
      <c r="BW622" s="28"/>
      <c r="BX622" s="28"/>
      <c r="FL622" s="33" t="s">
        <v>1335</v>
      </c>
      <c r="FM622" s="33" t="s">
        <v>255</v>
      </c>
    </row>
    <row r="623" spans="1:194" ht="23.25" customHeight="1" x14ac:dyDescent="0.15">
      <c r="A623" s="26">
        <v>44660.937453668987</v>
      </c>
      <c r="B623" s="27" t="s">
        <v>6</v>
      </c>
      <c r="C623" s="27" t="s">
        <v>11</v>
      </c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  <c r="AX623" s="27" t="s">
        <v>1960</v>
      </c>
      <c r="AY623" s="27" t="s">
        <v>1961</v>
      </c>
      <c r="AZ623" s="27" t="s">
        <v>896</v>
      </c>
      <c r="BA623" s="27" t="s">
        <v>897</v>
      </c>
      <c r="BB623" s="27" t="s">
        <v>2037</v>
      </c>
      <c r="BC623" s="29">
        <v>44469</v>
      </c>
      <c r="BD623" s="29">
        <v>44469</v>
      </c>
      <c r="BE623" s="29">
        <v>44469</v>
      </c>
      <c r="BF623" s="27">
        <v>100</v>
      </c>
      <c r="BG623" s="27" t="s">
        <v>898</v>
      </c>
      <c r="BH623" s="30" t="s">
        <v>2038</v>
      </c>
      <c r="BI623" s="28"/>
      <c r="BJ623" s="28"/>
      <c r="BK623" s="28"/>
      <c r="BL623" s="28"/>
      <c r="BM623" s="28"/>
      <c r="BN623" s="28"/>
      <c r="BO623" s="28"/>
      <c r="BP623" s="28"/>
      <c r="BQ623" s="28"/>
      <c r="BR623" s="28"/>
      <c r="BS623" s="28"/>
      <c r="BT623" s="28"/>
      <c r="BU623" s="28"/>
      <c r="BV623" s="28"/>
      <c r="BW623" s="28"/>
      <c r="BX623" s="28"/>
      <c r="FL623" s="33" t="s">
        <v>1335</v>
      </c>
      <c r="FM623" s="33" t="s">
        <v>255</v>
      </c>
    </row>
    <row r="624" spans="1:194" ht="23.25" customHeight="1" x14ac:dyDescent="0.15">
      <c r="A624" s="26">
        <v>44660.940019421294</v>
      </c>
      <c r="B624" s="27" t="s">
        <v>6</v>
      </c>
      <c r="C624" s="27" t="s">
        <v>11</v>
      </c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  <c r="AX624" s="27" t="s">
        <v>1960</v>
      </c>
      <c r="AY624" s="27" t="s">
        <v>1961</v>
      </c>
      <c r="AZ624" s="27" t="s">
        <v>600</v>
      </c>
      <c r="BA624" s="27" t="s">
        <v>1867</v>
      </c>
      <c r="BB624" s="27" t="s">
        <v>493</v>
      </c>
      <c r="BC624" s="29">
        <v>44629</v>
      </c>
      <c r="BD624" s="29">
        <v>44658</v>
      </c>
      <c r="BE624" s="29">
        <v>44657</v>
      </c>
      <c r="BF624" s="27">
        <v>100</v>
      </c>
      <c r="BG624" s="27" t="s">
        <v>921</v>
      </c>
      <c r="BH624" s="30" t="s">
        <v>2039</v>
      </c>
      <c r="BI624" s="28"/>
      <c r="BJ624" s="28"/>
      <c r="BK624" s="28"/>
      <c r="BL624" s="28"/>
      <c r="BM624" s="28"/>
      <c r="BN624" s="28"/>
      <c r="BO624" s="28"/>
      <c r="BP624" s="28"/>
      <c r="BQ624" s="28"/>
      <c r="BR624" s="28"/>
      <c r="BS624" s="28"/>
      <c r="BT624" s="28"/>
      <c r="BU624" s="28"/>
      <c r="BV624" s="28"/>
      <c r="BW624" s="28"/>
      <c r="BX624" s="28"/>
      <c r="FL624" s="33" t="s">
        <v>1335</v>
      </c>
      <c r="FM624" s="33" t="s">
        <v>255</v>
      </c>
    </row>
    <row r="625" spans="1:169" ht="23.25" customHeight="1" x14ac:dyDescent="0.15">
      <c r="A625" s="26">
        <v>44660.945205578704</v>
      </c>
      <c r="B625" s="27" t="s">
        <v>6</v>
      </c>
      <c r="C625" s="27" t="s">
        <v>11</v>
      </c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  <c r="AX625" s="27" t="s">
        <v>1960</v>
      </c>
      <c r="AY625" s="27" t="s">
        <v>1961</v>
      </c>
      <c r="AZ625" s="27" t="s">
        <v>435</v>
      </c>
      <c r="BA625" s="27" t="s">
        <v>2040</v>
      </c>
      <c r="BB625" s="27" t="s">
        <v>2041</v>
      </c>
      <c r="BC625" s="29">
        <v>44572</v>
      </c>
      <c r="BD625" s="29">
        <v>44572</v>
      </c>
      <c r="BE625" s="29">
        <v>44572</v>
      </c>
      <c r="BF625" s="27">
        <v>100</v>
      </c>
      <c r="BG625" s="27" t="s">
        <v>2042</v>
      </c>
      <c r="BH625" s="30" t="s">
        <v>2043</v>
      </c>
      <c r="BI625" s="28"/>
      <c r="BJ625" s="28"/>
      <c r="BK625" s="28"/>
      <c r="BL625" s="28"/>
      <c r="BM625" s="28"/>
      <c r="BN625" s="28"/>
      <c r="BO625" s="28"/>
      <c r="BP625" s="28"/>
      <c r="BQ625" s="28"/>
      <c r="BR625" s="28"/>
      <c r="BS625" s="28"/>
      <c r="BT625" s="28"/>
      <c r="BU625" s="28"/>
      <c r="BV625" s="28"/>
      <c r="BW625" s="28"/>
      <c r="BX625" s="28"/>
      <c r="FL625" s="33" t="s">
        <v>1335</v>
      </c>
      <c r="FM625" s="33" t="s">
        <v>255</v>
      </c>
    </row>
    <row r="626" spans="1:169" ht="23.25" customHeight="1" x14ac:dyDescent="0.15">
      <c r="A626" s="26">
        <v>44661.302714641206</v>
      </c>
      <c r="B626" s="27" t="s">
        <v>6</v>
      </c>
      <c r="C626" s="27" t="s">
        <v>11</v>
      </c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  <c r="AX626" s="27" t="s">
        <v>2044</v>
      </c>
      <c r="AY626" s="27" t="s">
        <v>2045</v>
      </c>
      <c r="AZ626" s="27" t="s">
        <v>2046</v>
      </c>
      <c r="BA626" s="27" t="s">
        <v>343</v>
      </c>
      <c r="BB626" s="27" t="s">
        <v>308</v>
      </c>
      <c r="BC626" s="29">
        <v>44228</v>
      </c>
      <c r="BD626" s="29">
        <v>44286</v>
      </c>
      <c r="BE626" s="29">
        <v>44651</v>
      </c>
      <c r="BF626" s="27">
        <v>90</v>
      </c>
      <c r="BG626" s="27" t="s">
        <v>1028</v>
      </c>
      <c r="BH626" s="30" t="s">
        <v>2047</v>
      </c>
      <c r="BI626" s="28"/>
      <c r="BJ626" s="28"/>
      <c r="BK626" s="28"/>
      <c r="BL626" s="28"/>
      <c r="BM626" s="28"/>
      <c r="BN626" s="28"/>
      <c r="BO626" s="28"/>
      <c r="BP626" s="28"/>
      <c r="BQ626" s="28"/>
      <c r="BR626" s="28"/>
      <c r="BS626" s="28"/>
      <c r="BT626" s="28"/>
      <c r="BU626" s="28"/>
      <c r="BV626" s="28"/>
      <c r="BW626" s="28"/>
      <c r="BX626" s="28"/>
      <c r="FL626" s="33" t="s">
        <v>2048</v>
      </c>
      <c r="FM626" s="33" t="s">
        <v>255</v>
      </c>
    </row>
    <row r="627" spans="1:169" ht="23.25" customHeight="1" x14ac:dyDescent="0.15">
      <c r="A627" s="26">
        <v>44661.344857453703</v>
      </c>
      <c r="B627" s="27" t="s">
        <v>6</v>
      </c>
      <c r="C627" s="27" t="s">
        <v>11</v>
      </c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  <c r="AX627" s="27" t="s">
        <v>2044</v>
      </c>
      <c r="AY627" s="27" t="s">
        <v>2045</v>
      </c>
      <c r="AZ627" s="27" t="s">
        <v>2049</v>
      </c>
      <c r="BA627" s="27" t="s">
        <v>375</v>
      </c>
      <c r="BB627" s="27" t="s">
        <v>346</v>
      </c>
      <c r="BC627" s="29">
        <v>43565</v>
      </c>
      <c r="BD627" s="29">
        <v>43630</v>
      </c>
      <c r="BE627" s="29">
        <v>43665</v>
      </c>
      <c r="BF627" s="27">
        <v>90</v>
      </c>
      <c r="BG627" s="27" t="s">
        <v>2050</v>
      </c>
      <c r="BH627" s="30" t="s">
        <v>2051</v>
      </c>
      <c r="BI627" s="28"/>
      <c r="BJ627" s="28"/>
      <c r="BK627" s="28"/>
      <c r="BL627" s="28"/>
      <c r="BM627" s="28"/>
      <c r="BN627" s="28"/>
      <c r="BO627" s="28"/>
      <c r="BP627" s="28"/>
      <c r="BQ627" s="28"/>
      <c r="BR627" s="28"/>
      <c r="BS627" s="28"/>
      <c r="BT627" s="28"/>
      <c r="BU627" s="28"/>
      <c r="BV627" s="28"/>
      <c r="BW627" s="28"/>
      <c r="BX627" s="28"/>
      <c r="FL627" s="33" t="s">
        <v>2048</v>
      </c>
      <c r="FM627" s="33" t="s">
        <v>255</v>
      </c>
    </row>
    <row r="628" spans="1:169" ht="23.25" customHeight="1" x14ac:dyDescent="0.15">
      <c r="A628" s="26">
        <v>44661.384238993051</v>
      </c>
      <c r="B628" s="27" t="s">
        <v>6</v>
      </c>
      <c r="C628" s="27" t="s">
        <v>11</v>
      </c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  <c r="AX628" s="27" t="s">
        <v>2052</v>
      </c>
      <c r="AY628" s="27" t="s">
        <v>2053</v>
      </c>
      <c r="AZ628" s="27" t="s">
        <v>2054</v>
      </c>
      <c r="BA628" s="27" t="s">
        <v>2055</v>
      </c>
      <c r="BB628" s="27" t="s">
        <v>550</v>
      </c>
      <c r="BC628" s="29">
        <v>43292</v>
      </c>
      <c r="BD628" s="29">
        <v>43350</v>
      </c>
      <c r="BE628" s="29">
        <v>43391</v>
      </c>
      <c r="BF628" s="36">
        <v>0.7</v>
      </c>
      <c r="BG628" s="27" t="s">
        <v>2056</v>
      </c>
      <c r="BH628" s="30" t="s">
        <v>2057</v>
      </c>
      <c r="BI628" s="28"/>
      <c r="BJ628" s="28"/>
      <c r="BK628" s="28"/>
      <c r="BL628" s="28"/>
      <c r="BM628" s="28"/>
      <c r="BN628" s="28"/>
      <c r="BO628" s="28"/>
      <c r="BP628" s="28"/>
      <c r="BQ628" s="28"/>
      <c r="BR628" s="28"/>
      <c r="BS628" s="28"/>
      <c r="BT628" s="28"/>
      <c r="BU628" s="28"/>
      <c r="BV628" s="28"/>
      <c r="BW628" s="28"/>
      <c r="BX628" s="28"/>
      <c r="FL628" s="33" t="s">
        <v>2058</v>
      </c>
      <c r="FM628" s="33" t="s">
        <v>412</v>
      </c>
    </row>
    <row r="629" spans="1:169" ht="23.25" customHeight="1" x14ac:dyDescent="0.15">
      <c r="A629" s="26">
        <v>44661.388517546293</v>
      </c>
      <c r="B629" s="27" t="s">
        <v>6</v>
      </c>
      <c r="C629" s="27" t="s">
        <v>11</v>
      </c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  <c r="AX629" s="27" t="s">
        <v>2052</v>
      </c>
      <c r="AY629" s="27" t="s">
        <v>2053</v>
      </c>
      <c r="AZ629" s="27" t="s">
        <v>1180</v>
      </c>
      <c r="BA629" s="27" t="s">
        <v>2059</v>
      </c>
      <c r="BB629" s="27" t="s">
        <v>1642</v>
      </c>
      <c r="BC629" s="29">
        <v>43526</v>
      </c>
      <c r="BD629" s="29">
        <v>43634</v>
      </c>
      <c r="BE629" s="29">
        <v>43655</v>
      </c>
      <c r="BF629" s="27" t="s">
        <v>2060</v>
      </c>
      <c r="BG629" s="27" t="s">
        <v>2061</v>
      </c>
      <c r="BH629" s="30" t="s">
        <v>2062</v>
      </c>
      <c r="BI629" s="28"/>
      <c r="BJ629" s="28"/>
      <c r="BK629" s="28"/>
      <c r="BL629" s="28"/>
      <c r="BM629" s="28"/>
      <c r="BN629" s="28"/>
      <c r="BO629" s="28"/>
      <c r="BP629" s="28"/>
      <c r="BQ629" s="28"/>
      <c r="BR629" s="28"/>
      <c r="BS629" s="28"/>
      <c r="BT629" s="28"/>
      <c r="BU629" s="28"/>
      <c r="BV629" s="28"/>
      <c r="BW629" s="28"/>
      <c r="BX629" s="28"/>
      <c r="FL629" s="33" t="s">
        <v>2058</v>
      </c>
      <c r="FM629" s="33" t="s">
        <v>552</v>
      </c>
    </row>
    <row r="630" spans="1:169" ht="23.25" customHeight="1" x14ac:dyDescent="0.15">
      <c r="A630" s="26">
        <v>44661.391712453704</v>
      </c>
      <c r="B630" s="27" t="s">
        <v>6</v>
      </c>
      <c r="C630" s="27" t="s">
        <v>11</v>
      </c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  <c r="AX630" s="27" t="s">
        <v>2052</v>
      </c>
      <c r="AY630" s="27" t="s">
        <v>2053</v>
      </c>
      <c r="AZ630" s="27" t="s">
        <v>2063</v>
      </c>
      <c r="BA630" s="27" t="s">
        <v>2064</v>
      </c>
      <c r="BB630" s="27" t="s">
        <v>1642</v>
      </c>
      <c r="BC630" s="29">
        <v>43529</v>
      </c>
      <c r="BD630" s="29">
        <v>43627</v>
      </c>
      <c r="BE630" s="29">
        <v>43672</v>
      </c>
      <c r="BF630" s="27" t="s">
        <v>2060</v>
      </c>
      <c r="BG630" s="27" t="s">
        <v>2065</v>
      </c>
      <c r="BH630" s="30" t="s">
        <v>2066</v>
      </c>
      <c r="BI630" s="28"/>
      <c r="BJ630" s="28"/>
      <c r="BK630" s="28"/>
      <c r="BL630" s="28"/>
      <c r="BM630" s="28"/>
      <c r="BN630" s="28"/>
      <c r="BO630" s="28"/>
      <c r="BP630" s="28"/>
      <c r="BQ630" s="28"/>
      <c r="BR630" s="28"/>
      <c r="BS630" s="28"/>
      <c r="BT630" s="28"/>
      <c r="BU630" s="28"/>
      <c r="BV630" s="28"/>
      <c r="BW630" s="28"/>
      <c r="BX630" s="28"/>
      <c r="FL630" s="33" t="s">
        <v>2058</v>
      </c>
      <c r="FM630" s="33" t="s">
        <v>552</v>
      </c>
    </row>
    <row r="631" spans="1:169" ht="23.25" customHeight="1" x14ac:dyDescent="0.15">
      <c r="A631" s="26">
        <v>44661.396358379629</v>
      </c>
      <c r="B631" s="27" t="s">
        <v>6</v>
      </c>
      <c r="C631" s="27" t="s">
        <v>11</v>
      </c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  <c r="AX631" s="27" t="s">
        <v>2052</v>
      </c>
      <c r="AY631" s="27" t="s">
        <v>2053</v>
      </c>
      <c r="AZ631" s="27" t="s">
        <v>2067</v>
      </c>
      <c r="BA631" s="27" t="s">
        <v>2068</v>
      </c>
      <c r="BB631" s="27" t="s">
        <v>300</v>
      </c>
      <c r="BC631" s="29">
        <v>44259</v>
      </c>
      <c r="BD631" s="29">
        <v>44332</v>
      </c>
      <c r="BE631" s="29">
        <v>43655</v>
      </c>
      <c r="BF631" s="27" t="s">
        <v>1630</v>
      </c>
      <c r="BG631" s="27" t="s">
        <v>2065</v>
      </c>
      <c r="BH631" s="30" t="s">
        <v>2069</v>
      </c>
      <c r="BI631" s="28"/>
      <c r="BJ631" s="28"/>
      <c r="BK631" s="28"/>
      <c r="BL631" s="28"/>
      <c r="BM631" s="28"/>
      <c r="BN631" s="28"/>
      <c r="BO631" s="28"/>
      <c r="BP631" s="28"/>
      <c r="BQ631" s="28"/>
      <c r="BR631" s="28"/>
      <c r="BS631" s="28"/>
      <c r="BT631" s="28"/>
      <c r="BU631" s="28"/>
      <c r="BV631" s="28"/>
      <c r="BW631" s="28"/>
      <c r="BX631" s="28"/>
      <c r="FL631" s="33" t="s">
        <v>2058</v>
      </c>
      <c r="FM631" s="33" t="s">
        <v>278</v>
      </c>
    </row>
    <row r="632" spans="1:169" ht="23.25" customHeight="1" x14ac:dyDescent="0.15">
      <c r="A632" s="26">
        <v>44661.398817719906</v>
      </c>
      <c r="B632" s="27" t="s">
        <v>6</v>
      </c>
      <c r="C632" s="27" t="s">
        <v>17</v>
      </c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  <c r="AX632" s="28"/>
      <c r="AY632" s="28"/>
      <c r="AZ632" s="28"/>
      <c r="BA632" s="28"/>
      <c r="BB632" s="28"/>
      <c r="BC632" s="28"/>
      <c r="BD632" s="28"/>
      <c r="BE632" s="28"/>
      <c r="BF632" s="28"/>
      <c r="BG632" s="28"/>
      <c r="BH632" s="28"/>
      <c r="BI632" s="28"/>
      <c r="BJ632" s="28"/>
      <c r="BK632" s="28"/>
      <c r="BL632" s="28"/>
      <c r="BM632" s="28"/>
      <c r="BN632" s="28"/>
      <c r="BO632" s="28"/>
      <c r="BP632" s="28"/>
      <c r="BQ632" s="28"/>
      <c r="BR632" s="28"/>
      <c r="BS632" s="28"/>
      <c r="BT632" s="28"/>
      <c r="BU632" s="28"/>
      <c r="BV632" s="28"/>
      <c r="BW632" s="28"/>
      <c r="BX632" s="28"/>
      <c r="DX632" s="33" t="s">
        <v>2052</v>
      </c>
      <c r="DY632" s="33" t="s">
        <v>2053</v>
      </c>
      <c r="DZ632" s="33" t="s">
        <v>154</v>
      </c>
      <c r="EA632" s="33" t="s">
        <v>2070</v>
      </c>
      <c r="EB632" s="34">
        <v>43979</v>
      </c>
      <c r="EC632" s="33" t="s">
        <v>2071</v>
      </c>
      <c r="ED632" s="35" t="s">
        <v>2072</v>
      </c>
      <c r="FL632" s="33" t="s">
        <v>2058</v>
      </c>
      <c r="FM632" s="33" t="s">
        <v>321</v>
      </c>
    </row>
    <row r="633" spans="1:169" ht="23.25" customHeight="1" x14ac:dyDescent="0.15">
      <c r="A633" s="26">
        <v>44661.403180937501</v>
      </c>
      <c r="B633" s="27" t="s">
        <v>6</v>
      </c>
      <c r="C633" s="27" t="s">
        <v>12</v>
      </c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  <c r="AX633" s="28"/>
      <c r="AY633" s="28"/>
      <c r="AZ633" s="28"/>
      <c r="BA633" s="28"/>
      <c r="BB633" s="28"/>
      <c r="BC633" s="28"/>
      <c r="BD633" s="28"/>
      <c r="BE633" s="28"/>
      <c r="BF633" s="28"/>
      <c r="BG633" s="28"/>
      <c r="BH633" s="28"/>
      <c r="BI633" s="27" t="s">
        <v>2052</v>
      </c>
      <c r="BJ633" s="27" t="s">
        <v>2053</v>
      </c>
      <c r="BK633" s="27" t="s">
        <v>145</v>
      </c>
      <c r="BL633" s="27" t="s">
        <v>1285</v>
      </c>
      <c r="BM633" s="27" t="s">
        <v>810</v>
      </c>
      <c r="BN633" s="27">
        <v>2</v>
      </c>
      <c r="BO633" s="29">
        <v>43505</v>
      </c>
      <c r="BP633" s="29">
        <v>43506</v>
      </c>
      <c r="BQ633" s="27" t="s">
        <v>2073</v>
      </c>
      <c r="BR633" s="27" t="s">
        <v>628</v>
      </c>
      <c r="BS633" s="27" t="s">
        <v>271</v>
      </c>
      <c r="BT633" s="27" t="s">
        <v>629</v>
      </c>
      <c r="BU633" s="27">
        <v>150</v>
      </c>
      <c r="BV633" s="30" t="s">
        <v>2074</v>
      </c>
      <c r="BW633" s="28"/>
      <c r="BX633" s="28"/>
      <c r="FL633" s="33" t="s">
        <v>2058</v>
      </c>
      <c r="FM633" s="33" t="s">
        <v>380</v>
      </c>
    </row>
    <row r="634" spans="1:169" ht="23.25" customHeight="1" x14ac:dyDescent="0.15">
      <c r="A634" s="26">
        <v>44661.406405462963</v>
      </c>
      <c r="B634" s="27" t="s">
        <v>6</v>
      </c>
      <c r="C634" s="27" t="s">
        <v>12</v>
      </c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  <c r="AX634" s="28"/>
      <c r="AY634" s="28"/>
      <c r="AZ634" s="28"/>
      <c r="BA634" s="28"/>
      <c r="BB634" s="28"/>
      <c r="BC634" s="28"/>
      <c r="BD634" s="28"/>
      <c r="BE634" s="28"/>
      <c r="BF634" s="28"/>
      <c r="BG634" s="28"/>
      <c r="BH634" s="28"/>
      <c r="BI634" s="27" t="s">
        <v>2052</v>
      </c>
      <c r="BJ634" s="27" t="s">
        <v>2053</v>
      </c>
      <c r="BK634" s="27" t="s">
        <v>311</v>
      </c>
      <c r="BL634" s="27" t="s">
        <v>1285</v>
      </c>
      <c r="BM634" s="27" t="s">
        <v>2075</v>
      </c>
      <c r="BN634" s="27">
        <v>2</v>
      </c>
      <c r="BO634" s="29">
        <v>44513</v>
      </c>
      <c r="BP634" s="29">
        <v>44514</v>
      </c>
      <c r="BQ634" s="27" t="s">
        <v>2076</v>
      </c>
      <c r="BR634" s="27" t="s">
        <v>628</v>
      </c>
      <c r="BS634" s="27" t="s">
        <v>271</v>
      </c>
      <c r="BT634" s="27" t="s">
        <v>629</v>
      </c>
      <c r="BU634" s="27">
        <v>200</v>
      </c>
      <c r="BV634" s="30" t="s">
        <v>2077</v>
      </c>
      <c r="BW634" s="28"/>
      <c r="BX634" s="28"/>
      <c r="FL634" s="33" t="s">
        <v>2058</v>
      </c>
      <c r="FM634" s="33" t="s">
        <v>273</v>
      </c>
    </row>
    <row r="635" spans="1:169" ht="23.25" customHeight="1" x14ac:dyDescent="0.15">
      <c r="A635" s="26">
        <v>44661.440623854171</v>
      </c>
      <c r="B635" s="27" t="s">
        <v>8</v>
      </c>
      <c r="C635" s="27" t="s">
        <v>11</v>
      </c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  <c r="AX635" s="27" t="s">
        <v>2078</v>
      </c>
      <c r="AY635" s="27" t="s">
        <v>2079</v>
      </c>
      <c r="AZ635" s="27" t="s">
        <v>787</v>
      </c>
      <c r="BA635" s="27" t="s">
        <v>1383</v>
      </c>
      <c r="BB635" s="27" t="s">
        <v>448</v>
      </c>
      <c r="BC635" s="29">
        <v>44532</v>
      </c>
      <c r="BD635" s="29">
        <v>44229</v>
      </c>
      <c r="BE635" s="29">
        <v>44228</v>
      </c>
      <c r="BF635" s="27" t="s">
        <v>1802</v>
      </c>
      <c r="BG635" s="27" t="s">
        <v>2080</v>
      </c>
      <c r="BH635" s="30" t="s">
        <v>2081</v>
      </c>
      <c r="BI635" s="28"/>
      <c r="BJ635" s="28"/>
      <c r="BK635" s="28"/>
      <c r="BL635" s="28"/>
      <c r="BM635" s="28"/>
      <c r="BN635" s="28"/>
      <c r="BO635" s="28"/>
      <c r="BP635" s="28"/>
      <c r="BQ635" s="28"/>
      <c r="BR635" s="28"/>
      <c r="BS635" s="28"/>
      <c r="BT635" s="28"/>
      <c r="BU635" s="28"/>
      <c r="BV635" s="28"/>
      <c r="BW635" s="28"/>
      <c r="BX635" s="28"/>
      <c r="FL635" s="33" t="s">
        <v>2082</v>
      </c>
      <c r="FM635" s="33" t="s">
        <v>321</v>
      </c>
    </row>
    <row r="636" spans="1:169" ht="23.25" customHeight="1" x14ac:dyDescent="0.15">
      <c r="A636" s="26">
        <v>44661.468977384255</v>
      </c>
      <c r="B636" s="27" t="s">
        <v>6</v>
      </c>
      <c r="C636" s="27" t="s">
        <v>11</v>
      </c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  <c r="AX636" s="27" t="s">
        <v>2083</v>
      </c>
      <c r="AY636" s="27" t="s">
        <v>2084</v>
      </c>
      <c r="AZ636" s="27" t="s">
        <v>1171</v>
      </c>
      <c r="BA636" s="27" t="s">
        <v>307</v>
      </c>
      <c r="BB636" s="27" t="s">
        <v>308</v>
      </c>
      <c r="BC636" s="29">
        <v>44510</v>
      </c>
      <c r="BD636" s="29">
        <v>44571</v>
      </c>
      <c r="BE636" s="29">
        <v>44571</v>
      </c>
      <c r="BF636" s="31" t="s">
        <v>2085</v>
      </c>
      <c r="BG636" s="27" t="s">
        <v>2086</v>
      </c>
      <c r="BH636" s="30" t="s">
        <v>2087</v>
      </c>
      <c r="BI636" s="28"/>
      <c r="BJ636" s="28"/>
      <c r="BK636" s="28"/>
      <c r="BL636" s="28"/>
      <c r="BM636" s="28"/>
      <c r="BN636" s="28"/>
      <c r="BO636" s="28"/>
      <c r="BP636" s="28"/>
      <c r="BQ636" s="28"/>
      <c r="BR636" s="28"/>
      <c r="BS636" s="28"/>
      <c r="BT636" s="28"/>
      <c r="BU636" s="28"/>
      <c r="BV636" s="28"/>
      <c r="BW636" s="28"/>
      <c r="BX636" s="28"/>
      <c r="FL636" s="33" t="s">
        <v>2088</v>
      </c>
      <c r="FM636" s="33" t="s">
        <v>255</v>
      </c>
    </row>
    <row r="637" spans="1:169" ht="23.25" customHeight="1" x14ac:dyDescent="0.15">
      <c r="A637" s="26">
        <v>44661.474718958329</v>
      </c>
      <c r="B637" s="27" t="s">
        <v>6</v>
      </c>
      <c r="C637" s="27" t="s">
        <v>10</v>
      </c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7" t="s">
        <v>2083</v>
      </c>
      <c r="AO637" s="27" t="s">
        <v>2084</v>
      </c>
      <c r="AP637" s="27" t="s">
        <v>2089</v>
      </c>
      <c r="AQ637" s="27" t="s">
        <v>376</v>
      </c>
      <c r="AR637" s="29">
        <v>44621</v>
      </c>
      <c r="AS637" s="29">
        <v>44742</v>
      </c>
      <c r="AT637" s="27" t="s">
        <v>251</v>
      </c>
      <c r="AU637" s="27" t="s">
        <v>252</v>
      </c>
      <c r="AV637" s="27">
        <v>10000</v>
      </c>
      <c r="AW637" s="30" t="s">
        <v>2090</v>
      </c>
      <c r="AX637" s="28"/>
      <c r="AY637" s="28"/>
      <c r="AZ637" s="28"/>
      <c r="BA637" s="28"/>
      <c r="BB637" s="28"/>
      <c r="BC637" s="28"/>
      <c r="BD637" s="28"/>
      <c r="BE637" s="28"/>
      <c r="BF637" s="28"/>
      <c r="BG637" s="28"/>
      <c r="BH637" s="28"/>
      <c r="BI637" s="28"/>
      <c r="BJ637" s="28"/>
      <c r="BK637" s="28"/>
      <c r="BL637" s="28"/>
      <c r="BM637" s="28"/>
      <c r="BN637" s="28"/>
      <c r="BO637" s="28"/>
      <c r="BP637" s="28"/>
      <c r="BQ637" s="28"/>
      <c r="BR637" s="28"/>
      <c r="BS637" s="28"/>
      <c r="BT637" s="28"/>
      <c r="BU637" s="28"/>
      <c r="BV637" s="28"/>
      <c r="BW637" s="28"/>
      <c r="BX637" s="28"/>
      <c r="FL637" s="33" t="s">
        <v>2088</v>
      </c>
      <c r="FM637" s="33" t="s">
        <v>255</v>
      </c>
    </row>
    <row r="638" spans="1:169" ht="23.25" customHeight="1" x14ac:dyDescent="0.15">
      <c r="A638" s="26">
        <v>44661.476418275459</v>
      </c>
      <c r="B638" s="27" t="s">
        <v>6</v>
      </c>
      <c r="C638" s="27" t="s">
        <v>10</v>
      </c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7" t="s">
        <v>2091</v>
      </c>
      <c r="AO638" s="27" t="s">
        <v>2084</v>
      </c>
      <c r="AP638" s="27" t="s">
        <v>2092</v>
      </c>
      <c r="AQ638" s="27" t="s">
        <v>448</v>
      </c>
      <c r="AR638" s="29">
        <v>44470</v>
      </c>
      <c r="AS638" s="29">
        <v>44561</v>
      </c>
      <c r="AT638" s="27" t="s">
        <v>252</v>
      </c>
      <c r="AU638" s="27" t="s">
        <v>252</v>
      </c>
      <c r="AV638" s="27">
        <v>0</v>
      </c>
      <c r="AW638" s="30" t="s">
        <v>2093</v>
      </c>
      <c r="AX638" s="28"/>
      <c r="AY638" s="28"/>
      <c r="AZ638" s="28"/>
      <c r="BA638" s="28"/>
      <c r="BB638" s="28"/>
      <c r="BC638" s="28"/>
      <c r="BD638" s="28"/>
      <c r="BE638" s="28"/>
      <c r="BF638" s="28"/>
      <c r="BG638" s="28"/>
      <c r="BH638" s="28"/>
      <c r="BI638" s="28"/>
      <c r="BJ638" s="28"/>
      <c r="BK638" s="28"/>
      <c r="BL638" s="28"/>
      <c r="BM638" s="28"/>
      <c r="BN638" s="28"/>
      <c r="BO638" s="28"/>
      <c r="BP638" s="28"/>
      <c r="BQ638" s="28"/>
      <c r="BR638" s="28"/>
      <c r="BS638" s="28"/>
      <c r="BT638" s="28"/>
      <c r="BU638" s="28"/>
      <c r="BV638" s="28"/>
      <c r="BW638" s="28"/>
      <c r="BX638" s="28"/>
      <c r="FL638" s="33" t="s">
        <v>2088</v>
      </c>
      <c r="FM638" s="33" t="s">
        <v>255</v>
      </c>
    </row>
    <row r="639" spans="1:169" ht="23.25" customHeight="1" x14ac:dyDescent="0.15">
      <c r="A639" s="26">
        <v>44661.48131185185</v>
      </c>
      <c r="B639" s="27" t="s">
        <v>6</v>
      </c>
      <c r="C639" s="27" t="s">
        <v>11</v>
      </c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  <c r="AX639" s="27" t="s">
        <v>2083</v>
      </c>
      <c r="AY639" s="27" t="s">
        <v>2084</v>
      </c>
      <c r="AZ639" s="27" t="s">
        <v>2094</v>
      </c>
      <c r="BA639" s="27" t="s">
        <v>897</v>
      </c>
      <c r="BB639" s="27" t="s">
        <v>493</v>
      </c>
      <c r="BC639" s="29">
        <v>44075</v>
      </c>
      <c r="BD639" s="29">
        <v>44105</v>
      </c>
      <c r="BE639" s="29">
        <v>44107</v>
      </c>
      <c r="BF639" s="36">
        <v>0.85</v>
      </c>
      <c r="BG639" s="27" t="s">
        <v>2086</v>
      </c>
      <c r="BH639" s="30" t="s">
        <v>2095</v>
      </c>
      <c r="BI639" s="28"/>
      <c r="BJ639" s="28"/>
      <c r="BK639" s="28"/>
      <c r="BL639" s="28"/>
      <c r="BM639" s="28"/>
      <c r="BN639" s="28"/>
      <c r="BO639" s="28"/>
      <c r="BP639" s="28"/>
      <c r="BQ639" s="28"/>
      <c r="BR639" s="28"/>
      <c r="BS639" s="28"/>
      <c r="BT639" s="28"/>
      <c r="BU639" s="28"/>
      <c r="BV639" s="28"/>
      <c r="BW639" s="28"/>
      <c r="BX639" s="28"/>
      <c r="FL639" s="33" t="s">
        <v>2088</v>
      </c>
      <c r="FM639" s="33" t="s">
        <v>255</v>
      </c>
    </row>
    <row r="640" spans="1:169" ht="23.25" customHeight="1" x14ac:dyDescent="0.15">
      <c r="A640" s="26">
        <v>44661.483054456017</v>
      </c>
      <c r="B640" s="27" t="s">
        <v>6</v>
      </c>
      <c r="C640" s="27" t="s">
        <v>11</v>
      </c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  <c r="AX640" s="27" t="s">
        <v>2083</v>
      </c>
      <c r="AY640" s="27" t="s">
        <v>2084</v>
      </c>
      <c r="AZ640" s="27" t="s">
        <v>2096</v>
      </c>
      <c r="BA640" s="27" t="s">
        <v>2097</v>
      </c>
      <c r="BB640" s="27" t="s">
        <v>308</v>
      </c>
      <c r="BC640" s="29">
        <v>44418</v>
      </c>
      <c r="BD640" s="29">
        <v>44479</v>
      </c>
      <c r="BE640" s="29">
        <v>44479</v>
      </c>
      <c r="BF640" s="36">
        <v>0.9</v>
      </c>
      <c r="BG640" s="27" t="s">
        <v>2086</v>
      </c>
      <c r="BH640" s="30" t="s">
        <v>2098</v>
      </c>
      <c r="BI640" s="28"/>
      <c r="BJ640" s="28"/>
      <c r="BK640" s="28"/>
      <c r="BL640" s="28"/>
      <c r="BM640" s="28"/>
      <c r="BN640" s="28"/>
      <c r="BO640" s="28"/>
      <c r="BP640" s="28"/>
      <c r="BQ640" s="28"/>
      <c r="BR640" s="28"/>
      <c r="BS640" s="28"/>
      <c r="BT640" s="28"/>
      <c r="BU640" s="28"/>
      <c r="BV640" s="28"/>
      <c r="BW640" s="28"/>
      <c r="BX640" s="28"/>
      <c r="FL640" s="33" t="s">
        <v>2088</v>
      </c>
      <c r="FM640" s="33" t="s">
        <v>255</v>
      </c>
    </row>
    <row r="641" spans="1:194" ht="23.25" customHeight="1" x14ac:dyDescent="0.15">
      <c r="A641" s="26">
        <v>44661.63155539352</v>
      </c>
      <c r="B641" s="27" t="s">
        <v>6</v>
      </c>
      <c r="C641" s="27" t="s">
        <v>11</v>
      </c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  <c r="AX641" s="27" t="s">
        <v>2044</v>
      </c>
      <c r="AY641" s="27" t="s">
        <v>2045</v>
      </c>
      <c r="AZ641" s="27" t="s">
        <v>2099</v>
      </c>
      <c r="BA641" s="27" t="s">
        <v>375</v>
      </c>
      <c r="BB641" s="27" t="s">
        <v>448</v>
      </c>
      <c r="BC641" s="29">
        <v>44245</v>
      </c>
      <c r="BD641" s="29">
        <v>44334</v>
      </c>
      <c r="BE641" s="29">
        <v>44356</v>
      </c>
      <c r="BF641" s="27">
        <v>92</v>
      </c>
      <c r="BG641" s="27" t="s">
        <v>1028</v>
      </c>
      <c r="BH641" s="30" t="s">
        <v>2100</v>
      </c>
      <c r="BI641" s="28"/>
      <c r="BJ641" s="28"/>
      <c r="BK641" s="28"/>
      <c r="BL641" s="28"/>
      <c r="BM641" s="28"/>
      <c r="BN641" s="28"/>
      <c r="BO641" s="28"/>
      <c r="BP641" s="28"/>
      <c r="BQ641" s="28"/>
      <c r="BR641" s="28"/>
      <c r="BS641" s="28"/>
      <c r="BT641" s="28"/>
      <c r="BU641" s="28"/>
      <c r="BV641" s="28"/>
      <c r="BW641" s="28"/>
      <c r="BX641" s="28"/>
      <c r="FL641" s="33" t="s">
        <v>2048</v>
      </c>
      <c r="FM641" s="33" t="s">
        <v>255</v>
      </c>
    </row>
    <row r="642" spans="1:194" ht="23.25" customHeight="1" x14ac:dyDescent="0.15">
      <c r="A642" s="26">
        <v>44661.635335393519</v>
      </c>
      <c r="B642" s="27" t="s">
        <v>6</v>
      </c>
      <c r="C642" s="27" t="s">
        <v>17</v>
      </c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  <c r="AX642" s="28"/>
      <c r="AY642" s="28"/>
      <c r="AZ642" s="28"/>
      <c r="BA642" s="28"/>
      <c r="BB642" s="28"/>
      <c r="BC642" s="28"/>
      <c r="BD642" s="28"/>
      <c r="BE642" s="28"/>
      <c r="BF642" s="28"/>
      <c r="BG642" s="28"/>
      <c r="BH642" s="28"/>
      <c r="BI642" s="28"/>
      <c r="BJ642" s="28"/>
      <c r="BK642" s="28"/>
      <c r="BL642" s="28"/>
      <c r="BM642" s="28"/>
      <c r="BN642" s="28"/>
      <c r="BO642" s="28"/>
      <c r="BP642" s="28"/>
      <c r="BQ642" s="28"/>
      <c r="BR642" s="28"/>
      <c r="BS642" s="28"/>
      <c r="BT642" s="28"/>
      <c r="BU642" s="28"/>
      <c r="BV642" s="28"/>
      <c r="BW642" s="28"/>
      <c r="BX642" s="28"/>
      <c r="DX642" s="33" t="s">
        <v>2044</v>
      </c>
      <c r="DY642" s="33" t="s">
        <v>2045</v>
      </c>
      <c r="DZ642" s="33" t="s">
        <v>166</v>
      </c>
      <c r="EA642" s="33" t="s">
        <v>2101</v>
      </c>
      <c r="EB642" s="34">
        <v>44301</v>
      </c>
      <c r="EC642" s="33" t="s">
        <v>982</v>
      </c>
      <c r="ED642" s="35" t="s">
        <v>2102</v>
      </c>
      <c r="FL642" s="33" t="s">
        <v>2048</v>
      </c>
      <c r="FM642" s="33" t="s">
        <v>255</v>
      </c>
    </row>
    <row r="643" spans="1:194" ht="23.25" customHeight="1" x14ac:dyDescent="0.15">
      <c r="A643" s="26">
        <v>44661.637579814815</v>
      </c>
      <c r="B643" s="27" t="s">
        <v>6</v>
      </c>
      <c r="C643" s="27" t="s">
        <v>22</v>
      </c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  <c r="AX643" s="28"/>
      <c r="AY643" s="28"/>
      <c r="AZ643" s="28"/>
      <c r="BA643" s="28"/>
      <c r="BB643" s="28"/>
      <c r="BC643" s="28"/>
      <c r="BD643" s="28"/>
      <c r="BE643" s="28"/>
      <c r="BF643" s="28"/>
      <c r="BG643" s="28"/>
      <c r="BH643" s="28"/>
      <c r="BI643" s="28"/>
      <c r="BJ643" s="28"/>
      <c r="BK643" s="28"/>
      <c r="BL643" s="28"/>
      <c r="BM643" s="28"/>
      <c r="BN643" s="28"/>
      <c r="BO643" s="28"/>
      <c r="BP643" s="28"/>
      <c r="BQ643" s="28"/>
      <c r="BR643" s="28"/>
      <c r="BS643" s="28"/>
      <c r="BT643" s="28"/>
      <c r="BU643" s="28"/>
      <c r="BV643" s="28"/>
      <c r="BW643" s="28"/>
      <c r="BX643" s="28"/>
      <c r="FL643" s="33" t="s">
        <v>2048</v>
      </c>
      <c r="FM643" s="33" t="s">
        <v>255</v>
      </c>
      <c r="GF643" s="33" t="s">
        <v>2044</v>
      </c>
      <c r="GG643" s="33" t="s">
        <v>2045</v>
      </c>
      <c r="GH643" s="33" t="s">
        <v>634</v>
      </c>
      <c r="GI643" s="34">
        <v>44743</v>
      </c>
      <c r="GJ643" s="35" t="s">
        <v>2103</v>
      </c>
      <c r="GK643" s="33" t="s">
        <v>2104</v>
      </c>
      <c r="GL643" s="33" t="s">
        <v>985</v>
      </c>
    </row>
    <row r="644" spans="1:194" ht="23.25" customHeight="1" x14ac:dyDescent="0.15">
      <c r="A644" s="26">
        <v>44661.64102127315</v>
      </c>
      <c r="B644" s="27" t="s">
        <v>6</v>
      </c>
      <c r="C644" s="27" t="s">
        <v>10</v>
      </c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7" t="s">
        <v>2044</v>
      </c>
      <c r="AO644" s="27" t="s">
        <v>2045</v>
      </c>
      <c r="AP644" s="27" t="s">
        <v>634</v>
      </c>
      <c r="AQ644" s="27" t="s">
        <v>448</v>
      </c>
      <c r="AR644" s="29">
        <v>44634</v>
      </c>
      <c r="AS644" s="29">
        <v>44726</v>
      </c>
      <c r="AT644" s="27" t="s">
        <v>252</v>
      </c>
      <c r="AU644" s="27" t="s">
        <v>252</v>
      </c>
      <c r="AV644" s="27">
        <v>0</v>
      </c>
      <c r="AW644" s="30" t="s">
        <v>2105</v>
      </c>
      <c r="AX644" s="28"/>
      <c r="AY644" s="28"/>
      <c r="AZ644" s="28"/>
      <c r="BA644" s="28"/>
      <c r="BB644" s="28"/>
      <c r="BC644" s="28"/>
      <c r="BD644" s="28"/>
      <c r="BE644" s="28"/>
      <c r="BF644" s="28"/>
      <c r="BG644" s="28"/>
      <c r="BH644" s="28"/>
      <c r="BI644" s="28"/>
      <c r="BJ644" s="28"/>
      <c r="BK644" s="28"/>
      <c r="BL644" s="28"/>
      <c r="BM644" s="28"/>
      <c r="BN644" s="28"/>
      <c r="BO644" s="28"/>
      <c r="BP644" s="28"/>
      <c r="BQ644" s="28"/>
      <c r="BR644" s="28"/>
      <c r="BS644" s="28"/>
      <c r="BT644" s="28"/>
      <c r="BU644" s="28"/>
      <c r="BV644" s="28"/>
      <c r="BW644" s="28"/>
      <c r="BX644" s="28"/>
      <c r="FL644" s="33" t="s">
        <v>2048</v>
      </c>
      <c r="FM644" s="33" t="s">
        <v>255</v>
      </c>
    </row>
    <row r="645" spans="1:194" ht="23.25" customHeight="1" x14ac:dyDescent="0.15">
      <c r="A645" s="26">
        <v>44661.642612141208</v>
      </c>
      <c r="B645" s="27" t="s">
        <v>6</v>
      </c>
      <c r="C645" s="27" t="s">
        <v>11</v>
      </c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  <c r="AX645" s="27" t="s">
        <v>2106</v>
      </c>
      <c r="AY645" s="27" t="s">
        <v>2107</v>
      </c>
      <c r="AZ645" s="27" t="s">
        <v>497</v>
      </c>
      <c r="BA645" s="27" t="s">
        <v>579</v>
      </c>
      <c r="BB645" s="27" t="s">
        <v>493</v>
      </c>
      <c r="BC645" s="29">
        <v>44512</v>
      </c>
      <c r="BD645" s="29">
        <v>44542</v>
      </c>
      <c r="BE645" s="29">
        <v>44542</v>
      </c>
      <c r="BF645" s="36">
        <v>100</v>
      </c>
      <c r="BG645" s="27" t="s">
        <v>580</v>
      </c>
      <c r="BH645" s="30" t="s">
        <v>2108</v>
      </c>
      <c r="BI645" s="28"/>
      <c r="BJ645" s="28"/>
      <c r="BK645" s="28"/>
      <c r="BL645" s="28"/>
      <c r="BM645" s="28"/>
      <c r="BN645" s="28"/>
      <c r="BO645" s="28"/>
      <c r="BP645" s="28"/>
      <c r="BQ645" s="28"/>
      <c r="BR645" s="28"/>
      <c r="BS645" s="28"/>
      <c r="BT645" s="28"/>
      <c r="BU645" s="28"/>
      <c r="BV645" s="28"/>
      <c r="BW645" s="28"/>
      <c r="BX645" s="28"/>
      <c r="FL645" s="33" t="s">
        <v>2109</v>
      </c>
      <c r="FM645" s="33" t="s">
        <v>321</v>
      </c>
    </row>
    <row r="646" spans="1:194" ht="23.25" customHeight="1" x14ac:dyDescent="0.15">
      <c r="A646" s="26">
        <v>44661.6455531713</v>
      </c>
      <c r="B646" s="27" t="s">
        <v>6</v>
      </c>
      <c r="C646" s="27" t="s">
        <v>22</v>
      </c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  <c r="AX646" s="28"/>
      <c r="AY646" s="28"/>
      <c r="AZ646" s="28"/>
      <c r="BA646" s="28"/>
      <c r="BB646" s="28"/>
      <c r="BC646" s="28"/>
      <c r="BD646" s="28"/>
      <c r="BE646" s="28"/>
      <c r="BF646" s="28"/>
      <c r="BG646" s="28"/>
      <c r="BH646" s="28"/>
      <c r="BI646" s="28"/>
      <c r="BJ646" s="28"/>
      <c r="BK646" s="28"/>
      <c r="BL646" s="28"/>
      <c r="BM646" s="28"/>
      <c r="BN646" s="28"/>
      <c r="BO646" s="28"/>
      <c r="BP646" s="28"/>
      <c r="BQ646" s="28"/>
      <c r="BR646" s="28"/>
      <c r="BS646" s="28"/>
      <c r="BT646" s="28"/>
      <c r="BU646" s="28"/>
      <c r="BV646" s="28"/>
      <c r="BW646" s="28"/>
      <c r="BX646" s="28"/>
      <c r="FL646" s="33" t="s">
        <v>2048</v>
      </c>
      <c r="FM646" s="33" t="s">
        <v>255</v>
      </c>
      <c r="GF646" s="33" t="s">
        <v>2044</v>
      </c>
      <c r="GG646" s="33" t="s">
        <v>2045</v>
      </c>
      <c r="GH646" s="33" t="s">
        <v>249</v>
      </c>
      <c r="GI646" s="34">
        <v>44743</v>
      </c>
      <c r="GJ646" s="35" t="s">
        <v>2110</v>
      </c>
      <c r="GK646" s="33" t="s">
        <v>2104</v>
      </c>
      <c r="GL646" s="33" t="s">
        <v>1515</v>
      </c>
    </row>
    <row r="647" spans="1:194" ht="23.25" customHeight="1" x14ac:dyDescent="0.15">
      <c r="A647" s="26">
        <v>44661.649974641201</v>
      </c>
      <c r="B647" s="27" t="s">
        <v>6</v>
      </c>
      <c r="C647" s="27" t="s">
        <v>11</v>
      </c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  <c r="AX647" s="27" t="s">
        <v>2111</v>
      </c>
      <c r="AY647" s="27" t="s">
        <v>2107</v>
      </c>
      <c r="AZ647" s="27" t="s">
        <v>666</v>
      </c>
      <c r="BA647" s="27" t="s">
        <v>2112</v>
      </c>
      <c r="BB647" s="27" t="s">
        <v>493</v>
      </c>
      <c r="BC647" s="29">
        <v>44512</v>
      </c>
      <c r="BD647" s="29">
        <v>44542</v>
      </c>
      <c r="BE647" s="29">
        <v>44542</v>
      </c>
      <c r="BF647" s="36">
        <v>100</v>
      </c>
      <c r="BG647" s="27" t="s">
        <v>580</v>
      </c>
      <c r="BH647" s="30" t="s">
        <v>2113</v>
      </c>
      <c r="BI647" s="28"/>
      <c r="BJ647" s="28"/>
      <c r="BK647" s="28"/>
      <c r="BL647" s="28"/>
      <c r="BM647" s="28"/>
      <c r="BN647" s="28"/>
      <c r="BO647" s="28"/>
      <c r="BP647" s="28"/>
      <c r="BQ647" s="28"/>
      <c r="BR647" s="28"/>
      <c r="BS647" s="28"/>
      <c r="BT647" s="28"/>
      <c r="BU647" s="28"/>
      <c r="BV647" s="28"/>
      <c r="BW647" s="28"/>
      <c r="BX647" s="28"/>
      <c r="FL647" s="33" t="s">
        <v>2109</v>
      </c>
      <c r="FM647" s="33" t="s">
        <v>273</v>
      </c>
    </row>
    <row r="648" spans="1:194" ht="23.25" customHeight="1" x14ac:dyDescent="0.15">
      <c r="A648" s="26">
        <v>44661.663180717587</v>
      </c>
      <c r="B648" s="27" t="s">
        <v>6</v>
      </c>
      <c r="C648" s="27" t="s">
        <v>11</v>
      </c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  <c r="AX648" s="27" t="s">
        <v>2111</v>
      </c>
      <c r="AY648" s="27" t="s">
        <v>2107</v>
      </c>
      <c r="AZ648" s="27" t="s">
        <v>1348</v>
      </c>
      <c r="BA648" s="27" t="s">
        <v>1383</v>
      </c>
      <c r="BB648" s="27" t="s">
        <v>2114</v>
      </c>
      <c r="BC648" s="29">
        <v>43921</v>
      </c>
      <c r="BD648" s="29">
        <v>43951</v>
      </c>
      <c r="BE648" s="29">
        <v>43951</v>
      </c>
      <c r="BF648" s="36">
        <v>920</v>
      </c>
      <c r="BG648" s="27" t="s">
        <v>1350</v>
      </c>
      <c r="BH648" s="30" t="s">
        <v>2115</v>
      </c>
      <c r="BI648" s="28"/>
      <c r="BJ648" s="28"/>
      <c r="BK648" s="28"/>
      <c r="BL648" s="28"/>
      <c r="BM648" s="28"/>
      <c r="BN648" s="28"/>
      <c r="BO648" s="28"/>
      <c r="BP648" s="28"/>
      <c r="BQ648" s="28"/>
      <c r="BR648" s="28"/>
      <c r="BS648" s="28"/>
      <c r="BT648" s="28"/>
      <c r="BU648" s="28"/>
      <c r="BV648" s="28"/>
      <c r="BW648" s="28"/>
      <c r="BX648" s="28"/>
      <c r="FL648" s="33" t="s">
        <v>2109</v>
      </c>
      <c r="FM648" s="33" t="s">
        <v>321</v>
      </c>
    </row>
    <row r="649" spans="1:194" ht="23.25" customHeight="1" x14ac:dyDescent="0.15">
      <c r="A649" s="26">
        <v>44661.673726516208</v>
      </c>
      <c r="B649" s="27" t="s">
        <v>6</v>
      </c>
      <c r="C649" s="27" t="s">
        <v>11</v>
      </c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  <c r="AX649" s="27" t="s">
        <v>2111</v>
      </c>
      <c r="AY649" s="27" t="s">
        <v>2107</v>
      </c>
      <c r="AZ649" s="27" t="s">
        <v>2116</v>
      </c>
      <c r="BA649" s="27" t="s">
        <v>2117</v>
      </c>
      <c r="BB649" s="27" t="s">
        <v>2118</v>
      </c>
      <c r="BC649" s="29">
        <v>43694</v>
      </c>
      <c r="BD649" s="29">
        <v>43695</v>
      </c>
      <c r="BE649" s="29">
        <v>43695</v>
      </c>
      <c r="BF649" s="27" t="s">
        <v>2119</v>
      </c>
      <c r="BG649" s="27" t="s">
        <v>1377</v>
      </c>
      <c r="BH649" s="30" t="s">
        <v>2120</v>
      </c>
      <c r="BI649" s="28"/>
      <c r="BJ649" s="28"/>
      <c r="BK649" s="28"/>
      <c r="BL649" s="28"/>
      <c r="BM649" s="28"/>
      <c r="BN649" s="28"/>
      <c r="BO649" s="28"/>
      <c r="BP649" s="28"/>
      <c r="BQ649" s="28"/>
      <c r="BR649" s="28"/>
      <c r="BS649" s="28"/>
      <c r="BT649" s="28"/>
      <c r="BU649" s="28"/>
      <c r="BV649" s="28"/>
      <c r="BW649" s="28"/>
      <c r="BX649" s="28"/>
      <c r="FL649" s="33" t="s">
        <v>2109</v>
      </c>
      <c r="FM649" s="33" t="s">
        <v>552</v>
      </c>
    </row>
    <row r="650" spans="1:194" ht="23.25" customHeight="1" x14ac:dyDescent="0.15">
      <c r="A650" s="26">
        <v>44661.67936425926</v>
      </c>
      <c r="B650" s="27" t="s">
        <v>6</v>
      </c>
      <c r="C650" s="27" t="s">
        <v>12</v>
      </c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  <c r="AX650" s="28"/>
      <c r="AY650" s="28"/>
      <c r="AZ650" s="28"/>
      <c r="BA650" s="28"/>
      <c r="BB650" s="28"/>
      <c r="BC650" s="28"/>
      <c r="BD650" s="28"/>
      <c r="BE650" s="28"/>
      <c r="BF650" s="28"/>
      <c r="BG650" s="28"/>
      <c r="BH650" s="28"/>
      <c r="BI650" s="27" t="s">
        <v>2121</v>
      </c>
      <c r="BJ650" s="27" t="s">
        <v>2122</v>
      </c>
      <c r="BK650" s="27" t="s">
        <v>166</v>
      </c>
      <c r="BL650" s="27" t="s">
        <v>1285</v>
      </c>
      <c r="BM650" s="27" t="s">
        <v>2123</v>
      </c>
      <c r="BN650" s="27">
        <v>6</v>
      </c>
      <c r="BO650" s="29">
        <v>44382</v>
      </c>
      <c r="BP650" s="29">
        <v>44387</v>
      </c>
      <c r="BQ650" s="27" t="s">
        <v>2124</v>
      </c>
      <c r="BR650" s="27" t="s">
        <v>2125</v>
      </c>
      <c r="BS650" s="27" t="s">
        <v>171</v>
      </c>
      <c r="BT650" s="27" t="s">
        <v>151</v>
      </c>
      <c r="BU650" s="28"/>
      <c r="BV650" s="30" t="s">
        <v>2126</v>
      </c>
      <c r="BW650" s="28"/>
      <c r="BX650" s="28"/>
      <c r="FL650" s="33" t="s">
        <v>2127</v>
      </c>
      <c r="FM650" s="33" t="s">
        <v>255</v>
      </c>
    </row>
    <row r="651" spans="1:194" ht="23.25" customHeight="1" x14ac:dyDescent="0.15">
      <c r="A651" s="26">
        <v>44661.681819641206</v>
      </c>
      <c r="B651" s="27" t="s">
        <v>6</v>
      </c>
      <c r="C651" s="27" t="s">
        <v>11</v>
      </c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  <c r="AX651" s="27" t="s">
        <v>2111</v>
      </c>
      <c r="AY651" s="27" t="s">
        <v>2107</v>
      </c>
      <c r="AZ651" s="27" t="s">
        <v>1974</v>
      </c>
      <c r="BA651" s="27" t="s">
        <v>1975</v>
      </c>
      <c r="BB651" s="27" t="s">
        <v>191</v>
      </c>
      <c r="BC651" s="29">
        <v>43976</v>
      </c>
      <c r="BD651" s="29">
        <v>43976</v>
      </c>
      <c r="BE651" s="29">
        <v>43976</v>
      </c>
      <c r="BF651" s="36">
        <v>1</v>
      </c>
      <c r="BG651" s="27" t="s">
        <v>1377</v>
      </c>
      <c r="BH651" s="30" t="s">
        <v>2128</v>
      </c>
      <c r="BI651" s="28"/>
      <c r="BJ651" s="28"/>
      <c r="BK651" s="28"/>
      <c r="BL651" s="28"/>
      <c r="BM651" s="28"/>
      <c r="BN651" s="28"/>
      <c r="BO651" s="28"/>
      <c r="BP651" s="28"/>
      <c r="BQ651" s="28"/>
      <c r="BR651" s="28"/>
      <c r="BS651" s="28"/>
      <c r="BT651" s="28"/>
      <c r="BU651" s="28"/>
      <c r="BV651" s="28"/>
      <c r="BW651" s="28"/>
      <c r="BX651" s="28"/>
      <c r="FL651" s="33" t="s">
        <v>2109</v>
      </c>
      <c r="FM651" s="33" t="s">
        <v>321</v>
      </c>
    </row>
    <row r="652" spans="1:194" ht="23.25" customHeight="1" x14ac:dyDescent="0.15">
      <c r="A652" s="26">
        <v>44661.686404537038</v>
      </c>
      <c r="B652" s="27" t="s">
        <v>6</v>
      </c>
      <c r="C652" s="27" t="s">
        <v>10</v>
      </c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7" t="s">
        <v>2121</v>
      </c>
      <c r="AO652" s="27" t="s">
        <v>2122</v>
      </c>
      <c r="AP652" s="27" t="s">
        <v>2129</v>
      </c>
      <c r="AQ652" s="27" t="s">
        <v>448</v>
      </c>
      <c r="AR652" s="29">
        <v>44470</v>
      </c>
      <c r="AS652" s="29">
        <v>44561</v>
      </c>
      <c r="AT652" s="27" t="s">
        <v>252</v>
      </c>
      <c r="AU652" s="27" t="s">
        <v>252</v>
      </c>
      <c r="AV652" s="27">
        <v>0</v>
      </c>
      <c r="AW652" s="30" t="s">
        <v>2130</v>
      </c>
      <c r="AX652" s="28"/>
      <c r="AY652" s="28"/>
      <c r="AZ652" s="28"/>
      <c r="BA652" s="28"/>
      <c r="BB652" s="28"/>
      <c r="BC652" s="28"/>
      <c r="BD652" s="28"/>
      <c r="BE652" s="28"/>
      <c r="BF652" s="28"/>
      <c r="BG652" s="28"/>
      <c r="BH652" s="28"/>
      <c r="BI652" s="28"/>
      <c r="BJ652" s="28"/>
      <c r="BK652" s="28"/>
      <c r="BL652" s="28"/>
      <c r="BM652" s="28"/>
      <c r="BN652" s="28"/>
      <c r="BO652" s="28"/>
      <c r="BP652" s="28"/>
      <c r="BQ652" s="28"/>
      <c r="BR652" s="28"/>
      <c r="BS652" s="28"/>
      <c r="BT652" s="28"/>
      <c r="BU652" s="28"/>
      <c r="BV652" s="28"/>
      <c r="BW652" s="28"/>
      <c r="BX652" s="28"/>
      <c r="FL652" s="33" t="s">
        <v>2127</v>
      </c>
      <c r="FM652" s="33" t="s">
        <v>255</v>
      </c>
    </row>
    <row r="653" spans="1:194" ht="23.25" customHeight="1" x14ac:dyDescent="0.15">
      <c r="A653" s="26">
        <v>44661.687247986112</v>
      </c>
      <c r="B653" s="27" t="s">
        <v>6</v>
      </c>
      <c r="C653" s="27" t="s">
        <v>22</v>
      </c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  <c r="AX653" s="28"/>
      <c r="AY653" s="28"/>
      <c r="AZ653" s="28"/>
      <c r="BA653" s="28"/>
      <c r="BB653" s="28"/>
      <c r="BC653" s="28"/>
      <c r="BD653" s="28"/>
      <c r="BE653" s="28"/>
      <c r="BF653" s="28"/>
      <c r="BG653" s="28"/>
      <c r="BH653" s="28"/>
      <c r="BI653" s="28"/>
      <c r="BJ653" s="28"/>
      <c r="BK653" s="28"/>
      <c r="BL653" s="28"/>
      <c r="BM653" s="28"/>
      <c r="BN653" s="28"/>
      <c r="BO653" s="28"/>
      <c r="BP653" s="28"/>
      <c r="BQ653" s="28"/>
      <c r="BR653" s="28"/>
      <c r="BS653" s="28"/>
      <c r="BT653" s="28"/>
      <c r="BU653" s="28"/>
      <c r="BV653" s="28"/>
      <c r="BW653" s="28"/>
      <c r="BX653" s="28"/>
      <c r="FL653" s="33" t="s">
        <v>2127</v>
      </c>
      <c r="FM653" s="33" t="s">
        <v>255</v>
      </c>
      <c r="GF653" s="33" t="s">
        <v>2121</v>
      </c>
      <c r="GG653" s="33" t="s">
        <v>2122</v>
      </c>
      <c r="GH653" s="33" t="s">
        <v>634</v>
      </c>
      <c r="GI653" s="34">
        <v>44641</v>
      </c>
      <c r="GJ653" s="35" t="s">
        <v>2131</v>
      </c>
      <c r="GK653" s="33" t="s">
        <v>2132</v>
      </c>
      <c r="GL653" s="33">
        <v>3.5</v>
      </c>
    </row>
    <row r="654" spans="1:194" ht="23.25" customHeight="1" x14ac:dyDescent="0.15">
      <c r="A654" s="26">
        <v>44661.687520717591</v>
      </c>
      <c r="B654" s="27" t="s">
        <v>6</v>
      </c>
      <c r="C654" s="27" t="s">
        <v>11</v>
      </c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  <c r="AX654" s="27" t="s">
        <v>2111</v>
      </c>
      <c r="AY654" s="27" t="s">
        <v>2107</v>
      </c>
      <c r="AZ654" s="27" t="s">
        <v>2133</v>
      </c>
      <c r="BA654" s="27" t="s">
        <v>2134</v>
      </c>
      <c r="BB654" s="27" t="s">
        <v>2135</v>
      </c>
      <c r="BC654" s="29">
        <v>43896</v>
      </c>
      <c r="BD654" s="29">
        <v>43896</v>
      </c>
      <c r="BE654" s="29">
        <v>43896</v>
      </c>
      <c r="BF654" s="36">
        <v>0.95</v>
      </c>
      <c r="BG654" s="27" t="s">
        <v>1377</v>
      </c>
      <c r="BH654" s="30" t="s">
        <v>2136</v>
      </c>
      <c r="BI654" s="28"/>
      <c r="BJ654" s="28"/>
      <c r="BK654" s="28"/>
      <c r="BL654" s="28"/>
      <c r="BM654" s="28"/>
      <c r="BN654" s="28"/>
      <c r="BO654" s="28"/>
      <c r="BP654" s="28"/>
      <c r="BQ654" s="28"/>
      <c r="BR654" s="28"/>
      <c r="BS654" s="28"/>
      <c r="BT654" s="28"/>
      <c r="BU654" s="28"/>
      <c r="BV654" s="28"/>
      <c r="BW654" s="28"/>
      <c r="BX654" s="28"/>
      <c r="FL654" s="33" t="s">
        <v>2109</v>
      </c>
      <c r="FM654" s="33" t="s">
        <v>321</v>
      </c>
    </row>
    <row r="655" spans="1:194" ht="23.25" customHeight="1" x14ac:dyDescent="0.15">
      <c r="A655" s="26">
        <v>44661.693306770831</v>
      </c>
      <c r="B655" s="27" t="s">
        <v>6</v>
      </c>
      <c r="C655" s="27" t="s">
        <v>11</v>
      </c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  <c r="AX655" s="27" t="s">
        <v>2111</v>
      </c>
      <c r="AY655" s="27" t="s">
        <v>2107</v>
      </c>
      <c r="AZ655" s="27" t="s">
        <v>1071</v>
      </c>
      <c r="BA655" s="27" t="s">
        <v>2137</v>
      </c>
      <c r="BB655" s="27" t="s">
        <v>656</v>
      </c>
      <c r="BC655" s="29">
        <v>43979</v>
      </c>
      <c r="BD655" s="29">
        <v>44709</v>
      </c>
      <c r="BE655" s="29">
        <v>43979</v>
      </c>
      <c r="BF655" s="36">
        <v>0.92</v>
      </c>
      <c r="BG655" s="27" t="s">
        <v>1377</v>
      </c>
      <c r="BH655" s="30" t="s">
        <v>2138</v>
      </c>
      <c r="BI655" s="28"/>
      <c r="BJ655" s="28"/>
      <c r="BK655" s="28"/>
      <c r="BL655" s="28"/>
      <c r="BM655" s="28"/>
      <c r="BN655" s="28"/>
      <c r="BO655" s="28"/>
      <c r="BP655" s="28"/>
      <c r="BQ655" s="28"/>
      <c r="BR655" s="28"/>
      <c r="BS655" s="28"/>
      <c r="BT655" s="28"/>
      <c r="BU655" s="28"/>
      <c r="BV655" s="28"/>
      <c r="BW655" s="28"/>
      <c r="BX655" s="28"/>
      <c r="FL655" s="33" t="s">
        <v>2109</v>
      </c>
      <c r="FM655" s="33" t="s">
        <v>321</v>
      </c>
    </row>
    <row r="656" spans="1:194" ht="23.25" customHeight="1" x14ac:dyDescent="0.15">
      <c r="A656" s="26">
        <v>44661.710628738423</v>
      </c>
      <c r="B656" s="27" t="s">
        <v>6</v>
      </c>
      <c r="C656" s="27" t="s">
        <v>11</v>
      </c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  <c r="AX656" s="27" t="s">
        <v>2111</v>
      </c>
      <c r="AY656" s="27" t="s">
        <v>2107</v>
      </c>
      <c r="AZ656" s="27" t="s">
        <v>349</v>
      </c>
      <c r="BA656" s="27" t="s">
        <v>407</v>
      </c>
      <c r="BB656" s="27" t="s">
        <v>308</v>
      </c>
      <c r="BC656" s="29">
        <v>43587</v>
      </c>
      <c r="BD656" s="29">
        <v>43664</v>
      </c>
      <c r="BE656" s="29">
        <v>43676</v>
      </c>
      <c r="BF656" s="36">
        <v>0.89</v>
      </c>
      <c r="BG656" s="31" t="s">
        <v>2139</v>
      </c>
      <c r="BH656" s="30" t="s">
        <v>2140</v>
      </c>
      <c r="BI656" s="28"/>
      <c r="BJ656" s="28"/>
      <c r="BK656" s="28"/>
      <c r="BL656" s="28"/>
      <c r="BM656" s="28"/>
      <c r="BN656" s="28"/>
      <c r="BO656" s="28"/>
      <c r="BP656" s="28"/>
      <c r="BQ656" s="28"/>
      <c r="BR656" s="28"/>
      <c r="BS656" s="28"/>
      <c r="BT656" s="28"/>
      <c r="BU656" s="28"/>
      <c r="BV656" s="28"/>
      <c r="BW656" s="28"/>
      <c r="BX656" s="28"/>
      <c r="FL656" s="33" t="s">
        <v>2109</v>
      </c>
      <c r="FM656" s="33" t="s">
        <v>380</v>
      </c>
    </row>
    <row r="657" spans="1:194" ht="23.25" customHeight="1" x14ac:dyDescent="0.15">
      <c r="A657" s="26">
        <v>44661.719370694445</v>
      </c>
      <c r="B657" s="27" t="s">
        <v>6</v>
      </c>
      <c r="C657" s="27" t="s">
        <v>11</v>
      </c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  <c r="AX657" s="27" t="s">
        <v>2141</v>
      </c>
      <c r="AY657" s="27" t="s">
        <v>2107</v>
      </c>
      <c r="AZ657" s="27" t="s">
        <v>978</v>
      </c>
      <c r="BA657" s="27" t="s">
        <v>335</v>
      </c>
      <c r="BB657" s="27" t="s">
        <v>376</v>
      </c>
      <c r="BC657" s="29">
        <v>43472</v>
      </c>
      <c r="BD657" s="29">
        <v>43563</v>
      </c>
      <c r="BE657" s="29">
        <v>43567</v>
      </c>
      <c r="BF657" s="36">
        <v>90</v>
      </c>
      <c r="BG657" s="27" t="s">
        <v>1977</v>
      </c>
      <c r="BH657" s="30" t="s">
        <v>2142</v>
      </c>
      <c r="BI657" s="28"/>
      <c r="BJ657" s="28"/>
      <c r="BK657" s="28"/>
      <c r="BL657" s="28"/>
      <c r="BM657" s="28"/>
      <c r="BN657" s="28"/>
      <c r="BO657" s="28"/>
      <c r="BP657" s="28"/>
      <c r="BQ657" s="28"/>
      <c r="BR657" s="28"/>
      <c r="BS657" s="28"/>
      <c r="BT657" s="28"/>
      <c r="BU657" s="28"/>
      <c r="BV657" s="28"/>
      <c r="BW657" s="28"/>
      <c r="BX657" s="28"/>
      <c r="FL657" s="33" t="s">
        <v>2109</v>
      </c>
      <c r="FM657" s="33" t="s">
        <v>380</v>
      </c>
    </row>
    <row r="658" spans="1:194" ht="23.25" customHeight="1" x14ac:dyDescent="0.15">
      <c r="A658" s="26">
        <v>44661.769573055557</v>
      </c>
      <c r="B658" s="27" t="s">
        <v>6</v>
      </c>
      <c r="C658" s="27" t="s">
        <v>11</v>
      </c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  <c r="AX658" s="27" t="s">
        <v>2143</v>
      </c>
      <c r="AY658" s="27" t="s">
        <v>2144</v>
      </c>
      <c r="AZ658" s="27" t="s">
        <v>2145</v>
      </c>
      <c r="BA658" s="27" t="s">
        <v>2146</v>
      </c>
      <c r="BB658" s="27" t="s">
        <v>493</v>
      </c>
      <c r="BC658" s="29">
        <v>43554</v>
      </c>
      <c r="BD658" s="29">
        <v>43585</v>
      </c>
      <c r="BE658" s="29">
        <v>43584</v>
      </c>
      <c r="BF658" s="27">
        <v>96</v>
      </c>
      <c r="BG658" s="27" t="s">
        <v>765</v>
      </c>
      <c r="BH658" s="30" t="s">
        <v>2147</v>
      </c>
      <c r="BI658" s="28"/>
      <c r="BJ658" s="28"/>
      <c r="BK658" s="28"/>
      <c r="BL658" s="28"/>
      <c r="BM658" s="28"/>
      <c r="BN658" s="28"/>
      <c r="BO658" s="28"/>
      <c r="BP658" s="28"/>
      <c r="BQ658" s="28"/>
      <c r="BR658" s="28"/>
      <c r="BS658" s="28"/>
      <c r="BT658" s="28"/>
      <c r="BU658" s="28"/>
      <c r="BV658" s="28"/>
      <c r="BW658" s="28"/>
      <c r="BX658" s="28"/>
      <c r="FL658" s="33" t="s">
        <v>2148</v>
      </c>
      <c r="FM658" s="33" t="s">
        <v>255</v>
      </c>
    </row>
    <row r="659" spans="1:194" ht="23.25" customHeight="1" x14ac:dyDescent="0.15">
      <c r="A659" s="26">
        <v>44661.770289884254</v>
      </c>
      <c r="B659" s="27" t="s">
        <v>7</v>
      </c>
      <c r="C659" s="27" t="s">
        <v>10</v>
      </c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7" t="s">
        <v>2149</v>
      </c>
      <c r="AO659" s="27" t="s">
        <v>2150</v>
      </c>
      <c r="AP659" s="27" t="s">
        <v>441</v>
      </c>
      <c r="AQ659" s="27" t="s">
        <v>448</v>
      </c>
      <c r="AR659" s="29">
        <v>44479</v>
      </c>
      <c r="AS659" s="29">
        <v>44540</v>
      </c>
      <c r="AT659" s="27" t="s">
        <v>252</v>
      </c>
      <c r="AU659" s="27" t="s">
        <v>252</v>
      </c>
      <c r="AV659" s="27">
        <v>0</v>
      </c>
      <c r="AW659" s="30" t="s">
        <v>2151</v>
      </c>
      <c r="AX659" s="28"/>
      <c r="AY659" s="28"/>
      <c r="AZ659" s="28"/>
      <c r="BA659" s="28"/>
      <c r="BB659" s="28"/>
      <c r="BC659" s="28"/>
      <c r="BD659" s="28"/>
      <c r="BE659" s="28"/>
      <c r="BF659" s="28"/>
      <c r="BG659" s="28"/>
      <c r="BH659" s="28"/>
      <c r="BI659" s="28"/>
      <c r="BJ659" s="28"/>
      <c r="BK659" s="28"/>
      <c r="BL659" s="28"/>
      <c r="BM659" s="28"/>
      <c r="BN659" s="28"/>
      <c r="BO659" s="28"/>
      <c r="BP659" s="28"/>
      <c r="BQ659" s="28"/>
      <c r="BR659" s="28"/>
      <c r="BS659" s="28"/>
      <c r="BT659" s="28"/>
      <c r="BU659" s="28"/>
      <c r="BV659" s="28"/>
      <c r="BW659" s="28"/>
      <c r="BX659" s="28"/>
      <c r="FL659" s="33" t="s">
        <v>2152</v>
      </c>
      <c r="FM659" s="33" t="s">
        <v>278</v>
      </c>
    </row>
    <row r="660" spans="1:194" ht="23.25" customHeight="1" x14ac:dyDescent="0.15">
      <c r="A660" s="26">
        <v>44661.771695787036</v>
      </c>
      <c r="B660" s="27" t="s">
        <v>6</v>
      </c>
      <c r="C660" s="27" t="s">
        <v>11</v>
      </c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  <c r="AX660" s="27" t="s">
        <v>2143</v>
      </c>
      <c r="AY660" s="27" t="s">
        <v>2144</v>
      </c>
      <c r="AZ660" s="27" t="s">
        <v>2153</v>
      </c>
      <c r="BA660" s="27" t="s">
        <v>2146</v>
      </c>
      <c r="BB660" s="27" t="s">
        <v>493</v>
      </c>
      <c r="BC660" s="29">
        <v>44312</v>
      </c>
      <c r="BD660" s="29">
        <v>44312</v>
      </c>
      <c r="BE660" s="29">
        <v>44311</v>
      </c>
      <c r="BF660" s="27">
        <v>91</v>
      </c>
      <c r="BG660" s="27" t="s">
        <v>1267</v>
      </c>
      <c r="BH660" s="30" t="s">
        <v>2154</v>
      </c>
      <c r="BI660" s="28"/>
      <c r="BJ660" s="28"/>
      <c r="BK660" s="28"/>
      <c r="BL660" s="28"/>
      <c r="BM660" s="28"/>
      <c r="BN660" s="28"/>
      <c r="BO660" s="28"/>
      <c r="BP660" s="28"/>
      <c r="BQ660" s="28"/>
      <c r="BR660" s="28"/>
      <c r="BS660" s="28"/>
      <c r="BT660" s="28"/>
      <c r="BU660" s="28"/>
      <c r="BV660" s="28"/>
      <c r="BW660" s="28"/>
      <c r="BX660" s="28"/>
      <c r="FL660" s="33" t="s">
        <v>2148</v>
      </c>
      <c r="FM660" s="33" t="s">
        <v>255</v>
      </c>
    </row>
    <row r="661" spans="1:194" ht="23.25" customHeight="1" x14ac:dyDescent="0.15">
      <c r="A661" s="26">
        <v>44661.773486678241</v>
      </c>
      <c r="B661" s="27" t="s">
        <v>6</v>
      </c>
      <c r="C661" s="27" t="s">
        <v>11</v>
      </c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  <c r="AX661" s="27" t="s">
        <v>2143</v>
      </c>
      <c r="AY661" s="27" t="s">
        <v>2144</v>
      </c>
      <c r="AZ661" s="27" t="s">
        <v>1260</v>
      </c>
      <c r="BA661" s="27" t="s">
        <v>2146</v>
      </c>
      <c r="BB661" s="27" t="s">
        <v>493</v>
      </c>
      <c r="BC661" s="29">
        <v>44348</v>
      </c>
      <c r="BD661" s="29">
        <v>44378</v>
      </c>
      <c r="BE661" s="29">
        <v>44377</v>
      </c>
      <c r="BF661" s="27">
        <v>93</v>
      </c>
      <c r="BG661" s="27" t="s">
        <v>1267</v>
      </c>
      <c r="BH661" s="30" t="s">
        <v>2155</v>
      </c>
      <c r="BI661" s="28"/>
      <c r="BJ661" s="28"/>
      <c r="BK661" s="28"/>
      <c r="BL661" s="28"/>
      <c r="BM661" s="28"/>
      <c r="BN661" s="28"/>
      <c r="BO661" s="28"/>
      <c r="BP661" s="28"/>
      <c r="BQ661" s="28"/>
      <c r="BR661" s="28"/>
      <c r="BS661" s="28"/>
      <c r="BT661" s="28"/>
      <c r="BU661" s="28"/>
      <c r="BV661" s="28"/>
      <c r="BW661" s="28"/>
      <c r="BX661" s="28"/>
      <c r="FL661" s="33" t="s">
        <v>2148</v>
      </c>
      <c r="FM661" s="33" t="s">
        <v>255</v>
      </c>
    </row>
    <row r="662" spans="1:194" ht="23.25" customHeight="1" x14ac:dyDescent="0.15">
      <c r="A662" s="26">
        <v>44661.774875601855</v>
      </c>
      <c r="B662" s="27" t="s">
        <v>6</v>
      </c>
      <c r="C662" s="27" t="s">
        <v>11</v>
      </c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  <c r="AX662" s="27" t="s">
        <v>2143</v>
      </c>
      <c r="AY662" s="27" t="s">
        <v>2144</v>
      </c>
      <c r="AZ662" s="27" t="s">
        <v>2156</v>
      </c>
      <c r="BA662" s="27" t="s">
        <v>2146</v>
      </c>
      <c r="BB662" s="27" t="s">
        <v>493</v>
      </c>
      <c r="BC662" s="29">
        <v>44422</v>
      </c>
      <c r="BD662" s="29">
        <v>44453</v>
      </c>
      <c r="BE662" s="29">
        <v>44452</v>
      </c>
      <c r="BF662" s="27">
        <v>94</v>
      </c>
      <c r="BG662" s="27" t="s">
        <v>1267</v>
      </c>
      <c r="BH662" s="30" t="s">
        <v>2157</v>
      </c>
      <c r="BI662" s="28"/>
      <c r="BJ662" s="28"/>
      <c r="BK662" s="28"/>
      <c r="BL662" s="28"/>
      <c r="BM662" s="28"/>
      <c r="BN662" s="28"/>
      <c r="BO662" s="28"/>
      <c r="BP662" s="28"/>
      <c r="BQ662" s="28"/>
      <c r="BR662" s="28"/>
      <c r="BS662" s="28"/>
      <c r="BT662" s="28"/>
      <c r="BU662" s="28"/>
      <c r="BV662" s="28"/>
      <c r="BW662" s="28"/>
      <c r="BX662" s="28"/>
      <c r="FL662" s="33" t="s">
        <v>2148</v>
      </c>
      <c r="FM662" s="33" t="s">
        <v>255</v>
      </c>
    </row>
    <row r="663" spans="1:194" ht="23.25" customHeight="1" x14ac:dyDescent="0.15">
      <c r="A663" s="26">
        <v>44661.776232893521</v>
      </c>
      <c r="B663" s="27" t="s">
        <v>6</v>
      </c>
      <c r="C663" s="27" t="s">
        <v>11</v>
      </c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  <c r="AX663" s="27" t="s">
        <v>2143</v>
      </c>
      <c r="AY663" s="27" t="s">
        <v>2144</v>
      </c>
      <c r="AZ663" s="27" t="s">
        <v>2067</v>
      </c>
      <c r="BA663" s="27" t="s">
        <v>2146</v>
      </c>
      <c r="BB663" s="27" t="s">
        <v>493</v>
      </c>
      <c r="BC663" s="29">
        <v>44355</v>
      </c>
      <c r="BD663" s="29">
        <v>44385</v>
      </c>
      <c r="BE663" s="29">
        <v>44384</v>
      </c>
      <c r="BF663" s="27">
        <v>95</v>
      </c>
      <c r="BG663" s="27" t="s">
        <v>1267</v>
      </c>
      <c r="BH663" s="30" t="s">
        <v>2158</v>
      </c>
      <c r="BI663" s="28"/>
      <c r="BJ663" s="28"/>
      <c r="BK663" s="28"/>
      <c r="BL663" s="28"/>
      <c r="BM663" s="28"/>
      <c r="BN663" s="28"/>
      <c r="BO663" s="28"/>
      <c r="BP663" s="28"/>
      <c r="BQ663" s="28"/>
      <c r="BR663" s="28"/>
      <c r="BS663" s="28"/>
      <c r="BT663" s="28"/>
      <c r="BU663" s="28"/>
      <c r="BV663" s="28"/>
      <c r="BW663" s="28"/>
      <c r="BX663" s="28"/>
      <c r="FL663" s="33" t="s">
        <v>2148</v>
      </c>
      <c r="FM663" s="33" t="s">
        <v>255</v>
      </c>
    </row>
    <row r="664" spans="1:194" ht="23.25" customHeight="1" x14ac:dyDescent="0.15">
      <c r="A664" s="26">
        <v>44661.777605347219</v>
      </c>
      <c r="B664" s="27" t="s">
        <v>6</v>
      </c>
      <c r="C664" s="27" t="s">
        <v>11</v>
      </c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  <c r="AX664" s="27" t="s">
        <v>2143</v>
      </c>
      <c r="AY664" s="27" t="s">
        <v>2144</v>
      </c>
      <c r="AZ664" s="27" t="s">
        <v>1190</v>
      </c>
      <c r="BA664" s="27" t="s">
        <v>2146</v>
      </c>
      <c r="BB664" s="27" t="s">
        <v>493</v>
      </c>
      <c r="BC664" s="29">
        <v>43646</v>
      </c>
      <c r="BD664" s="29">
        <v>44407</v>
      </c>
      <c r="BE664" s="29">
        <v>44406</v>
      </c>
      <c r="BF664" s="27">
        <v>95</v>
      </c>
      <c r="BG664" s="27" t="s">
        <v>2159</v>
      </c>
      <c r="BH664" s="30" t="s">
        <v>2160</v>
      </c>
      <c r="BI664" s="28"/>
      <c r="BJ664" s="28"/>
      <c r="BK664" s="28"/>
      <c r="BL664" s="28"/>
      <c r="BM664" s="28"/>
      <c r="BN664" s="28"/>
      <c r="BO664" s="28"/>
      <c r="BP664" s="28"/>
      <c r="BQ664" s="28"/>
      <c r="BR664" s="28"/>
      <c r="BS664" s="28"/>
      <c r="BT664" s="28"/>
      <c r="BU664" s="28"/>
      <c r="BV664" s="28"/>
      <c r="BW664" s="28"/>
      <c r="BX664" s="28"/>
      <c r="FL664" s="33" t="s">
        <v>2148</v>
      </c>
      <c r="FM664" s="33" t="s">
        <v>255</v>
      </c>
    </row>
    <row r="665" spans="1:194" ht="23.25" customHeight="1" x14ac:dyDescent="0.15">
      <c r="A665" s="26">
        <v>44661.778835960649</v>
      </c>
      <c r="B665" s="27" t="s">
        <v>6</v>
      </c>
      <c r="C665" s="27" t="s">
        <v>11</v>
      </c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  <c r="AX665" s="27" t="s">
        <v>2143</v>
      </c>
      <c r="AY665" s="27" t="s">
        <v>2144</v>
      </c>
      <c r="AZ665" s="27" t="s">
        <v>2161</v>
      </c>
      <c r="BA665" s="27" t="s">
        <v>2146</v>
      </c>
      <c r="BB665" s="27" t="s">
        <v>493</v>
      </c>
      <c r="BC665" s="29">
        <v>44316</v>
      </c>
      <c r="BD665" s="29">
        <v>44346</v>
      </c>
      <c r="BE665" s="29">
        <v>44345</v>
      </c>
      <c r="BF665" s="27">
        <v>93</v>
      </c>
      <c r="BG665" s="27" t="s">
        <v>2159</v>
      </c>
      <c r="BH665" s="30" t="s">
        <v>2162</v>
      </c>
      <c r="BI665" s="28"/>
      <c r="BJ665" s="28"/>
      <c r="BK665" s="28"/>
      <c r="BL665" s="28"/>
      <c r="BM665" s="28"/>
      <c r="BN665" s="28"/>
      <c r="BO665" s="28"/>
      <c r="BP665" s="28"/>
      <c r="BQ665" s="28"/>
      <c r="BR665" s="28"/>
      <c r="BS665" s="28"/>
      <c r="BT665" s="28"/>
      <c r="BU665" s="28"/>
      <c r="BV665" s="28"/>
      <c r="BW665" s="28"/>
      <c r="BX665" s="28"/>
      <c r="FL665" s="33" t="s">
        <v>2148</v>
      </c>
      <c r="FM665" s="33" t="s">
        <v>255</v>
      </c>
    </row>
    <row r="666" spans="1:194" ht="23.25" customHeight="1" x14ac:dyDescent="0.15">
      <c r="A666" s="26">
        <v>44661.780077256946</v>
      </c>
      <c r="B666" s="27" t="s">
        <v>6</v>
      </c>
      <c r="C666" s="27" t="s">
        <v>11</v>
      </c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  <c r="AX666" s="27" t="s">
        <v>2143</v>
      </c>
      <c r="AY666" s="27" t="s">
        <v>2144</v>
      </c>
      <c r="AZ666" s="27" t="s">
        <v>1218</v>
      </c>
      <c r="BA666" s="27" t="s">
        <v>2163</v>
      </c>
      <c r="BB666" s="27" t="s">
        <v>493</v>
      </c>
      <c r="BC666" s="29">
        <v>44371</v>
      </c>
      <c r="BD666" s="29">
        <v>44401</v>
      </c>
      <c r="BE666" s="29">
        <v>44400</v>
      </c>
      <c r="BF666" s="27">
        <v>92</v>
      </c>
      <c r="BG666" s="27" t="s">
        <v>2159</v>
      </c>
      <c r="BH666" s="30" t="s">
        <v>2164</v>
      </c>
      <c r="BI666" s="28"/>
      <c r="BJ666" s="28"/>
      <c r="BK666" s="28"/>
      <c r="BL666" s="28"/>
      <c r="BM666" s="28"/>
      <c r="BN666" s="28"/>
      <c r="BO666" s="28"/>
      <c r="BP666" s="28"/>
      <c r="BQ666" s="28"/>
      <c r="BR666" s="28"/>
      <c r="BS666" s="28"/>
      <c r="BT666" s="28"/>
      <c r="BU666" s="28"/>
      <c r="BV666" s="28"/>
      <c r="BW666" s="28"/>
      <c r="BX666" s="28"/>
      <c r="FL666" s="33" t="s">
        <v>2148</v>
      </c>
      <c r="FM666" s="33" t="s">
        <v>255</v>
      </c>
    </row>
    <row r="667" spans="1:194" ht="23.25" customHeight="1" x14ac:dyDescent="0.15">
      <c r="A667" s="26">
        <v>44661.783887395832</v>
      </c>
      <c r="B667" s="27" t="s">
        <v>6</v>
      </c>
      <c r="C667" s="27" t="s">
        <v>11</v>
      </c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  <c r="AX667" s="27" t="s">
        <v>2143</v>
      </c>
      <c r="AY667" s="27" t="s">
        <v>2144</v>
      </c>
      <c r="AZ667" s="27" t="s">
        <v>2165</v>
      </c>
      <c r="BA667" s="27" t="s">
        <v>2166</v>
      </c>
      <c r="BB667" s="27" t="s">
        <v>493</v>
      </c>
      <c r="BC667" s="29">
        <v>44095</v>
      </c>
      <c r="BD667" s="29">
        <v>44125</v>
      </c>
      <c r="BE667" s="29">
        <v>44123</v>
      </c>
      <c r="BF667" s="27">
        <v>85</v>
      </c>
      <c r="BG667" s="27" t="s">
        <v>2167</v>
      </c>
      <c r="BH667" s="30" t="s">
        <v>2168</v>
      </c>
      <c r="BI667" s="28"/>
      <c r="BJ667" s="28"/>
      <c r="BK667" s="28"/>
      <c r="BL667" s="28"/>
      <c r="BM667" s="28"/>
      <c r="BN667" s="28"/>
      <c r="BO667" s="28"/>
      <c r="BP667" s="28"/>
      <c r="BQ667" s="28"/>
      <c r="BR667" s="28"/>
      <c r="BS667" s="28"/>
      <c r="BT667" s="28"/>
      <c r="BU667" s="28"/>
      <c r="BV667" s="28"/>
      <c r="BW667" s="28"/>
      <c r="BX667" s="28"/>
      <c r="FL667" s="33" t="s">
        <v>2148</v>
      </c>
      <c r="FM667" s="33" t="s">
        <v>255</v>
      </c>
    </row>
    <row r="668" spans="1:194" ht="23.25" customHeight="1" x14ac:dyDescent="0.15">
      <c r="A668" s="26">
        <v>44661.785075462962</v>
      </c>
      <c r="B668" s="27" t="s">
        <v>7</v>
      </c>
      <c r="C668" s="27" t="s">
        <v>11</v>
      </c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  <c r="AX668" s="27" t="s">
        <v>2149</v>
      </c>
      <c r="AY668" s="27" t="s">
        <v>2150</v>
      </c>
      <c r="AZ668" s="27" t="s">
        <v>1751</v>
      </c>
      <c r="BA668" s="27" t="s">
        <v>1085</v>
      </c>
      <c r="BB668" s="27" t="s">
        <v>2169</v>
      </c>
      <c r="BC668" s="29">
        <v>43895</v>
      </c>
      <c r="BD668" s="29">
        <v>44676</v>
      </c>
      <c r="BE668" s="29">
        <v>44676</v>
      </c>
      <c r="BF668" s="37">
        <v>0.99080000000000001</v>
      </c>
      <c r="BG668" s="27" t="s">
        <v>2170</v>
      </c>
      <c r="BH668" s="30" t="s">
        <v>2171</v>
      </c>
      <c r="BI668" s="28"/>
      <c r="BJ668" s="28"/>
      <c r="BK668" s="28"/>
      <c r="BL668" s="28"/>
      <c r="BM668" s="28"/>
      <c r="BN668" s="28"/>
      <c r="BO668" s="28"/>
      <c r="BP668" s="28"/>
      <c r="BQ668" s="28"/>
      <c r="BR668" s="28"/>
      <c r="BS668" s="28"/>
      <c r="BT668" s="28"/>
      <c r="BU668" s="28"/>
      <c r="BV668" s="28"/>
      <c r="BW668" s="28"/>
      <c r="BX668" s="28"/>
      <c r="FL668" s="33" t="s">
        <v>2152</v>
      </c>
      <c r="FM668" s="33" t="s">
        <v>278</v>
      </c>
    </row>
    <row r="669" spans="1:194" ht="23.25" customHeight="1" x14ac:dyDescent="0.15">
      <c r="A669" s="26">
        <v>44661.78592819444</v>
      </c>
      <c r="B669" s="27" t="s">
        <v>6</v>
      </c>
      <c r="C669" s="27" t="s">
        <v>12</v>
      </c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  <c r="AX669" s="28"/>
      <c r="AY669" s="28"/>
      <c r="AZ669" s="28"/>
      <c r="BA669" s="28"/>
      <c r="BB669" s="28"/>
      <c r="BC669" s="28"/>
      <c r="BD669" s="28"/>
      <c r="BE669" s="28"/>
      <c r="BF669" s="28"/>
      <c r="BG669" s="28"/>
      <c r="BH669" s="28"/>
      <c r="BI669" s="27" t="s">
        <v>2172</v>
      </c>
      <c r="BJ669" s="27" t="s">
        <v>2144</v>
      </c>
      <c r="BK669" s="27" t="s">
        <v>154</v>
      </c>
      <c r="BL669" s="27" t="s">
        <v>167</v>
      </c>
      <c r="BM669" s="27" t="s">
        <v>2173</v>
      </c>
      <c r="BN669" s="27">
        <v>2</v>
      </c>
      <c r="BO669" s="29">
        <v>43694</v>
      </c>
      <c r="BP669" s="29">
        <v>43696</v>
      </c>
      <c r="BQ669" s="27" t="s">
        <v>2174</v>
      </c>
      <c r="BR669" s="27" t="s">
        <v>2175</v>
      </c>
      <c r="BS669" s="27" t="s">
        <v>271</v>
      </c>
      <c r="BT669" s="27" t="s">
        <v>151</v>
      </c>
      <c r="BU669" s="28"/>
      <c r="BV669" s="30" t="s">
        <v>2176</v>
      </c>
      <c r="BW669" s="28"/>
      <c r="BX669" s="28"/>
      <c r="FL669" s="33" t="s">
        <v>2148</v>
      </c>
      <c r="FM669" s="33" t="s">
        <v>255</v>
      </c>
    </row>
    <row r="670" spans="1:194" ht="23.25" customHeight="1" x14ac:dyDescent="0.15">
      <c r="A670" s="26">
        <v>44661.787384305557</v>
      </c>
      <c r="B670" s="27" t="s">
        <v>6</v>
      </c>
      <c r="C670" s="27" t="s">
        <v>10</v>
      </c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7" t="s">
        <v>2177</v>
      </c>
      <c r="AO670" s="27" t="s">
        <v>2144</v>
      </c>
      <c r="AP670" s="27" t="s">
        <v>2178</v>
      </c>
      <c r="AQ670" s="27" t="s">
        <v>376</v>
      </c>
      <c r="AR670" s="29">
        <v>44621</v>
      </c>
      <c r="AS670" s="29">
        <v>44742</v>
      </c>
      <c r="AT670" s="27" t="s">
        <v>251</v>
      </c>
      <c r="AU670" s="27" t="s">
        <v>252</v>
      </c>
      <c r="AV670" s="27">
        <v>0</v>
      </c>
      <c r="AW670" s="30" t="s">
        <v>2179</v>
      </c>
      <c r="AX670" s="28"/>
      <c r="AY670" s="28"/>
      <c r="AZ670" s="28"/>
      <c r="BA670" s="28"/>
      <c r="BB670" s="28"/>
      <c r="BC670" s="28"/>
      <c r="BD670" s="28"/>
      <c r="BE670" s="28"/>
      <c r="BF670" s="28"/>
      <c r="BG670" s="28"/>
      <c r="BH670" s="28"/>
      <c r="BI670" s="28"/>
      <c r="BJ670" s="28"/>
      <c r="BK670" s="28"/>
      <c r="BL670" s="28"/>
      <c r="BM670" s="28"/>
      <c r="BN670" s="28"/>
      <c r="BO670" s="28"/>
      <c r="BP670" s="28"/>
      <c r="BQ670" s="28"/>
      <c r="BR670" s="28"/>
      <c r="BS670" s="28"/>
      <c r="BT670" s="28"/>
      <c r="BU670" s="28"/>
      <c r="BV670" s="28"/>
      <c r="BW670" s="28"/>
      <c r="BX670" s="28"/>
      <c r="FL670" s="33" t="s">
        <v>2148</v>
      </c>
      <c r="FM670" s="33" t="s">
        <v>255</v>
      </c>
    </row>
    <row r="671" spans="1:194" ht="23.25" customHeight="1" x14ac:dyDescent="0.15">
      <c r="A671" s="26">
        <v>44661.796162152779</v>
      </c>
      <c r="B671" s="27" t="s">
        <v>6</v>
      </c>
      <c r="C671" s="27" t="s">
        <v>22</v>
      </c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  <c r="AX671" s="28"/>
      <c r="AY671" s="28"/>
      <c r="AZ671" s="28"/>
      <c r="BA671" s="28"/>
      <c r="BB671" s="28"/>
      <c r="BC671" s="28"/>
      <c r="BD671" s="28"/>
      <c r="BE671" s="28"/>
      <c r="BF671" s="28"/>
      <c r="BG671" s="28"/>
      <c r="BH671" s="28"/>
      <c r="BI671" s="28"/>
      <c r="BJ671" s="28"/>
      <c r="BK671" s="28"/>
      <c r="BL671" s="28"/>
      <c r="BM671" s="28"/>
      <c r="BN671" s="28"/>
      <c r="BO671" s="28"/>
      <c r="BP671" s="28"/>
      <c r="BQ671" s="28"/>
      <c r="BR671" s="28"/>
      <c r="BS671" s="28"/>
      <c r="BT671" s="28"/>
      <c r="BU671" s="28"/>
      <c r="BV671" s="28"/>
      <c r="BW671" s="28"/>
      <c r="BX671" s="28"/>
      <c r="FL671" s="33" t="s">
        <v>2180</v>
      </c>
      <c r="FM671" s="33" t="s">
        <v>255</v>
      </c>
      <c r="GF671" s="33" t="s">
        <v>2181</v>
      </c>
      <c r="GG671" s="33" t="s">
        <v>2182</v>
      </c>
      <c r="GH671" s="33" t="s">
        <v>264</v>
      </c>
      <c r="GI671" s="34">
        <v>44717</v>
      </c>
      <c r="GJ671" s="35" t="s">
        <v>2183</v>
      </c>
      <c r="GK671" s="33" t="s">
        <v>653</v>
      </c>
      <c r="GL671" s="33" t="s">
        <v>2184</v>
      </c>
    </row>
    <row r="672" spans="1:194" ht="23.25" customHeight="1" x14ac:dyDescent="0.15">
      <c r="A672" s="26">
        <v>44661.811154328709</v>
      </c>
      <c r="B672" s="27" t="s">
        <v>6</v>
      </c>
      <c r="C672" s="27" t="s">
        <v>19</v>
      </c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  <c r="AX672" s="28"/>
      <c r="AY672" s="28"/>
      <c r="AZ672" s="28"/>
      <c r="BA672" s="28"/>
      <c r="BB672" s="28"/>
      <c r="BC672" s="28"/>
      <c r="BD672" s="28"/>
      <c r="BE672" s="28"/>
      <c r="BF672" s="28"/>
      <c r="BG672" s="28"/>
      <c r="BH672" s="28"/>
      <c r="BI672" s="28"/>
      <c r="BJ672" s="28"/>
      <c r="BK672" s="28"/>
      <c r="BL672" s="28"/>
      <c r="BM672" s="28"/>
      <c r="BN672" s="28"/>
      <c r="BO672" s="28"/>
      <c r="BP672" s="28"/>
      <c r="BQ672" s="28"/>
      <c r="BR672" s="28"/>
      <c r="BS672" s="28"/>
      <c r="BT672" s="28"/>
      <c r="BU672" s="28"/>
      <c r="BV672" s="28"/>
      <c r="BW672" s="28"/>
      <c r="BX672" s="28"/>
      <c r="FG672" s="33" t="s">
        <v>2185</v>
      </c>
      <c r="FH672" s="33" t="s">
        <v>2186</v>
      </c>
      <c r="FI672" s="33" t="s">
        <v>2187</v>
      </c>
      <c r="FJ672" s="34">
        <v>44636</v>
      </c>
      <c r="FK672" s="35" t="s">
        <v>2188</v>
      </c>
      <c r="FL672" s="33" t="s">
        <v>2189</v>
      </c>
      <c r="FM672" s="33" t="s">
        <v>255</v>
      </c>
    </row>
    <row r="673" spans="1:169" ht="23.25" customHeight="1" x14ac:dyDescent="0.15">
      <c r="A673" s="26">
        <v>44661.811918310181</v>
      </c>
      <c r="B673" s="27" t="s">
        <v>6</v>
      </c>
      <c r="C673" s="27" t="s">
        <v>11</v>
      </c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  <c r="AX673" s="27" t="s">
        <v>2190</v>
      </c>
      <c r="AY673" s="27" t="s">
        <v>2191</v>
      </c>
      <c r="AZ673" s="27" t="s">
        <v>2192</v>
      </c>
      <c r="BA673" s="27" t="s">
        <v>1383</v>
      </c>
      <c r="BB673" s="27" t="s">
        <v>308</v>
      </c>
      <c r="BC673" s="29">
        <v>43553</v>
      </c>
      <c r="BD673" s="29">
        <v>43610</v>
      </c>
      <c r="BE673" s="29">
        <v>43614</v>
      </c>
      <c r="BF673" s="27">
        <v>100</v>
      </c>
      <c r="BG673" s="27" t="s">
        <v>1350</v>
      </c>
      <c r="BH673" s="30" t="s">
        <v>2193</v>
      </c>
      <c r="BI673" s="28"/>
      <c r="BJ673" s="28"/>
      <c r="BK673" s="28"/>
      <c r="BL673" s="28"/>
      <c r="BM673" s="28"/>
      <c r="BN673" s="28"/>
      <c r="BO673" s="28"/>
      <c r="BP673" s="28"/>
      <c r="BQ673" s="28"/>
      <c r="BR673" s="28"/>
      <c r="BS673" s="28"/>
      <c r="BT673" s="28"/>
      <c r="BU673" s="28"/>
      <c r="BV673" s="28"/>
      <c r="BW673" s="28"/>
      <c r="BX673" s="28"/>
      <c r="FL673" s="33" t="s">
        <v>2194</v>
      </c>
      <c r="FM673" s="33" t="s">
        <v>255</v>
      </c>
    </row>
    <row r="674" spans="1:169" ht="23.25" customHeight="1" x14ac:dyDescent="0.15">
      <c r="A674" s="26">
        <v>44661.815481018522</v>
      </c>
      <c r="B674" s="27" t="s">
        <v>6</v>
      </c>
      <c r="C674" s="27" t="s">
        <v>11</v>
      </c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  <c r="AX674" s="27" t="s">
        <v>2185</v>
      </c>
      <c r="AY674" s="27" t="s">
        <v>2186</v>
      </c>
      <c r="AZ674" s="27" t="s">
        <v>2195</v>
      </c>
      <c r="BA674" s="27" t="s">
        <v>2196</v>
      </c>
      <c r="BB674" s="27" t="s">
        <v>1388</v>
      </c>
      <c r="BC674" s="29">
        <v>44373</v>
      </c>
      <c r="BD674" s="29">
        <v>44403</v>
      </c>
      <c r="BE674" s="29">
        <v>44403</v>
      </c>
      <c r="BF674" s="36">
        <v>0.95</v>
      </c>
      <c r="BG674" s="27" t="s">
        <v>1228</v>
      </c>
      <c r="BH674" s="30" t="s">
        <v>2197</v>
      </c>
      <c r="BI674" s="28"/>
      <c r="BJ674" s="28"/>
      <c r="BK674" s="28"/>
      <c r="BL674" s="28"/>
      <c r="BM674" s="28"/>
      <c r="BN674" s="28"/>
      <c r="BO674" s="28"/>
      <c r="BP674" s="28"/>
      <c r="BQ674" s="28"/>
      <c r="BR674" s="28"/>
      <c r="BS674" s="28"/>
      <c r="BT674" s="28"/>
      <c r="BU674" s="28"/>
      <c r="BV674" s="28"/>
      <c r="BW674" s="28"/>
      <c r="BX674" s="28"/>
      <c r="FL674" s="33" t="s">
        <v>2189</v>
      </c>
      <c r="FM674" s="33" t="s">
        <v>255</v>
      </c>
    </row>
    <row r="675" spans="1:169" ht="23.25" customHeight="1" x14ac:dyDescent="0.15">
      <c r="A675" s="26">
        <v>44661.817506307867</v>
      </c>
      <c r="B675" s="27" t="s">
        <v>6</v>
      </c>
      <c r="C675" s="17" t="s">
        <v>13</v>
      </c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  <c r="AX675" s="28"/>
      <c r="AY675" s="28"/>
      <c r="AZ675" s="28"/>
      <c r="BA675" s="28"/>
      <c r="BB675" s="28"/>
      <c r="BC675" s="28"/>
      <c r="BD675" s="28"/>
      <c r="BE675" s="28"/>
      <c r="BF675" s="28"/>
      <c r="BG675" s="28"/>
      <c r="BH675" s="28"/>
      <c r="BI675" s="28"/>
      <c r="BJ675" s="28"/>
      <c r="BK675" s="28"/>
      <c r="BL675" s="28"/>
      <c r="BM675" s="28"/>
      <c r="BN675" s="28"/>
      <c r="BO675" s="28"/>
      <c r="BP675" s="28"/>
      <c r="BQ675" s="28"/>
      <c r="BR675" s="28"/>
      <c r="BS675" s="28"/>
      <c r="BT675" s="28"/>
      <c r="BU675" s="28"/>
      <c r="BV675" s="28"/>
      <c r="BW675" s="27" t="s">
        <v>2185</v>
      </c>
      <c r="BX675" s="27" t="s">
        <v>2186</v>
      </c>
      <c r="BZ675" s="33" t="s">
        <v>166</v>
      </c>
      <c r="CA675" s="33" t="s">
        <v>2198</v>
      </c>
      <c r="CB675" s="33" t="s">
        <v>454</v>
      </c>
      <c r="CC675" s="33" t="s">
        <v>442</v>
      </c>
      <c r="CD675" s="34">
        <v>44216</v>
      </c>
      <c r="CE675" s="34">
        <v>44288</v>
      </c>
      <c r="CF675" s="33">
        <v>89</v>
      </c>
      <c r="CG675" s="35" t="s">
        <v>2199</v>
      </c>
      <c r="FL675" s="33" t="s">
        <v>2189</v>
      </c>
      <c r="FM675" s="33" t="s">
        <v>255</v>
      </c>
    </row>
    <row r="676" spans="1:169" ht="23.25" customHeight="1" x14ac:dyDescent="0.15">
      <c r="A676" s="26">
        <v>44661.818750798615</v>
      </c>
      <c r="B676" s="27" t="s">
        <v>6</v>
      </c>
      <c r="C676" s="27" t="s">
        <v>17</v>
      </c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  <c r="AX676" s="28"/>
      <c r="AY676" s="28"/>
      <c r="AZ676" s="28"/>
      <c r="BA676" s="28"/>
      <c r="BB676" s="28"/>
      <c r="BC676" s="28"/>
      <c r="BD676" s="28"/>
      <c r="BE676" s="28"/>
      <c r="BF676" s="28"/>
      <c r="BG676" s="28"/>
      <c r="BH676" s="28"/>
      <c r="BI676" s="28"/>
      <c r="BJ676" s="28"/>
      <c r="BK676" s="28"/>
      <c r="BL676" s="28"/>
      <c r="BM676" s="28"/>
      <c r="BN676" s="28"/>
      <c r="BO676" s="28"/>
      <c r="BP676" s="28"/>
      <c r="BQ676" s="28"/>
      <c r="BR676" s="28"/>
      <c r="BS676" s="28"/>
      <c r="BT676" s="28"/>
      <c r="BU676" s="28"/>
      <c r="BV676" s="28"/>
      <c r="BW676" s="28"/>
      <c r="BX676" s="28"/>
      <c r="DX676" s="33" t="s">
        <v>2185</v>
      </c>
      <c r="DY676" s="33" t="s">
        <v>2186</v>
      </c>
      <c r="DZ676" s="33" t="s">
        <v>154</v>
      </c>
      <c r="EA676" s="33" t="s">
        <v>2200</v>
      </c>
      <c r="EB676" s="34">
        <v>43717</v>
      </c>
      <c r="EC676" s="33" t="s">
        <v>2201</v>
      </c>
      <c r="ED676" s="35" t="s">
        <v>2202</v>
      </c>
      <c r="FL676" s="33" t="s">
        <v>2189</v>
      </c>
      <c r="FM676" s="33" t="s">
        <v>255</v>
      </c>
    </row>
    <row r="677" spans="1:169" ht="23.25" customHeight="1" x14ac:dyDescent="0.15">
      <c r="A677" s="26">
        <v>44661.819079143519</v>
      </c>
      <c r="B677" s="27" t="s">
        <v>6</v>
      </c>
      <c r="C677" s="27" t="s">
        <v>17</v>
      </c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  <c r="AX677" s="28"/>
      <c r="AY677" s="28"/>
      <c r="AZ677" s="28"/>
      <c r="BA677" s="28"/>
      <c r="BB677" s="28"/>
      <c r="BC677" s="28"/>
      <c r="BD677" s="28"/>
      <c r="BE677" s="28"/>
      <c r="BF677" s="28"/>
      <c r="BG677" s="28"/>
      <c r="BH677" s="28"/>
      <c r="BI677" s="28"/>
      <c r="BJ677" s="28"/>
      <c r="BK677" s="28"/>
      <c r="BL677" s="28"/>
      <c r="BM677" s="28"/>
      <c r="BN677" s="28"/>
      <c r="BO677" s="28"/>
      <c r="BP677" s="28"/>
      <c r="BQ677" s="28"/>
      <c r="BR677" s="28"/>
      <c r="BS677" s="28"/>
      <c r="BT677" s="28"/>
      <c r="BU677" s="28"/>
      <c r="BV677" s="28"/>
      <c r="BW677" s="28"/>
      <c r="BX677" s="28"/>
      <c r="DX677" s="33" t="s">
        <v>2203</v>
      </c>
      <c r="DY677" s="33" t="s">
        <v>2204</v>
      </c>
      <c r="DZ677" s="33" t="s">
        <v>311</v>
      </c>
      <c r="EA677" s="33" t="s">
        <v>2205</v>
      </c>
      <c r="EB677" s="34">
        <v>44628</v>
      </c>
      <c r="EC677" s="33" t="s">
        <v>2206</v>
      </c>
      <c r="ED677" s="35" t="s">
        <v>2207</v>
      </c>
      <c r="FL677" s="33" t="s">
        <v>2208</v>
      </c>
      <c r="FM677" s="33" t="s">
        <v>255</v>
      </c>
    </row>
    <row r="678" spans="1:169" ht="23.25" customHeight="1" x14ac:dyDescent="0.15">
      <c r="A678" s="26">
        <v>44661.82127601852</v>
      </c>
      <c r="B678" s="27" t="s">
        <v>6</v>
      </c>
      <c r="C678" s="27" t="s">
        <v>12</v>
      </c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  <c r="AX678" s="28"/>
      <c r="AY678" s="28"/>
      <c r="AZ678" s="28"/>
      <c r="BA678" s="28"/>
      <c r="BB678" s="28"/>
      <c r="BC678" s="28"/>
      <c r="BD678" s="28"/>
      <c r="BE678" s="28"/>
      <c r="BF678" s="28"/>
      <c r="BG678" s="28"/>
      <c r="BH678" s="28"/>
      <c r="BI678" s="27" t="s">
        <v>2185</v>
      </c>
      <c r="BJ678" s="27" t="s">
        <v>2186</v>
      </c>
      <c r="BK678" s="27" t="s">
        <v>154</v>
      </c>
      <c r="BL678" s="27" t="s">
        <v>1285</v>
      </c>
      <c r="BM678" s="27" t="s">
        <v>2209</v>
      </c>
      <c r="BN678" s="27">
        <v>3</v>
      </c>
      <c r="BO678" s="29">
        <v>43881</v>
      </c>
      <c r="BP678" s="29">
        <v>43883</v>
      </c>
      <c r="BQ678" s="27" t="s">
        <v>2210</v>
      </c>
      <c r="BR678" s="27" t="s">
        <v>2211</v>
      </c>
      <c r="BS678" s="27" t="s">
        <v>271</v>
      </c>
      <c r="BT678" s="27" t="s">
        <v>151</v>
      </c>
      <c r="BU678" s="28"/>
      <c r="BV678" s="30" t="s">
        <v>2212</v>
      </c>
      <c r="BW678" s="28"/>
      <c r="BX678" s="28"/>
      <c r="FL678" s="33" t="s">
        <v>2189</v>
      </c>
      <c r="FM678" s="33" t="s">
        <v>255</v>
      </c>
    </row>
    <row r="679" spans="1:169" ht="23.25" customHeight="1" x14ac:dyDescent="0.15">
      <c r="A679" s="26">
        <v>44661.821523298611</v>
      </c>
      <c r="B679" s="27" t="s">
        <v>6</v>
      </c>
      <c r="C679" s="27" t="s">
        <v>10</v>
      </c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7" t="s">
        <v>2203</v>
      </c>
      <c r="AO679" s="27" t="s">
        <v>2204</v>
      </c>
      <c r="AP679" s="27" t="s">
        <v>2213</v>
      </c>
      <c r="AQ679" s="27" t="s">
        <v>448</v>
      </c>
      <c r="AR679" s="29">
        <v>44197</v>
      </c>
      <c r="AS679" s="29">
        <v>44286</v>
      </c>
      <c r="AT679" s="27" t="s">
        <v>252</v>
      </c>
      <c r="AU679" s="27" t="s">
        <v>252</v>
      </c>
      <c r="AV679" s="27">
        <v>0</v>
      </c>
      <c r="AW679" s="30" t="s">
        <v>2214</v>
      </c>
      <c r="AX679" s="28"/>
      <c r="AY679" s="28"/>
      <c r="AZ679" s="28"/>
      <c r="BA679" s="28"/>
      <c r="BB679" s="28"/>
      <c r="BC679" s="28"/>
      <c r="BD679" s="28"/>
      <c r="BE679" s="28"/>
      <c r="BF679" s="28"/>
      <c r="BG679" s="28"/>
      <c r="BH679" s="28"/>
      <c r="BI679" s="28"/>
      <c r="BJ679" s="28"/>
      <c r="BK679" s="28"/>
      <c r="BL679" s="28"/>
      <c r="BM679" s="28"/>
      <c r="BN679" s="28"/>
      <c r="BO679" s="28"/>
      <c r="BP679" s="28"/>
      <c r="BQ679" s="28"/>
      <c r="BR679" s="28"/>
      <c r="BS679" s="28"/>
      <c r="BT679" s="28"/>
      <c r="BU679" s="28"/>
      <c r="BV679" s="28"/>
      <c r="BW679" s="28"/>
      <c r="BX679" s="28"/>
      <c r="FL679" s="33" t="s">
        <v>2208</v>
      </c>
      <c r="FM679" s="33" t="s">
        <v>255</v>
      </c>
    </row>
    <row r="680" spans="1:169" ht="23.25" customHeight="1" x14ac:dyDescent="0.15">
      <c r="A680" s="26">
        <v>44661.822278518521</v>
      </c>
      <c r="B680" s="27" t="s">
        <v>6</v>
      </c>
      <c r="C680" s="27" t="s">
        <v>11</v>
      </c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  <c r="AX680" s="27" t="s">
        <v>2190</v>
      </c>
      <c r="AY680" s="27" t="s">
        <v>2191</v>
      </c>
      <c r="AZ680" s="27" t="s">
        <v>2215</v>
      </c>
      <c r="BA680" s="27" t="s">
        <v>1383</v>
      </c>
      <c r="BB680" s="27" t="s">
        <v>308</v>
      </c>
      <c r="BC680" s="29">
        <v>43915</v>
      </c>
      <c r="BD680" s="29">
        <v>43976</v>
      </c>
      <c r="BE680" s="29">
        <v>43980</v>
      </c>
      <c r="BF680" s="27">
        <v>100</v>
      </c>
      <c r="BG680" s="27" t="s">
        <v>1350</v>
      </c>
      <c r="BH680" s="30" t="s">
        <v>2216</v>
      </c>
      <c r="BI680" s="28"/>
      <c r="BJ680" s="28"/>
      <c r="BK680" s="28"/>
      <c r="BL680" s="28"/>
      <c r="BM680" s="28"/>
      <c r="BN680" s="28"/>
      <c r="BO680" s="28"/>
      <c r="BP680" s="28"/>
      <c r="BQ680" s="28"/>
      <c r="BR680" s="28"/>
      <c r="BS680" s="28"/>
      <c r="BT680" s="28"/>
      <c r="BU680" s="28"/>
      <c r="BV680" s="28"/>
      <c r="BW680" s="28"/>
      <c r="BX680" s="28"/>
      <c r="FL680" s="33" t="s">
        <v>2194</v>
      </c>
      <c r="FM680" s="33" t="s">
        <v>321</v>
      </c>
    </row>
    <row r="681" spans="1:169" ht="23.25" customHeight="1" x14ac:dyDescent="0.15">
      <c r="A681" s="26">
        <v>44661.822356631943</v>
      </c>
      <c r="B681" s="27" t="s">
        <v>6</v>
      </c>
      <c r="C681" s="27" t="s">
        <v>17</v>
      </c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  <c r="AX681" s="28"/>
      <c r="AY681" s="28"/>
      <c r="AZ681" s="28"/>
      <c r="BA681" s="28"/>
      <c r="BB681" s="28"/>
      <c r="BC681" s="28"/>
      <c r="BD681" s="28"/>
      <c r="BE681" s="28"/>
      <c r="BF681" s="28"/>
      <c r="BG681" s="28"/>
      <c r="BH681" s="28"/>
      <c r="BI681" s="28"/>
      <c r="BJ681" s="28"/>
      <c r="BK681" s="28"/>
      <c r="BL681" s="28"/>
      <c r="BM681" s="28"/>
      <c r="BN681" s="28"/>
      <c r="BO681" s="28"/>
      <c r="BP681" s="28"/>
      <c r="BQ681" s="28"/>
      <c r="BR681" s="28"/>
      <c r="BS681" s="28"/>
      <c r="BT681" s="28"/>
      <c r="BU681" s="28"/>
      <c r="BV681" s="28"/>
      <c r="BW681" s="28"/>
      <c r="BX681" s="28"/>
      <c r="DX681" s="33" t="s">
        <v>372</v>
      </c>
      <c r="DY681" s="33" t="s">
        <v>373</v>
      </c>
      <c r="DZ681" s="33" t="s">
        <v>166</v>
      </c>
      <c r="EA681" s="33" t="s">
        <v>2217</v>
      </c>
      <c r="EB681" s="34">
        <v>44128</v>
      </c>
      <c r="EC681" s="33" t="s">
        <v>2218</v>
      </c>
      <c r="ED681" s="35" t="s">
        <v>2219</v>
      </c>
      <c r="FL681" s="33" t="s">
        <v>379</v>
      </c>
      <c r="FM681" s="33" t="s">
        <v>339</v>
      </c>
    </row>
    <row r="682" spans="1:169" ht="23.25" customHeight="1" x14ac:dyDescent="0.15">
      <c r="A682" s="26">
        <v>44661.823603182871</v>
      </c>
      <c r="B682" s="27" t="s">
        <v>6</v>
      </c>
      <c r="C682" s="27" t="s">
        <v>11</v>
      </c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  <c r="AX682" s="27" t="s">
        <v>2203</v>
      </c>
      <c r="AY682" s="27" t="s">
        <v>2204</v>
      </c>
      <c r="AZ682" s="27" t="s">
        <v>2220</v>
      </c>
      <c r="BA682" s="27" t="s">
        <v>1235</v>
      </c>
      <c r="BB682" s="27">
        <v>1</v>
      </c>
      <c r="BC682" s="29">
        <v>43345</v>
      </c>
      <c r="BD682" s="29">
        <v>43372</v>
      </c>
      <c r="BE682" s="29">
        <v>43373</v>
      </c>
      <c r="BF682" s="27">
        <v>0</v>
      </c>
      <c r="BG682" s="27" t="s">
        <v>363</v>
      </c>
      <c r="BH682" s="30" t="s">
        <v>2221</v>
      </c>
      <c r="BI682" s="28"/>
      <c r="BJ682" s="28"/>
      <c r="BK682" s="28"/>
      <c r="BL682" s="28"/>
      <c r="BM682" s="28"/>
      <c r="BN682" s="28"/>
      <c r="BO682" s="28"/>
      <c r="BP682" s="28"/>
      <c r="BQ682" s="28"/>
      <c r="BR682" s="28"/>
      <c r="BS682" s="28"/>
      <c r="BT682" s="28"/>
      <c r="BU682" s="28"/>
      <c r="BV682" s="28"/>
      <c r="BW682" s="28"/>
      <c r="BX682" s="28"/>
      <c r="FL682" s="33" t="s">
        <v>2208</v>
      </c>
      <c r="FM682" s="33" t="s">
        <v>255</v>
      </c>
    </row>
    <row r="683" spans="1:169" ht="23.25" customHeight="1" x14ac:dyDescent="0.15">
      <c r="A683" s="26">
        <v>44661.825489479168</v>
      </c>
      <c r="B683" s="27" t="s">
        <v>8</v>
      </c>
      <c r="C683" s="27" t="s">
        <v>10</v>
      </c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7" t="s">
        <v>2222</v>
      </c>
      <c r="AO683" s="27" t="s">
        <v>2223</v>
      </c>
      <c r="AP683" s="27" t="s">
        <v>1836</v>
      </c>
      <c r="AQ683" s="27" t="s">
        <v>308</v>
      </c>
      <c r="AR683" s="29">
        <v>44470</v>
      </c>
      <c r="AS683" s="29">
        <v>44561</v>
      </c>
      <c r="AT683" s="27" t="s">
        <v>252</v>
      </c>
      <c r="AU683" s="27" t="s">
        <v>252</v>
      </c>
      <c r="AV683" s="27">
        <v>0</v>
      </c>
      <c r="AW683" s="30" t="s">
        <v>2224</v>
      </c>
      <c r="AX683" s="28"/>
      <c r="AY683" s="28"/>
      <c r="AZ683" s="28"/>
      <c r="BA683" s="28"/>
      <c r="BB683" s="28"/>
      <c r="BC683" s="28"/>
      <c r="BD683" s="28"/>
      <c r="BE683" s="28"/>
      <c r="BF683" s="28"/>
      <c r="BG683" s="28"/>
      <c r="BH683" s="28"/>
      <c r="BI683" s="28"/>
      <c r="BJ683" s="28"/>
      <c r="BK683" s="28"/>
      <c r="BL683" s="28"/>
      <c r="BM683" s="28"/>
      <c r="BN683" s="28"/>
      <c r="BO683" s="28"/>
      <c r="BP683" s="28"/>
      <c r="BQ683" s="28"/>
      <c r="BR683" s="28"/>
      <c r="BS683" s="28"/>
      <c r="BT683" s="28"/>
      <c r="BU683" s="28"/>
      <c r="BV683" s="28"/>
      <c r="BW683" s="28"/>
      <c r="BX683" s="28"/>
      <c r="FL683" s="33" t="s">
        <v>2225</v>
      </c>
      <c r="FM683" s="33" t="s">
        <v>552</v>
      </c>
    </row>
    <row r="684" spans="1:169" ht="23.25" customHeight="1" x14ac:dyDescent="0.15">
      <c r="A684" s="26">
        <v>44661.825850682872</v>
      </c>
      <c r="B684" s="27" t="s">
        <v>6</v>
      </c>
      <c r="C684" s="27" t="s">
        <v>12</v>
      </c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  <c r="AX684" s="28"/>
      <c r="AY684" s="28"/>
      <c r="AZ684" s="28"/>
      <c r="BA684" s="28"/>
      <c r="BB684" s="28"/>
      <c r="BC684" s="28"/>
      <c r="BD684" s="28"/>
      <c r="BE684" s="28"/>
      <c r="BF684" s="28"/>
      <c r="BG684" s="28"/>
      <c r="BH684" s="28"/>
      <c r="BI684" s="27" t="s">
        <v>2203</v>
      </c>
      <c r="BJ684" s="27" t="s">
        <v>2204</v>
      </c>
      <c r="BK684" s="27" t="s">
        <v>166</v>
      </c>
      <c r="BL684" s="27" t="s">
        <v>1285</v>
      </c>
      <c r="BM684" s="27" t="s">
        <v>2226</v>
      </c>
      <c r="BN684" s="27">
        <v>2</v>
      </c>
      <c r="BO684" s="29">
        <v>44073</v>
      </c>
      <c r="BP684" s="29">
        <v>44074</v>
      </c>
      <c r="BQ684" s="27" t="s">
        <v>2227</v>
      </c>
      <c r="BR684" s="27" t="s">
        <v>363</v>
      </c>
      <c r="BS684" s="27" t="s">
        <v>171</v>
      </c>
      <c r="BT684" s="27" t="s">
        <v>151</v>
      </c>
      <c r="BU684" s="28"/>
      <c r="BV684" s="30" t="s">
        <v>2228</v>
      </c>
      <c r="BW684" s="28"/>
      <c r="BX684" s="28"/>
      <c r="FL684" s="33" t="s">
        <v>2208</v>
      </c>
      <c r="FM684" s="33" t="s">
        <v>255</v>
      </c>
    </row>
    <row r="685" spans="1:169" ht="23.25" customHeight="1" x14ac:dyDescent="0.15">
      <c r="A685" s="26">
        <v>44661.826078796294</v>
      </c>
      <c r="B685" s="27" t="s">
        <v>6</v>
      </c>
      <c r="C685" s="27" t="s">
        <v>11</v>
      </c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  <c r="AX685" s="27" t="s">
        <v>2190</v>
      </c>
      <c r="AY685" s="27" t="s">
        <v>2191</v>
      </c>
      <c r="AZ685" s="27" t="s">
        <v>2229</v>
      </c>
      <c r="BA685" s="27" t="s">
        <v>407</v>
      </c>
      <c r="BB685" s="27" t="s">
        <v>376</v>
      </c>
      <c r="BC685" s="29">
        <v>43647</v>
      </c>
      <c r="BD685" s="29">
        <v>43681</v>
      </c>
      <c r="BE685" s="29">
        <v>43803</v>
      </c>
      <c r="BF685" s="27">
        <v>90</v>
      </c>
      <c r="BG685" s="27" t="s">
        <v>1955</v>
      </c>
      <c r="BH685" s="30" t="s">
        <v>2230</v>
      </c>
      <c r="BI685" s="28"/>
      <c r="BJ685" s="28"/>
      <c r="BK685" s="28"/>
      <c r="BL685" s="28"/>
      <c r="BM685" s="28"/>
      <c r="BN685" s="28"/>
      <c r="BO685" s="28"/>
      <c r="BP685" s="28"/>
      <c r="BQ685" s="28"/>
      <c r="BR685" s="28"/>
      <c r="BS685" s="28"/>
      <c r="BT685" s="28"/>
      <c r="BU685" s="28"/>
      <c r="BV685" s="28"/>
      <c r="BW685" s="28"/>
      <c r="BX685" s="28"/>
      <c r="FL685" s="33" t="s">
        <v>2194</v>
      </c>
      <c r="FM685" s="33" t="s">
        <v>380</v>
      </c>
    </row>
    <row r="686" spans="1:169" ht="23.25" customHeight="1" x14ac:dyDescent="0.15">
      <c r="A686" s="26">
        <v>44661.829001655089</v>
      </c>
      <c r="B686" s="27" t="s">
        <v>6</v>
      </c>
      <c r="C686" s="27" t="s">
        <v>11</v>
      </c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  <c r="AX686" s="27" t="s">
        <v>2190</v>
      </c>
      <c r="AY686" s="27" t="s">
        <v>2191</v>
      </c>
      <c r="AZ686" s="27" t="s">
        <v>2231</v>
      </c>
      <c r="BA686" s="27" t="s">
        <v>407</v>
      </c>
      <c r="BB686" s="27" t="s">
        <v>376</v>
      </c>
      <c r="BC686" s="29">
        <v>43501</v>
      </c>
      <c r="BD686" s="29">
        <v>43603</v>
      </c>
      <c r="BE686" s="29">
        <v>43623</v>
      </c>
      <c r="BF686" s="27">
        <v>89</v>
      </c>
      <c r="BG686" s="27" t="s">
        <v>1955</v>
      </c>
      <c r="BH686" s="30" t="s">
        <v>2232</v>
      </c>
      <c r="BI686" s="28"/>
      <c r="BJ686" s="28"/>
      <c r="BK686" s="28"/>
      <c r="BL686" s="28"/>
      <c r="BM686" s="28"/>
      <c r="BN686" s="28"/>
      <c r="BO686" s="28"/>
      <c r="BP686" s="28"/>
      <c r="BQ686" s="28"/>
      <c r="BR686" s="28"/>
      <c r="BS686" s="28"/>
      <c r="BT686" s="28"/>
      <c r="BU686" s="28"/>
      <c r="BV686" s="28"/>
      <c r="BW686" s="28"/>
      <c r="BX686" s="28"/>
      <c r="FL686" s="33" t="s">
        <v>2194</v>
      </c>
      <c r="FM686" s="33" t="s">
        <v>380</v>
      </c>
    </row>
    <row r="687" spans="1:169" ht="23.25" customHeight="1" x14ac:dyDescent="0.15">
      <c r="A687" s="26">
        <v>44661.829242002314</v>
      </c>
      <c r="B687" s="27" t="s">
        <v>6</v>
      </c>
      <c r="C687" s="27" t="s">
        <v>11</v>
      </c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  <c r="AX687" s="27" t="s">
        <v>2185</v>
      </c>
      <c r="AY687" s="27" t="s">
        <v>2186</v>
      </c>
      <c r="AZ687" s="27" t="s">
        <v>1260</v>
      </c>
      <c r="BA687" s="27" t="s">
        <v>375</v>
      </c>
      <c r="BB687" s="27" t="s">
        <v>493</v>
      </c>
      <c r="BC687" s="29">
        <v>43933</v>
      </c>
      <c r="BD687" s="29">
        <v>43963</v>
      </c>
      <c r="BE687" s="29">
        <v>43965</v>
      </c>
      <c r="BF687" s="27">
        <v>92</v>
      </c>
      <c r="BG687" s="27" t="s">
        <v>2233</v>
      </c>
      <c r="BH687" s="30" t="s">
        <v>2234</v>
      </c>
      <c r="BI687" s="28"/>
      <c r="BJ687" s="28"/>
      <c r="BK687" s="28"/>
      <c r="BL687" s="28"/>
      <c r="BM687" s="28"/>
      <c r="BN687" s="28"/>
      <c r="BO687" s="28"/>
      <c r="BP687" s="28"/>
      <c r="BQ687" s="28"/>
      <c r="BR687" s="28"/>
      <c r="BS687" s="28"/>
      <c r="BT687" s="28"/>
      <c r="BU687" s="28"/>
      <c r="BV687" s="28"/>
      <c r="BW687" s="28"/>
      <c r="BX687" s="28"/>
      <c r="FL687" s="33" t="s">
        <v>2189</v>
      </c>
      <c r="FM687" s="33" t="s">
        <v>339</v>
      </c>
    </row>
    <row r="688" spans="1:169" ht="23.25" customHeight="1" x14ac:dyDescent="0.15">
      <c r="A688" s="26">
        <v>44661.829511053242</v>
      </c>
      <c r="B688" s="27" t="s">
        <v>6</v>
      </c>
      <c r="C688" s="27" t="s">
        <v>10</v>
      </c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7" t="s">
        <v>2203</v>
      </c>
      <c r="AO688" s="27" t="s">
        <v>2204</v>
      </c>
      <c r="AP688" s="27" t="s">
        <v>2235</v>
      </c>
      <c r="AQ688" s="27">
        <v>6</v>
      </c>
      <c r="AR688" s="29">
        <v>44123</v>
      </c>
      <c r="AS688" s="29">
        <v>44305</v>
      </c>
      <c r="AT688" s="27" t="s">
        <v>252</v>
      </c>
      <c r="AU688" s="27" t="s">
        <v>252</v>
      </c>
      <c r="AV688" s="27">
        <v>0</v>
      </c>
      <c r="AW688" s="30" t="s">
        <v>2236</v>
      </c>
      <c r="AX688" s="28"/>
      <c r="AY688" s="28"/>
      <c r="AZ688" s="28"/>
      <c r="BA688" s="28"/>
      <c r="BB688" s="28"/>
      <c r="BC688" s="28"/>
      <c r="BD688" s="28"/>
      <c r="BE688" s="28"/>
      <c r="BF688" s="28"/>
      <c r="BG688" s="28"/>
      <c r="BH688" s="28"/>
      <c r="BI688" s="28"/>
      <c r="BJ688" s="28"/>
      <c r="BK688" s="28"/>
      <c r="BL688" s="28"/>
      <c r="BM688" s="28"/>
      <c r="BN688" s="28"/>
      <c r="BO688" s="28"/>
      <c r="BP688" s="28"/>
      <c r="BQ688" s="28"/>
      <c r="BR688" s="28"/>
      <c r="BS688" s="28"/>
      <c r="BT688" s="28"/>
      <c r="BU688" s="28"/>
      <c r="BV688" s="28"/>
      <c r="BW688" s="28"/>
      <c r="BX688" s="28"/>
      <c r="FL688" s="33" t="s">
        <v>2208</v>
      </c>
      <c r="FM688" s="33" t="s">
        <v>255</v>
      </c>
    </row>
    <row r="689" spans="1:169" ht="23.25" customHeight="1" x14ac:dyDescent="0.15">
      <c r="A689" s="26">
        <v>44661.830481307872</v>
      </c>
      <c r="B689" s="27" t="s">
        <v>6</v>
      </c>
      <c r="C689" s="27" t="s">
        <v>17</v>
      </c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  <c r="AX689" s="28"/>
      <c r="AY689" s="28"/>
      <c r="AZ689" s="28"/>
      <c r="BA689" s="28"/>
      <c r="BB689" s="28"/>
      <c r="BC689" s="28"/>
      <c r="BD689" s="28"/>
      <c r="BE689" s="28"/>
      <c r="BF689" s="28"/>
      <c r="BG689" s="28"/>
      <c r="BH689" s="28"/>
      <c r="BI689" s="28"/>
      <c r="BJ689" s="28"/>
      <c r="BK689" s="28"/>
      <c r="BL689" s="28"/>
      <c r="BM689" s="28"/>
      <c r="BN689" s="28"/>
      <c r="BO689" s="28"/>
      <c r="BP689" s="28"/>
      <c r="BQ689" s="28"/>
      <c r="BR689" s="28"/>
      <c r="BS689" s="28"/>
      <c r="BT689" s="28"/>
      <c r="BU689" s="28"/>
      <c r="BV689" s="28"/>
      <c r="BW689" s="28"/>
      <c r="BX689" s="28"/>
      <c r="DX689" s="33" t="s">
        <v>2185</v>
      </c>
      <c r="DY689" s="33" t="s">
        <v>2186</v>
      </c>
      <c r="DZ689" s="33" t="s">
        <v>311</v>
      </c>
      <c r="EA689" s="33" t="s">
        <v>2237</v>
      </c>
      <c r="EB689" s="34">
        <v>44492</v>
      </c>
      <c r="EC689" s="33" t="s">
        <v>2218</v>
      </c>
      <c r="ED689" s="35" t="s">
        <v>2238</v>
      </c>
      <c r="FL689" s="33" t="s">
        <v>2189</v>
      </c>
      <c r="FM689" s="33" t="s">
        <v>255</v>
      </c>
    </row>
    <row r="690" spans="1:169" ht="23.25" customHeight="1" x14ac:dyDescent="0.15">
      <c r="A690" s="26">
        <v>44661.831177789354</v>
      </c>
      <c r="B690" s="27" t="s">
        <v>6</v>
      </c>
      <c r="C690" s="27" t="s">
        <v>11</v>
      </c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  <c r="AX690" s="27" t="s">
        <v>2239</v>
      </c>
      <c r="AY690" s="27" t="s">
        <v>2186</v>
      </c>
      <c r="AZ690" s="27" t="s">
        <v>2240</v>
      </c>
      <c r="BA690" s="27" t="s">
        <v>375</v>
      </c>
      <c r="BB690" s="27" t="s">
        <v>493</v>
      </c>
      <c r="BC690" s="29">
        <v>43847</v>
      </c>
      <c r="BD690" s="29">
        <v>43907</v>
      </c>
      <c r="BE690" s="29">
        <v>43879</v>
      </c>
      <c r="BF690" s="27">
        <v>94</v>
      </c>
      <c r="BG690" s="27" t="s">
        <v>2233</v>
      </c>
      <c r="BH690" s="30" t="s">
        <v>2241</v>
      </c>
      <c r="BI690" s="28"/>
      <c r="BJ690" s="28"/>
      <c r="BK690" s="28"/>
      <c r="BL690" s="28"/>
      <c r="BM690" s="28"/>
      <c r="BN690" s="28"/>
      <c r="BO690" s="28"/>
      <c r="BP690" s="28"/>
      <c r="BQ690" s="28"/>
      <c r="BR690" s="28"/>
      <c r="BS690" s="28"/>
      <c r="BT690" s="28"/>
      <c r="BU690" s="28"/>
      <c r="BV690" s="28"/>
      <c r="BW690" s="28"/>
      <c r="BX690" s="28"/>
      <c r="FL690" s="33" t="s">
        <v>2189</v>
      </c>
      <c r="FM690" s="33" t="s">
        <v>321</v>
      </c>
    </row>
    <row r="691" spans="1:169" ht="23.25" customHeight="1" x14ac:dyDescent="0.15">
      <c r="A691" s="26">
        <v>44661.831667557868</v>
      </c>
      <c r="B691" s="27" t="s">
        <v>6</v>
      </c>
      <c r="C691" s="27" t="s">
        <v>12</v>
      </c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  <c r="AX691" s="28"/>
      <c r="AY691" s="28"/>
      <c r="AZ691" s="28"/>
      <c r="BA691" s="28"/>
      <c r="BB691" s="28"/>
      <c r="BC691" s="28"/>
      <c r="BD691" s="28"/>
      <c r="BE691" s="28"/>
      <c r="BF691" s="28"/>
      <c r="BG691" s="28"/>
      <c r="BH691" s="28"/>
      <c r="BI691" s="27" t="s">
        <v>2242</v>
      </c>
      <c r="BJ691" s="27" t="s">
        <v>2243</v>
      </c>
      <c r="BK691" s="27" t="s">
        <v>166</v>
      </c>
      <c r="BL691" s="27" t="s">
        <v>167</v>
      </c>
      <c r="BM691" s="27" t="s">
        <v>2244</v>
      </c>
      <c r="BN691" s="27">
        <v>1</v>
      </c>
      <c r="BO691" s="29">
        <v>43970</v>
      </c>
      <c r="BP691" s="29">
        <v>43970</v>
      </c>
      <c r="BQ691" s="27" t="s">
        <v>2245</v>
      </c>
      <c r="BR691" s="27" t="s">
        <v>2246</v>
      </c>
      <c r="BS691" s="27" t="s">
        <v>171</v>
      </c>
      <c r="BT691" s="27" t="s">
        <v>151</v>
      </c>
      <c r="BU691" s="28"/>
      <c r="BV691" s="30" t="s">
        <v>2247</v>
      </c>
      <c r="BW691" s="28"/>
      <c r="BX691" s="28"/>
      <c r="FL691" s="33" t="s">
        <v>2208</v>
      </c>
      <c r="FM691" s="33" t="s">
        <v>255</v>
      </c>
    </row>
    <row r="692" spans="1:169" ht="23.25" customHeight="1" x14ac:dyDescent="0.15">
      <c r="A692" s="26">
        <v>44661.832393842589</v>
      </c>
      <c r="B692" s="27" t="s">
        <v>6</v>
      </c>
      <c r="C692" s="27" t="s">
        <v>10</v>
      </c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7" t="s">
        <v>2185</v>
      </c>
      <c r="AO692" s="27" t="s">
        <v>2186</v>
      </c>
      <c r="AP692" s="27" t="s">
        <v>2248</v>
      </c>
      <c r="AQ692" s="27" t="s">
        <v>1784</v>
      </c>
      <c r="AR692" s="29">
        <v>44490</v>
      </c>
      <c r="AS692" s="29">
        <v>44561</v>
      </c>
      <c r="AT692" s="27" t="s">
        <v>252</v>
      </c>
      <c r="AU692" s="27" t="s">
        <v>252</v>
      </c>
      <c r="AV692" s="27">
        <v>0</v>
      </c>
      <c r="AW692" s="30" t="s">
        <v>2249</v>
      </c>
      <c r="AX692" s="28"/>
      <c r="AY692" s="28"/>
      <c r="AZ692" s="28"/>
      <c r="BA692" s="28"/>
      <c r="BB692" s="28"/>
      <c r="BC692" s="28"/>
      <c r="BD692" s="28"/>
      <c r="BE692" s="28"/>
      <c r="BF692" s="28"/>
      <c r="BG692" s="28"/>
      <c r="BH692" s="28"/>
      <c r="BI692" s="28"/>
      <c r="BJ692" s="28"/>
      <c r="BK692" s="28"/>
      <c r="BL692" s="28"/>
      <c r="BM692" s="28"/>
      <c r="BN692" s="28"/>
      <c r="BO692" s="28"/>
      <c r="BP692" s="28"/>
      <c r="BQ692" s="28"/>
      <c r="BR692" s="28"/>
      <c r="BS692" s="28"/>
      <c r="BT692" s="28"/>
      <c r="BU692" s="28"/>
      <c r="BV692" s="28"/>
      <c r="BW692" s="28"/>
      <c r="BX692" s="28"/>
      <c r="FL692" s="33" t="s">
        <v>2189</v>
      </c>
      <c r="FM692" s="33" t="s">
        <v>255</v>
      </c>
    </row>
    <row r="693" spans="1:169" ht="23.25" customHeight="1" x14ac:dyDescent="0.15">
      <c r="A693" s="26">
        <v>44661.832843206023</v>
      </c>
      <c r="B693" s="27" t="s">
        <v>6</v>
      </c>
      <c r="C693" s="27" t="s">
        <v>12</v>
      </c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  <c r="AX693" s="28"/>
      <c r="AY693" s="28"/>
      <c r="AZ693" s="28"/>
      <c r="BA693" s="28"/>
      <c r="BB693" s="28"/>
      <c r="BC693" s="28"/>
      <c r="BD693" s="28"/>
      <c r="BE693" s="28"/>
      <c r="BF693" s="28"/>
      <c r="BG693" s="28"/>
      <c r="BH693" s="28"/>
      <c r="BI693" s="27" t="s">
        <v>2190</v>
      </c>
      <c r="BJ693" s="27" t="s">
        <v>2191</v>
      </c>
      <c r="BK693" s="27" t="s">
        <v>154</v>
      </c>
      <c r="BL693" s="27" t="s">
        <v>1285</v>
      </c>
      <c r="BM693" s="27" t="s">
        <v>2012</v>
      </c>
      <c r="BN693" s="27">
        <v>3</v>
      </c>
      <c r="BO693" s="29">
        <v>44037</v>
      </c>
      <c r="BP693" s="29">
        <v>44040</v>
      </c>
      <c r="BQ693" s="27" t="s">
        <v>1042</v>
      </c>
      <c r="BR693" s="27" t="s">
        <v>1884</v>
      </c>
      <c r="BS693" s="27" t="s">
        <v>171</v>
      </c>
      <c r="BT693" s="27" t="s">
        <v>151</v>
      </c>
      <c r="BU693" s="28"/>
      <c r="BV693" s="30" t="s">
        <v>2250</v>
      </c>
      <c r="BW693" s="28"/>
      <c r="BX693" s="28"/>
      <c r="FL693" s="33" t="s">
        <v>2251</v>
      </c>
      <c r="FM693" s="33" t="s">
        <v>321</v>
      </c>
    </row>
    <row r="694" spans="1:169" ht="23.25" customHeight="1" x14ac:dyDescent="0.15">
      <c r="A694" s="26">
        <v>44661.833246759255</v>
      </c>
      <c r="B694" s="27" t="s">
        <v>6</v>
      </c>
      <c r="C694" s="27" t="s">
        <v>11</v>
      </c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  <c r="AX694" s="27" t="s">
        <v>2239</v>
      </c>
      <c r="AY694" s="27" t="s">
        <v>2186</v>
      </c>
      <c r="AZ694" s="27" t="s">
        <v>1190</v>
      </c>
      <c r="BA694" s="27" t="s">
        <v>375</v>
      </c>
      <c r="BB694" s="27" t="s">
        <v>493</v>
      </c>
      <c r="BC694" s="29">
        <v>43645</v>
      </c>
      <c r="BD694" s="29">
        <v>43675</v>
      </c>
      <c r="BE694" s="29">
        <v>43676</v>
      </c>
      <c r="BF694" s="27">
        <v>93</v>
      </c>
      <c r="BG694" s="27" t="s">
        <v>377</v>
      </c>
      <c r="BH694" s="30" t="s">
        <v>2252</v>
      </c>
      <c r="BI694" s="28"/>
      <c r="BJ694" s="28"/>
      <c r="BK694" s="28"/>
      <c r="BL694" s="28"/>
      <c r="BM694" s="28"/>
      <c r="BN694" s="28"/>
      <c r="BO694" s="28"/>
      <c r="BP694" s="28"/>
      <c r="BQ694" s="28"/>
      <c r="BR694" s="28"/>
      <c r="BS694" s="28"/>
      <c r="BT694" s="28"/>
      <c r="BU694" s="28"/>
      <c r="BV694" s="28"/>
      <c r="BW694" s="28"/>
      <c r="BX694" s="28"/>
      <c r="FL694" s="33" t="s">
        <v>2189</v>
      </c>
      <c r="FM694" s="33" t="s">
        <v>552</v>
      </c>
    </row>
    <row r="695" spans="1:169" ht="23.25" customHeight="1" x14ac:dyDescent="0.15">
      <c r="A695" s="26">
        <v>44661.834555069443</v>
      </c>
      <c r="B695" s="27" t="s">
        <v>6</v>
      </c>
      <c r="C695" s="27" t="s">
        <v>11</v>
      </c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  <c r="AX695" s="27" t="s">
        <v>2185</v>
      </c>
      <c r="AY695" s="27" t="s">
        <v>2186</v>
      </c>
      <c r="AZ695" s="27" t="s">
        <v>2253</v>
      </c>
      <c r="BA695" s="27" t="s">
        <v>2254</v>
      </c>
      <c r="BB695" s="27" t="s">
        <v>2255</v>
      </c>
      <c r="BC695" s="29">
        <v>44540</v>
      </c>
      <c r="BD695" s="29">
        <v>44566</v>
      </c>
      <c r="BE695" s="29">
        <v>44658</v>
      </c>
      <c r="BF695" s="27">
        <v>95</v>
      </c>
      <c r="BG695" s="27" t="s">
        <v>1228</v>
      </c>
      <c r="BH695" s="30" t="s">
        <v>2256</v>
      </c>
      <c r="BI695" s="28"/>
      <c r="BJ695" s="28"/>
      <c r="BK695" s="28"/>
      <c r="BL695" s="28"/>
      <c r="BM695" s="28"/>
      <c r="BN695" s="28"/>
      <c r="BO695" s="28"/>
      <c r="BP695" s="28"/>
      <c r="BQ695" s="28"/>
      <c r="BR695" s="28"/>
      <c r="BS695" s="28"/>
      <c r="BT695" s="28"/>
      <c r="BU695" s="28"/>
      <c r="BV695" s="28"/>
      <c r="BW695" s="28"/>
      <c r="BX695" s="28"/>
      <c r="FL695" s="33" t="s">
        <v>2189</v>
      </c>
      <c r="FM695" s="33" t="s">
        <v>255</v>
      </c>
    </row>
    <row r="696" spans="1:169" ht="23.25" customHeight="1" x14ac:dyDescent="0.15">
      <c r="A696" s="26">
        <v>44661.835411273147</v>
      </c>
      <c r="B696" s="27" t="s">
        <v>6</v>
      </c>
      <c r="C696" s="27" t="s">
        <v>12</v>
      </c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  <c r="AX696" s="28"/>
      <c r="AY696" s="28"/>
      <c r="AZ696" s="28"/>
      <c r="BA696" s="28"/>
      <c r="BB696" s="28"/>
      <c r="BC696" s="28"/>
      <c r="BD696" s="28"/>
      <c r="BE696" s="28"/>
      <c r="BF696" s="28"/>
      <c r="BG696" s="28"/>
      <c r="BH696" s="28"/>
      <c r="BI696" s="27" t="s">
        <v>2203</v>
      </c>
      <c r="BJ696" s="27" t="s">
        <v>2204</v>
      </c>
      <c r="BK696" s="27" t="s">
        <v>166</v>
      </c>
      <c r="BL696" s="27" t="s">
        <v>167</v>
      </c>
      <c r="BM696" s="27" t="s">
        <v>2257</v>
      </c>
      <c r="BN696" s="27">
        <v>1</v>
      </c>
      <c r="BO696" s="29">
        <v>43972</v>
      </c>
      <c r="BP696" s="29">
        <v>43972</v>
      </c>
      <c r="BQ696" s="27" t="s">
        <v>2258</v>
      </c>
      <c r="BR696" s="27" t="s">
        <v>2246</v>
      </c>
      <c r="BS696" s="27" t="s">
        <v>171</v>
      </c>
      <c r="BT696" s="27" t="s">
        <v>151</v>
      </c>
      <c r="BU696" s="28"/>
      <c r="BV696" s="30" t="s">
        <v>2259</v>
      </c>
      <c r="BW696" s="28"/>
      <c r="BX696" s="28"/>
      <c r="FL696" s="33" t="s">
        <v>2208</v>
      </c>
      <c r="FM696" s="33" t="s">
        <v>255</v>
      </c>
    </row>
    <row r="697" spans="1:169" ht="23.25" customHeight="1" x14ac:dyDescent="0.15">
      <c r="A697" s="26">
        <v>44661.835463206022</v>
      </c>
      <c r="B697" s="27" t="s">
        <v>6</v>
      </c>
      <c r="C697" s="27" t="s">
        <v>11</v>
      </c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  <c r="AX697" s="27" t="s">
        <v>2239</v>
      </c>
      <c r="AY697" s="27" t="s">
        <v>2186</v>
      </c>
      <c r="AZ697" s="27" t="s">
        <v>2260</v>
      </c>
      <c r="BA697" s="27" t="s">
        <v>1431</v>
      </c>
      <c r="BB697" s="27" t="s">
        <v>493</v>
      </c>
      <c r="BC697" s="29">
        <v>43586</v>
      </c>
      <c r="BD697" s="29">
        <v>43617</v>
      </c>
      <c r="BE697" s="29">
        <v>43618</v>
      </c>
      <c r="BF697" s="27">
        <v>95</v>
      </c>
      <c r="BG697" s="27" t="s">
        <v>2261</v>
      </c>
      <c r="BH697" s="30" t="s">
        <v>2262</v>
      </c>
      <c r="BI697" s="28"/>
      <c r="BJ697" s="28"/>
      <c r="BK697" s="28"/>
      <c r="BL697" s="28"/>
      <c r="BM697" s="28"/>
      <c r="BN697" s="28"/>
      <c r="BO697" s="28"/>
      <c r="BP697" s="28"/>
      <c r="BQ697" s="28"/>
      <c r="BR697" s="28"/>
      <c r="BS697" s="28"/>
      <c r="BT697" s="28"/>
      <c r="BU697" s="28"/>
      <c r="BV697" s="28"/>
      <c r="BW697" s="28"/>
      <c r="BX697" s="28"/>
      <c r="FL697" s="33" t="s">
        <v>2189</v>
      </c>
      <c r="FM697" s="33" t="s">
        <v>552</v>
      </c>
    </row>
    <row r="698" spans="1:169" ht="23.25" customHeight="1" x14ac:dyDescent="0.15">
      <c r="A698" s="26">
        <v>44661.836151180556</v>
      </c>
      <c r="B698" s="27" t="s">
        <v>6</v>
      </c>
      <c r="C698" s="27" t="s">
        <v>11</v>
      </c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  <c r="AX698" s="27" t="s">
        <v>2185</v>
      </c>
      <c r="AY698" s="27" t="s">
        <v>2186</v>
      </c>
      <c r="AZ698" s="27" t="s">
        <v>1171</v>
      </c>
      <c r="BA698" s="27" t="s">
        <v>2254</v>
      </c>
      <c r="BB698" s="27" t="s">
        <v>2263</v>
      </c>
      <c r="BC698" s="29">
        <v>44511</v>
      </c>
      <c r="BD698" s="29">
        <v>44538</v>
      </c>
      <c r="BE698" s="29">
        <v>44542</v>
      </c>
      <c r="BF698" s="27">
        <v>96</v>
      </c>
      <c r="BG698" s="27" t="s">
        <v>1228</v>
      </c>
      <c r="BH698" s="30" t="s">
        <v>2264</v>
      </c>
      <c r="BI698" s="28"/>
      <c r="BJ698" s="28"/>
      <c r="BK698" s="28"/>
      <c r="BL698" s="28"/>
      <c r="BM698" s="28"/>
      <c r="BN698" s="28"/>
      <c r="BO698" s="28"/>
      <c r="BP698" s="28"/>
      <c r="BQ698" s="28"/>
      <c r="BR698" s="28"/>
      <c r="BS698" s="28"/>
      <c r="BT698" s="28"/>
      <c r="BU698" s="28"/>
      <c r="BV698" s="28"/>
      <c r="BW698" s="28"/>
      <c r="BX698" s="28"/>
      <c r="FL698" s="33" t="s">
        <v>2189</v>
      </c>
      <c r="FM698" s="33" t="s">
        <v>255</v>
      </c>
    </row>
    <row r="699" spans="1:169" ht="23.25" customHeight="1" x14ac:dyDescent="0.15">
      <c r="A699" s="26">
        <v>44661.837363101848</v>
      </c>
      <c r="B699" s="27" t="s">
        <v>6</v>
      </c>
      <c r="C699" s="27" t="s">
        <v>11</v>
      </c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  <c r="AX699" s="27" t="s">
        <v>2239</v>
      </c>
      <c r="AY699" s="27" t="s">
        <v>2186</v>
      </c>
      <c r="AZ699" s="27" t="s">
        <v>2265</v>
      </c>
      <c r="BA699" s="27" t="s">
        <v>375</v>
      </c>
      <c r="BB699" s="27" t="s">
        <v>493</v>
      </c>
      <c r="BC699" s="29">
        <v>44337</v>
      </c>
      <c r="BD699" s="29">
        <v>44368</v>
      </c>
      <c r="BE699" s="29">
        <v>44369</v>
      </c>
      <c r="BF699" s="27">
        <v>95</v>
      </c>
      <c r="BG699" s="27" t="s">
        <v>2261</v>
      </c>
      <c r="BH699" s="30" t="s">
        <v>2266</v>
      </c>
      <c r="BI699" s="28"/>
      <c r="BJ699" s="28"/>
      <c r="BK699" s="28"/>
      <c r="BL699" s="28"/>
      <c r="BM699" s="28"/>
      <c r="BN699" s="28"/>
      <c r="BO699" s="28"/>
      <c r="BP699" s="28"/>
      <c r="BQ699" s="28"/>
      <c r="BR699" s="28"/>
      <c r="BS699" s="28"/>
      <c r="BT699" s="28"/>
      <c r="BU699" s="28"/>
      <c r="BV699" s="28"/>
      <c r="BW699" s="28"/>
      <c r="BX699" s="28"/>
      <c r="FL699" s="33" t="s">
        <v>2189</v>
      </c>
      <c r="FM699" s="33" t="s">
        <v>278</v>
      </c>
    </row>
    <row r="700" spans="1:169" ht="23.25" customHeight="1" x14ac:dyDescent="0.15">
      <c r="A700" s="26">
        <v>44661.838864270831</v>
      </c>
      <c r="B700" s="27" t="s">
        <v>6</v>
      </c>
      <c r="C700" s="27" t="s">
        <v>12</v>
      </c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  <c r="AX700" s="28"/>
      <c r="AY700" s="28"/>
      <c r="AZ700" s="28"/>
      <c r="BA700" s="28"/>
      <c r="BB700" s="28"/>
      <c r="BC700" s="28"/>
      <c r="BD700" s="28"/>
      <c r="BE700" s="28"/>
      <c r="BF700" s="28"/>
      <c r="BG700" s="28"/>
      <c r="BH700" s="28"/>
      <c r="BI700" s="27" t="s">
        <v>2203</v>
      </c>
      <c r="BJ700" s="27" t="s">
        <v>2204</v>
      </c>
      <c r="BK700" s="27" t="s">
        <v>154</v>
      </c>
      <c r="BL700" s="27" t="s">
        <v>1285</v>
      </c>
      <c r="BM700" s="27" t="s">
        <v>2267</v>
      </c>
      <c r="BN700" s="27">
        <v>2</v>
      </c>
      <c r="BO700" s="29">
        <v>43694</v>
      </c>
      <c r="BP700" s="29">
        <v>43695</v>
      </c>
      <c r="BQ700" s="27" t="s">
        <v>1496</v>
      </c>
      <c r="BR700" s="27" t="s">
        <v>2246</v>
      </c>
      <c r="BS700" s="27" t="s">
        <v>171</v>
      </c>
      <c r="BT700" s="27" t="s">
        <v>629</v>
      </c>
      <c r="BU700" s="28"/>
      <c r="BV700" s="30" t="s">
        <v>2268</v>
      </c>
      <c r="BW700" s="28"/>
      <c r="BX700" s="28"/>
      <c r="FL700" s="33" t="s">
        <v>2208</v>
      </c>
      <c r="FM700" s="33" t="s">
        <v>255</v>
      </c>
    </row>
    <row r="701" spans="1:169" ht="23.25" customHeight="1" x14ac:dyDescent="0.15">
      <c r="A701" s="26">
        <v>44661.839139780088</v>
      </c>
      <c r="B701" s="27" t="s">
        <v>6</v>
      </c>
      <c r="C701" s="27" t="s">
        <v>11</v>
      </c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  <c r="AX701" s="27" t="s">
        <v>2239</v>
      </c>
      <c r="AY701" s="27" t="s">
        <v>2186</v>
      </c>
      <c r="AZ701" s="27" t="s">
        <v>2269</v>
      </c>
      <c r="BA701" s="27" t="s">
        <v>1431</v>
      </c>
      <c r="BB701" s="27" t="s">
        <v>493</v>
      </c>
      <c r="BC701" s="29">
        <v>44303</v>
      </c>
      <c r="BD701" s="29">
        <v>44333</v>
      </c>
      <c r="BE701" s="29">
        <v>44334</v>
      </c>
      <c r="BF701" s="27">
        <v>96</v>
      </c>
      <c r="BG701" s="27" t="s">
        <v>2270</v>
      </c>
      <c r="BH701" s="30" t="s">
        <v>2271</v>
      </c>
      <c r="BI701" s="28"/>
      <c r="BJ701" s="28"/>
      <c r="BK701" s="28"/>
      <c r="BL701" s="28"/>
      <c r="BM701" s="28"/>
      <c r="BN701" s="28"/>
      <c r="BO701" s="28"/>
      <c r="BP701" s="28"/>
      <c r="BQ701" s="28"/>
      <c r="BR701" s="28"/>
      <c r="BS701" s="28"/>
      <c r="BT701" s="28"/>
      <c r="BU701" s="28"/>
      <c r="BV701" s="28"/>
      <c r="BW701" s="28"/>
      <c r="BX701" s="28"/>
      <c r="FL701" s="33" t="s">
        <v>2189</v>
      </c>
      <c r="FM701" s="33" t="s">
        <v>278</v>
      </c>
    </row>
    <row r="702" spans="1:169" ht="23.25" customHeight="1" x14ac:dyDescent="0.15">
      <c r="A702" s="26">
        <v>44661.83952814815</v>
      </c>
      <c r="B702" s="27" t="s">
        <v>6</v>
      </c>
      <c r="C702" s="27" t="s">
        <v>17</v>
      </c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  <c r="AX702" s="28"/>
      <c r="AY702" s="28"/>
      <c r="AZ702" s="28"/>
      <c r="BA702" s="28"/>
      <c r="BB702" s="28"/>
      <c r="BC702" s="28"/>
      <c r="BD702" s="28"/>
      <c r="BE702" s="28"/>
      <c r="BF702" s="28"/>
      <c r="BG702" s="28"/>
      <c r="BH702" s="28"/>
      <c r="BI702" s="28"/>
      <c r="BJ702" s="28"/>
      <c r="BK702" s="28"/>
      <c r="BL702" s="28"/>
      <c r="BM702" s="28"/>
      <c r="BN702" s="28"/>
      <c r="BO702" s="28"/>
      <c r="BP702" s="28"/>
      <c r="BQ702" s="28"/>
      <c r="BR702" s="28"/>
      <c r="BS702" s="28"/>
      <c r="BT702" s="28"/>
      <c r="BU702" s="28"/>
      <c r="BV702" s="28"/>
      <c r="BW702" s="28"/>
      <c r="BX702" s="28"/>
      <c r="DX702" s="33" t="s">
        <v>2185</v>
      </c>
      <c r="DY702" s="33" t="s">
        <v>2186</v>
      </c>
      <c r="DZ702" s="33" t="s">
        <v>166</v>
      </c>
      <c r="EA702" s="33" t="s">
        <v>2272</v>
      </c>
      <c r="EB702" s="34">
        <v>44519</v>
      </c>
      <c r="EC702" s="33" t="s">
        <v>2273</v>
      </c>
      <c r="ED702" s="35" t="s">
        <v>2274</v>
      </c>
      <c r="FL702" s="33" t="s">
        <v>2189</v>
      </c>
      <c r="FM702" s="33" t="s">
        <v>255</v>
      </c>
    </row>
    <row r="703" spans="1:169" ht="23.25" customHeight="1" x14ac:dyDescent="0.15">
      <c r="A703" s="26">
        <v>44661.840410682868</v>
      </c>
      <c r="B703" s="27" t="s">
        <v>8</v>
      </c>
      <c r="C703" s="27" t="s">
        <v>10</v>
      </c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7" t="s">
        <v>2275</v>
      </c>
      <c r="AO703" s="27" t="s">
        <v>2276</v>
      </c>
      <c r="AP703" s="27" t="s">
        <v>2129</v>
      </c>
      <c r="AQ703" s="27" t="s">
        <v>300</v>
      </c>
      <c r="AR703" s="29">
        <v>44470</v>
      </c>
      <c r="AS703" s="29">
        <v>44531</v>
      </c>
      <c r="AT703" s="27" t="s">
        <v>252</v>
      </c>
      <c r="AU703" s="27" t="s">
        <v>252</v>
      </c>
      <c r="AV703" s="27">
        <v>0</v>
      </c>
      <c r="AW703" s="30" t="s">
        <v>2277</v>
      </c>
      <c r="AX703" s="28"/>
      <c r="AY703" s="28"/>
      <c r="AZ703" s="28"/>
      <c r="BA703" s="28"/>
      <c r="BB703" s="28"/>
      <c r="BC703" s="28"/>
      <c r="BD703" s="28"/>
      <c r="BE703" s="28"/>
      <c r="BF703" s="28"/>
      <c r="BG703" s="28"/>
      <c r="BH703" s="28"/>
      <c r="BI703" s="28"/>
      <c r="BJ703" s="28"/>
      <c r="BK703" s="28"/>
      <c r="BL703" s="28"/>
      <c r="BM703" s="28"/>
      <c r="BN703" s="28"/>
      <c r="BO703" s="28"/>
      <c r="BP703" s="28"/>
      <c r="BQ703" s="28"/>
      <c r="BR703" s="28"/>
      <c r="BS703" s="28"/>
      <c r="BT703" s="28"/>
      <c r="BU703" s="28"/>
      <c r="BV703" s="28"/>
      <c r="BW703" s="28"/>
      <c r="BX703" s="28"/>
      <c r="FL703" s="33" t="s">
        <v>2278</v>
      </c>
      <c r="FM703" s="33" t="s">
        <v>552</v>
      </c>
    </row>
    <row r="704" spans="1:169" ht="23.25" customHeight="1" x14ac:dyDescent="0.15">
      <c r="A704" s="26">
        <v>44661.840511956019</v>
      </c>
      <c r="B704" s="27" t="s">
        <v>6</v>
      </c>
      <c r="C704" s="27" t="s">
        <v>17</v>
      </c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  <c r="AX704" s="28"/>
      <c r="AY704" s="28"/>
      <c r="AZ704" s="28"/>
      <c r="BA704" s="28"/>
      <c r="BB704" s="28"/>
      <c r="BC704" s="28"/>
      <c r="BD704" s="28"/>
      <c r="BE704" s="28"/>
      <c r="BF704" s="28"/>
      <c r="BG704" s="28"/>
      <c r="BH704" s="28"/>
      <c r="BI704" s="28"/>
      <c r="BJ704" s="28"/>
      <c r="BK704" s="28"/>
      <c r="BL704" s="28"/>
      <c r="BM704" s="28"/>
      <c r="BN704" s="28"/>
      <c r="BO704" s="28"/>
      <c r="BP704" s="28"/>
      <c r="BQ704" s="28"/>
      <c r="BR704" s="28"/>
      <c r="BS704" s="28"/>
      <c r="BT704" s="28"/>
      <c r="BU704" s="28"/>
      <c r="BV704" s="28"/>
      <c r="BW704" s="28"/>
      <c r="BX704" s="28"/>
      <c r="DX704" s="33" t="s">
        <v>2203</v>
      </c>
      <c r="DY704" s="33" t="s">
        <v>2204</v>
      </c>
      <c r="DZ704" s="33" t="s">
        <v>145</v>
      </c>
      <c r="EA704" s="33" t="s">
        <v>2279</v>
      </c>
      <c r="EB704" s="34">
        <v>43525</v>
      </c>
      <c r="EC704" s="33" t="s">
        <v>2206</v>
      </c>
      <c r="ED704" s="35" t="s">
        <v>2280</v>
      </c>
      <c r="FL704" s="33" t="s">
        <v>2208</v>
      </c>
      <c r="FM704" s="33" t="s">
        <v>255</v>
      </c>
    </row>
    <row r="705" spans="1:169" ht="23.25" customHeight="1" x14ac:dyDescent="0.15">
      <c r="A705" s="26">
        <v>44661.841139548611</v>
      </c>
      <c r="B705" s="27" t="s">
        <v>6</v>
      </c>
      <c r="C705" s="27" t="s">
        <v>11</v>
      </c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  <c r="AX705" s="27" t="s">
        <v>2239</v>
      </c>
      <c r="AY705" s="27" t="s">
        <v>2186</v>
      </c>
      <c r="AZ705" s="27" t="s">
        <v>2281</v>
      </c>
      <c r="BA705" s="27" t="s">
        <v>375</v>
      </c>
      <c r="BB705" s="27" t="s">
        <v>1255</v>
      </c>
      <c r="BC705" s="29">
        <v>44186</v>
      </c>
      <c r="BD705" s="29">
        <v>44217</v>
      </c>
      <c r="BE705" s="29">
        <v>44218</v>
      </c>
      <c r="BF705" s="27">
        <v>96</v>
      </c>
      <c r="BG705" s="27" t="s">
        <v>2261</v>
      </c>
      <c r="BH705" s="30" t="s">
        <v>2282</v>
      </c>
      <c r="BI705" s="28"/>
      <c r="BJ705" s="28"/>
      <c r="BK705" s="28"/>
      <c r="BL705" s="28"/>
      <c r="BM705" s="28"/>
      <c r="BN705" s="28"/>
      <c r="BO705" s="28"/>
      <c r="BP705" s="28"/>
      <c r="BQ705" s="28"/>
      <c r="BR705" s="28"/>
      <c r="BS705" s="28"/>
      <c r="BT705" s="28"/>
      <c r="BU705" s="28"/>
      <c r="BV705" s="28"/>
      <c r="BW705" s="28"/>
      <c r="BX705" s="28"/>
      <c r="FL705" s="33" t="s">
        <v>2189</v>
      </c>
      <c r="FM705" s="33" t="s">
        <v>278</v>
      </c>
    </row>
    <row r="706" spans="1:169" ht="23.25" customHeight="1" x14ac:dyDescent="0.15">
      <c r="A706" s="26">
        <v>44661.842373159721</v>
      </c>
      <c r="B706" s="27" t="s">
        <v>6</v>
      </c>
      <c r="C706" s="27" t="s">
        <v>17</v>
      </c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  <c r="AX706" s="28"/>
      <c r="AY706" s="28"/>
      <c r="AZ706" s="28"/>
      <c r="BA706" s="28"/>
      <c r="BB706" s="28"/>
      <c r="BC706" s="28"/>
      <c r="BD706" s="28"/>
      <c r="BE706" s="28"/>
      <c r="BF706" s="28"/>
      <c r="BG706" s="28"/>
      <c r="BH706" s="28"/>
      <c r="BI706" s="28"/>
      <c r="BJ706" s="28"/>
      <c r="BK706" s="28"/>
      <c r="BL706" s="28"/>
      <c r="BM706" s="28"/>
      <c r="BN706" s="28"/>
      <c r="BO706" s="28"/>
      <c r="BP706" s="28"/>
      <c r="BQ706" s="28"/>
      <c r="BR706" s="28"/>
      <c r="BS706" s="28"/>
      <c r="BT706" s="28"/>
      <c r="BU706" s="28"/>
      <c r="BV706" s="28"/>
      <c r="BW706" s="28"/>
      <c r="BX706" s="28"/>
      <c r="DX706" s="33" t="s">
        <v>2203</v>
      </c>
      <c r="DY706" s="33" t="s">
        <v>2204</v>
      </c>
      <c r="DZ706" s="33" t="s">
        <v>145</v>
      </c>
      <c r="EA706" s="33" t="s">
        <v>2283</v>
      </c>
      <c r="EB706" s="34">
        <v>43358</v>
      </c>
      <c r="EC706" s="33" t="s">
        <v>2206</v>
      </c>
      <c r="ED706" s="35" t="s">
        <v>2284</v>
      </c>
      <c r="FL706" s="33" t="s">
        <v>2208</v>
      </c>
      <c r="FM706" s="33" t="s">
        <v>255</v>
      </c>
    </row>
    <row r="707" spans="1:169" ht="23.25" customHeight="1" x14ac:dyDescent="0.15">
      <c r="A707" s="26">
        <v>44661.843580358793</v>
      </c>
      <c r="B707" s="27" t="s">
        <v>6</v>
      </c>
      <c r="C707" s="27" t="s">
        <v>11</v>
      </c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  <c r="AX707" s="27" t="s">
        <v>2239</v>
      </c>
      <c r="AY707" s="27" t="s">
        <v>2186</v>
      </c>
      <c r="AZ707" s="27" t="s">
        <v>2285</v>
      </c>
      <c r="BA707" s="27" t="s">
        <v>1431</v>
      </c>
      <c r="BB707" s="27" t="s">
        <v>879</v>
      </c>
      <c r="BC707" s="29">
        <v>43957</v>
      </c>
      <c r="BD707" s="29">
        <v>43988</v>
      </c>
      <c r="BE707" s="29">
        <v>43989</v>
      </c>
      <c r="BF707" s="27">
        <v>92</v>
      </c>
      <c r="BG707" s="27" t="s">
        <v>2261</v>
      </c>
      <c r="BH707" s="30" t="s">
        <v>2286</v>
      </c>
      <c r="BI707" s="28"/>
      <c r="BJ707" s="28"/>
      <c r="BK707" s="28"/>
      <c r="BL707" s="28"/>
      <c r="BM707" s="28"/>
      <c r="BN707" s="28"/>
      <c r="BO707" s="28"/>
      <c r="BP707" s="28"/>
      <c r="BQ707" s="28"/>
      <c r="BR707" s="28"/>
      <c r="BS707" s="28"/>
      <c r="BT707" s="28"/>
      <c r="BU707" s="28"/>
      <c r="BV707" s="28"/>
      <c r="BW707" s="28"/>
      <c r="BX707" s="28"/>
      <c r="FL707" s="33" t="s">
        <v>2189</v>
      </c>
      <c r="FM707" s="33" t="s">
        <v>339</v>
      </c>
    </row>
    <row r="708" spans="1:169" ht="23.25" customHeight="1" x14ac:dyDescent="0.15">
      <c r="A708" s="26">
        <v>44661.843829386577</v>
      </c>
      <c r="B708" s="27" t="s">
        <v>6</v>
      </c>
      <c r="C708" s="27" t="s">
        <v>17</v>
      </c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  <c r="AX708" s="28"/>
      <c r="AY708" s="28"/>
      <c r="AZ708" s="28"/>
      <c r="BA708" s="28"/>
      <c r="BB708" s="28"/>
      <c r="BC708" s="28"/>
      <c r="BD708" s="28"/>
      <c r="BE708" s="28"/>
      <c r="BF708" s="28"/>
      <c r="BG708" s="28"/>
      <c r="BH708" s="28"/>
      <c r="BI708" s="28"/>
      <c r="BJ708" s="28"/>
      <c r="BK708" s="28"/>
      <c r="BL708" s="28"/>
      <c r="BM708" s="28"/>
      <c r="BN708" s="28"/>
      <c r="BO708" s="28"/>
      <c r="BP708" s="28"/>
      <c r="BQ708" s="28"/>
      <c r="BR708" s="28"/>
      <c r="BS708" s="28"/>
      <c r="BT708" s="28"/>
      <c r="BU708" s="28"/>
      <c r="BV708" s="28"/>
      <c r="BW708" s="28"/>
      <c r="BX708" s="28"/>
      <c r="DX708" s="33" t="s">
        <v>2185</v>
      </c>
      <c r="DY708" s="33" t="s">
        <v>2186</v>
      </c>
      <c r="DZ708" s="33" t="s">
        <v>145</v>
      </c>
      <c r="EA708" s="33" t="s">
        <v>2287</v>
      </c>
      <c r="EB708" s="34">
        <v>43757</v>
      </c>
      <c r="EC708" s="33" t="s">
        <v>2218</v>
      </c>
      <c r="ED708" s="35" t="s">
        <v>2288</v>
      </c>
      <c r="FL708" s="33" t="s">
        <v>2189</v>
      </c>
      <c r="FM708" s="33" t="s">
        <v>255</v>
      </c>
    </row>
    <row r="709" spans="1:169" ht="23.25" customHeight="1" x14ac:dyDescent="0.15">
      <c r="A709" s="26">
        <v>44661.843933425931</v>
      </c>
      <c r="B709" s="27" t="s">
        <v>6</v>
      </c>
      <c r="C709" s="27" t="s">
        <v>12</v>
      </c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  <c r="AX709" s="28"/>
      <c r="AY709" s="28"/>
      <c r="AZ709" s="28"/>
      <c r="BA709" s="28"/>
      <c r="BB709" s="28"/>
      <c r="BC709" s="28"/>
      <c r="BD709" s="28"/>
      <c r="BE709" s="28"/>
      <c r="BF709" s="28"/>
      <c r="BG709" s="28"/>
      <c r="BH709" s="28"/>
      <c r="BI709" s="27" t="s">
        <v>2203</v>
      </c>
      <c r="BJ709" s="27" t="s">
        <v>2204</v>
      </c>
      <c r="BK709" s="27" t="s">
        <v>145</v>
      </c>
      <c r="BL709" s="27" t="s">
        <v>1285</v>
      </c>
      <c r="BM709" s="27" t="s">
        <v>2289</v>
      </c>
      <c r="BN709" s="27">
        <v>2</v>
      </c>
      <c r="BO709" s="29">
        <v>43505</v>
      </c>
      <c r="BP709" s="29">
        <v>43506</v>
      </c>
      <c r="BQ709" s="27" t="s">
        <v>2206</v>
      </c>
      <c r="BR709" s="27" t="s">
        <v>2290</v>
      </c>
      <c r="BS709" s="27" t="s">
        <v>271</v>
      </c>
      <c r="BT709" s="27" t="s">
        <v>629</v>
      </c>
      <c r="BU709" s="28"/>
      <c r="BV709" s="30" t="s">
        <v>2291</v>
      </c>
      <c r="BW709" s="28"/>
      <c r="BX709" s="28"/>
      <c r="FL709" s="33" t="s">
        <v>2208</v>
      </c>
      <c r="FM709" s="33" t="s">
        <v>255</v>
      </c>
    </row>
    <row r="710" spans="1:169" ht="23.25" customHeight="1" x14ac:dyDescent="0.15">
      <c r="A710" s="26">
        <v>44661.84524480324</v>
      </c>
      <c r="B710" s="27" t="s">
        <v>6</v>
      </c>
      <c r="C710" s="27" t="s">
        <v>17</v>
      </c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  <c r="AX710" s="28"/>
      <c r="AY710" s="28"/>
      <c r="AZ710" s="28"/>
      <c r="BA710" s="28"/>
      <c r="BB710" s="28"/>
      <c r="BC710" s="28"/>
      <c r="BD710" s="28"/>
      <c r="BE710" s="28"/>
      <c r="BF710" s="28"/>
      <c r="BG710" s="28"/>
      <c r="BH710" s="28"/>
      <c r="BI710" s="28"/>
      <c r="BJ710" s="28"/>
      <c r="BK710" s="28"/>
      <c r="BL710" s="28"/>
      <c r="BM710" s="28"/>
      <c r="BN710" s="28"/>
      <c r="BO710" s="28"/>
      <c r="BP710" s="28"/>
      <c r="BQ710" s="28"/>
      <c r="BR710" s="28"/>
      <c r="BS710" s="28"/>
      <c r="BT710" s="28"/>
      <c r="BU710" s="28"/>
      <c r="BV710" s="28"/>
      <c r="BW710" s="28"/>
      <c r="BX710" s="28"/>
      <c r="DX710" s="33" t="s">
        <v>2185</v>
      </c>
      <c r="DY710" s="33" t="s">
        <v>2186</v>
      </c>
      <c r="DZ710" s="33" t="s">
        <v>166</v>
      </c>
      <c r="EA710" s="33" t="s">
        <v>2292</v>
      </c>
      <c r="EB710" s="34">
        <v>44128</v>
      </c>
      <c r="EC710" s="33" t="s">
        <v>2218</v>
      </c>
      <c r="ED710" s="35" t="s">
        <v>2293</v>
      </c>
      <c r="FL710" s="33" t="s">
        <v>2189</v>
      </c>
      <c r="FM710" s="33" t="s">
        <v>255</v>
      </c>
    </row>
    <row r="711" spans="1:169" ht="23.25" customHeight="1" x14ac:dyDescent="0.15">
      <c r="A711" s="26">
        <v>44661.845818414353</v>
      </c>
      <c r="B711" s="27" t="s">
        <v>6</v>
      </c>
      <c r="C711" s="27" t="s">
        <v>17</v>
      </c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  <c r="AX711" s="28"/>
      <c r="AY711" s="28"/>
      <c r="AZ711" s="28"/>
      <c r="BA711" s="28"/>
      <c r="BB711" s="28"/>
      <c r="BC711" s="28"/>
      <c r="BD711" s="28"/>
      <c r="BE711" s="28"/>
      <c r="BF711" s="28"/>
      <c r="BG711" s="28"/>
      <c r="BH711" s="28"/>
      <c r="BI711" s="28"/>
      <c r="BJ711" s="28"/>
      <c r="BK711" s="28"/>
      <c r="BL711" s="28"/>
      <c r="BM711" s="28"/>
      <c r="BN711" s="28"/>
      <c r="BO711" s="28"/>
      <c r="BP711" s="28"/>
      <c r="BQ711" s="28"/>
      <c r="BR711" s="28"/>
      <c r="BS711" s="28"/>
      <c r="BT711" s="28"/>
      <c r="BU711" s="28"/>
      <c r="BV711" s="28"/>
      <c r="BW711" s="28"/>
      <c r="BX711" s="28"/>
      <c r="DX711" s="33" t="s">
        <v>2203</v>
      </c>
      <c r="DY711" s="33" t="s">
        <v>2204</v>
      </c>
      <c r="DZ711" s="33" t="s">
        <v>154</v>
      </c>
      <c r="EA711" s="33" t="s">
        <v>2294</v>
      </c>
      <c r="EB711" s="34">
        <v>43532</v>
      </c>
      <c r="EC711" s="33" t="s">
        <v>2206</v>
      </c>
      <c r="ED711" s="35" t="s">
        <v>2295</v>
      </c>
      <c r="FL711" s="33" t="s">
        <v>2208</v>
      </c>
      <c r="FM711" s="33" t="s">
        <v>255</v>
      </c>
    </row>
    <row r="712" spans="1:169" ht="23.25" customHeight="1" x14ac:dyDescent="0.15">
      <c r="A712" s="26">
        <v>44661.846476689811</v>
      </c>
      <c r="B712" s="27" t="s">
        <v>6</v>
      </c>
      <c r="C712" s="27" t="s">
        <v>11</v>
      </c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  <c r="AX712" s="27" t="s">
        <v>2239</v>
      </c>
      <c r="AY712" s="27" t="s">
        <v>2186</v>
      </c>
      <c r="AZ712" s="27" t="s">
        <v>2296</v>
      </c>
      <c r="BA712" s="27" t="s">
        <v>1431</v>
      </c>
      <c r="BB712" s="27" t="s">
        <v>879</v>
      </c>
      <c r="BC712" s="29">
        <v>43989</v>
      </c>
      <c r="BD712" s="29">
        <v>44019</v>
      </c>
      <c r="BE712" s="29">
        <v>44020</v>
      </c>
      <c r="BF712" s="27">
        <v>95</v>
      </c>
      <c r="BG712" s="27" t="s">
        <v>377</v>
      </c>
      <c r="BH712" s="30" t="s">
        <v>2297</v>
      </c>
      <c r="BI712" s="28"/>
      <c r="BJ712" s="28"/>
      <c r="BK712" s="28"/>
      <c r="BL712" s="28"/>
      <c r="BM712" s="28"/>
      <c r="BN712" s="28"/>
      <c r="BO712" s="28"/>
      <c r="BP712" s="28"/>
      <c r="BQ712" s="28"/>
      <c r="BR712" s="28"/>
      <c r="BS712" s="28"/>
      <c r="BT712" s="28"/>
      <c r="BU712" s="28"/>
      <c r="BV712" s="28"/>
      <c r="BW712" s="28"/>
      <c r="BX712" s="28"/>
      <c r="FL712" s="33" t="s">
        <v>2189</v>
      </c>
      <c r="FM712" s="33" t="s">
        <v>339</v>
      </c>
    </row>
    <row r="713" spans="1:169" ht="23.25" customHeight="1" x14ac:dyDescent="0.15">
      <c r="A713" s="26">
        <v>44661.846930509259</v>
      </c>
      <c r="B713" s="27" t="s">
        <v>6</v>
      </c>
      <c r="C713" s="27" t="s">
        <v>12</v>
      </c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  <c r="AX713" s="28"/>
      <c r="AY713" s="28"/>
      <c r="AZ713" s="28"/>
      <c r="BA713" s="28"/>
      <c r="BB713" s="28"/>
      <c r="BC713" s="28"/>
      <c r="BD713" s="28"/>
      <c r="BE713" s="28"/>
      <c r="BF713" s="28"/>
      <c r="BG713" s="28"/>
      <c r="BH713" s="28"/>
      <c r="BI713" s="27" t="s">
        <v>2185</v>
      </c>
      <c r="BJ713" s="27" t="s">
        <v>2186</v>
      </c>
      <c r="BK713" s="27" t="s">
        <v>166</v>
      </c>
      <c r="BL713" s="27" t="s">
        <v>1285</v>
      </c>
      <c r="BM713" s="27" t="s">
        <v>2298</v>
      </c>
      <c r="BN713" s="27">
        <v>5</v>
      </c>
      <c r="BO713" s="29">
        <v>44092</v>
      </c>
      <c r="BP713" s="29">
        <v>44462</v>
      </c>
      <c r="BQ713" s="27" t="s">
        <v>2299</v>
      </c>
      <c r="BR713" s="27" t="s">
        <v>2211</v>
      </c>
      <c r="BS713" s="27" t="s">
        <v>171</v>
      </c>
      <c r="BT713" s="27" t="s">
        <v>151</v>
      </c>
      <c r="BU713" s="28"/>
      <c r="BV713" s="30" t="s">
        <v>2300</v>
      </c>
      <c r="BW713" s="28"/>
      <c r="BX713" s="28"/>
      <c r="FL713" s="33" t="s">
        <v>2189</v>
      </c>
      <c r="FM713" s="33" t="s">
        <v>255</v>
      </c>
    </row>
    <row r="714" spans="1:169" ht="23.25" customHeight="1" x14ac:dyDescent="0.15">
      <c r="A714" s="26">
        <v>44661.848228333329</v>
      </c>
      <c r="B714" s="27" t="s">
        <v>6</v>
      </c>
      <c r="C714" s="27" t="s">
        <v>17</v>
      </c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  <c r="AX714" s="28"/>
      <c r="AY714" s="28"/>
      <c r="AZ714" s="28"/>
      <c r="BA714" s="28"/>
      <c r="BB714" s="28"/>
      <c r="BC714" s="28"/>
      <c r="BD714" s="28"/>
      <c r="BE714" s="28"/>
      <c r="BF714" s="28"/>
      <c r="BG714" s="28"/>
      <c r="BH714" s="28"/>
      <c r="BI714" s="28"/>
      <c r="BJ714" s="28"/>
      <c r="BK714" s="28"/>
      <c r="BL714" s="28"/>
      <c r="BM714" s="28"/>
      <c r="BN714" s="28"/>
      <c r="BO714" s="28"/>
      <c r="BP714" s="28"/>
      <c r="BQ714" s="28"/>
      <c r="BR714" s="28"/>
      <c r="BS714" s="28"/>
      <c r="BT714" s="28"/>
      <c r="BU714" s="28"/>
      <c r="BV714" s="28"/>
      <c r="BW714" s="28"/>
      <c r="BX714" s="28"/>
      <c r="DX714" s="33" t="s">
        <v>2185</v>
      </c>
      <c r="DY714" s="33" t="s">
        <v>2186</v>
      </c>
      <c r="DZ714" s="33" t="s">
        <v>154</v>
      </c>
      <c r="EA714" s="33" t="s">
        <v>2301</v>
      </c>
      <c r="EB714" s="34">
        <v>43937</v>
      </c>
      <c r="EC714" s="33" t="s">
        <v>2302</v>
      </c>
      <c r="ED714" s="35" t="s">
        <v>2303</v>
      </c>
      <c r="FL714" s="33" t="s">
        <v>2189</v>
      </c>
      <c r="FM714" s="33" t="s">
        <v>255</v>
      </c>
    </row>
    <row r="715" spans="1:169" ht="23.25" customHeight="1" x14ac:dyDescent="0.15">
      <c r="A715" s="26">
        <v>44661.851909398145</v>
      </c>
      <c r="B715" s="27" t="s">
        <v>6</v>
      </c>
      <c r="C715" s="27" t="s">
        <v>11</v>
      </c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  <c r="AX715" s="27" t="s">
        <v>744</v>
      </c>
      <c r="AY715" s="27" t="s">
        <v>745</v>
      </c>
      <c r="AZ715" s="27" t="s">
        <v>1944</v>
      </c>
      <c r="BA715" s="27" t="s">
        <v>407</v>
      </c>
      <c r="BB715" s="27" t="s">
        <v>415</v>
      </c>
      <c r="BC715" s="29">
        <v>43835</v>
      </c>
      <c r="BD715" s="29">
        <v>43895</v>
      </c>
      <c r="BE715" s="29">
        <v>43920</v>
      </c>
      <c r="BF715" s="36">
        <v>0.9</v>
      </c>
      <c r="BG715" s="27" t="s">
        <v>1955</v>
      </c>
      <c r="BH715" s="30" t="s">
        <v>2304</v>
      </c>
      <c r="BI715" s="28"/>
      <c r="BJ715" s="28"/>
      <c r="BK715" s="28"/>
      <c r="BL715" s="28"/>
      <c r="BM715" s="28"/>
      <c r="BN715" s="28"/>
      <c r="BO715" s="28"/>
      <c r="BP715" s="28"/>
      <c r="BQ715" s="28"/>
      <c r="BR715" s="28"/>
      <c r="BS715" s="28"/>
      <c r="BT715" s="28"/>
      <c r="BU715" s="28"/>
      <c r="BV715" s="28"/>
      <c r="BW715" s="28"/>
      <c r="BX715" s="28"/>
      <c r="FL715" s="33" t="s">
        <v>748</v>
      </c>
      <c r="FM715" s="33" t="s">
        <v>255</v>
      </c>
    </row>
    <row r="716" spans="1:169" ht="23.25" customHeight="1" x14ac:dyDescent="0.15">
      <c r="A716" s="26">
        <v>44661.854726828707</v>
      </c>
      <c r="B716" s="27" t="s">
        <v>6</v>
      </c>
      <c r="C716" s="27" t="s">
        <v>11</v>
      </c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  <c r="AX716" s="27" t="s">
        <v>754</v>
      </c>
      <c r="AY716" s="27" t="s">
        <v>745</v>
      </c>
      <c r="AZ716" s="27" t="s">
        <v>349</v>
      </c>
      <c r="BA716" s="27" t="s">
        <v>375</v>
      </c>
      <c r="BB716" s="27" t="s">
        <v>415</v>
      </c>
      <c r="BC716" s="29">
        <v>43590</v>
      </c>
      <c r="BD716" s="29">
        <v>43651</v>
      </c>
      <c r="BE716" s="29">
        <v>43666</v>
      </c>
      <c r="BF716" s="36">
        <v>0.9</v>
      </c>
      <c r="BG716" s="27" t="s">
        <v>2305</v>
      </c>
      <c r="BH716" s="30" t="s">
        <v>2306</v>
      </c>
      <c r="BI716" s="28"/>
      <c r="BJ716" s="28"/>
      <c r="BK716" s="28"/>
      <c r="BL716" s="28"/>
      <c r="BM716" s="28"/>
      <c r="BN716" s="28"/>
      <c r="BO716" s="28"/>
      <c r="BP716" s="28"/>
      <c r="BQ716" s="28"/>
      <c r="BR716" s="28"/>
      <c r="BS716" s="28"/>
      <c r="BT716" s="28"/>
      <c r="BU716" s="28"/>
      <c r="BV716" s="28"/>
      <c r="BW716" s="28"/>
      <c r="BX716" s="28"/>
      <c r="FL716" s="33" t="s">
        <v>748</v>
      </c>
      <c r="FM716" s="33" t="s">
        <v>255</v>
      </c>
    </row>
    <row r="717" spans="1:169" ht="23.25" customHeight="1" x14ac:dyDescent="0.15">
      <c r="A717" s="26">
        <v>44661.859792071758</v>
      </c>
      <c r="B717" s="27" t="s">
        <v>6</v>
      </c>
      <c r="C717" s="27" t="s">
        <v>11</v>
      </c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  <c r="AX717" s="27" t="s">
        <v>744</v>
      </c>
      <c r="AY717" s="27" t="s">
        <v>745</v>
      </c>
      <c r="AZ717" s="27" t="s">
        <v>1260</v>
      </c>
      <c r="BA717" s="27" t="s">
        <v>375</v>
      </c>
      <c r="BB717" s="27" t="s">
        <v>408</v>
      </c>
      <c r="BC717" s="29">
        <v>43933</v>
      </c>
      <c r="BD717" s="29">
        <v>43963</v>
      </c>
      <c r="BE717" s="29">
        <v>43965</v>
      </c>
      <c r="BF717" s="36">
        <v>90</v>
      </c>
      <c r="BG717" s="27" t="s">
        <v>2307</v>
      </c>
      <c r="BH717" s="30" t="s">
        <v>2308</v>
      </c>
      <c r="BI717" s="28"/>
      <c r="BJ717" s="28"/>
      <c r="BK717" s="28"/>
      <c r="BL717" s="28"/>
      <c r="BM717" s="28"/>
      <c r="BN717" s="28"/>
      <c r="BO717" s="28"/>
      <c r="BP717" s="28"/>
      <c r="BQ717" s="28"/>
      <c r="BR717" s="28"/>
      <c r="BS717" s="28"/>
      <c r="BT717" s="28"/>
      <c r="BU717" s="28"/>
      <c r="BV717" s="28"/>
      <c r="BW717" s="28"/>
      <c r="BX717" s="28"/>
      <c r="FL717" s="33" t="s">
        <v>748</v>
      </c>
      <c r="FM717" s="33" t="s">
        <v>255</v>
      </c>
    </row>
    <row r="718" spans="1:169" ht="23.25" customHeight="1" x14ac:dyDescent="0.15">
      <c r="A718" s="26">
        <v>44661.862896458333</v>
      </c>
      <c r="B718" s="27" t="s">
        <v>6</v>
      </c>
      <c r="C718" s="27" t="s">
        <v>11</v>
      </c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  <c r="AX718" s="27" t="s">
        <v>744</v>
      </c>
      <c r="AY718" s="27" t="s">
        <v>745</v>
      </c>
      <c r="AZ718" s="27" t="s">
        <v>2309</v>
      </c>
      <c r="BA718" s="27" t="s">
        <v>375</v>
      </c>
      <c r="BB718" s="27" t="s">
        <v>408</v>
      </c>
      <c r="BC718" s="29">
        <v>43957</v>
      </c>
      <c r="BD718" s="29">
        <v>43988</v>
      </c>
      <c r="BE718" s="29">
        <v>43989</v>
      </c>
      <c r="BF718" s="36">
        <v>90</v>
      </c>
      <c r="BG718" s="27" t="s">
        <v>2307</v>
      </c>
      <c r="BH718" s="30" t="s">
        <v>2310</v>
      </c>
      <c r="BI718" s="28"/>
      <c r="BJ718" s="28"/>
      <c r="BK718" s="28"/>
      <c r="BL718" s="28"/>
      <c r="BM718" s="28"/>
      <c r="BN718" s="28"/>
      <c r="BO718" s="28"/>
      <c r="BP718" s="28"/>
      <c r="BQ718" s="28"/>
      <c r="BR718" s="28"/>
      <c r="BS718" s="28"/>
      <c r="BT718" s="28"/>
      <c r="BU718" s="28"/>
      <c r="BV718" s="28"/>
      <c r="BW718" s="28"/>
      <c r="BX718" s="28"/>
      <c r="FL718" s="33" t="s">
        <v>748</v>
      </c>
      <c r="FM718" s="33" t="s">
        <v>255</v>
      </c>
    </row>
    <row r="719" spans="1:169" ht="23.25" customHeight="1" x14ac:dyDescent="0.15">
      <c r="A719" s="26">
        <v>44661.863454907405</v>
      </c>
      <c r="B719" s="27" t="s">
        <v>6</v>
      </c>
      <c r="C719" s="27" t="s">
        <v>11</v>
      </c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  <c r="AX719" s="27" t="s">
        <v>2239</v>
      </c>
      <c r="AY719" s="27" t="s">
        <v>2186</v>
      </c>
      <c r="AZ719" s="27" t="s">
        <v>2067</v>
      </c>
      <c r="BA719" s="27" t="s">
        <v>1431</v>
      </c>
      <c r="BB719" s="27" t="s">
        <v>493</v>
      </c>
      <c r="BC719" s="29">
        <v>44348</v>
      </c>
      <c r="BD719" s="29">
        <v>44378</v>
      </c>
      <c r="BE719" s="29">
        <v>44379</v>
      </c>
      <c r="BF719" s="27">
        <v>96</v>
      </c>
      <c r="BG719" s="27" t="s">
        <v>2261</v>
      </c>
      <c r="BH719" s="30" t="s">
        <v>2311</v>
      </c>
      <c r="BI719" s="28"/>
      <c r="BJ719" s="28"/>
      <c r="BK719" s="28"/>
      <c r="BL719" s="28"/>
      <c r="BM719" s="28"/>
      <c r="BN719" s="28"/>
      <c r="BO719" s="28"/>
      <c r="BP719" s="28"/>
      <c r="BQ719" s="28"/>
      <c r="BR719" s="28"/>
      <c r="BS719" s="28"/>
      <c r="BT719" s="28"/>
      <c r="BU719" s="28"/>
      <c r="BV719" s="28"/>
      <c r="BW719" s="28"/>
      <c r="BX719" s="28"/>
      <c r="FL719" s="33" t="s">
        <v>2189</v>
      </c>
      <c r="FM719" s="33" t="s">
        <v>278</v>
      </c>
    </row>
    <row r="720" spans="1:169" ht="23.25" customHeight="1" x14ac:dyDescent="0.15">
      <c r="A720" s="26">
        <v>44661.864662372682</v>
      </c>
      <c r="B720" s="27" t="s">
        <v>6</v>
      </c>
      <c r="C720" s="27" t="s">
        <v>11</v>
      </c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  <c r="AX720" s="27" t="s">
        <v>744</v>
      </c>
      <c r="AY720" s="27" t="s">
        <v>745</v>
      </c>
      <c r="AZ720" s="27" t="s">
        <v>2312</v>
      </c>
      <c r="BA720" s="27" t="s">
        <v>375</v>
      </c>
      <c r="BB720" s="27" t="s">
        <v>408</v>
      </c>
      <c r="BC720" s="29" t="s">
        <v>2313</v>
      </c>
      <c r="BD720" s="29">
        <v>44019</v>
      </c>
      <c r="BE720" s="29">
        <v>44020</v>
      </c>
      <c r="BF720" s="36">
        <v>90</v>
      </c>
      <c r="BG720" s="27" t="s">
        <v>2307</v>
      </c>
      <c r="BH720" s="30" t="s">
        <v>2314</v>
      </c>
      <c r="BI720" s="28"/>
      <c r="BJ720" s="28"/>
      <c r="BK720" s="28"/>
      <c r="BL720" s="28"/>
      <c r="BM720" s="28"/>
      <c r="BN720" s="28"/>
      <c r="BO720" s="28"/>
      <c r="BP720" s="28"/>
      <c r="BQ720" s="28"/>
      <c r="BR720" s="28"/>
      <c r="BS720" s="28"/>
      <c r="BT720" s="28"/>
      <c r="BU720" s="28"/>
      <c r="BV720" s="28"/>
      <c r="BW720" s="28"/>
      <c r="BX720" s="28"/>
      <c r="FL720" s="33" t="s">
        <v>748</v>
      </c>
      <c r="FM720" s="33" t="s">
        <v>255</v>
      </c>
    </row>
    <row r="721" spans="1:169" ht="23.25" customHeight="1" x14ac:dyDescent="0.15">
      <c r="A721" s="26">
        <v>44661.865123796291</v>
      </c>
      <c r="B721" s="27" t="s">
        <v>8</v>
      </c>
      <c r="C721" s="27" t="s">
        <v>10</v>
      </c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7" t="s">
        <v>2315</v>
      </c>
      <c r="AO721" s="27" t="s">
        <v>2316</v>
      </c>
      <c r="AP721" s="27" t="s">
        <v>2317</v>
      </c>
      <c r="AQ721" s="27" t="s">
        <v>300</v>
      </c>
      <c r="AR721" s="29">
        <v>44483</v>
      </c>
      <c r="AS721" s="29">
        <v>44561</v>
      </c>
      <c r="AT721" s="27" t="s">
        <v>252</v>
      </c>
      <c r="AU721" s="27" t="s">
        <v>252</v>
      </c>
      <c r="AV721" s="27">
        <v>0</v>
      </c>
      <c r="AW721" s="30" t="s">
        <v>2318</v>
      </c>
      <c r="AX721" s="28"/>
      <c r="AY721" s="28"/>
      <c r="AZ721" s="28"/>
      <c r="BA721" s="28"/>
      <c r="BB721" s="28"/>
      <c r="BC721" s="28"/>
      <c r="BD721" s="28"/>
      <c r="BE721" s="28"/>
      <c r="BF721" s="28"/>
      <c r="BG721" s="28"/>
      <c r="BH721" s="28"/>
      <c r="BI721" s="28"/>
      <c r="BJ721" s="28"/>
      <c r="BK721" s="28"/>
      <c r="BL721" s="28"/>
      <c r="BM721" s="28"/>
      <c r="BN721" s="28"/>
      <c r="BO721" s="28"/>
      <c r="BP721" s="28"/>
      <c r="BQ721" s="28"/>
      <c r="BR721" s="28"/>
      <c r="BS721" s="28"/>
      <c r="BT721" s="28"/>
      <c r="BU721" s="28"/>
      <c r="BV721" s="28"/>
      <c r="BW721" s="28"/>
      <c r="BX721" s="28"/>
      <c r="FL721" s="33" t="s">
        <v>2319</v>
      </c>
      <c r="FM721" s="33" t="s">
        <v>321</v>
      </c>
    </row>
    <row r="722" spans="1:169" ht="23.25" customHeight="1" x14ac:dyDescent="0.15">
      <c r="A722" s="26">
        <v>44661.865748900462</v>
      </c>
      <c r="B722" s="27" t="s">
        <v>6</v>
      </c>
      <c r="C722" s="27" t="s">
        <v>11</v>
      </c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  <c r="AX722" s="27" t="s">
        <v>2239</v>
      </c>
      <c r="AY722" s="27" t="s">
        <v>2186</v>
      </c>
      <c r="AZ722" s="27" t="s">
        <v>2320</v>
      </c>
      <c r="BA722" s="27" t="s">
        <v>375</v>
      </c>
      <c r="BB722" s="27" t="s">
        <v>879</v>
      </c>
      <c r="BC722" s="29">
        <v>43931</v>
      </c>
      <c r="BD722" s="29">
        <v>43961</v>
      </c>
      <c r="BE722" s="29">
        <v>44327</v>
      </c>
      <c r="BF722" s="27">
        <v>95</v>
      </c>
      <c r="BG722" s="27" t="s">
        <v>377</v>
      </c>
      <c r="BH722" s="30" t="s">
        <v>2321</v>
      </c>
      <c r="BI722" s="28"/>
      <c r="BJ722" s="28"/>
      <c r="BK722" s="28"/>
      <c r="BL722" s="28"/>
      <c r="BM722" s="28"/>
      <c r="BN722" s="28"/>
      <c r="BO722" s="28"/>
      <c r="BP722" s="28"/>
      <c r="BQ722" s="28"/>
      <c r="BR722" s="28"/>
      <c r="BS722" s="28"/>
      <c r="BT722" s="28"/>
      <c r="BU722" s="28"/>
      <c r="BV722" s="28"/>
      <c r="BW722" s="28"/>
      <c r="BX722" s="28"/>
      <c r="FL722" s="33" t="s">
        <v>2189</v>
      </c>
      <c r="FM722" s="33" t="s">
        <v>339</v>
      </c>
    </row>
    <row r="723" spans="1:169" ht="23.25" customHeight="1" x14ac:dyDescent="0.15">
      <c r="A723" s="26">
        <v>44661.867298854166</v>
      </c>
      <c r="B723" s="27" t="s">
        <v>6</v>
      </c>
      <c r="C723" s="27" t="s">
        <v>11</v>
      </c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  <c r="AX723" s="27" t="s">
        <v>744</v>
      </c>
      <c r="AY723" s="27" t="s">
        <v>745</v>
      </c>
      <c r="AZ723" s="27" t="s">
        <v>500</v>
      </c>
      <c r="BA723" s="27" t="s">
        <v>375</v>
      </c>
      <c r="BB723" s="27" t="s">
        <v>408</v>
      </c>
      <c r="BC723" s="29">
        <v>44328</v>
      </c>
      <c r="BD723" s="29">
        <v>44330</v>
      </c>
      <c r="BE723" s="29">
        <v>44331</v>
      </c>
      <c r="BF723" s="36">
        <v>90</v>
      </c>
      <c r="BG723" s="27" t="s">
        <v>2307</v>
      </c>
      <c r="BH723" s="30" t="s">
        <v>2322</v>
      </c>
      <c r="BI723" s="28"/>
      <c r="BJ723" s="28"/>
      <c r="BK723" s="28"/>
      <c r="BL723" s="28"/>
      <c r="BM723" s="28"/>
      <c r="BN723" s="28"/>
      <c r="BO723" s="28"/>
      <c r="BP723" s="28"/>
      <c r="BQ723" s="28"/>
      <c r="BR723" s="28"/>
      <c r="BS723" s="28"/>
      <c r="BT723" s="28"/>
      <c r="BU723" s="28"/>
      <c r="BV723" s="28"/>
      <c r="BW723" s="28"/>
      <c r="BX723" s="28"/>
      <c r="FL723" s="33" t="s">
        <v>748</v>
      </c>
      <c r="FM723" s="33" t="s">
        <v>255</v>
      </c>
    </row>
    <row r="724" spans="1:169" ht="23.25" customHeight="1" x14ac:dyDescent="0.15">
      <c r="A724" s="26">
        <v>44661.868852002313</v>
      </c>
      <c r="B724" s="27" t="s">
        <v>6</v>
      </c>
      <c r="C724" s="27" t="s">
        <v>11</v>
      </c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  <c r="AX724" s="27" t="s">
        <v>744</v>
      </c>
      <c r="AY724" s="27" t="s">
        <v>745</v>
      </c>
      <c r="AZ724" s="27" t="s">
        <v>354</v>
      </c>
      <c r="BA724" s="27" t="s">
        <v>375</v>
      </c>
      <c r="BB724" s="27" t="s">
        <v>408</v>
      </c>
      <c r="BC724" s="29">
        <v>44383</v>
      </c>
      <c r="BD724" s="29">
        <v>44384</v>
      </c>
      <c r="BE724" s="29">
        <v>44387</v>
      </c>
      <c r="BF724" s="36">
        <v>90</v>
      </c>
      <c r="BG724" s="27" t="s">
        <v>2307</v>
      </c>
      <c r="BH724" s="30" t="s">
        <v>2323</v>
      </c>
      <c r="BI724" s="28"/>
      <c r="BJ724" s="28"/>
      <c r="BK724" s="28"/>
      <c r="BL724" s="28"/>
      <c r="BM724" s="28"/>
      <c r="BN724" s="28"/>
      <c r="BO724" s="28"/>
      <c r="BP724" s="28"/>
      <c r="BQ724" s="28"/>
      <c r="BR724" s="28"/>
      <c r="BS724" s="28"/>
      <c r="BT724" s="28"/>
      <c r="BU724" s="28"/>
      <c r="BV724" s="28"/>
      <c r="BW724" s="28"/>
      <c r="BX724" s="28"/>
      <c r="FL724" s="33" t="s">
        <v>748</v>
      </c>
      <c r="FM724" s="33" t="s">
        <v>255</v>
      </c>
    </row>
    <row r="725" spans="1:169" ht="23.25" customHeight="1" x14ac:dyDescent="0.15">
      <c r="A725" s="26">
        <v>44661.870999837964</v>
      </c>
      <c r="B725" s="27" t="s">
        <v>6</v>
      </c>
      <c r="C725" s="27" t="s">
        <v>11</v>
      </c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  <c r="AX725" s="27" t="s">
        <v>744</v>
      </c>
      <c r="AY725" s="27" t="s">
        <v>745</v>
      </c>
      <c r="AZ725" s="27" t="s">
        <v>2324</v>
      </c>
      <c r="BA725" s="27" t="s">
        <v>375</v>
      </c>
      <c r="BB725" s="27" t="s">
        <v>415</v>
      </c>
      <c r="BC725" s="29">
        <v>43988</v>
      </c>
      <c r="BD725" s="29">
        <v>44050</v>
      </c>
      <c r="BE725" s="29">
        <v>44054</v>
      </c>
      <c r="BF725" s="36">
        <v>90</v>
      </c>
      <c r="BG725" s="27" t="s">
        <v>2307</v>
      </c>
      <c r="BH725" s="30" t="s">
        <v>2325</v>
      </c>
      <c r="BI725" s="28"/>
      <c r="BJ725" s="28"/>
      <c r="BK725" s="28"/>
      <c r="BL725" s="28"/>
      <c r="BM725" s="28"/>
      <c r="BN725" s="28"/>
      <c r="BO725" s="28"/>
      <c r="BP725" s="28"/>
      <c r="BQ725" s="28"/>
      <c r="BR725" s="28"/>
      <c r="BS725" s="28"/>
      <c r="BT725" s="28"/>
      <c r="BU725" s="28"/>
      <c r="BV725" s="28"/>
      <c r="BW725" s="28"/>
      <c r="BX725" s="28"/>
      <c r="FL725" s="33" t="s">
        <v>748</v>
      </c>
      <c r="FM725" s="33" t="s">
        <v>255</v>
      </c>
    </row>
    <row r="726" spans="1:169" ht="23.25" customHeight="1" x14ac:dyDescent="0.15">
      <c r="A726" s="26">
        <v>44661.871495011575</v>
      </c>
      <c r="B726" s="27" t="s">
        <v>6</v>
      </c>
      <c r="C726" s="27" t="s">
        <v>10</v>
      </c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7" t="s">
        <v>294</v>
      </c>
      <c r="AO726" s="27" t="s">
        <v>295</v>
      </c>
      <c r="AP726" s="27" t="s">
        <v>875</v>
      </c>
      <c r="AQ726" s="27" t="s">
        <v>2326</v>
      </c>
      <c r="AR726" s="29">
        <v>44645</v>
      </c>
      <c r="AS726" s="29">
        <v>44661</v>
      </c>
      <c r="AT726" s="27" t="s">
        <v>252</v>
      </c>
      <c r="AU726" s="27" t="s">
        <v>252</v>
      </c>
      <c r="AV726" s="27">
        <v>0</v>
      </c>
      <c r="AW726" s="30" t="s">
        <v>2327</v>
      </c>
      <c r="AX726" s="28"/>
      <c r="AY726" s="28"/>
      <c r="AZ726" s="28"/>
      <c r="BA726" s="28"/>
      <c r="BB726" s="28"/>
      <c r="BC726" s="28"/>
      <c r="BD726" s="28"/>
      <c r="BE726" s="28"/>
      <c r="BF726" s="28"/>
      <c r="BG726" s="28"/>
      <c r="BH726" s="28"/>
      <c r="BI726" s="28"/>
      <c r="BJ726" s="28"/>
      <c r="BK726" s="28"/>
      <c r="BL726" s="28"/>
      <c r="BM726" s="28"/>
      <c r="BN726" s="28"/>
      <c r="BO726" s="28"/>
      <c r="BP726" s="28"/>
      <c r="BQ726" s="28"/>
      <c r="BR726" s="28"/>
      <c r="BS726" s="28"/>
      <c r="BT726" s="28"/>
      <c r="BU726" s="28"/>
      <c r="BV726" s="28"/>
      <c r="BW726" s="28"/>
      <c r="BX726" s="28"/>
      <c r="FL726" s="33" t="s">
        <v>298</v>
      </c>
      <c r="FM726" s="33" t="s">
        <v>255</v>
      </c>
    </row>
    <row r="727" spans="1:169" ht="23.25" customHeight="1" x14ac:dyDescent="0.15">
      <c r="A727" s="26">
        <v>44661.874324363424</v>
      </c>
      <c r="B727" s="27" t="s">
        <v>8</v>
      </c>
      <c r="C727" s="27" t="s">
        <v>11</v>
      </c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  <c r="AX727" s="27" t="s">
        <v>2315</v>
      </c>
      <c r="AY727" s="27" t="s">
        <v>2316</v>
      </c>
      <c r="AZ727" s="27" t="s">
        <v>2328</v>
      </c>
      <c r="BA727" s="27" t="s">
        <v>335</v>
      </c>
      <c r="BB727" s="27" t="s">
        <v>300</v>
      </c>
      <c r="BC727" s="29">
        <v>44695</v>
      </c>
      <c r="BD727" s="29">
        <v>44388</v>
      </c>
      <c r="BE727" s="29">
        <v>44388</v>
      </c>
      <c r="BF727" s="36">
        <v>0.94</v>
      </c>
      <c r="BG727" s="27" t="s">
        <v>2329</v>
      </c>
      <c r="BH727" s="30" t="s">
        <v>2330</v>
      </c>
      <c r="BI727" s="28"/>
      <c r="BJ727" s="28"/>
      <c r="BK727" s="28"/>
      <c r="BL727" s="28"/>
      <c r="BM727" s="28"/>
      <c r="BN727" s="28"/>
      <c r="BO727" s="28"/>
      <c r="BP727" s="28"/>
      <c r="BQ727" s="28"/>
      <c r="BR727" s="28"/>
      <c r="BS727" s="28"/>
      <c r="BT727" s="28"/>
      <c r="BU727" s="28"/>
      <c r="BV727" s="28"/>
      <c r="BW727" s="28"/>
      <c r="BX727" s="28"/>
      <c r="FL727" s="33" t="s">
        <v>2319</v>
      </c>
      <c r="FM727" s="33" t="s">
        <v>321</v>
      </c>
    </row>
    <row r="728" spans="1:169" ht="23.25" customHeight="1" x14ac:dyDescent="0.15">
      <c r="A728" s="26">
        <v>44661.879286875002</v>
      </c>
      <c r="B728" s="27" t="s">
        <v>8</v>
      </c>
      <c r="C728" s="27" t="s">
        <v>11</v>
      </c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  <c r="AX728" s="27" t="s">
        <v>2331</v>
      </c>
      <c r="AY728" s="27" t="s">
        <v>2316</v>
      </c>
      <c r="AZ728" s="27" t="s">
        <v>2332</v>
      </c>
      <c r="BA728" s="27" t="s">
        <v>335</v>
      </c>
      <c r="BB728" s="27" t="s">
        <v>2333</v>
      </c>
      <c r="BC728" s="29">
        <v>44488</v>
      </c>
      <c r="BD728" s="29">
        <v>44651</v>
      </c>
      <c r="BE728" s="29">
        <v>44651</v>
      </c>
      <c r="BF728" s="36">
        <v>0.9</v>
      </c>
      <c r="BG728" s="27" t="s">
        <v>2334</v>
      </c>
      <c r="BH728" s="30" t="s">
        <v>2335</v>
      </c>
      <c r="BI728" s="28"/>
      <c r="BJ728" s="28"/>
      <c r="BK728" s="28"/>
      <c r="BL728" s="28"/>
      <c r="BM728" s="28"/>
      <c r="BN728" s="28"/>
      <c r="BO728" s="28"/>
      <c r="BP728" s="28"/>
      <c r="BQ728" s="28"/>
      <c r="BR728" s="28"/>
      <c r="BS728" s="28"/>
      <c r="BT728" s="28"/>
      <c r="BU728" s="28"/>
      <c r="BV728" s="28"/>
      <c r="BW728" s="28"/>
      <c r="BX728" s="28"/>
      <c r="FL728" s="33" t="s">
        <v>2319</v>
      </c>
      <c r="FM728" s="33" t="s">
        <v>321</v>
      </c>
    </row>
    <row r="729" spans="1:169" ht="23.25" customHeight="1" x14ac:dyDescent="0.15">
      <c r="A729" s="26">
        <v>44661.881073287033</v>
      </c>
      <c r="B729" s="27" t="s">
        <v>6</v>
      </c>
      <c r="C729" s="27" t="s">
        <v>11</v>
      </c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  <c r="AX729" s="27" t="s">
        <v>1811</v>
      </c>
      <c r="AY729" s="27" t="s">
        <v>1812</v>
      </c>
      <c r="AZ729" s="27" t="s">
        <v>2336</v>
      </c>
      <c r="BA729" s="27" t="s">
        <v>597</v>
      </c>
      <c r="BB729" s="27" t="s">
        <v>2337</v>
      </c>
      <c r="BC729" s="29">
        <v>44354</v>
      </c>
      <c r="BD729" s="29">
        <v>44738</v>
      </c>
      <c r="BE729" s="29">
        <v>44372</v>
      </c>
      <c r="BF729" s="27" t="s">
        <v>520</v>
      </c>
      <c r="BG729" s="27" t="s">
        <v>520</v>
      </c>
      <c r="BH729" s="30" t="s">
        <v>2338</v>
      </c>
      <c r="BI729" s="28"/>
      <c r="BJ729" s="28"/>
      <c r="BK729" s="28"/>
      <c r="BL729" s="28"/>
      <c r="BM729" s="28"/>
      <c r="BN729" s="28"/>
      <c r="BO729" s="28"/>
      <c r="BP729" s="28"/>
      <c r="BQ729" s="28"/>
      <c r="BR729" s="28"/>
      <c r="BS729" s="28"/>
      <c r="BT729" s="28"/>
      <c r="BU729" s="28"/>
      <c r="BV729" s="28"/>
      <c r="BW729" s="28"/>
      <c r="BX729" s="28"/>
      <c r="FL729" s="33" t="s">
        <v>1817</v>
      </c>
      <c r="FM729" s="33" t="s">
        <v>255</v>
      </c>
    </row>
    <row r="730" spans="1:169" ht="23.25" customHeight="1" x14ac:dyDescent="0.15">
      <c r="A730" s="26">
        <v>44661.887768020832</v>
      </c>
      <c r="B730" s="27" t="s">
        <v>8</v>
      </c>
      <c r="C730" s="27" t="s">
        <v>12</v>
      </c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  <c r="AX730" s="28"/>
      <c r="AY730" s="28"/>
      <c r="AZ730" s="28"/>
      <c r="BA730" s="28"/>
      <c r="BB730" s="28"/>
      <c r="BC730" s="28"/>
      <c r="BD730" s="28"/>
      <c r="BE730" s="28"/>
      <c r="BF730" s="28"/>
      <c r="BG730" s="28"/>
      <c r="BH730" s="28"/>
      <c r="BI730" s="27" t="s">
        <v>2331</v>
      </c>
      <c r="BJ730" s="27" t="s">
        <v>2316</v>
      </c>
      <c r="BK730" s="27" t="s">
        <v>311</v>
      </c>
      <c r="BL730" s="27" t="s">
        <v>1285</v>
      </c>
      <c r="BM730" s="27" t="s">
        <v>2339</v>
      </c>
      <c r="BN730" s="27">
        <v>2</v>
      </c>
      <c r="BO730" s="29">
        <v>44639</v>
      </c>
      <c r="BP730" s="29">
        <v>44640</v>
      </c>
      <c r="BQ730" s="27" t="s">
        <v>2340</v>
      </c>
      <c r="BR730" s="27" t="s">
        <v>2341</v>
      </c>
      <c r="BS730" s="27" t="s">
        <v>271</v>
      </c>
      <c r="BT730" s="27" t="s">
        <v>629</v>
      </c>
      <c r="BU730" s="27">
        <v>300</v>
      </c>
      <c r="BV730" s="30" t="s">
        <v>2342</v>
      </c>
      <c r="BW730" s="28"/>
      <c r="BX730" s="28"/>
      <c r="FL730" s="33" t="s">
        <v>2319</v>
      </c>
      <c r="FM730" s="33" t="s">
        <v>321</v>
      </c>
    </row>
    <row r="731" spans="1:169" ht="23.25" customHeight="1" x14ac:dyDescent="0.15">
      <c r="A731" s="26">
        <v>44661.889663668982</v>
      </c>
      <c r="B731" s="27" t="s">
        <v>6</v>
      </c>
      <c r="C731" s="27" t="s">
        <v>11</v>
      </c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  <c r="AX731" s="27" t="s">
        <v>2343</v>
      </c>
      <c r="AY731" s="27" t="s">
        <v>1812</v>
      </c>
      <c r="AZ731" s="27" t="s">
        <v>2344</v>
      </c>
      <c r="BA731" s="27" t="s">
        <v>375</v>
      </c>
      <c r="BB731" s="27" t="s">
        <v>473</v>
      </c>
      <c r="BC731" s="29">
        <v>44677</v>
      </c>
      <c r="BD731" s="29">
        <v>43672</v>
      </c>
      <c r="BE731" s="29">
        <v>43672</v>
      </c>
      <c r="BF731" s="27" t="s">
        <v>520</v>
      </c>
      <c r="BG731" s="27" t="s">
        <v>556</v>
      </c>
      <c r="BH731" s="30" t="s">
        <v>2345</v>
      </c>
      <c r="BI731" s="28"/>
      <c r="BJ731" s="28"/>
      <c r="BK731" s="28"/>
      <c r="BL731" s="28"/>
      <c r="BM731" s="28"/>
      <c r="BN731" s="28"/>
      <c r="BO731" s="28"/>
      <c r="BP731" s="28"/>
      <c r="BQ731" s="28"/>
      <c r="BR731" s="28"/>
      <c r="BS731" s="28"/>
      <c r="BT731" s="28"/>
      <c r="BU731" s="28"/>
      <c r="BV731" s="28"/>
      <c r="BW731" s="28"/>
      <c r="BX731" s="28"/>
      <c r="FL731" s="33" t="s">
        <v>1817</v>
      </c>
      <c r="FM731" s="33" t="s">
        <v>255</v>
      </c>
    </row>
    <row r="732" spans="1:169" ht="23.25" customHeight="1" x14ac:dyDescent="0.15">
      <c r="A732" s="26">
        <v>44661.892975972223</v>
      </c>
      <c r="B732" s="27" t="s">
        <v>8</v>
      </c>
      <c r="C732" s="27" t="s">
        <v>12</v>
      </c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  <c r="AX732" s="28"/>
      <c r="AY732" s="28"/>
      <c r="AZ732" s="28"/>
      <c r="BA732" s="28"/>
      <c r="BB732" s="28"/>
      <c r="BC732" s="28"/>
      <c r="BD732" s="28"/>
      <c r="BE732" s="28"/>
      <c r="BF732" s="28"/>
      <c r="BG732" s="28"/>
      <c r="BH732" s="28"/>
      <c r="BI732" s="27" t="s">
        <v>2331</v>
      </c>
      <c r="BJ732" s="27" t="s">
        <v>2316</v>
      </c>
      <c r="BK732" s="27" t="s">
        <v>311</v>
      </c>
      <c r="BL732" s="27" t="s">
        <v>1285</v>
      </c>
      <c r="BM732" s="27" t="s">
        <v>2346</v>
      </c>
      <c r="BN732" s="27">
        <v>1</v>
      </c>
      <c r="BO732" s="29">
        <v>44626</v>
      </c>
      <c r="BP732" s="29">
        <v>44626</v>
      </c>
      <c r="BQ732" s="27" t="s">
        <v>2347</v>
      </c>
      <c r="BR732" s="27" t="s">
        <v>2348</v>
      </c>
      <c r="BS732" s="27" t="s">
        <v>171</v>
      </c>
      <c r="BT732" s="27" t="s">
        <v>629</v>
      </c>
      <c r="BU732" s="27">
        <v>70</v>
      </c>
      <c r="BV732" s="30" t="s">
        <v>2349</v>
      </c>
      <c r="BW732" s="28"/>
      <c r="BX732" s="28"/>
      <c r="FL732" s="33" t="s">
        <v>2319</v>
      </c>
      <c r="FM732" s="33" t="s">
        <v>321</v>
      </c>
    </row>
    <row r="733" spans="1:169" ht="23.25" customHeight="1" x14ac:dyDescent="0.15">
      <c r="A733" s="26">
        <v>44661.894779699069</v>
      </c>
      <c r="B733" s="27" t="s">
        <v>8</v>
      </c>
      <c r="C733" s="27" t="s">
        <v>10</v>
      </c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7" t="s">
        <v>2350</v>
      </c>
      <c r="AO733" s="27" t="s">
        <v>2351</v>
      </c>
      <c r="AP733" s="27" t="s">
        <v>2352</v>
      </c>
      <c r="AQ733" s="27" t="s">
        <v>1417</v>
      </c>
      <c r="AR733" s="29">
        <v>44470</v>
      </c>
      <c r="AS733" s="29">
        <v>44531</v>
      </c>
      <c r="AT733" s="27" t="s">
        <v>252</v>
      </c>
      <c r="AU733" s="27" t="s">
        <v>252</v>
      </c>
      <c r="AV733" s="27">
        <v>0</v>
      </c>
      <c r="AW733" s="30" t="s">
        <v>2353</v>
      </c>
      <c r="AX733" s="28"/>
      <c r="AY733" s="28"/>
      <c r="AZ733" s="28"/>
      <c r="BA733" s="28"/>
      <c r="BB733" s="28"/>
      <c r="BC733" s="28"/>
      <c r="BD733" s="28"/>
      <c r="BE733" s="28"/>
      <c r="BF733" s="28"/>
      <c r="BG733" s="28"/>
      <c r="BH733" s="28"/>
      <c r="BI733" s="28"/>
      <c r="BJ733" s="28"/>
      <c r="BK733" s="28"/>
      <c r="BL733" s="28"/>
      <c r="BM733" s="28"/>
      <c r="BN733" s="28"/>
      <c r="BO733" s="28"/>
      <c r="BP733" s="28"/>
      <c r="BQ733" s="28"/>
      <c r="BR733" s="28"/>
      <c r="BS733" s="28"/>
      <c r="BT733" s="28"/>
      <c r="BU733" s="28"/>
      <c r="BV733" s="28"/>
      <c r="BW733" s="28"/>
      <c r="BX733" s="28"/>
      <c r="FL733" s="33" t="s">
        <v>2354</v>
      </c>
      <c r="FM733" s="33" t="s">
        <v>321</v>
      </c>
    </row>
    <row r="734" spans="1:169" ht="23.25" customHeight="1" x14ac:dyDescent="0.15">
      <c r="A734" s="26">
        <v>44661.896367465277</v>
      </c>
      <c r="B734" s="27" t="s">
        <v>8</v>
      </c>
      <c r="C734" s="27" t="s">
        <v>10</v>
      </c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7" t="s">
        <v>2355</v>
      </c>
      <c r="AO734" s="27" t="s">
        <v>2356</v>
      </c>
      <c r="AP734" s="27" t="s">
        <v>2129</v>
      </c>
      <c r="AQ734" s="27" t="s">
        <v>2357</v>
      </c>
      <c r="AR734" s="29">
        <v>44835</v>
      </c>
      <c r="AS734" s="29">
        <v>44926</v>
      </c>
      <c r="AT734" s="27" t="s">
        <v>252</v>
      </c>
      <c r="AU734" s="27" t="s">
        <v>252</v>
      </c>
      <c r="AV734" s="27">
        <v>0</v>
      </c>
      <c r="AW734" s="30" t="s">
        <v>2358</v>
      </c>
      <c r="AX734" s="28"/>
      <c r="AY734" s="28"/>
      <c r="AZ734" s="28"/>
      <c r="BA734" s="28"/>
      <c r="BB734" s="28"/>
      <c r="BC734" s="28"/>
      <c r="BD734" s="28"/>
      <c r="BE734" s="28"/>
      <c r="BF734" s="28"/>
      <c r="BG734" s="28"/>
      <c r="BH734" s="28"/>
      <c r="BI734" s="28"/>
      <c r="BJ734" s="28"/>
      <c r="BK734" s="28"/>
      <c r="BL734" s="28"/>
      <c r="BM734" s="28"/>
      <c r="BN734" s="28"/>
      <c r="BO734" s="28"/>
      <c r="BP734" s="28"/>
      <c r="BQ734" s="28"/>
      <c r="BR734" s="28"/>
      <c r="BS734" s="28"/>
      <c r="BT734" s="28"/>
      <c r="BU734" s="28"/>
      <c r="BV734" s="28"/>
      <c r="BW734" s="28"/>
      <c r="BX734" s="28"/>
      <c r="FL734" s="33" t="s">
        <v>2359</v>
      </c>
      <c r="FM734" s="33" t="s">
        <v>552</v>
      </c>
    </row>
    <row r="735" spans="1:169" ht="23.25" customHeight="1" x14ac:dyDescent="0.15">
      <c r="A735" s="26">
        <v>44661.901821226857</v>
      </c>
      <c r="B735" s="27" t="s">
        <v>8</v>
      </c>
      <c r="C735" s="27" t="s">
        <v>10</v>
      </c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7" t="s">
        <v>2355</v>
      </c>
      <c r="AO735" s="27" t="s">
        <v>2356</v>
      </c>
      <c r="AP735" s="27" t="s">
        <v>2129</v>
      </c>
      <c r="AQ735" s="27" t="s">
        <v>346</v>
      </c>
      <c r="AR735" s="29">
        <v>44470</v>
      </c>
      <c r="AS735" s="29">
        <v>44561</v>
      </c>
      <c r="AT735" s="27" t="s">
        <v>252</v>
      </c>
      <c r="AU735" s="27" t="s">
        <v>252</v>
      </c>
      <c r="AV735" s="27">
        <v>0</v>
      </c>
      <c r="AW735" s="30" t="s">
        <v>2360</v>
      </c>
      <c r="AX735" s="28"/>
      <c r="AY735" s="28"/>
      <c r="AZ735" s="28"/>
      <c r="BA735" s="28"/>
      <c r="BB735" s="28"/>
      <c r="BC735" s="28"/>
      <c r="BD735" s="28"/>
      <c r="BE735" s="28"/>
      <c r="BF735" s="28"/>
      <c r="BG735" s="28"/>
      <c r="BH735" s="28"/>
      <c r="BI735" s="28"/>
      <c r="BJ735" s="28"/>
      <c r="BK735" s="28"/>
      <c r="BL735" s="28"/>
      <c r="BM735" s="28"/>
      <c r="BN735" s="28"/>
      <c r="BO735" s="28"/>
      <c r="BP735" s="28"/>
      <c r="BQ735" s="28"/>
      <c r="BR735" s="28"/>
      <c r="BS735" s="28"/>
      <c r="BT735" s="28"/>
      <c r="BU735" s="28"/>
      <c r="BV735" s="28"/>
      <c r="BW735" s="28"/>
      <c r="BX735" s="28"/>
      <c r="FL735" s="33" t="s">
        <v>2359</v>
      </c>
      <c r="FM735" s="33" t="s">
        <v>552</v>
      </c>
    </row>
    <row r="736" spans="1:169" ht="23.25" customHeight="1" x14ac:dyDescent="0.15">
      <c r="A736" s="26">
        <v>44661.902041851848</v>
      </c>
      <c r="B736" s="27" t="s">
        <v>8</v>
      </c>
      <c r="C736" s="27" t="s">
        <v>10</v>
      </c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7" t="s">
        <v>2361</v>
      </c>
      <c r="AO736" s="27" t="s">
        <v>2362</v>
      </c>
      <c r="AP736" s="27" t="s">
        <v>2129</v>
      </c>
      <c r="AQ736" s="27" t="s">
        <v>308</v>
      </c>
      <c r="AR736" s="29">
        <v>44470</v>
      </c>
      <c r="AS736" s="29">
        <v>44561</v>
      </c>
      <c r="AT736" s="27" t="s">
        <v>252</v>
      </c>
      <c r="AU736" s="27" t="s">
        <v>252</v>
      </c>
      <c r="AV736" s="27">
        <v>0</v>
      </c>
      <c r="AW736" s="30" t="s">
        <v>2363</v>
      </c>
      <c r="AX736" s="28"/>
      <c r="AY736" s="28"/>
      <c r="AZ736" s="28"/>
      <c r="BA736" s="28"/>
      <c r="BB736" s="28"/>
      <c r="BC736" s="28"/>
      <c r="BD736" s="28"/>
      <c r="BE736" s="28"/>
      <c r="BF736" s="28"/>
      <c r="BG736" s="28"/>
      <c r="BH736" s="28"/>
      <c r="BI736" s="28"/>
      <c r="BJ736" s="28"/>
      <c r="BK736" s="28"/>
      <c r="BL736" s="28"/>
      <c r="BM736" s="28"/>
      <c r="BN736" s="28"/>
      <c r="BO736" s="28"/>
      <c r="BP736" s="28"/>
      <c r="BQ736" s="28"/>
      <c r="BR736" s="28"/>
      <c r="BS736" s="28"/>
      <c r="BT736" s="28"/>
      <c r="BU736" s="28"/>
      <c r="BV736" s="28"/>
      <c r="BW736" s="28"/>
      <c r="BX736" s="28"/>
      <c r="FL736" s="33" t="s">
        <v>2364</v>
      </c>
      <c r="FM736" s="33" t="s">
        <v>552</v>
      </c>
    </row>
    <row r="737" spans="1:194" ht="23.25" customHeight="1" x14ac:dyDescent="0.15">
      <c r="A737" s="26">
        <v>44661.907112523149</v>
      </c>
      <c r="B737" s="27" t="s">
        <v>8</v>
      </c>
      <c r="C737" s="27" t="s">
        <v>11</v>
      </c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  <c r="AX737" s="27" t="s">
        <v>2275</v>
      </c>
      <c r="AY737" s="27" t="s">
        <v>2276</v>
      </c>
      <c r="AZ737" s="27" t="s">
        <v>2365</v>
      </c>
      <c r="BA737" s="27" t="s">
        <v>375</v>
      </c>
      <c r="BB737" s="27" t="s">
        <v>300</v>
      </c>
      <c r="BC737" s="29">
        <v>44481</v>
      </c>
      <c r="BD737" s="29">
        <v>44573</v>
      </c>
      <c r="BE737" s="29">
        <v>44573</v>
      </c>
      <c r="BF737" s="36">
        <v>0.9</v>
      </c>
      <c r="BG737" s="27" t="s">
        <v>2366</v>
      </c>
      <c r="BH737" s="30" t="s">
        <v>2367</v>
      </c>
      <c r="BI737" s="28"/>
      <c r="BJ737" s="28"/>
      <c r="BK737" s="28"/>
      <c r="BL737" s="28"/>
      <c r="BM737" s="28"/>
      <c r="BN737" s="28"/>
      <c r="BO737" s="28"/>
      <c r="BP737" s="28"/>
      <c r="BQ737" s="28"/>
      <c r="BR737" s="28"/>
      <c r="BS737" s="28"/>
      <c r="BT737" s="28"/>
      <c r="BU737" s="28"/>
      <c r="BV737" s="28"/>
      <c r="BW737" s="28"/>
      <c r="BX737" s="28"/>
      <c r="FL737" s="33" t="s">
        <v>2278</v>
      </c>
      <c r="FM737" s="33" t="s">
        <v>321</v>
      </c>
    </row>
    <row r="738" spans="1:194" ht="23.25" customHeight="1" x14ac:dyDescent="0.15">
      <c r="A738" s="26">
        <v>44661.912809918984</v>
      </c>
      <c r="B738" s="27" t="s">
        <v>8</v>
      </c>
      <c r="C738" s="27" t="s">
        <v>11</v>
      </c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  <c r="AX738" s="27" t="s">
        <v>2368</v>
      </c>
      <c r="AY738" s="27" t="s">
        <v>2369</v>
      </c>
      <c r="AZ738" s="27" t="s">
        <v>2370</v>
      </c>
      <c r="BA738" s="27" t="s">
        <v>375</v>
      </c>
      <c r="BB738" s="27" t="s">
        <v>300</v>
      </c>
      <c r="BC738" s="29">
        <v>44481</v>
      </c>
      <c r="BD738" s="29">
        <v>44573</v>
      </c>
      <c r="BE738" s="29">
        <v>44573</v>
      </c>
      <c r="BF738" s="36">
        <v>0.9</v>
      </c>
      <c r="BG738" s="27" t="s">
        <v>2371</v>
      </c>
      <c r="BH738" s="30" t="s">
        <v>2372</v>
      </c>
      <c r="BI738" s="28"/>
      <c r="BJ738" s="28"/>
      <c r="BK738" s="28"/>
      <c r="BL738" s="28"/>
      <c r="BM738" s="28"/>
      <c r="BN738" s="28"/>
      <c r="BO738" s="28"/>
      <c r="BP738" s="28"/>
      <c r="BQ738" s="28"/>
      <c r="BR738" s="28"/>
      <c r="BS738" s="28"/>
      <c r="BT738" s="28"/>
      <c r="BU738" s="28"/>
      <c r="BV738" s="28"/>
      <c r="BW738" s="28"/>
      <c r="BX738" s="28"/>
      <c r="FL738" s="33" t="s">
        <v>2373</v>
      </c>
      <c r="FM738" s="33" t="s">
        <v>380</v>
      </c>
    </row>
    <row r="739" spans="1:194" ht="23.25" customHeight="1" x14ac:dyDescent="0.15">
      <c r="A739" s="26">
        <v>44661.918108379628</v>
      </c>
      <c r="B739" s="27" t="s">
        <v>6</v>
      </c>
      <c r="C739" s="17" t="s">
        <v>13</v>
      </c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  <c r="AX739" s="28"/>
      <c r="AY739" s="28"/>
      <c r="AZ739" s="28"/>
      <c r="BA739" s="28"/>
      <c r="BB739" s="28"/>
      <c r="BC739" s="28"/>
      <c r="BD739" s="28"/>
      <c r="BE739" s="28"/>
      <c r="BF739" s="28"/>
      <c r="BG739" s="28"/>
      <c r="BH739" s="28"/>
      <c r="BI739" s="28"/>
      <c r="BJ739" s="28"/>
      <c r="BK739" s="28"/>
      <c r="BL739" s="28"/>
      <c r="BM739" s="28"/>
      <c r="BN739" s="28"/>
      <c r="BO739" s="28"/>
      <c r="BP739" s="28"/>
      <c r="BQ739" s="28"/>
      <c r="BR739" s="28"/>
      <c r="BS739" s="28"/>
      <c r="BT739" s="28"/>
      <c r="BU739" s="28"/>
      <c r="BV739" s="28"/>
      <c r="BW739" s="27" t="s">
        <v>2374</v>
      </c>
      <c r="BX739" s="27" t="s">
        <v>2375</v>
      </c>
      <c r="BZ739" s="33" t="s">
        <v>145</v>
      </c>
      <c r="CA739" s="33" t="s">
        <v>2376</v>
      </c>
      <c r="CB739" s="33" t="s">
        <v>454</v>
      </c>
      <c r="CC739" s="33" t="s">
        <v>550</v>
      </c>
      <c r="CD739" s="34">
        <v>43282</v>
      </c>
      <c r="CE739" s="34">
        <v>43342</v>
      </c>
      <c r="CF739" s="33">
        <v>40</v>
      </c>
      <c r="CG739" s="35" t="s">
        <v>2377</v>
      </c>
      <c r="FL739" s="33" t="s">
        <v>2378</v>
      </c>
      <c r="FM739" s="33" t="s">
        <v>412</v>
      </c>
    </row>
    <row r="740" spans="1:194" ht="23.25" customHeight="1" x14ac:dyDescent="0.15">
      <c r="A740" s="26">
        <v>44661.921132210649</v>
      </c>
      <c r="B740" s="27" t="s">
        <v>6</v>
      </c>
      <c r="C740" s="27" t="s">
        <v>17</v>
      </c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  <c r="AX740" s="28"/>
      <c r="AY740" s="28"/>
      <c r="AZ740" s="28"/>
      <c r="BA740" s="28"/>
      <c r="BB740" s="28"/>
      <c r="BC740" s="28"/>
      <c r="BD740" s="28"/>
      <c r="BE740" s="28"/>
      <c r="BF740" s="28"/>
      <c r="BG740" s="28"/>
      <c r="BH740" s="28"/>
      <c r="BI740" s="28"/>
      <c r="BJ740" s="28"/>
      <c r="BK740" s="28"/>
      <c r="BL740" s="28"/>
      <c r="BM740" s="28"/>
      <c r="BN740" s="28"/>
      <c r="BO740" s="28"/>
      <c r="BP740" s="28"/>
      <c r="BQ740" s="28"/>
      <c r="BR740" s="28"/>
      <c r="BS740" s="28"/>
      <c r="BT740" s="28"/>
      <c r="BU740" s="28"/>
      <c r="BV740" s="28"/>
      <c r="BW740" s="28"/>
      <c r="BX740" s="28"/>
      <c r="DX740" s="33" t="s">
        <v>2379</v>
      </c>
      <c r="DY740" s="33" t="s">
        <v>2375</v>
      </c>
      <c r="DZ740" s="33" t="s">
        <v>145</v>
      </c>
      <c r="EA740" s="33" t="s">
        <v>2380</v>
      </c>
      <c r="EB740" s="34">
        <v>43527</v>
      </c>
      <c r="EC740" s="33" t="s">
        <v>2210</v>
      </c>
      <c r="ED740" s="35" t="s">
        <v>2381</v>
      </c>
      <c r="FL740" s="33" t="s">
        <v>2378</v>
      </c>
      <c r="FM740" s="33" t="s">
        <v>380</v>
      </c>
    </row>
    <row r="741" spans="1:194" ht="23.25" customHeight="1" x14ac:dyDescent="0.15">
      <c r="A741" s="26">
        <v>44661.924341747683</v>
      </c>
      <c r="B741" s="27" t="s">
        <v>6</v>
      </c>
      <c r="C741" s="27" t="s">
        <v>12</v>
      </c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  <c r="AX741" s="28"/>
      <c r="AY741" s="28"/>
      <c r="AZ741" s="28"/>
      <c r="BA741" s="28"/>
      <c r="BB741" s="28"/>
      <c r="BC741" s="28"/>
      <c r="BD741" s="28"/>
      <c r="BE741" s="28"/>
      <c r="BF741" s="28"/>
      <c r="BG741" s="28"/>
      <c r="BH741" s="28"/>
      <c r="BI741" s="27" t="s">
        <v>2379</v>
      </c>
      <c r="BJ741" s="27" t="s">
        <v>2375</v>
      </c>
      <c r="BK741" s="27" t="s">
        <v>154</v>
      </c>
      <c r="BL741" s="27" t="s">
        <v>1285</v>
      </c>
      <c r="BM741" s="27" t="s">
        <v>1128</v>
      </c>
      <c r="BN741" s="27">
        <v>2</v>
      </c>
      <c r="BO741" s="29">
        <v>43541</v>
      </c>
      <c r="BP741" s="29">
        <v>43542</v>
      </c>
      <c r="BQ741" s="27" t="s">
        <v>1764</v>
      </c>
      <c r="BR741" s="27" t="s">
        <v>1130</v>
      </c>
      <c r="BS741" s="27" t="s">
        <v>171</v>
      </c>
      <c r="BT741" s="27" t="s">
        <v>629</v>
      </c>
      <c r="BU741" s="27">
        <v>1000</v>
      </c>
      <c r="BV741" s="30" t="s">
        <v>2382</v>
      </c>
      <c r="BW741" s="28"/>
      <c r="BX741" s="28"/>
      <c r="FL741" s="33" t="s">
        <v>2378</v>
      </c>
      <c r="FM741" s="33" t="s">
        <v>552</v>
      </c>
    </row>
    <row r="742" spans="1:194" ht="23.25" customHeight="1" x14ac:dyDescent="0.15">
      <c r="A742" s="26">
        <v>44661.926293240744</v>
      </c>
      <c r="B742" s="27" t="s">
        <v>6</v>
      </c>
      <c r="C742" s="27" t="s">
        <v>17</v>
      </c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  <c r="AX742" s="28"/>
      <c r="AY742" s="28"/>
      <c r="AZ742" s="28"/>
      <c r="BA742" s="28"/>
      <c r="BB742" s="28"/>
      <c r="BC742" s="28"/>
      <c r="BD742" s="28"/>
      <c r="BE742" s="28"/>
      <c r="BF742" s="28"/>
      <c r="BG742" s="28"/>
      <c r="BH742" s="28"/>
      <c r="BI742" s="28"/>
      <c r="BJ742" s="28"/>
      <c r="BK742" s="28"/>
      <c r="BL742" s="28"/>
      <c r="BM742" s="28"/>
      <c r="BN742" s="28"/>
      <c r="BO742" s="28"/>
      <c r="BP742" s="28"/>
      <c r="BQ742" s="28"/>
      <c r="BR742" s="28"/>
      <c r="BS742" s="28"/>
      <c r="BT742" s="28"/>
      <c r="BU742" s="28"/>
      <c r="BV742" s="28"/>
      <c r="BW742" s="28"/>
      <c r="BX742" s="28"/>
      <c r="DX742" s="33" t="s">
        <v>2383</v>
      </c>
      <c r="DY742" s="33" t="s">
        <v>2375</v>
      </c>
      <c r="DZ742" s="33" t="s">
        <v>154</v>
      </c>
      <c r="EA742" s="33" t="s">
        <v>2384</v>
      </c>
      <c r="EB742" s="34">
        <v>43717</v>
      </c>
      <c r="EC742" s="33" t="s">
        <v>2385</v>
      </c>
      <c r="ED742" s="35" t="s">
        <v>2386</v>
      </c>
      <c r="FL742" s="33" t="s">
        <v>2378</v>
      </c>
      <c r="FM742" s="33" t="s">
        <v>552</v>
      </c>
    </row>
    <row r="743" spans="1:194" ht="23.25" customHeight="1" x14ac:dyDescent="0.15">
      <c r="A743" s="26">
        <v>44661.929140370368</v>
      </c>
      <c r="B743" s="27" t="s">
        <v>6</v>
      </c>
      <c r="C743" s="27" t="s">
        <v>17</v>
      </c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  <c r="AX743" s="28"/>
      <c r="AY743" s="28"/>
      <c r="AZ743" s="28"/>
      <c r="BA743" s="28"/>
      <c r="BB743" s="28"/>
      <c r="BC743" s="28"/>
      <c r="BD743" s="28"/>
      <c r="BE743" s="28"/>
      <c r="BF743" s="28"/>
      <c r="BG743" s="28"/>
      <c r="BH743" s="28"/>
      <c r="BI743" s="28"/>
      <c r="BJ743" s="28"/>
      <c r="BK743" s="28"/>
      <c r="BL743" s="28"/>
      <c r="BM743" s="28"/>
      <c r="BN743" s="28"/>
      <c r="BO743" s="28"/>
      <c r="BP743" s="28"/>
      <c r="BQ743" s="28"/>
      <c r="BR743" s="28"/>
      <c r="BS743" s="28"/>
      <c r="BT743" s="28"/>
      <c r="BU743" s="28"/>
      <c r="BV743" s="28"/>
      <c r="BW743" s="28"/>
      <c r="BX743" s="28"/>
      <c r="DX743" s="33" t="s">
        <v>2379</v>
      </c>
      <c r="DY743" s="33" t="s">
        <v>2375</v>
      </c>
      <c r="DZ743" s="33" t="s">
        <v>311</v>
      </c>
      <c r="EA743" s="33" t="s">
        <v>2387</v>
      </c>
      <c r="EB743" s="34">
        <v>44424</v>
      </c>
      <c r="EC743" s="33" t="s">
        <v>2388</v>
      </c>
      <c r="ED743" s="35" t="s">
        <v>2389</v>
      </c>
      <c r="FL743" s="33" t="s">
        <v>2378</v>
      </c>
      <c r="FM743" s="33" t="s">
        <v>273</v>
      </c>
    </row>
    <row r="744" spans="1:194" ht="23.25" customHeight="1" x14ac:dyDescent="0.15">
      <c r="A744" s="26">
        <v>44661.930991076384</v>
      </c>
      <c r="B744" s="27" t="s">
        <v>6</v>
      </c>
      <c r="C744" s="27" t="s">
        <v>17</v>
      </c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  <c r="AX744" s="28"/>
      <c r="AY744" s="28"/>
      <c r="AZ744" s="28"/>
      <c r="BA744" s="28"/>
      <c r="BB744" s="28"/>
      <c r="BC744" s="28"/>
      <c r="BD744" s="28"/>
      <c r="BE744" s="28"/>
      <c r="BF744" s="28"/>
      <c r="BG744" s="28"/>
      <c r="BH744" s="28"/>
      <c r="BI744" s="28"/>
      <c r="BJ744" s="28"/>
      <c r="BK744" s="28"/>
      <c r="BL744" s="28"/>
      <c r="BM744" s="28"/>
      <c r="BN744" s="28"/>
      <c r="BO744" s="28"/>
      <c r="BP744" s="28"/>
      <c r="BQ744" s="28"/>
      <c r="BR744" s="28"/>
      <c r="BS744" s="28"/>
      <c r="BT744" s="28"/>
      <c r="BU744" s="28"/>
      <c r="BV744" s="28"/>
      <c r="BW744" s="28"/>
      <c r="BX744" s="28"/>
      <c r="DX744" s="33" t="s">
        <v>2379</v>
      </c>
      <c r="DY744" s="33" t="s">
        <v>2375</v>
      </c>
      <c r="DZ744" s="33" t="s">
        <v>311</v>
      </c>
      <c r="EA744" s="33" t="s">
        <v>2390</v>
      </c>
      <c r="EB744" s="34">
        <v>44474</v>
      </c>
      <c r="EC744" s="33" t="s">
        <v>2391</v>
      </c>
      <c r="ED744" s="35" t="s">
        <v>2392</v>
      </c>
      <c r="FL744" s="33" t="s">
        <v>2378</v>
      </c>
      <c r="FM744" s="33" t="s">
        <v>273</v>
      </c>
    </row>
    <row r="745" spans="1:194" ht="23.25" customHeight="1" x14ac:dyDescent="0.15">
      <c r="A745" s="26">
        <v>44661.932157499999</v>
      </c>
      <c r="B745" s="27" t="s">
        <v>6</v>
      </c>
      <c r="C745" s="27" t="s">
        <v>17</v>
      </c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  <c r="AX745" s="28"/>
      <c r="AY745" s="28"/>
      <c r="AZ745" s="28"/>
      <c r="BA745" s="28"/>
      <c r="BB745" s="28"/>
      <c r="BC745" s="28"/>
      <c r="BD745" s="28"/>
      <c r="BE745" s="28"/>
      <c r="BF745" s="28"/>
      <c r="BG745" s="28"/>
      <c r="BH745" s="28"/>
      <c r="BI745" s="28"/>
      <c r="BJ745" s="28"/>
      <c r="BK745" s="28"/>
      <c r="BL745" s="28"/>
      <c r="BM745" s="28"/>
      <c r="BN745" s="28"/>
      <c r="BO745" s="28"/>
      <c r="BP745" s="28"/>
      <c r="BQ745" s="28"/>
      <c r="BR745" s="28"/>
      <c r="BS745" s="28"/>
      <c r="BT745" s="28"/>
      <c r="BU745" s="28"/>
      <c r="BV745" s="28"/>
      <c r="BW745" s="28"/>
      <c r="BX745" s="28"/>
      <c r="DX745" s="33" t="s">
        <v>2379</v>
      </c>
      <c r="DY745" s="33" t="s">
        <v>2375</v>
      </c>
      <c r="DZ745" s="33" t="s">
        <v>311</v>
      </c>
      <c r="EA745" s="33" t="s">
        <v>2393</v>
      </c>
      <c r="EB745" s="34">
        <v>44529</v>
      </c>
      <c r="EC745" s="33" t="s">
        <v>1818</v>
      </c>
      <c r="ED745" s="35" t="s">
        <v>2394</v>
      </c>
      <c r="FL745" s="33" t="s">
        <v>2378</v>
      </c>
      <c r="FM745" s="33" t="s">
        <v>273</v>
      </c>
    </row>
    <row r="746" spans="1:194" ht="23.25" customHeight="1" x14ac:dyDescent="0.15">
      <c r="A746" s="26">
        <v>44661.933353171291</v>
      </c>
      <c r="B746" s="27" t="s">
        <v>6</v>
      </c>
      <c r="C746" s="27" t="s">
        <v>22</v>
      </c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  <c r="AX746" s="28"/>
      <c r="AY746" s="28"/>
      <c r="AZ746" s="28"/>
      <c r="BA746" s="28"/>
      <c r="BB746" s="28"/>
      <c r="BC746" s="28"/>
      <c r="BD746" s="28"/>
      <c r="BE746" s="28"/>
      <c r="BF746" s="28"/>
      <c r="BG746" s="28"/>
      <c r="BH746" s="28"/>
      <c r="BI746" s="28"/>
      <c r="BJ746" s="28"/>
      <c r="BK746" s="28"/>
      <c r="BL746" s="28"/>
      <c r="BM746" s="28"/>
      <c r="BN746" s="28"/>
      <c r="BO746" s="28"/>
      <c r="BP746" s="28"/>
      <c r="BQ746" s="28"/>
      <c r="BR746" s="28"/>
      <c r="BS746" s="28"/>
      <c r="BT746" s="28"/>
      <c r="BU746" s="28"/>
      <c r="BV746" s="28"/>
      <c r="BW746" s="28"/>
      <c r="BX746" s="28"/>
      <c r="FL746" s="33" t="s">
        <v>2180</v>
      </c>
      <c r="FM746" s="33" t="s">
        <v>255</v>
      </c>
      <c r="GF746" s="33" t="s">
        <v>2181</v>
      </c>
      <c r="GG746" s="33" t="s">
        <v>2182</v>
      </c>
      <c r="GH746" s="33" t="s">
        <v>2395</v>
      </c>
      <c r="GI746" s="34">
        <v>44727</v>
      </c>
      <c r="GJ746" s="35" t="s">
        <v>2396</v>
      </c>
      <c r="GK746" s="33" t="s">
        <v>984</v>
      </c>
      <c r="GL746" s="33" t="s">
        <v>2397</v>
      </c>
    </row>
    <row r="747" spans="1:194" ht="23.25" customHeight="1" x14ac:dyDescent="0.15">
      <c r="A747" s="26">
        <v>44661.933569189816</v>
      </c>
      <c r="B747" s="27" t="s">
        <v>6</v>
      </c>
      <c r="C747" s="27" t="s">
        <v>17</v>
      </c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  <c r="AX747" s="28"/>
      <c r="AY747" s="28"/>
      <c r="AZ747" s="28"/>
      <c r="BA747" s="28"/>
      <c r="BB747" s="28"/>
      <c r="BC747" s="28"/>
      <c r="BD747" s="28"/>
      <c r="BE747" s="28"/>
      <c r="BF747" s="28"/>
      <c r="BG747" s="28"/>
      <c r="BH747" s="28"/>
      <c r="BI747" s="28"/>
      <c r="BJ747" s="28"/>
      <c r="BK747" s="28"/>
      <c r="BL747" s="28"/>
      <c r="BM747" s="28"/>
      <c r="BN747" s="28"/>
      <c r="BO747" s="28"/>
      <c r="BP747" s="28"/>
      <c r="BQ747" s="28"/>
      <c r="BR747" s="28"/>
      <c r="BS747" s="28"/>
      <c r="BT747" s="28"/>
      <c r="BU747" s="28"/>
      <c r="BV747" s="28"/>
      <c r="BW747" s="28"/>
      <c r="BX747" s="28"/>
      <c r="DX747" s="33" t="s">
        <v>2379</v>
      </c>
      <c r="DY747" s="33" t="s">
        <v>2375</v>
      </c>
      <c r="DZ747" s="33" t="s">
        <v>311</v>
      </c>
      <c r="EA747" s="33" t="s">
        <v>2393</v>
      </c>
      <c r="EB747" s="34">
        <v>44530</v>
      </c>
      <c r="EC747" s="33" t="s">
        <v>1818</v>
      </c>
      <c r="ED747" s="35" t="s">
        <v>2398</v>
      </c>
      <c r="FL747" s="33" t="s">
        <v>2378</v>
      </c>
      <c r="FM747" s="33" t="s">
        <v>273</v>
      </c>
    </row>
    <row r="748" spans="1:194" ht="23.25" customHeight="1" x14ac:dyDescent="0.15">
      <c r="A748" s="26">
        <v>44661.934792187501</v>
      </c>
      <c r="B748" s="27" t="s">
        <v>6</v>
      </c>
      <c r="C748" s="27" t="s">
        <v>17</v>
      </c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  <c r="AX748" s="28"/>
      <c r="AY748" s="28"/>
      <c r="AZ748" s="28"/>
      <c r="BA748" s="28"/>
      <c r="BB748" s="28"/>
      <c r="BC748" s="28"/>
      <c r="BD748" s="28"/>
      <c r="BE748" s="28"/>
      <c r="BF748" s="28"/>
      <c r="BG748" s="28"/>
      <c r="BH748" s="28"/>
      <c r="BI748" s="28"/>
      <c r="BJ748" s="28"/>
      <c r="BK748" s="28"/>
      <c r="BL748" s="28"/>
      <c r="BM748" s="28"/>
      <c r="BN748" s="28"/>
      <c r="BO748" s="28"/>
      <c r="BP748" s="28"/>
      <c r="BQ748" s="28"/>
      <c r="BR748" s="28"/>
      <c r="BS748" s="28"/>
      <c r="BT748" s="28"/>
      <c r="BU748" s="28"/>
      <c r="BV748" s="28"/>
      <c r="BW748" s="28"/>
      <c r="BX748" s="28"/>
      <c r="DX748" s="33" t="s">
        <v>2379</v>
      </c>
      <c r="DY748" s="33" t="s">
        <v>2375</v>
      </c>
      <c r="DZ748" s="33" t="s">
        <v>311</v>
      </c>
      <c r="EA748" s="33" t="s">
        <v>2399</v>
      </c>
      <c r="EB748" s="34">
        <v>44624</v>
      </c>
      <c r="EC748" s="33" t="s">
        <v>2400</v>
      </c>
      <c r="ED748" s="35" t="s">
        <v>2401</v>
      </c>
      <c r="FL748" s="33" t="s">
        <v>2378</v>
      </c>
      <c r="FM748" s="33" t="s">
        <v>255</v>
      </c>
    </row>
    <row r="749" spans="1:194" ht="23.25" customHeight="1" x14ac:dyDescent="0.15">
      <c r="A749" s="26">
        <v>44661.935968935184</v>
      </c>
      <c r="B749" s="27" t="s">
        <v>6</v>
      </c>
      <c r="C749" s="27" t="s">
        <v>10</v>
      </c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7" t="s">
        <v>2181</v>
      </c>
      <c r="AO749" s="27" t="s">
        <v>2182</v>
      </c>
      <c r="AP749" s="27" t="s">
        <v>579</v>
      </c>
      <c r="AQ749" s="27" t="s">
        <v>448</v>
      </c>
      <c r="AR749" s="29">
        <v>44470</v>
      </c>
      <c r="AS749" s="29">
        <v>44542</v>
      </c>
      <c r="AT749" s="27" t="s">
        <v>252</v>
      </c>
      <c r="AU749" s="27" t="s">
        <v>252</v>
      </c>
      <c r="AV749" s="27">
        <v>0</v>
      </c>
      <c r="AW749" s="30" t="s">
        <v>2402</v>
      </c>
      <c r="AX749" s="28"/>
      <c r="AY749" s="28"/>
      <c r="AZ749" s="28"/>
      <c r="BA749" s="28"/>
      <c r="BB749" s="28"/>
      <c r="BC749" s="28"/>
      <c r="BD749" s="28"/>
      <c r="BE749" s="28"/>
      <c r="BF749" s="28"/>
      <c r="BG749" s="28"/>
      <c r="BH749" s="28"/>
      <c r="BI749" s="28"/>
      <c r="BJ749" s="28"/>
      <c r="BK749" s="28"/>
      <c r="BL749" s="28"/>
      <c r="BM749" s="28"/>
      <c r="BN749" s="28"/>
      <c r="BO749" s="28"/>
      <c r="BP749" s="28"/>
      <c r="BQ749" s="28"/>
      <c r="BR749" s="28"/>
      <c r="BS749" s="28"/>
      <c r="BT749" s="28"/>
      <c r="BU749" s="28"/>
      <c r="BV749" s="28"/>
      <c r="BW749" s="28"/>
      <c r="BX749" s="28"/>
      <c r="FL749" s="33" t="s">
        <v>2180</v>
      </c>
      <c r="FM749" s="33" t="s">
        <v>255</v>
      </c>
    </row>
    <row r="750" spans="1:194" ht="23.25" customHeight="1" x14ac:dyDescent="0.15">
      <c r="A750" s="26">
        <v>44661.938434108801</v>
      </c>
      <c r="B750" s="27" t="s">
        <v>6</v>
      </c>
      <c r="C750" s="27" t="s">
        <v>17</v>
      </c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  <c r="AX750" s="28"/>
      <c r="AY750" s="28"/>
      <c r="AZ750" s="28"/>
      <c r="BA750" s="28"/>
      <c r="BB750" s="28"/>
      <c r="BC750" s="28"/>
      <c r="BD750" s="28"/>
      <c r="BE750" s="28"/>
      <c r="BF750" s="28"/>
      <c r="BG750" s="28"/>
      <c r="BH750" s="28"/>
      <c r="BI750" s="28"/>
      <c r="BJ750" s="28"/>
      <c r="BK750" s="28"/>
      <c r="BL750" s="28"/>
      <c r="BM750" s="28"/>
      <c r="BN750" s="28"/>
      <c r="BO750" s="28"/>
      <c r="BP750" s="28"/>
      <c r="BQ750" s="28"/>
      <c r="BR750" s="28"/>
      <c r="BS750" s="28"/>
      <c r="BT750" s="28"/>
      <c r="BU750" s="28"/>
      <c r="BV750" s="28"/>
      <c r="BW750" s="28"/>
      <c r="BX750" s="28"/>
      <c r="DX750" s="33" t="s">
        <v>2379</v>
      </c>
      <c r="DY750" s="33" t="s">
        <v>2375</v>
      </c>
      <c r="DZ750" s="33" t="s">
        <v>166</v>
      </c>
      <c r="EA750" s="33" t="s">
        <v>2403</v>
      </c>
      <c r="EB750" s="34">
        <v>44128</v>
      </c>
      <c r="EC750" s="33" t="s">
        <v>2218</v>
      </c>
      <c r="ED750" s="35" t="s">
        <v>2404</v>
      </c>
      <c r="FL750" s="33" t="s">
        <v>2378</v>
      </c>
      <c r="FM750" s="33" t="s">
        <v>339</v>
      </c>
    </row>
    <row r="751" spans="1:194" ht="23.25" customHeight="1" x14ac:dyDescent="0.15">
      <c r="A751" s="26">
        <v>44661.939717986112</v>
      </c>
      <c r="B751" s="27" t="s">
        <v>6</v>
      </c>
      <c r="C751" s="27" t="s">
        <v>11</v>
      </c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  <c r="AX751" s="27" t="s">
        <v>2181</v>
      </c>
      <c r="AY751" s="27" t="s">
        <v>2182</v>
      </c>
      <c r="AZ751" s="27" t="s">
        <v>2405</v>
      </c>
      <c r="BA751" s="27" t="s">
        <v>1449</v>
      </c>
      <c r="BB751" s="27" t="s">
        <v>2406</v>
      </c>
      <c r="BC751" s="29">
        <v>43990</v>
      </c>
      <c r="BD751" s="29">
        <v>44001</v>
      </c>
      <c r="BE751" s="29">
        <v>44668</v>
      </c>
      <c r="BF751" s="27">
        <v>94</v>
      </c>
      <c r="BG751" s="27" t="s">
        <v>2407</v>
      </c>
      <c r="BH751" s="30" t="s">
        <v>2408</v>
      </c>
      <c r="BI751" s="28"/>
      <c r="BJ751" s="28"/>
      <c r="BK751" s="28"/>
      <c r="BL751" s="28"/>
      <c r="BM751" s="28"/>
      <c r="BN751" s="28"/>
      <c r="BO751" s="28"/>
      <c r="BP751" s="28"/>
      <c r="BQ751" s="28"/>
      <c r="BR751" s="28"/>
      <c r="BS751" s="28"/>
      <c r="BT751" s="28"/>
      <c r="BU751" s="28"/>
      <c r="BV751" s="28"/>
      <c r="BW751" s="28"/>
      <c r="BX751" s="28"/>
      <c r="FL751" s="33" t="s">
        <v>2180</v>
      </c>
      <c r="FM751" s="33" t="s">
        <v>255</v>
      </c>
    </row>
    <row r="752" spans="1:194" ht="23.25" customHeight="1" x14ac:dyDescent="0.15">
      <c r="A752" s="26">
        <v>44661.942179583333</v>
      </c>
      <c r="B752" s="27" t="s">
        <v>6</v>
      </c>
      <c r="C752" s="27" t="s">
        <v>11</v>
      </c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  <c r="AX752" s="27" t="s">
        <v>2181</v>
      </c>
      <c r="AY752" s="27" t="s">
        <v>2182</v>
      </c>
      <c r="AZ752" s="27" t="s">
        <v>2409</v>
      </c>
      <c r="BA752" s="27" t="s">
        <v>343</v>
      </c>
      <c r="BB752" s="27" t="s">
        <v>2410</v>
      </c>
      <c r="BC752" s="29">
        <v>43966</v>
      </c>
      <c r="BD752" s="29">
        <v>43976</v>
      </c>
      <c r="BE752" s="29">
        <v>43974</v>
      </c>
      <c r="BF752" s="27">
        <v>96</v>
      </c>
      <c r="BG752" s="27" t="s">
        <v>2411</v>
      </c>
      <c r="BH752" s="30" t="s">
        <v>2412</v>
      </c>
      <c r="BI752" s="28"/>
      <c r="BJ752" s="28"/>
      <c r="BK752" s="28"/>
      <c r="BL752" s="28"/>
      <c r="BM752" s="28"/>
      <c r="BN752" s="28"/>
      <c r="BO752" s="28"/>
      <c r="BP752" s="28"/>
      <c r="BQ752" s="28"/>
      <c r="BR752" s="28"/>
      <c r="BS752" s="28"/>
      <c r="BT752" s="28"/>
      <c r="BU752" s="28"/>
      <c r="BV752" s="28"/>
      <c r="BW752" s="28"/>
      <c r="BX752" s="28"/>
      <c r="FL752" s="33" t="s">
        <v>2180</v>
      </c>
      <c r="FM752" s="33" t="s">
        <v>255</v>
      </c>
    </row>
    <row r="753" spans="1:194" ht="23.25" customHeight="1" x14ac:dyDescent="0.15">
      <c r="A753" s="26">
        <v>44661.943149976854</v>
      </c>
      <c r="B753" s="27" t="s">
        <v>6</v>
      </c>
      <c r="C753" s="27" t="s">
        <v>17</v>
      </c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  <c r="AX753" s="28"/>
      <c r="AY753" s="28"/>
      <c r="AZ753" s="28"/>
      <c r="BA753" s="28"/>
      <c r="BB753" s="28"/>
      <c r="BC753" s="28"/>
      <c r="BD753" s="28"/>
      <c r="BE753" s="28"/>
      <c r="BF753" s="28"/>
      <c r="BG753" s="28"/>
      <c r="BH753" s="28"/>
      <c r="BI753" s="28"/>
      <c r="BJ753" s="28"/>
      <c r="BK753" s="28"/>
      <c r="BL753" s="28"/>
      <c r="BM753" s="28"/>
      <c r="BN753" s="28"/>
      <c r="BO753" s="28"/>
      <c r="BP753" s="28"/>
      <c r="BQ753" s="28"/>
      <c r="BR753" s="28"/>
      <c r="BS753" s="28"/>
      <c r="BT753" s="28"/>
      <c r="BU753" s="28"/>
      <c r="BV753" s="28"/>
      <c r="BW753" s="28"/>
      <c r="BX753" s="28"/>
      <c r="DX753" s="33" t="s">
        <v>2379</v>
      </c>
      <c r="DY753" s="33" t="s">
        <v>2375</v>
      </c>
      <c r="DZ753" s="33" t="s">
        <v>154</v>
      </c>
      <c r="EA753" s="33" t="s">
        <v>2413</v>
      </c>
      <c r="EB753" s="34">
        <v>43924</v>
      </c>
      <c r="EC753" s="33" t="s">
        <v>2414</v>
      </c>
      <c r="ED753" s="35" t="s">
        <v>2415</v>
      </c>
      <c r="FL753" s="33" t="s">
        <v>2378</v>
      </c>
      <c r="FM753" s="33" t="s">
        <v>339</v>
      </c>
    </row>
    <row r="754" spans="1:194" ht="23.25" customHeight="1" x14ac:dyDescent="0.15">
      <c r="A754" s="26">
        <v>44661.945137291666</v>
      </c>
      <c r="B754" s="27" t="s">
        <v>6</v>
      </c>
      <c r="C754" s="27" t="s">
        <v>12</v>
      </c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  <c r="AX754" s="28"/>
      <c r="AY754" s="28"/>
      <c r="AZ754" s="28"/>
      <c r="BA754" s="28"/>
      <c r="BB754" s="28"/>
      <c r="BC754" s="28"/>
      <c r="BD754" s="28"/>
      <c r="BE754" s="28"/>
      <c r="BF754" s="28"/>
      <c r="BG754" s="28"/>
      <c r="BH754" s="28"/>
      <c r="BI754" s="27" t="s">
        <v>2181</v>
      </c>
      <c r="BJ754" s="27" t="s">
        <v>2182</v>
      </c>
      <c r="BK754" s="27" t="s">
        <v>145</v>
      </c>
      <c r="BL754" s="27" t="s">
        <v>1285</v>
      </c>
      <c r="BM754" s="27" t="s">
        <v>2416</v>
      </c>
      <c r="BN754" s="27">
        <v>2</v>
      </c>
      <c r="BO754" s="29">
        <v>43505</v>
      </c>
      <c r="BP754" s="29">
        <v>43506</v>
      </c>
      <c r="BQ754" s="27" t="s">
        <v>1475</v>
      </c>
      <c r="BR754" s="27" t="s">
        <v>2417</v>
      </c>
      <c r="BS754" s="27" t="s">
        <v>271</v>
      </c>
      <c r="BT754" s="27" t="s">
        <v>629</v>
      </c>
      <c r="BU754" s="27">
        <v>200</v>
      </c>
      <c r="BV754" s="30" t="s">
        <v>2418</v>
      </c>
      <c r="BW754" s="28"/>
      <c r="BX754" s="28"/>
      <c r="FL754" s="33" t="s">
        <v>2180</v>
      </c>
      <c r="FM754" s="33" t="s">
        <v>380</v>
      </c>
    </row>
    <row r="755" spans="1:194" ht="23.25" customHeight="1" x14ac:dyDescent="0.15">
      <c r="A755" s="26">
        <v>44661.947182627315</v>
      </c>
      <c r="B755" s="27" t="s">
        <v>6</v>
      </c>
      <c r="C755" s="27" t="s">
        <v>10</v>
      </c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7" t="s">
        <v>2379</v>
      </c>
      <c r="AO755" s="27" t="s">
        <v>2375</v>
      </c>
      <c r="AP755" s="27" t="s">
        <v>2419</v>
      </c>
      <c r="AQ755" s="27" t="s">
        <v>442</v>
      </c>
      <c r="AR755" s="29">
        <v>44469</v>
      </c>
      <c r="AS755" s="29">
        <v>44530</v>
      </c>
      <c r="AT755" s="27" t="s">
        <v>252</v>
      </c>
      <c r="AU755" s="27" t="s">
        <v>252</v>
      </c>
      <c r="AV755" s="27">
        <v>0</v>
      </c>
      <c r="AW755" s="30" t="s">
        <v>2420</v>
      </c>
      <c r="AX755" s="28"/>
      <c r="AY755" s="28"/>
      <c r="AZ755" s="28"/>
      <c r="BA755" s="28"/>
      <c r="BB755" s="28"/>
      <c r="BC755" s="28"/>
      <c r="BD755" s="28"/>
      <c r="BE755" s="28"/>
      <c r="BF755" s="28"/>
      <c r="BG755" s="28"/>
      <c r="BH755" s="28"/>
      <c r="BI755" s="28"/>
      <c r="BJ755" s="28"/>
      <c r="BK755" s="28"/>
      <c r="BL755" s="28"/>
      <c r="BM755" s="28"/>
      <c r="BN755" s="28"/>
      <c r="BO755" s="28"/>
      <c r="BP755" s="28"/>
      <c r="BQ755" s="28"/>
      <c r="BR755" s="28"/>
      <c r="BS755" s="28"/>
      <c r="BT755" s="28"/>
      <c r="BU755" s="28"/>
      <c r="BV755" s="28"/>
      <c r="BW755" s="28"/>
      <c r="BX755" s="28"/>
      <c r="FL755" s="33" t="s">
        <v>2378</v>
      </c>
      <c r="FM755" s="33" t="s">
        <v>273</v>
      </c>
    </row>
    <row r="756" spans="1:194" ht="23.25" customHeight="1" x14ac:dyDescent="0.15">
      <c r="A756" s="26">
        <v>44661.947704699072</v>
      </c>
      <c r="B756" s="27" t="s">
        <v>6</v>
      </c>
      <c r="C756" s="27" t="s">
        <v>11</v>
      </c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  <c r="AX756" s="27" t="s">
        <v>2343</v>
      </c>
      <c r="AY756" s="27" t="s">
        <v>1812</v>
      </c>
      <c r="AZ756" s="27" t="s">
        <v>978</v>
      </c>
      <c r="BA756" s="27" t="s">
        <v>375</v>
      </c>
      <c r="BB756" s="27" t="s">
        <v>550</v>
      </c>
      <c r="BC756" s="29">
        <v>43581</v>
      </c>
      <c r="BD756" s="29">
        <v>43672</v>
      </c>
      <c r="BE756" s="29">
        <v>43672</v>
      </c>
      <c r="BF756" s="27" t="s">
        <v>520</v>
      </c>
      <c r="BG756" s="27" t="s">
        <v>2421</v>
      </c>
      <c r="BH756" s="30" t="s">
        <v>2422</v>
      </c>
      <c r="BI756" s="28"/>
      <c r="BJ756" s="28"/>
      <c r="BK756" s="28"/>
      <c r="BL756" s="28"/>
      <c r="BM756" s="28"/>
      <c r="BN756" s="28"/>
      <c r="BO756" s="28"/>
      <c r="BP756" s="28"/>
      <c r="BQ756" s="28"/>
      <c r="BR756" s="28"/>
      <c r="BS756" s="28"/>
      <c r="BT756" s="28"/>
      <c r="BU756" s="28"/>
      <c r="BV756" s="28"/>
      <c r="BW756" s="28"/>
      <c r="BX756" s="28"/>
      <c r="FL756" s="33" t="s">
        <v>1817</v>
      </c>
      <c r="FM756" s="33" t="s">
        <v>255</v>
      </c>
    </row>
    <row r="757" spans="1:194" ht="23.25" customHeight="1" x14ac:dyDescent="0.15">
      <c r="A757" s="26">
        <v>44661.94825429398</v>
      </c>
      <c r="B757" s="27" t="s">
        <v>6</v>
      </c>
      <c r="C757" s="27" t="s">
        <v>11</v>
      </c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  <c r="AX757" s="27" t="s">
        <v>2181</v>
      </c>
      <c r="AY757" s="27" t="s">
        <v>2182</v>
      </c>
      <c r="AZ757" s="27" t="s">
        <v>349</v>
      </c>
      <c r="BA757" s="27" t="s">
        <v>335</v>
      </c>
      <c r="BB757" s="27" t="s">
        <v>2423</v>
      </c>
      <c r="BC757" s="29">
        <v>43647</v>
      </c>
      <c r="BD757" s="29">
        <v>43677</v>
      </c>
      <c r="BE757" s="29">
        <v>43675</v>
      </c>
      <c r="BF757" s="27">
        <v>100</v>
      </c>
      <c r="BG757" s="27" t="s">
        <v>522</v>
      </c>
      <c r="BH757" s="30" t="s">
        <v>2424</v>
      </c>
      <c r="BI757" s="28"/>
      <c r="BJ757" s="28"/>
      <c r="BK757" s="28"/>
      <c r="BL757" s="28"/>
      <c r="BM757" s="28"/>
      <c r="BN757" s="28"/>
      <c r="BO757" s="28"/>
      <c r="BP757" s="28"/>
      <c r="BQ757" s="28"/>
      <c r="BR757" s="28"/>
      <c r="BS757" s="28"/>
      <c r="BT757" s="28"/>
      <c r="BU757" s="28"/>
      <c r="BV757" s="28"/>
      <c r="BW757" s="28"/>
      <c r="BX757" s="28"/>
      <c r="FL757" s="33" t="s">
        <v>2180</v>
      </c>
      <c r="FM757" s="33" t="s">
        <v>321</v>
      </c>
    </row>
    <row r="758" spans="1:194" ht="23.25" customHeight="1" x14ac:dyDescent="0.15">
      <c r="A758" s="26">
        <v>44661.949904062501</v>
      </c>
      <c r="B758" s="27" t="s">
        <v>6</v>
      </c>
      <c r="C758" s="27" t="s">
        <v>11</v>
      </c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  <c r="AX758" s="27" t="s">
        <v>2343</v>
      </c>
      <c r="AY758" s="27" t="s">
        <v>1812</v>
      </c>
      <c r="AZ758" s="27" t="s">
        <v>853</v>
      </c>
      <c r="BA758" s="27" t="s">
        <v>375</v>
      </c>
      <c r="BB758" s="27" t="s">
        <v>376</v>
      </c>
      <c r="BC758" s="29">
        <v>43633</v>
      </c>
      <c r="BD758" s="29">
        <v>43755</v>
      </c>
      <c r="BE758" s="29">
        <v>43755</v>
      </c>
      <c r="BF758" s="27" t="s">
        <v>520</v>
      </c>
      <c r="BG758" s="27" t="s">
        <v>854</v>
      </c>
      <c r="BH758" s="30" t="s">
        <v>2425</v>
      </c>
      <c r="BI758" s="28"/>
      <c r="BJ758" s="28"/>
      <c r="BK758" s="28"/>
      <c r="BL758" s="28"/>
      <c r="BM758" s="28"/>
      <c r="BN758" s="28"/>
      <c r="BO758" s="28"/>
      <c r="BP758" s="28"/>
      <c r="BQ758" s="28"/>
      <c r="BR758" s="28"/>
      <c r="BS758" s="28"/>
      <c r="BT758" s="28"/>
      <c r="BU758" s="28"/>
      <c r="BV758" s="28"/>
      <c r="BW758" s="28"/>
      <c r="BX758" s="28"/>
      <c r="FL758" s="33" t="s">
        <v>1817</v>
      </c>
      <c r="FM758" s="33" t="s">
        <v>255</v>
      </c>
    </row>
    <row r="759" spans="1:194" ht="23.25" customHeight="1" x14ac:dyDescent="0.15">
      <c r="A759" s="26">
        <v>44661.949948124995</v>
      </c>
      <c r="B759" s="27" t="s">
        <v>6</v>
      </c>
      <c r="C759" s="27" t="s">
        <v>17</v>
      </c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  <c r="AX759" s="28"/>
      <c r="AY759" s="28"/>
      <c r="AZ759" s="28"/>
      <c r="BA759" s="28"/>
      <c r="BB759" s="28"/>
      <c r="BC759" s="28"/>
      <c r="BD759" s="28"/>
      <c r="BE759" s="28"/>
      <c r="BF759" s="28"/>
      <c r="BG759" s="28"/>
      <c r="BH759" s="28"/>
      <c r="BI759" s="28"/>
      <c r="BJ759" s="28"/>
      <c r="BK759" s="28"/>
      <c r="BL759" s="28"/>
      <c r="BM759" s="28"/>
      <c r="BN759" s="28"/>
      <c r="BO759" s="28"/>
      <c r="BP759" s="28"/>
      <c r="BQ759" s="28"/>
      <c r="BR759" s="28"/>
      <c r="BS759" s="28"/>
      <c r="BT759" s="28"/>
      <c r="BU759" s="28"/>
      <c r="BV759" s="28"/>
      <c r="BW759" s="28"/>
      <c r="BX759" s="28"/>
      <c r="DX759" s="33" t="s">
        <v>2379</v>
      </c>
      <c r="DY759" s="33" t="s">
        <v>2375</v>
      </c>
      <c r="DZ759" s="33" t="s">
        <v>166</v>
      </c>
      <c r="EA759" s="33" t="s">
        <v>2426</v>
      </c>
      <c r="EB759" s="34">
        <v>44171</v>
      </c>
      <c r="EC759" s="33" t="s">
        <v>1639</v>
      </c>
      <c r="ED759" s="35" t="s">
        <v>2427</v>
      </c>
      <c r="FL759" s="33" t="s">
        <v>2378</v>
      </c>
      <c r="FM759" s="33" t="s">
        <v>339</v>
      </c>
    </row>
    <row r="760" spans="1:194" ht="23.25" customHeight="1" x14ac:dyDescent="0.15">
      <c r="A760" s="26">
        <v>44661.951369814815</v>
      </c>
      <c r="B760" s="27" t="s">
        <v>6</v>
      </c>
      <c r="C760" s="27" t="s">
        <v>22</v>
      </c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  <c r="AX760" s="28"/>
      <c r="AY760" s="28"/>
      <c r="AZ760" s="28"/>
      <c r="BA760" s="28"/>
      <c r="BB760" s="28"/>
      <c r="BC760" s="28"/>
      <c r="BD760" s="28"/>
      <c r="BE760" s="28"/>
      <c r="BF760" s="28"/>
      <c r="BG760" s="28"/>
      <c r="BH760" s="28"/>
      <c r="BI760" s="28"/>
      <c r="BJ760" s="28"/>
      <c r="BK760" s="28"/>
      <c r="BL760" s="28"/>
      <c r="BM760" s="28"/>
      <c r="BN760" s="28"/>
      <c r="BO760" s="28"/>
      <c r="BP760" s="28"/>
      <c r="BQ760" s="28"/>
      <c r="BR760" s="28"/>
      <c r="BS760" s="28"/>
      <c r="BT760" s="28"/>
      <c r="BU760" s="28"/>
      <c r="BV760" s="28"/>
      <c r="BW760" s="28"/>
      <c r="BX760" s="28"/>
      <c r="FL760" s="33" t="s">
        <v>2378</v>
      </c>
      <c r="FM760" s="33" t="s">
        <v>255</v>
      </c>
      <c r="GF760" s="33" t="s">
        <v>2379</v>
      </c>
      <c r="GG760" s="33" t="s">
        <v>2375</v>
      </c>
      <c r="GH760" s="33" t="s">
        <v>2428</v>
      </c>
      <c r="GI760" s="34">
        <v>44743</v>
      </c>
      <c r="GJ760" s="35" t="s">
        <v>2429</v>
      </c>
      <c r="GK760" s="33" t="s">
        <v>2430</v>
      </c>
      <c r="GL760" s="33" t="s">
        <v>2431</v>
      </c>
    </row>
    <row r="761" spans="1:194" ht="23.25" customHeight="1" x14ac:dyDescent="0.15">
      <c r="A761" s="26">
        <v>44661.951691087961</v>
      </c>
      <c r="B761" s="27" t="s">
        <v>6</v>
      </c>
      <c r="C761" s="27" t="s">
        <v>12</v>
      </c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  <c r="AX761" s="28"/>
      <c r="AY761" s="28"/>
      <c r="AZ761" s="28"/>
      <c r="BA761" s="28"/>
      <c r="BB761" s="28"/>
      <c r="BC761" s="28"/>
      <c r="BD761" s="28"/>
      <c r="BE761" s="28"/>
      <c r="BF761" s="28"/>
      <c r="BG761" s="28"/>
      <c r="BH761" s="28"/>
      <c r="BI761" s="27" t="s">
        <v>2181</v>
      </c>
      <c r="BJ761" s="27" t="s">
        <v>2182</v>
      </c>
      <c r="BK761" s="27" t="s">
        <v>166</v>
      </c>
      <c r="BL761" s="27" t="s">
        <v>1285</v>
      </c>
      <c r="BM761" s="27" t="s">
        <v>2432</v>
      </c>
      <c r="BN761" s="27">
        <v>5</v>
      </c>
      <c r="BO761" s="29">
        <v>44382</v>
      </c>
      <c r="BP761" s="29">
        <v>44387</v>
      </c>
      <c r="BQ761" s="27" t="s">
        <v>2433</v>
      </c>
      <c r="BR761" s="27" t="s">
        <v>2434</v>
      </c>
      <c r="BS761" s="27" t="s">
        <v>271</v>
      </c>
      <c r="BT761" s="27" t="s">
        <v>151</v>
      </c>
      <c r="BU761" s="27">
        <v>0</v>
      </c>
      <c r="BV761" s="30" t="s">
        <v>2435</v>
      </c>
      <c r="BW761" s="28"/>
      <c r="BX761" s="28"/>
      <c r="FL761" s="33" t="s">
        <v>2180</v>
      </c>
      <c r="FM761" s="33" t="s">
        <v>278</v>
      </c>
    </row>
    <row r="762" spans="1:194" ht="23.25" customHeight="1" x14ac:dyDescent="0.15">
      <c r="A762" s="26">
        <v>44661.952485694448</v>
      </c>
      <c r="B762" s="27" t="s">
        <v>6</v>
      </c>
      <c r="C762" s="27" t="s">
        <v>11</v>
      </c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  <c r="AX762" s="27" t="s">
        <v>2343</v>
      </c>
      <c r="AY762" s="27" t="s">
        <v>1812</v>
      </c>
      <c r="AZ762" s="27" t="s">
        <v>783</v>
      </c>
      <c r="BA762" s="27" t="s">
        <v>375</v>
      </c>
      <c r="BB762" s="27" t="s">
        <v>376</v>
      </c>
      <c r="BC762" s="29">
        <v>43818</v>
      </c>
      <c r="BD762" s="29">
        <v>43940</v>
      </c>
      <c r="BE762" s="29">
        <v>43940</v>
      </c>
      <c r="BF762" s="27" t="s">
        <v>520</v>
      </c>
      <c r="BG762" s="27" t="s">
        <v>2436</v>
      </c>
      <c r="BH762" s="30" t="s">
        <v>2437</v>
      </c>
      <c r="BI762" s="28"/>
      <c r="BJ762" s="28"/>
      <c r="BK762" s="28"/>
      <c r="BL762" s="28"/>
      <c r="BM762" s="28"/>
      <c r="BN762" s="28"/>
      <c r="BO762" s="28"/>
      <c r="BP762" s="28"/>
      <c r="BQ762" s="28"/>
      <c r="BR762" s="28"/>
      <c r="BS762" s="28"/>
      <c r="BT762" s="28"/>
      <c r="BU762" s="28"/>
      <c r="BV762" s="28"/>
      <c r="BW762" s="28"/>
      <c r="BX762" s="28"/>
      <c r="FL762" s="33" t="s">
        <v>1817</v>
      </c>
      <c r="FM762" s="33" t="s">
        <v>255</v>
      </c>
    </row>
    <row r="763" spans="1:194" ht="23.25" customHeight="1" x14ac:dyDescent="0.15">
      <c r="A763" s="26">
        <v>44661.954626851853</v>
      </c>
      <c r="B763" s="27" t="s">
        <v>6</v>
      </c>
      <c r="C763" s="27" t="s">
        <v>11</v>
      </c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  <c r="AX763" s="27" t="s">
        <v>2343</v>
      </c>
      <c r="AY763" s="27" t="s">
        <v>1812</v>
      </c>
      <c r="AZ763" s="27" t="s">
        <v>345</v>
      </c>
      <c r="BA763" s="27" t="s">
        <v>407</v>
      </c>
      <c r="BB763" s="27" t="s">
        <v>879</v>
      </c>
      <c r="BC763" s="29">
        <v>44353</v>
      </c>
      <c r="BD763" s="29">
        <v>44383</v>
      </c>
      <c r="BE763" s="29">
        <v>44383</v>
      </c>
      <c r="BF763" s="27" t="s">
        <v>520</v>
      </c>
      <c r="BG763" s="27" t="s">
        <v>921</v>
      </c>
      <c r="BH763" s="30" t="s">
        <v>2438</v>
      </c>
      <c r="BI763" s="28"/>
      <c r="BJ763" s="28"/>
      <c r="BK763" s="28"/>
      <c r="BL763" s="28"/>
      <c r="BM763" s="28"/>
      <c r="BN763" s="28"/>
      <c r="BO763" s="28"/>
      <c r="BP763" s="28"/>
      <c r="BQ763" s="28"/>
      <c r="BR763" s="28"/>
      <c r="BS763" s="28"/>
      <c r="BT763" s="28"/>
      <c r="BU763" s="28"/>
      <c r="BV763" s="28"/>
      <c r="BW763" s="28"/>
      <c r="BX763" s="28"/>
      <c r="FL763" s="33" t="s">
        <v>1817</v>
      </c>
      <c r="FM763" s="33" t="s">
        <v>255</v>
      </c>
    </row>
    <row r="764" spans="1:194" ht="23.25" customHeight="1" x14ac:dyDescent="0.15">
      <c r="A764" s="26">
        <v>44661.954751099533</v>
      </c>
      <c r="B764" s="27" t="s">
        <v>6</v>
      </c>
      <c r="C764" s="27" t="s">
        <v>12</v>
      </c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  <c r="BD764" s="28"/>
      <c r="BE764" s="28"/>
      <c r="BF764" s="28"/>
      <c r="BG764" s="28"/>
      <c r="BH764" s="28"/>
      <c r="BI764" s="27" t="s">
        <v>2181</v>
      </c>
      <c r="BJ764" s="27" t="s">
        <v>2182</v>
      </c>
      <c r="BK764" s="27" t="s">
        <v>154</v>
      </c>
      <c r="BL764" s="27" t="s">
        <v>1285</v>
      </c>
      <c r="BM764" s="27" t="s">
        <v>2439</v>
      </c>
      <c r="BN764" s="27">
        <v>1</v>
      </c>
      <c r="BO764" s="29">
        <v>44008</v>
      </c>
      <c r="BP764" s="29">
        <v>44008</v>
      </c>
      <c r="BQ764" s="27" t="s">
        <v>2440</v>
      </c>
      <c r="BR764" s="27" t="s">
        <v>2441</v>
      </c>
      <c r="BS764" s="27" t="s">
        <v>150</v>
      </c>
      <c r="BT764" s="27" t="s">
        <v>151</v>
      </c>
      <c r="BU764" s="27">
        <v>0</v>
      </c>
      <c r="BV764" s="30" t="s">
        <v>2442</v>
      </c>
      <c r="BW764" s="28"/>
      <c r="BX764" s="28"/>
      <c r="FL764" s="33" t="s">
        <v>2180</v>
      </c>
      <c r="FM764" s="33" t="s">
        <v>278</v>
      </c>
    </row>
    <row r="765" spans="1:194" ht="23.25" customHeight="1" x14ac:dyDescent="0.15">
      <c r="A765" s="26">
        <v>44661.957925601848</v>
      </c>
      <c r="B765" s="27" t="s">
        <v>6</v>
      </c>
      <c r="C765" s="27" t="s">
        <v>12</v>
      </c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  <c r="BE765" s="28"/>
      <c r="BF765" s="28"/>
      <c r="BG765" s="28"/>
      <c r="BH765" s="28"/>
      <c r="BI765" s="27" t="s">
        <v>2181</v>
      </c>
      <c r="BJ765" s="27" t="s">
        <v>2182</v>
      </c>
      <c r="BK765" s="27" t="s">
        <v>311</v>
      </c>
      <c r="BL765" s="27" t="s">
        <v>732</v>
      </c>
      <c r="BM765" s="27" t="s">
        <v>2040</v>
      </c>
      <c r="BN765" s="27">
        <v>1</v>
      </c>
      <c r="BO765" s="29">
        <v>44567</v>
      </c>
      <c r="BP765" s="29">
        <v>44567</v>
      </c>
      <c r="BQ765" s="27" t="s">
        <v>1475</v>
      </c>
      <c r="BR765" s="27" t="s">
        <v>2443</v>
      </c>
      <c r="BS765" s="27" t="s">
        <v>171</v>
      </c>
      <c r="BT765" s="27" t="s">
        <v>151</v>
      </c>
      <c r="BU765" s="27">
        <v>0</v>
      </c>
      <c r="BV765" s="30" t="s">
        <v>2444</v>
      </c>
      <c r="BW765" s="28"/>
      <c r="BX765" s="28"/>
      <c r="FL765" s="33" t="s">
        <v>2180</v>
      </c>
      <c r="FM765" s="33" t="s">
        <v>273</v>
      </c>
    </row>
    <row r="766" spans="1:194" ht="23.25" customHeight="1" x14ac:dyDescent="0.15">
      <c r="A766" s="26">
        <v>44661.960894467593</v>
      </c>
      <c r="B766" s="27" t="s">
        <v>6</v>
      </c>
      <c r="C766" s="27" t="s">
        <v>12</v>
      </c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  <c r="BE766" s="28"/>
      <c r="BF766" s="28"/>
      <c r="BG766" s="28"/>
      <c r="BH766" s="28"/>
      <c r="BI766" s="27" t="s">
        <v>2343</v>
      </c>
      <c r="BJ766" s="27" t="s">
        <v>1812</v>
      </c>
      <c r="BK766" s="27" t="s">
        <v>311</v>
      </c>
      <c r="BL766" s="27" t="s">
        <v>167</v>
      </c>
      <c r="BM766" s="27" t="s">
        <v>2445</v>
      </c>
      <c r="BN766" s="27">
        <v>1</v>
      </c>
      <c r="BO766" s="29">
        <v>44567</v>
      </c>
      <c r="BP766" s="29">
        <v>44567</v>
      </c>
      <c r="BQ766" s="27" t="s">
        <v>2446</v>
      </c>
      <c r="BR766" s="27" t="s">
        <v>628</v>
      </c>
      <c r="BS766" s="27" t="s">
        <v>171</v>
      </c>
      <c r="BT766" s="27" t="s">
        <v>151</v>
      </c>
      <c r="BU766" s="28"/>
      <c r="BV766" s="30" t="s">
        <v>2447</v>
      </c>
      <c r="BW766" s="28"/>
      <c r="BX766" s="28"/>
      <c r="FL766" s="33" t="s">
        <v>1817</v>
      </c>
      <c r="FM766" s="33" t="s">
        <v>255</v>
      </c>
    </row>
    <row r="767" spans="1:194" ht="23.25" customHeight="1" x14ac:dyDescent="0.15">
      <c r="A767" s="26">
        <v>44661.961530219909</v>
      </c>
      <c r="B767" s="27" t="s">
        <v>6</v>
      </c>
      <c r="C767" s="27" t="s">
        <v>12</v>
      </c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  <c r="BE767" s="28"/>
      <c r="BF767" s="28"/>
      <c r="BG767" s="28"/>
      <c r="BH767" s="28"/>
      <c r="BI767" s="27" t="s">
        <v>2181</v>
      </c>
      <c r="BJ767" s="27" t="s">
        <v>2182</v>
      </c>
      <c r="BK767" s="27" t="s">
        <v>166</v>
      </c>
      <c r="BL767" s="27" t="s">
        <v>167</v>
      </c>
      <c r="BM767" s="27" t="s">
        <v>2448</v>
      </c>
      <c r="BN767" s="27">
        <v>2</v>
      </c>
      <c r="BO767" s="29">
        <v>44003</v>
      </c>
      <c r="BP767" s="29">
        <v>44003</v>
      </c>
      <c r="BQ767" s="27" t="s">
        <v>2449</v>
      </c>
      <c r="BR767" s="27" t="s">
        <v>2450</v>
      </c>
      <c r="BS767" s="27" t="s">
        <v>171</v>
      </c>
      <c r="BT767" s="27" t="s">
        <v>151</v>
      </c>
      <c r="BU767" s="27">
        <v>0</v>
      </c>
      <c r="BV767" s="30" t="s">
        <v>2451</v>
      </c>
      <c r="BW767" s="28"/>
      <c r="BX767" s="28"/>
      <c r="FL767" s="33" t="s">
        <v>2180</v>
      </c>
      <c r="FM767" s="33" t="s">
        <v>278</v>
      </c>
    </row>
    <row r="768" spans="1:194" ht="23.25" customHeight="1" x14ac:dyDescent="0.15">
      <c r="A768" s="26">
        <v>44661.965466319445</v>
      </c>
      <c r="B768" s="27" t="s">
        <v>6</v>
      </c>
      <c r="C768" s="27" t="s">
        <v>11</v>
      </c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  <c r="AX768" s="27" t="s">
        <v>2181</v>
      </c>
      <c r="AY768" s="27" t="s">
        <v>2182</v>
      </c>
      <c r="AZ768" s="27" t="s">
        <v>2452</v>
      </c>
      <c r="BA768" s="27" t="s">
        <v>982</v>
      </c>
      <c r="BB768" s="27" t="s">
        <v>191</v>
      </c>
      <c r="BC768" s="29">
        <v>44446</v>
      </c>
      <c r="BD768" s="29">
        <v>44446</v>
      </c>
      <c r="BE768" s="29">
        <v>44446</v>
      </c>
      <c r="BF768" s="27">
        <v>95</v>
      </c>
      <c r="BG768" s="27" t="s">
        <v>2453</v>
      </c>
      <c r="BH768" s="30" t="s">
        <v>2454</v>
      </c>
      <c r="BI768" s="28"/>
      <c r="BJ768" s="28"/>
      <c r="BK768" s="28"/>
      <c r="BL768" s="28"/>
      <c r="BM768" s="28"/>
      <c r="BN768" s="28"/>
      <c r="BO768" s="28"/>
      <c r="BP768" s="28"/>
      <c r="BQ768" s="28"/>
      <c r="BR768" s="28"/>
      <c r="BS768" s="28"/>
      <c r="BT768" s="28"/>
      <c r="BU768" s="28"/>
      <c r="BV768" s="28"/>
      <c r="BW768" s="28"/>
      <c r="BX768" s="28"/>
      <c r="FL768" s="33" t="s">
        <v>2180</v>
      </c>
      <c r="FM768" s="33" t="s">
        <v>273</v>
      </c>
    </row>
    <row r="769" spans="1:194" ht="23.25" customHeight="1" x14ac:dyDescent="0.15">
      <c r="A769" s="26">
        <v>44661.966270856487</v>
      </c>
      <c r="B769" s="27" t="s">
        <v>6</v>
      </c>
      <c r="C769" s="27" t="s">
        <v>11</v>
      </c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  <c r="AX769" s="27" t="s">
        <v>2343</v>
      </c>
      <c r="AY769" s="27" t="s">
        <v>1812</v>
      </c>
      <c r="AZ769" s="27" t="s">
        <v>2455</v>
      </c>
      <c r="BA769" s="27" t="s">
        <v>2456</v>
      </c>
      <c r="BB769" s="27" t="s">
        <v>879</v>
      </c>
      <c r="BC769" s="29">
        <v>44089</v>
      </c>
      <c r="BD769" s="29">
        <v>44058</v>
      </c>
      <c r="BE769" s="29">
        <v>44089</v>
      </c>
      <c r="BF769" s="27" t="s">
        <v>520</v>
      </c>
      <c r="BG769" s="27" t="s">
        <v>520</v>
      </c>
      <c r="BH769" s="30" t="s">
        <v>2457</v>
      </c>
      <c r="BI769" s="28"/>
      <c r="BJ769" s="28"/>
      <c r="BK769" s="28"/>
      <c r="BL769" s="28"/>
      <c r="BM769" s="28"/>
      <c r="BN769" s="28"/>
      <c r="BO769" s="28"/>
      <c r="BP769" s="28"/>
      <c r="BQ769" s="28"/>
      <c r="BR769" s="28"/>
      <c r="BS769" s="28"/>
      <c r="BT769" s="28"/>
      <c r="BU769" s="28"/>
      <c r="BV769" s="28"/>
      <c r="BW769" s="28"/>
      <c r="BX769" s="28"/>
      <c r="FL769" s="33" t="s">
        <v>1817</v>
      </c>
      <c r="FM769" s="33" t="s">
        <v>255</v>
      </c>
    </row>
    <row r="770" spans="1:194" ht="23.25" customHeight="1" x14ac:dyDescent="0.15">
      <c r="A770" s="26">
        <v>44661.969973969906</v>
      </c>
      <c r="B770" s="27" t="s">
        <v>6</v>
      </c>
      <c r="C770" s="27" t="s">
        <v>11</v>
      </c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  <c r="AX770" s="27" t="s">
        <v>2343</v>
      </c>
      <c r="AY770" s="27" t="s">
        <v>1812</v>
      </c>
      <c r="AZ770" s="27" t="s">
        <v>2458</v>
      </c>
      <c r="BA770" s="27" t="s">
        <v>343</v>
      </c>
      <c r="BB770" s="27" t="s">
        <v>970</v>
      </c>
      <c r="BC770" s="29">
        <v>43963</v>
      </c>
      <c r="BD770" s="29">
        <v>44014</v>
      </c>
      <c r="BE770" s="29">
        <v>44014</v>
      </c>
      <c r="BF770" s="27" t="s">
        <v>520</v>
      </c>
      <c r="BG770" s="27" t="s">
        <v>520</v>
      </c>
      <c r="BH770" s="30" t="s">
        <v>2459</v>
      </c>
      <c r="BI770" s="28"/>
      <c r="BJ770" s="28"/>
      <c r="BK770" s="28"/>
      <c r="BL770" s="28"/>
      <c r="BM770" s="28"/>
      <c r="BN770" s="28"/>
      <c r="BO770" s="28"/>
      <c r="BP770" s="28"/>
      <c r="BQ770" s="28"/>
      <c r="BR770" s="28"/>
      <c r="BS770" s="28"/>
      <c r="BT770" s="28"/>
      <c r="BU770" s="28"/>
      <c r="BV770" s="28"/>
      <c r="BW770" s="28"/>
      <c r="BX770" s="28"/>
      <c r="FL770" s="33" t="s">
        <v>1817</v>
      </c>
      <c r="FM770" s="33" t="s">
        <v>255</v>
      </c>
    </row>
    <row r="771" spans="1:194" ht="23.25" customHeight="1" x14ac:dyDescent="0.15">
      <c r="A771" s="26">
        <v>44661.972461412035</v>
      </c>
      <c r="B771" s="27" t="s">
        <v>6</v>
      </c>
      <c r="C771" s="27" t="s">
        <v>10</v>
      </c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7" t="s">
        <v>2460</v>
      </c>
      <c r="AO771" s="27" t="s">
        <v>2461</v>
      </c>
      <c r="AP771" s="27" t="s">
        <v>2462</v>
      </c>
      <c r="AQ771" s="27" t="s">
        <v>2463</v>
      </c>
      <c r="AR771" s="29">
        <v>44580</v>
      </c>
      <c r="AS771" s="29">
        <v>44742</v>
      </c>
      <c r="AT771" s="27" t="s">
        <v>251</v>
      </c>
      <c r="AU771" s="27" t="s">
        <v>252</v>
      </c>
      <c r="AV771" s="27">
        <v>30000</v>
      </c>
      <c r="AW771" s="30" t="s">
        <v>2464</v>
      </c>
      <c r="AX771" s="28"/>
      <c r="AY771" s="28"/>
      <c r="AZ771" s="28"/>
      <c r="BA771" s="28"/>
      <c r="BB771" s="28"/>
      <c r="BC771" s="28"/>
      <c r="BD771" s="28"/>
      <c r="BE771" s="28"/>
      <c r="BF771" s="28"/>
      <c r="BG771" s="28"/>
      <c r="BH771" s="28"/>
      <c r="BI771" s="28"/>
      <c r="BJ771" s="28"/>
      <c r="BK771" s="28"/>
      <c r="BL771" s="28"/>
      <c r="BM771" s="28"/>
      <c r="BN771" s="28"/>
      <c r="BO771" s="28"/>
      <c r="BP771" s="28"/>
      <c r="BQ771" s="28"/>
      <c r="BR771" s="28"/>
      <c r="BS771" s="28"/>
      <c r="BT771" s="28"/>
      <c r="BU771" s="28"/>
      <c r="BV771" s="28"/>
      <c r="BW771" s="28"/>
      <c r="BX771" s="28"/>
      <c r="FL771" s="33" t="s">
        <v>2465</v>
      </c>
      <c r="FM771" s="33" t="s">
        <v>255</v>
      </c>
    </row>
    <row r="772" spans="1:194" ht="23.25" customHeight="1" x14ac:dyDescent="0.15">
      <c r="A772" s="26">
        <v>44662.000337256948</v>
      </c>
      <c r="B772" s="27" t="s">
        <v>6</v>
      </c>
      <c r="C772" s="27" t="s">
        <v>22</v>
      </c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  <c r="BD772" s="28"/>
      <c r="BE772" s="28"/>
      <c r="BF772" s="28"/>
      <c r="BG772" s="28"/>
      <c r="BH772" s="28"/>
      <c r="BI772" s="28"/>
      <c r="BJ772" s="28"/>
      <c r="BK772" s="28"/>
      <c r="BL772" s="28"/>
      <c r="BM772" s="28"/>
      <c r="BN772" s="28"/>
      <c r="BO772" s="28"/>
      <c r="BP772" s="28"/>
      <c r="BQ772" s="28"/>
      <c r="BR772" s="28"/>
      <c r="BS772" s="28"/>
      <c r="BT772" s="28"/>
      <c r="BU772" s="28"/>
      <c r="BV772" s="28"/>
      <c r="BW772" s="28"/>
      <c r="BX772" s="28"/>
      <c r="FL772" s="33" t="s">
        <v>2465</v>
      </c>
      <c r="FM772" s="33" t="s">
        <v>255</v>
      </c>
      <c r="GF772" s="33" t="s">
        <v>2460</v>
      </c>
      <c r="GG772" s="33" t="s">
        <v>2461</v>
      </c>
      <c r="GH772" s="33" t="s">
        <v>258</v>
      </c>
      <c r="GI772" s="34">
        <v>44578</v>
      </c>
      <c r="GJ772" s="35" t="s">
        <v>2466</v>
      </c>
      <c r="GK772" s="33" t="s">
        <v>1703</v>
      </c>
      <c r="GL772" s="33" t="s">
        <v>2467</v>
      </c>
    </row>
    <row r="773" spans="1:194" ht="23.25" customHeight="1" x14ac:dyDescent="0.15">
      <c r="A773" s="26">
        <v>44662.375923761574</v>
      </c>
      <c r="B773" s="27" t="s">
        <v>8</v>
      </c>
      <c r="C773" s="27" t="s">
        <v>11</v>
      </c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7" t="s">
        <v>2468</v>
      </c>
      <c r="AY773" s="27" t="s">
        <v>2469</v>
      </c>
      <c r="AZ773" s="27" t="s">
        <v>2470</v>
      </c>
      <c r="BA773" s="27" t="s">
        <v>375</v>
      </c>
      <c r="BB773" s="27" t="s">
        <v>300</v>
      </c>
      <c r="BC773" s="29">
        <v>44481</v>
      </c>
      <c r="BD773" s="29">
        <v>44573</v>
      </c>
      <c r="BE773" s="29">
        <v>44573</v>
      </c>
      <c r="BF773" s="36">
        <v>0.85</v>
      </c>
      <c r="BG773" s="27" t="s">
        <v>2471</v>
      </c>
      <c r="BH773" s="30" t="s">
        <v>2472</v>
      </c>
      <c r="BI773" s="28"/>
      <c r="BJ773" s="28"/>
      <c r="BK773" s="28"/>
      <c r="BL773" s="28"/>
      <c r="BM773" s="28"/>
      <c r="BN773" s="28"/>
      <c r="BO773" s="28"/>
      <c r="BP773" s="28"/>
      <c r="BQ773" s="28"/>
      <c r="BR773" s="28"/>
      <c r="BS773" s="28"/>
      <c r="BT773" s="28"/>
      <c r="BU773" s="28"/>
      <c r="BV773" s="28"/>
      <c r="BW773" s="28"/>
      <c r="BX773" s="28"/>
      <c r="FL773" s="33" t="s">
        <v>2473</v>
      </c>
      <c r="FM773" s="33" t="s">
        <v>552</v>
      </c>
    </row>
    <row r="774" spans="1:194" ht="23.25" customHeight="1" x14ac:dyDescent="0.15">
      <c r="A774" s="26">
        <v>44662.411460590272</v>
      </c>
      <c r="B774" s="27" t="s">
        <v>6</v>
      </c>
      <c r="C774" s="27" t="s">
        <v>11</v>
      </c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  <c r="AX774" s="27" t="s">
        <v>2474</v>
      </c>
      <c r="AY774" s="27" t="s">
        <v>2475</v>
      </c>
      <c r="AZ774" s="27" t="s">
        <v>498</v>
      </c>
      <c r="BA774" s="27" t="s">
        <v>2248</v>
      </c>
      <c r="BB774" s="27" t="s">
        <v>1784</v>
      </c>
      <c r="BC774" s="29">
        <v>44479</v>
      </c>
      <c r="BD774" s="29">
        <v>44540</v>
      </c>
      <c r="BE774" s="29">
        <v>44541</v>
      </c>
      <c r="BF774" s="27">
        <v>100</v>
      </c>
      <c r="BG774" s="27" t="s">
        <v>2476</v>
      </c>
      <c r="BH774" s="30" t="s">
        <v>2477</v>
      </c>
      <c r="BI774" s="28"/>
      <c r="BJ774" s="28"/>
      <c r="BK774" s="28"/>
      <c r="BL774" s="28"/>
      <c r="BM774" s="28"/>
      <c r="BN774" s="28"/>
      <c r="BO774" s="28"/>
      <c r="BP774" s="28"/>
      <c r="BQ774" s="28"/>
      <c r="BR774" s="28"/>
      <c r="BS774" s="28"/>
      <c r="BT774" s="28"/>
      <c r="BU774" s="28"/>
      <c r="BV774" s="28"/>
      <c r="BW774" s="28"/>
      <c r="BX774" s="28"/>
      <c r="FL774" s="33" t="s">
        <v>2478</v>
      </c>
      <c r="FM774" s="33" t="s">
        <v>255</v>
      </c>
    </row>
    <row r="775" spans="1:194" ht="23.25" customHeight="1" x14ac:dyDescent="0.15">
      <c r="A775" s="26">
        <v>44662.412503229163</v>
      </c>
      <c r="B775" s="27" t="s">
        <v>6</v>
      </c>
      <c r="C775" s="27" t="s">
        <v>11</v>
      </c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  <c r="AX775" s="27" t="s">
        <v>2479</v>
      </c>
      <c r="AY775" s="27" t="s">
        <v>2480</v>
      </c>
      <c r="AZ775" s="27" t="s">
        <v>2481</v>
      </c>
      <c r="BA775" s="27" t="s">
        <v>335</v>
      </c>
      <c r="BB775" s="27" t="s">
        <v>2482</v>
      </c>
      <c r="BC775" s="29">
        <v>43466</v>
      </c>
      <c r="BD775" s="29">
        <v>43657</v>
      </c>
      <c r="BE775" s="29">
        <v>43675</v>
      </c>
      <c r="BF775" s="27" t="s">
        <v>2483</v>
      </c>
      <c r="BG775" s="27" t="s">
        <v>556</v>
      </c>
      <c r="BH775" s="30" t="s">
        <v>2484</v>
      </c>
      <c r="BI775" s="28"/>
      <c r="BJ775" s="28"/>
      <c r="BK775" s="28"/>
      <c r="BL775" s="28"/>
      <c r="BM775" s="28"/>
      <c r="BN775" s="28"/>
      <c r="BO775" s="28"/>
      <c r="BP775" s="28"/>
      <c r="BQ775" s="28"/>
      <c r="BR775" s="28"/>
      <c r="BS775" s="28"/>
      <c r="BT775" s="28"/>
      <c r="BU775" s="28"/>
      <c r="BV775" s="28"/>
      <c r="BW775" s="28"/>
      <c r="BX775" s="28"/>
      <c r="FL775" s="33" t="s">
        <v>2485</v>
      </c>
      <c r="FM775" s="33" t="s">
        <v>255</v>
      </c>
    </row>
    <row r="776" spans="1:194" ht="23.25" customHeight="1" x14ac:dyDescent="0.15">
      <c r="A776" s="26">
        <v>44662.414196469908</v>
      </c>
      <c r="B776" s="27" t="s">
        <v>6</v>
      </c>
      <c r="C776" s="27" t="s">
        <v>11</v>
      </c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7" t="s">
        <v>2479</v>
      </c>
      <c r="AY776" s="27" t="s">
        <v>2480</v>
      </c>
      <c r="AZ776" s="27" t="s">
        <v>2486</v>
      </c>
      <c r="BA776" s="27" t="s">
        <v>335</v>
      </c>
      <c r="BB776" s="27" t="s">
        <v>2482</v>
      </c>
      <c r="BC776" s="29">
        <v>43525</v>
      </c>
      <c r="BD776" s="29">
        <v>43646</v>
      </c>
      <c r="BE776" s="29">
        <v>43675</v>
      </c>
      <c r="BF776" s="27" t="s">
        <v>2483</v>
      </c>
      <c r="BG776" s="27" t="s">
        <v>556</v>
      </c>
      <c r="BH776" s="30" t="s">
        <v>2487</v>
      </c>
      <c r="BI776" s="28"/>
      <c r="BJ776" s="28"/>
      <c r="BK776" s="28"/>
      <c r="BL776" s="28"/>
      <c r="BM776" s="28"/>
      <c r="BN776" s="28"/>
      <c r="BO776" s="28"/>
      <c r="BP776" s="28"/>
      <c r="BQ776" s="28"/>
      <c r="BR776" s="28"/>
      <c r="BS776" s="28"/>
      <c r="BT776" s="28"/>
      <c r="BU776" s="28"/>
      <c r="BV776" s="28"/>
      <c r="BW776" s="28"/>
      <c r="BX776" s="28"/>
      <c r="FL776" s="33" t="s">
        <v>2485</v>
      </c>
      <c r="FM776" s="33" t="s">
        <v>255</v>
      </c>
    </row>
    <row r="777" spans="1:194" ht="23.25" customHeight="1" x14ac:dyDescent="0.15">
      <c r="A777" s="26">
        <v>44662.414938576389</v>
      </c>
      <c r="B777" s="27" t="s">
        <v>6</v>
      </c>
      <c r="C777" s="27" t="s">
        <v>11</v>
      </c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7" t="s">
        <v>2474</v>
      </c>
      <c r="AY777" s="27" t="s">
        <v>2475</v>
      </c>
      <c r="AZ777" s="27" t="s">
        <v>2488</v>
      </c>
      <c r="BA777" s="27" t="s">
        <v>335</v>
      </c>
      <c r="BB777" s="27" t="s">
        <v>1073</v>
      </c>
      <c r="BC777" s="29">
        <v>44469</v>
      </c>
      <c r="BD777" s="29">
        <v>44469</v>
      </c>
      <c r="BE777" s="29">
        <v>44469</v>
      </c>
      <c r="BF777" s="27">
        <v>100</v>
      </c>
      <c r="BG777" s="27" t="s">
        <v>2476</v>
      </c>
      <c r="BH777" s="30" t="s">
        <v>2489</v>
      </c>
      <c r="BI777" s="28"/>
      <c r="BJ777" s="28"/>
      <c r="BK777" s="28"/>
      <c r="BL777" s="28"/>
      <c r="BM777" s="28"/>
      <c r="BN777" s="28"/>
      <c r="BO777" s="28"/>
      <c r="BP777" s="28"/>
      <c r="BQ777" s="28"/>
      <c r="BR777" s="28"/>
      <c r="BS777" s="28"/>
      <c r="BT777" s="28"/>
      <c r="BU777" s="28"/>
      <c r="BV777" s="28"/>
      <c r="BW777" s="28"/>
      <c r="BX777" s="28"/>
      <c r="FL777" s="33" t="s">
        <v>2478</v>
      </c>
      <c r="FM777" s="33" t="s">
        <v>255</v>
      </c>
    </row>
    <row r="778" spans="1:194" ht="23.25" customHeight="1" x14ac:dyDescent="0.15">
      <c r="A778" s="26">
        <v>44662.415926134257</v>
      </c>
      <c r="B778" s="27" t="s">
        <v>6</v>
      </c>
      <c r="C778" s="27" t="s">
        <v>11</v>
      </c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  <c r="AX778" s="27" t="s">
        <v>2479</v>
      </c>
      <c r="AY778" s="27" t="s">
        <v>2480</v>
      </c>
      <c r="AZ778" s="27" t="s">
        <v>2490</v>
      </c>
      <c r="BA778" s="27" t="s">
        <v>2491</v>
      </c>
      <c r="BB778" s="27" t="s">
        <v>2482</v>
      </c>
      <c r="BC778" s="29">
        <v>44256</v>
      </c>
      <c r="BD778" s="29">
        <v>44377</v>
      </c>
      <c r="BE778" s="29">
        <v>44402</v>
      </c>
      <c r="BF778" s="27" t="s">
        <v>2483</v>
      </c>
      <c r="BG778" s="27" t="s">
        <v>556</v>
      </c>
      <c r="BH778" s="30" t="s">
        <v>2492</v>
      </c>
      <c r="BI778" s="28"/>
      <c r="BJ778" s="28"/>
      <c r="BK778" s="28"/>
      <c r="BL778" s="28"/>
      <c r="BM778" s="28"/>
      <c r="BN778" s="28"/>
      <c r="BO778" s="28"/>
      <c r="BP778" s="28"/>
      <c r="BQ778" s="28"/>
      <c r="BR778" s="28"/>
      <c r="BS778" s="28"/>
      <c r="BT778" s="28"/>
      <c r="BU778" s="28"/>
      <c r="BV778" s="28"/>
      <c r="BW778" s="28"/>
      <c r="BX778" s="28"/>
      <c r="FL778" s="33" t="s">
        <v>2485</v>
      </c>
      <c r="FM778" s="33" t="s">
        <v>255</v>
      </c>
    </row>
    <row r="779" spans="1:194" ht="23.25" customHeight="1" x14ac:dyDescent="0.15">
      <c r="A779" s="26">
        <v>44662.417737326388</v>
      </c>
      <c r="B779" s="27" t="s">
        <v>6</v>
      </c>
      <c r="C779" s="27" t="s">
        <v>11</v>
      </c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7" t="s">
        <v>2479</v>
      </c>
      <c r="AY779" s="27" t="s">
        <v>2480</v>
      </c>
      <c r="AZ779" s="27" t="s">
        <v>2493</v>
      </c>
      <c r="BA779" s="27" t="s">
        <v>2494</v>
      </c>
      <c r="BB779" s="27" t="s">
        <v>2495</v>
      </c>
      <c r="BC779" s="29">
        <v>44593</v>
      </c>
      <c r="BD779" s="29">
        <v>44622</v>
      </c>
      <c r="BE779" s="29">
        <v>44652</v>
      </c>
      <c r="BF779" s="27" t="s">
        <v>2483</v>
      </c>
      <c r="BG779" s="27" t="s">
        <v>520</v>
      </c>
      <c r="BH779" s="30" t="s">
        <v>2496</v>
      </c>
      <c r="BI779" s="28"/>
      <c r="BJ779" s="28"/>
      <c r="BK779" s="28"/>
      <c r="BL779" s="28"/>
      <c r="BM779" s="28"/>
      <c r="BN779" s="28"/>
      <c r="BO779" s="28"/>
      <c r="BP779" s="28"/>
      <c r="BQ779" s="28"/>
      <c r="BR779" s="28"/>
      <c r="BS779" s="28"/>
      <c r="BT779" s="28"/>
      <c r="BU779" s="28"/>
      <c r="BV779" s="28"/>
      <c r="BW779" s="28"/>
      <c r="BX779" s="28"/>
      <c r="FL779" s="33" t="s">
        <v>2485</v>
      </c>
      <c r="FM779" s="33" t="s">
        <v>255</v>
      </c>
    </row>
    <row r="780" spans="1:194" ht="23.25" customHeight="1" x14ac:dyDescent="0.15">
      <c r="A780" s="26">
        <v>44662.418831828705</v>
      </c>
      <c r="B780" s="27" t="s">
        <v>6</v>
      </c>
      <c r="C780" s="27" t="s">
        <v>11</v>
      </c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  <c r="AX780" s="27" t="s">
        <v>2479</v>
      </c>
      <c r="AY780" s="27" t="s">
        <v>2480</v>
      </c>
      <c r="AZ780" s="27" t="s">
        <v>1721</v>
      </c>
      <c r="BA780" s="27" t="s">
        <v>2494</v>
      </c>
      <c r="BB780" s="27" t="s">
        <v>2495</v>
      </c>
      <c r="BC780" s="29">
        <v>44562</v>
      </c>
      <c r="BD780" s="29">
        <v>44591</v>
      </c>
      <c r="BE780" s="29">
        <v>44653</v>
      </c>
      <c r="BF780" s="27" t="s">
        <v>2483</v>
      </c>
      <c r="BG780" s="27" t="s">
        <v>520</v>
      </c>
      <c r="BH780" s="30" t="s">
        <v>2497</v>
      </c>
      <c r="BI780" s="28"/>
      <c r="BJ780" s="28"/>
      <c r="BK780" s="28"/>
      <c r="BL780" s="28"/>
      <c r="BM780" s="28"/>
      <c r="BN780" s="28"/>
      <c r="BO780" s="28"/>
      <c r="BP780" s="28"/>
      <c r="BQ780" s="28"/>
      <c r="BR780" s="28"/>
      <c r="BS780" s="28"/>
      <c r="BT780" s="28"/>
      <c r="BU780" s="28"/>
      <c r="BV780" s="28"/>
      <c r="BW780" s="28"/>
      <c r="BX780" s="28"/>
      <c r="FL780" s="33" t="s">
        <v>2485</v>
      </c>
      <c r="FM780" s="33" t="s">
        <v>255</v>
      </c>
    </row>
    <row r="781" spans="1:194" ht="23.25" customHeight="1" x14ac:dyDescent="0.15">
      <c r="A781" s="26">
        <v>44662.420310740737</v>
      </c>
      <c r="B781" s="27" t="s">
        <v>6</v>
      </c>
      <c r="C781" s="27" t="s">
        <v>11</v>
      </c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  <c r="AX781" s="27" t="s">
        <v>2479</v>
      </c>
      <c r="AY781" s="27" t="s">
        <v>2480</v>
      </c>
      <c r="AZ781" s="27" t="s">
        <v>2498</v>
      </c>
      <c r="BA781" s="27" t="s">
        <v>2494</v>
      </c>
      <c r="BB781" s="27" t="s">
        <v>2499</v>
      </c>
      <c r="BC781" s="29">
        <v>43922</v>
      </c>
      <c r="BD781" s="29">
        <v>43936</v>
      </c>
      <c r="BE781" s="29">
        <v>44660</v>
      </c>
      <c r="BF781" s="27" t="s">
        <v>2483</v>
      </c>
      <c r="BG781" s="27" t="s">
        <v>520</v>
      </c>
      <c r="BH781" s="30" t="s">
        <v>2500</v>
      </c>
      <c r="BI781" s="28"/>
      <c r="BJ781" s="28"/>
      <c r="BK781" s="28"/>
      <c r="BL781" s="28"/>
      <c r="BM781" s="28"/>
      <c r="BN781" s="28"/>
      <c r="BO781" s="28"/>
      <c r="BP781" s="28"/>
      <c r="BQ781" s="28"/>
      <c r="BR781" s="28"/>
      <c r="BS781" s="28"/>
      <c r="BT781" s="28"/>
      <c r="BU781" s="28"/>
      <c r="BV781" s="28"/>
      <c r="BW781" s="28"/>
      <c r="BX781" s="28"/>
      <c r="FL781" s="33" t="s">
        <v>2485</v>
      </c>
      <c r="FM781" s="33" t="s">
        <v>255</v>
      </c>
    </row>
    <row r="782" spans="1:194" ht="23.25" customHeight="1" x14ac:dyDescent="0.15">
      <c r="A782" s="26">
        <v>44662.422050011577</v>
      </c>
      <c r="B782" s="27" t="s">
        <v>6</v>
      </c>
      <c r="C782" s="27" t="s">
        <v>11</v>
      </c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  <c r="AX782" s="27" t="s">
        <v>2479</v>
      </c>
      <c r="AY782" s="27" t="s">
        <v>2480</v>
      </c>
      <c r="AZ782" s="27" t="s">
        <v>2501</v>
      </c>
      <c r="BA782" s="27" t="s">
        <v>2502</v>
      </c>
      <c r="BB782" s="27" t="s">
        <v>2503</v>
      </c>
      <c r="BC782" s="29">
        <v>44593</v>
      </c>
      <c r="BD782" s="29">
        <v>44653</v>
      </c>
      <c r="BE782" s="29">
        <v>44654</v>
      </c>
      <c r="BF782" s="27" t="s">
        <v>2483</v>
      </c>
      <c r="BG782" s="27" t="s">
        <v>520</v>
      </c>
      <c r="BH782" s="30" t="s">
        <v>2504</v>
      </c>
      <c r="BI782" s="28"/>
      <c r="BJ782" s="28"/>
      <c r="BK782" s="28"/>
      <c r="BL782" s="28"/>
      <c r="BM782" s="28"/>
      <c r="BN782" s="28"/>
      <c r="BO782" s="28"/>
      <c r="BP782" s="28"/>
      <c r="BQ782" s="28"/>
      <c r="BR782" s="28"/>
      <c r="BS782" s="28"/>
      <c r="BT782" s="28"/>
      <c r="BU782" s="28"/>
      <c r="BV782" s="28"/>
      <c r="BW782" s="28"/>
      <c r="BX782" s="28"/>
      <c r="FL782" s="33" t="s">
        <v>2485</v>
      </c>
      <c r="FM782" s="33" t="s">
        <v>255</v>
      </c>
    </row>
    <row r="783" spans="1:194" ht="23.25" customHeight="1" x14ac:dyDescent="0.15">
      <c r="A783" s="26">
        <v>44662.422067499996</v>
      </c>
      <c r="B783" s="27" t="s">
        <v>6</v>
      </c>
      <c r="C783" s="27" t="s">
        <v>10</v>
      </c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7" t="s">
        <v>2474</v>
      </c>
      <c r="AO783" s="27" t="s">
        <v>2475</v>
      </c>
      <c r="AP783" s="27" t="s">
        <v>2505</v>
      </c>
      <c r="AQ783" s="27" t="s">
        <v>501</v>
      </c>
      <c r="AR783" s="29">
        <v>44638</v>
      </c>
      <c r="AS783" s="29">
        <v>44730</v>
      </c>
      <c r="AT783" s="27" t="s">
        <v>252</v>
      </c>
      <c r="AU783" s="27" t="s">
        <v>252</v>
      </c>
      <c r="AV783" s="27">
        <v>0</v>
      </c>
      <c r="AW783" s="30" t="s">
        <v>2506</v>
      </c>
      <c r="AX783" s="28"/>
      <c r="AY783" s="28"/>
      <c r="AZ783" s="28"/>
      <c r="BA783" s="28"/>
      <c r="BB783" s="28"/>
      <c r="BC783" s="28"/>
      <c r="BD783" s="28"/>
      <c r="BE783" s="28"/>
      <c r="BF783" s="28"/>
      <c r="BG783" s="28"/>
      <c r="BH783" s="28"/>
      <c r="BI783" s="28"/>
      <c r="BJ783" s="28"/>
      <c r="BK783" s="28"/>
      <c r="BL783" s="28"/>
      <c r="BM783" s="28"/>
      <c r="BN783" s="28"/>
      <c r="BO783" s="28"/>
      <c r="BP783" s="28"/>
      <c r="BQ783" s="28"/>
      <c r="BR783" s="28"/>
      <c r="BS783" s="28"/>
      <c r="BT783" s="28"/>
      <c r="BU783" s="28"/>
      <c r="BV783" s="28"/>
      <c r="BW783" s="28"/>
      <c r="BX783" s="28"/>
      <c r="FL783" s="33" t="s">
        <v>2478</v>
      </c>
      <c r="FM783" s="33" t="s">
        <v>255</v>
      </c>
    </row>
    <row r="784" spans="1:194" ht="23.25" customHeight="1" x14ac:dyDescent="0.15">
      <c r="A784" s="26">
        <v>44662.425133217592</v>
      </c>
      <c r="B784" s="27" t="s">
        <v>6</v>
      </c>
      <c r="C784" s="27" t="s">
        <v>10</v>
      </c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7" t="s">
        <v>2507</v>
      </c>
      <c r="AO784" s="27" t="s">
        <v>2508</v>
      </c>
      <c r="AP784" s="27" t="s">
        <v>2509</v>
      </c>
      <c r="AQ784" s="27" t="s">
        <v>376</v>
      </c>
      <c r="AR784" s="29">
        <v>44621</v>
      </c>
      <c r="AS784" s="29">
        <v>44742</v>
      </c>
      <c r="AT784" s="27" t="s">
        <v>251</v>
      </c>
      <c r="AU784" s="27" t="s">
        <v>252</v>
      </c>
      <c r="AV784" s="27">
        <v>0</v>
      </c>
      <c r="AW784" s="30" t="s">
        <v>2510</v>
      </c>
      <c r="AX784" s="28"/>
      <c r="AY784" s="28"/>
      <c r="AZ784" s="28"/>
      <c r="BA784" s="28"/>
      <c r="BB784" s="28"/>
      <c r="BC784" s="28"/>
      <c r="BD784" s="28"/>
      <c r="BE784" s="28"/>
      <c r="BF784" s="28"/>
      <c r="BG784" s="28"/>
      <c r="BH784" s="28"/>
      <c r="BI784" s="28"/>
      <c r="BJ784" s="28"/>
      <c r="BK784" s="28"/>
      <c r="BL784" s="28"/>
      <c r="BM784" s="28"/>
      <c r="BN784" s="28"/>
      <c r="BO784" s="28"/>
      <c r="BP784" s="28"/>
      <c r="BQ784" s="28"/>
      <c r="BR784" s="28"/>
      <c r="BS784" s="28"/>
      <c r="BT784" s="28"/>
      <c r="BU784" s="28"/>
      <c r="BV784" s="28"/>
      <c r="BW784" s="28"/>
      <c r="BX784" s="28"/>
      <c r="FL784" s="33" t="s">
        <v>2511</v>
      </c>
      <c r="FM784" s="33" t="s">
        <v>255</v>
      </c>
    </row>
    <row r="785" spans="1:194" ht="23.25" customHeight="1" x14ac:dyDescent="0.15">
      <c r="A785" s="26">
        <v>44662.425719687497</v>
      </c>
      <c r="B785" s="27" t="s">
        <v>6</v>
      </c>
      <c r="C785" s="27" t="s">
        <v>12</v>
      </c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  <c r="BD785" s="28"/>
      <c r="BE785" s="28"/>
      <c r="BF785" s="28"/>
      <c r="BG785" s="28"/>
      <c r="BH785" s="28"/>
      <c r="BI785" s="27" t="s">
        <v>2479</v>
      </c>
      <c r="BJ785" s="27" t="s">
        <v>2480</v>
      </c>
      <c r="BK785" s="27" t="s">
        <v>166</v>
      </c>
      <c r="BL785" s="27" t="s">
        <v>1285</v>
      </c>
      <c r="BM785" s="27" t="s">
        <v>2512</v>
      </c>
      <c r="BN785" s="27">
        <v>1</v>
      </c>
      <c r="BO785" s="29">
        <v>44008</v>
      </c>
      <c r="BP785" s="29">
        <v>44008</v>
      </c>
      <c r="BQ785" s="27" t="s">
        <v>2513</v>
      </c>
      <c r="BR785" s="27" t="s">
        <v>2514</v>
      </c>
      <c r="BS785" s="27" t="s">
        <v>150</v>
      </c>
      <c r="BT785" s="27" t="s">
        <v>151</v>
      </c>
      <c r="BU785" s="28"/>
      <c r="BV785" s="30" t="s">
        <v>2515</v>
      </c>
      <c r="BW785" s="28"/>
      <c r="BX785" s="28"/>
      <c r="FL785" s="33" t="s">
        <v>2485</v>
      </c>
      <c r="FM785" s="33" t="s">
        <v>255</v>
      </c>
    </row>
    <row r="786" spans="1:194" ht="23.25" customHeight="1" x14ac:dyDescent="0.15">
      <c r="A786" s="26">
        <v>44662.427366099539</v>
      </c>
      <c r="B786" s="27" t="s">
        <v>6</v>
      </c>
      <c r="C786" s="27" t="s">
        <v>17</v>
      </c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  <c r="BD786" s="28"/>
      <c r="BE786" s="28"/>
      <c r="BF786" s="28"/>
      <c r="BG786" s="28"/>
      <c r="BH786" s="28"/>
      <c r="BI786" s="28"/>
      <c r="BJ786" s="28"/>
      <c r="BK786" s="28"/>
      <c r="BL786" s="28"/>
      <c r="BM786" s="28"/>
      <c r="BN786" s="28"/>
      <c r="BO786" s="28"/>
      <c r="BP786" s="28"/>
      <c r="BQ786" s="28"/>
      <c r="BR786" s="28"/>
      <c r="BS786" s="28"/>
      <c r="BT786" s="28"/>
      <c r="BU786" s="28"/>
      <c r="BV786" s="28"/>
      <c r="BW786" s="28"/>
      <c r="BX786" s="28"/>
      <c r="DX786" s="33" t="s">
        <v>2474</v>
      </c>
      <c r="DY786" s="33" t="s">
        <v>2475</v>
      </c>
      <c r="DZ786" s="33" t="s">
        <v>311</v>
      </c>
      <c r="EA786" s="33" t="s">
        <v>2516</v>
      </c>
      <c r="EB786" s="34">
        <v>44316</v>
      </c>
      <c r="EC786" s="33" t="s">
        <v>2517</v>
      </c>
      <c r="ED786" s="35" t="s">
        <v>2518</v>
      </c>
      <c r="FL786" s="33" t="s">
        <v>2478</v>
      </c>
      <c r="FM786" s="33" t="s">
        <v>255</v>
      </c>
    </row>
    <row r="787" spans="1:194" ht="23.25" customHeight="1" x14ac:dyDescent="0.15">
      <c r="A787" s="26">
        <v>44662.428904687498</v>
      </c>
      <c r="B787" s="27" t="s">
        <v>6</v>
      </c>
      <c r="C787" s="27" t="s">
        <v>12</v>
      </c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  <c r="BD787" s="28"/>
      <c r="BE787" s="28"/>
      <c r="BF787" s="28"/>
      <c r="BG787" s="28"/>
      <c r="BH787" s="28"/>
      <c r="BI787" s="27" t="s">
        <v>2479</v>
      </c>
      <c r="BJ787" s="27" t="s">
        <v>2480</v>
      </c>
      <c r="BK787" s="27" t="s">
        <v>311</v>
      </c>
      <c r="BL787" s="27" t="s">
        <v>1285</v>
      </c>
      <c r="BM787" s="27" t="s">
        <v>2519</v>
      </c>
      <c r="BN787" s="27">
        <v>60</v>
      </c>
      <c r="BO787" s="29">
        <v>44511</v>
      </c>
      <c r="BP787" s="29">
        <v>44572</v>
      </c>
      <c r="BQ787" s="30" t="s">
        <v>2520</v>
      </c>
      <c r="BR787" s="27" t="s">
        <v>2521</v>
      </c>
      <c r="BS787" s="27" t="s">
        <v>171</v>
      </c>
      <c r="BT787" s="27" t="s">
        <v>629</v>
      </c>
      <c r="BU787" s="27">
        <v>1000</v>
      </c>
      <c r="BV787" s="30" t="s">
        <v>2522</v>
      </c>
      <c r="BW787" s="28"/>
      <c r="BX787" s="28"/>
      <c r="FL787" s="33" t="s">
        <v>2485</v>
      </c>
      <c r="FM787" s="33" t="s">
        <v>255</v>
      </c>
    </row>
    <row r="788" spans="1:194" ht="23.25" customHeight="1" x14ac:dyDescent="0.15">
      <c r="A788" s="26">
        <v>44662.429193773147</v>
      </c>
      <c r="B788" s="27" t="s">
        <v>6</v>
      </c>
      <c r="C788" s="27" t="s">
        <v>11</v>
      </c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7" t="s">
        <v>1554</v>
      </c>
      <c r="AY788" s="27" t="s">
        <v>1555</v>
      </c>
      <c r="AZ788" s="27" t="s">
        <v>2523</v>
      </c>
      <c r="BA788" s="27" t="s">
        <v>343</v>
      </c>
      <c r="BB788" s="27" t="s">
        <v>1332</v>
      </c>
      <c r="BC788" s="29">
        <v>43983</v>
      </c>
      <c r="BD788" s="29">
        <v>44056</v>
      </c>
      <c r="BE788" s="29">
        <v>44053</v>
      </c>
      <c r="BF788" s="27">
        <v>100</v>
      </c>
      <c r="BG788" s="27" t="s">
        <v>2524</v>
      </c>
      <c r="BH788" s="30" t="s">
        <v>2525</v>
      </c>
      <c r="BI788" s="28"/>
      <c r="BJ788" s="28"/>
      <c r="BK788" s="28"/>
      <c r="BL788" s="28"/>
      <c r="BM788" s="28"/>
      <c r="BN788" s="28"/>
      <c r="BO788" s="28"/>
      <c r="BP788" s="28"/>
      <c r="BQ788" s="28"/>
      <c r="BR788" s="28"/>
      <c r="BS788" s="28"/>
      <c r="BT788" s="28"/>
      <c r="BU788" s="28"/>
      <c r="BV788" s="28"/>
      <c r="BW788" s="28"/>
      <c r="BX788" s="28"/>
      <c r="FL788" s="33" t="s">
        <v>1560</v>
      </c>
      <c r="FM788" s="33" t="s">
        <v>255</v>
      </c>
    </row>
    <row r="789" spans="1:194" ht="23.25" customHeight="1" x14ac:dyDescent="0.15">
      <c r="A789" s="26">
        <v>44662.430621712963</v>
      </c>
      <c r="B789" s="27" t="s">
        <v>6</v>
      </c>
      <c r="C789" s="27" t="s">
        <v>12</v>
      </c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  <c r="BD789" s="28"/>
      <c r="BE789" s="28"/>
      <c r="BF789" s="28"/>
      <c r="BG789" s="28"/>
      <c r="BH789" s="28"/>
      <c r="BI789" s="27" t="s">
        <v>2479</v>
      </c>
      <c r="BJ789" s="27" t="s">
        <v>2480</v>
      </c>
      <c r="BK789" s="27" t="s">
        <v>311</v>
      </c>
      <c r="BL789" s="27" t="s">
        <v>1285</v>
      </c>
      <c r="BM789" s="27" t="s">
        <v>2526</v>
      </c>
      <c r="BN789" s="27">
        <v>60</v>
      </c>
      <c r="BO789" s="29">
        <v>44511</v>
      </c>
      <c r="BP789" s="29">
        <v>44572</v>
      </c>
      <c r="BQ789" s="30" t="s">
        <v>2520</v>
      </c>
      <c r="BR789" s="27" t="s">
        <v>2521</v>
      </c>
      <c r="BS789" s="27" t="s">
        <v>171</v>
      </c>
      <c r="BT789" s="27" t="s">
        <v>629</v>
      </c>
      <c r="BU789" s="27">
        <v>1000</v>
      </c>
      <c r="BV789" s="30" t="s">
        <v>2527</v>
      </c>
      <c r="BW789" s="28"/>
      <c r="BX789" s="28"/>
      <c r="FL789" s="33" t="s">
        <v>2485</v>
      </c>
      <c r="FM789" s="33" t="s">
        <v>255</v>
      </c>
    </row>
    <row r="790" spans="1:194" ht="23.25" customHeight="1" x14ac:dyDescent="0.15">
      <c r="A790" s="26">
        <v>44662.430665601853</v>
      </c>
      <c r="B790" s="27" t="s">
        <v>6</v>
      </c>
      <c r="C790" s="27" t="s">
        <v>22</v>
      </c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  <c r="BD790" s="28"/>
      <c r="BE790" s="28"/>
      <c r="BF790" s="28"/>
      <c r="BG790" s="28"/>
      <c r="BH790" s="28"/>
      <c r="BI790" s="28"/>
      <c r="BJ790" s="28"/>
      <c r="BK790" s="28"/>
      <c r="BL790" s="28"/>
      <c r="BM790" s="28"/>
      <c r="BN790" s="28"/>
      <c r="BO790" s="28"/>
      <c r="BP790" s="28"/>
      <c r="BQ790" s="28"/>
      <c r="BR790" s="28"/>
      <c r="BS790" s="28"/>
      <c r="BT790" s="28"/>
      <c r="BU790" s="28"/>
      <c r="BV790" s="28"/>
      <c r="BW790" s="28"/>
      <c r="BX790" s="28"/>
      <c r="FL790" s="33" t="s">
        <v>1827</v>
      </c>
      <c r="FM790" s="33" t="s">
        <v>255</v>
      </c>
      <c r="GF790" s="33" t="s">
        <v>1823</v>
      </c>
      <c r="GG790" s="33" t="s">
        <v>1824</v>
      </c>
      <c r="GH790" s="33" t="s">
        <v>2528</v>
      </c>
      <c r="GI790" s="34">
        <v>44641</v>
      </c>
      <c r="GJ790" s="35" t="s">
        <v>2529</v>
      </c>
      <c r="GK790" s="33" t="s">
        <v>2530</v>
      </c>
      <c r="GL790" s="33">
        <v>3.5</v>
      </c>
    </row>
    <row r="791" spans="1:194" ht="23.25" customHeight="1" x14ac:dyDescent="0.15">
      <c r="A791" s="26">
        <v>44662.43120121528</v>
      </c>
      <c r="B791" s="27" t="s">
        <v>6</v>
      </c>
      <c r="C791" s="27" t="s">
        <v>11</v>
      </c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7" t="s">
        <v>1554</v>
      </c>
      <c r="AY791" s="27" t="s">
        <v>1555</v>
      </c>
      <c r="AZ791" s="27" t="s">
        <v>2531</v>
      </c>
      <c r="BA791" s="27" t="s">
        <v>343</v>
      </c>
      <c r="BB791" s="27" t="s">
        <v>1332</v>
      </c>
      <c r="BC791" s="29">
        <v>43983</v>
      </c>
      <c r="BD791" s="29">
        <v>44051</v>
      </c>
      <c r="BE791" s="29">
        <v>44049</v>
      </c>
      <c r="BF791" s="27">
        <v>96</v>
      </c>
      <c r="BG791" s="27" t="s">
        <v>2524</v>
      </c>
      <c r="BH791" s="30" t="s">
        <v>2532</v>
      </c>
      <c r="BI791" s="28"/>
      <c r="BJ791" s="28"/>
      <c r="BK791" s="28"/>
      <c r="BL791" s="28"/>
      <c r="BM791" s="28"/>
      <c r="BN791" s="28"/>
      <c r="BO791" s="28"/>
      <c r="BP791" s="28"/>
      <c r="BQ791" s="28"/>
      <c r="BR791" s="28"/>
      <c r="BS791" s="28"/>
      <c r="BT791" s="28"/>
      <c r="BU791" s="28"/>
      <c r="BV791" s="28"/>
      <c r="BW791" s="28"/>
      <c r="BX791" s="28"/>
      <c r="FL791" s="33" t="s">
        <v>1560</v>
      </c>
      <c r="FM791" s="33" t="s">
        <v>255</v>
      </c>
    </row>
    <row r="792" spans="1:194" ht="23.25" customHeight="1" x14ac:dyDescent="0.15">
      <c r="A792" s="26">
        <v>44662.432340486106</v>
      </c>
      <c r="B792" s="27" t="s">
        <v>6</v>
      </c>
      <c r="C792" s="27" t="s">
        <v>22</v>
      </c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  <c r="BD792" s="28"/>
      <c r="BE792" s="28"/>
      <c r="BF792" s="28"/>
      <c r="BG792" s="28"/>
      <c r="BH792" s="28"/>
      <c r="BI792" s="28"/>
      <c r="BJ792" s="28"/>
      <c r="BK792" s="28"/>
      <c r="BL792" s="28"/>
      <c r="BM792" s="28"/>
      <c r="BN792" s="28"/>
      <c r="BO792" s="28"/>
      <c r="BP792" s="28"/>
      <c r="BQ792" s="28"/>
      <c r="BR792" s="28"/>
      <c r="BS792" s="28"/>
      <c r="BT792" s="28"/>
      <c r="BU792" s="28"/>
      <c r="BV792" s="28"/>
      <c r="BW792" s="28"/>
      <c r="BX792" s="28"/>
      <c r="FL792" s="33" t="s">
        <v>1827</v>
      </c>
      <c r="FM792" s="33" t="s">
        <v>255</v>
      </c>
      <c r="GF792" s="33" t="s">
        <v>1823</v>
      </c>
      <c r="GG792" s="33" t="s">
        <v>1824</v>
      </c>
      <c r="GH792" s="33" t="s">
        <v>2528</v>
      </c>
      <c r="GI792" s="34">
        <v>44642</v>
      </c>
      <c r="GJ792" s="35" t="s">
        <v>2533</v>
      </c>
      <c r="GK792" s="33" t="s">
        <v>2530</v>
      </c>
      <c r="GL792" s="33">
        <v>3.6</v>
      </c>
    </row>
    <row r="793" spans="1:194" ht="23.25" customHeight="1" x14ac:dyDescent="0.15">
      <c r="A793" s="26">
        <v>44662.434073634256</v>
      </c>
      <c r="B793" s="27" t="s">
        <v>6</v>
      </c>
      <c r="C793" s="27" t="s">
        <v>11</v>
      </c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7" t="s">
        <v>1554</v>
      </c>
      <c r="AY793" s="27" t="s">
        <v>1555</v>
      </c>
      <c r="AZ793" s="27" t="s">
        <v>2534</v>
      </c>
      <c r="BA793" s="27" t="s">
        <v>375</v>
      </c>
      <c r="BB793" s="27" t="s">
        <v>1065</v>
      </c>
      <c r="BC793" s="29">
        <v>43526</v>
      </c>
      <c r="BD793" s="29">
        <v>43618</v>
      </c>
      <c r="BE793" s="29">
        <v>43618</v>
      </c>
      <c r="BF793" s="27">
        <v>80</v>
      </c>
      <c r="BG793" s="27" t="s">
        <v>1267</v>
      </c>
      <c r="BH793" s="30" t="s">
        <v>2535</v>
      </c>
      <c r="BI793" s="28"/>
      <c r="BJ793" s="28"/>
      <c r="BK793" s="28"/>
      <c r="BL793" s="28"/>
      <c r="BM793" s="28"/>
      <c r="BN793" s="28"/>
      <c r="BO793" s="28"/>
      <c r="BP793" s="28"/>
      <c r="BQ793" s="28"/>
      <c r="BR793" s="28"/>
      <c r="BS793" s="28"/>
      <c r="BT793" s="28"/>
      <c r="BU793" s="28"/>
      <c r="BV793" s="28"/>
      <c r="BW793" s="28"/>
      <c r="BX793" s="28"/>
      <c r="FL793" s="33" t="s">
        <v>1560</v>
      </c>
      <c r="FM793" s="33" t="s">
        <v>255</v>
      </c>
    </row>
    <row r="794" spans="1:194" ht="23.25" customHeight="1" x14ac:dyDescent="0.15">
      <c r="A794" s="26">
        <v>44662.434424525462</v>
      </c>
      <c r="B794" s="27" t="s">
        <v>6</v>
      </c>
      <c r="C794" s="27" t="s">
        <v>17</v>
      </c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  <c r="BD794" s="28"/>
      <c r="BE794" s="28"/>
      <c r="BF794" s="28"/>
      <c r="BG794" s="28"/>
      <c r="BH794" s="28"/>
      <c r="BI794" s="28"/>
      <c r="BJ794" s="28"/>
      <c r="BK794" s="28"/>
      <c r="BL794" s="28"/>
      <c r="BM794" s="28"/>
      <c r="BN794" s="28"/>
      <c r="BO794" s="28"/>
      <c r="BP794" s="28"/>
      <c r="BQ794" s="28"/>
      <c r="BR794" s="28"/>
      <c r="BS794" s="28"/>
      <c r="BT794" s="28"/>
      <c r="BU794" s="28"/>
      <c r="BV794" s="28"/>
      <c r="BW794" s="28"/>
      <c r="BX794" s="28"/>
      <c r="DX794" s="33" t="s">
        <v>2536</v>
      </c>
      <c r="DY794" s="33" t="s">
        <v>2480</v>
      </c>
      <c r="DZ794" s="33" t="s">
        <v>166</v>
      </c>
      <c r="EA794" s="33" t="s">
        <v>2537</v>
      </c>
      <c r="EB794" s="34">
        <v>44530</v>
      </c>
      <c r="EC794" s="33" t="s">
        <v>2538</v>
      </c>
      <c r="ED794" s="35" t="s">
        <v>2539</v>
      </c>
      <c r="FL794" s="33" t="s">
        <v>2485</v>
      </c>
      <c r="FM794" s="33" t="s">
        <v>255</v>
      </c>
    </row>
    <row r="795" spans="1:194" ht="23.25" customHeight="1" x14ac:dyDescent="0.15">
      <c r="A795" s="26">
        <v>44662.437364641199</v>
      </c>
      <c r="B795" s="27" t="s">
        <v>6</v>
      </c>
      <c r="C795" s="27" t="s">
        <v>10</v>
      </c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7" t="s">
        <v>2540</v>
      </c>
      <c r="AO795" s="27" t="s">
        <v>2541</v>
      </c>
      <c r="AP795" s="27" t="s">
        <v>2542</v>
      </c>
      <c r="AQ795" s="27" t="s">
        <v>300</v>
      </c>
      <c r="AR795" s="29">
        <v>44470</v>
      </c>
      <c r="AS795" s="29">
        <v>44545</v>
      </c>
      <c r="AT795" s="27" t="s">
        <v>252</v>
      </c>
      <c r="AU795" s="27" t="s">
        <v>252</v>
      </c>
      <c r="AV795" s="27">
        <v>0</v>
      </c>
      <c r="AW795" s="30" t="s">
        <v>2543</v>
      </c>
      <c r="AX795" s="28"/>
      <c r="AY795" s="28"/>
      <c r="AZ795" s="28"/>
      <c r="BA795" s="28"/>
      <c r="BB795" s="28"/>
      <c r="BC795" s="28"/>
      <c r="BD795" s="28"/>
      <c r="BE795" s="28"/>
      <c r="BF795" s="28"/>
      <c r="BG795" s="28"/>
      <c r="BH795" s="28"/>
      <c r="BI795" s="28"/>
      <c r="BJ795" s="28"/>
      <c r="BK795" s="28"/>
      <c r="BL795" s="28"/>
      <c r="BM795" s="28"/>
      <c r="BN795" s="28"/>
      <c r="BO795" s="28"/>
      <c r="BP795" s="28"/>
      <c r="BQ795" s="28"/>
      <c r="BR795" s="28"/>
      <c r="BS795" s="28"/>
      <c r="BT795" s="28"/>
      <c r="BU795" s="28"/>
      <c r="BV795" s="28"/>
      <c r="BW795" s="28"/>
      <c r="BX795" s="28"/>
      <c r="FL795" s="33" t="s">
        <v>2544</v>
      </c>
      <c r="FM795" s="33" t="s">
        <v>255</v>
      </c>
    </row>
    <row r="796" spans="1:194" ht="23.25" customHeight="1" x14ac:dyDescent="0.15">
      <c r="A796" s="26">
        <v>44662.437470185185</v>
      </c>
      <c r="B796" s="27" t="s">
        <v>6</v>
      </c>
      <c r="C796" s="27" t="s">
        <v>11</v>
      </c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7" t="s">
        <v>1554</v>
      </c>
      <c r="AY796" s="27" t="s">
        <v>1555</v>
      </c>
      <c r="AZ796" s="27" t="s">
        <v>2545</v>
      </c>
      <c r="BA796" s="27" t="s">
        <v>1431</v>
      </c>
      <c r="BB796" s="27" t="s">
        <v>308</v>
      </c>
      <c r="BC796" s="29">
        <v>43614</v>
      </c>
      <c r="BD796" s="29">
        <v>43677</v>
      </c>
      <c r="BE796" s="29">
        <v>43646</v>
      </c>
      <c r="BF796" s="27">
        <v>80</v>
      </c>
      <c r="BG796" s="27" t="s">
        <v>1267</v>
      </c>
      <c r="BH796" s="30" t="s">
        <v>2546</v>
      </c>
      <c r="BI796" s="28"/>
      <c r="BJ796" s="28"/>
      <c r="BK796" s="28"/>
      <c r="BL796" s="28"/>
      <c r="BM796" s="28"/>
      <c r="BN796" s="28"/>
      <c r="BO796" s="28"/>
      <c r="BP796" s="28"/>
      <c r="BQ796" s="28"/>
      <c r="BR796" s="28"/>
      <c r="BS796" s="28"/>
      <c r="BT796" s="28"/>
      <c r="BU796" s="28"/>
      <c r="BV796" s="28"/>
      <c r="BW796" s="28"/>
      <c r="BX796" s="28"/>
      <c r="FL796" s="33" t="s">
        <v>1560</v>
      </c>
      <c r="FM796" s="33" t="s">
        <v>255</v>
      </c>
    </row>
    <row r="797" spans="1:194" ht="23.25" customHeight="1" x14ac:dyDescent="0.15">
      <c r="A797" s="26">
        <v>44662.438346331022</v>
      </c>
      <c r="B797" s="27" t="s">
        <v>6</v>
      </c>
      <c r="C797" s="27" t="s">
        <v>12</v>
      </c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  <c r="BE797" s="28"/>
      <c r="BF797" s="28"/>
      <c r="BG797" s="28"/>
      <c r="BH797" s="28"/>
      <c r="BI797" s="27" t="s">
        <v>2479</v>
      </c>
      <c r="BJ797" s="27" t="s">
        <v>2480</v>
      </c>
      <c r="BK797" s="27" t="s">
        <v>311</v>
      </c>
      <c r="BL797" s="27" t="s">
        <v>732</v>
      </c>
      <c r="BM797" s="27" t="s">
        <v>2547</v>
      </c>
      <c r="BN797" s="27">
        <v>1</v>
      </c>
      <c r="BO797" s="29">
        <v>44657</v>
      </c>
      <c r="BP797" s="29">
        <v>44657</v>
      </c>
      <c r="BQ797" s="27" t="s">
        <v>2548</v>
      </c>
      <c r="BR797" s="27" t="s">
        <v>520</v>
      </c>
      <c r="BS797" s="27" t="s">
        <v>171</v>
      </c>
      <c r="BT797" s="27" t="s">
        <v>151</v>
      </c>
      <c r="BU797" s="28"/>
      <c r="BV797" s="30" t="s">
        <v>2549</v>
      </c>
      <c r="BW797" s="28"/>
      <c r="BX797" s="28"/>
      <c r="FL797" s="33" t="s">
        <v>2485</v>
      </c>
      <c r="FM797" s="33" t="s">
        <v>255</v>
      </c>
    </row>
    <row r="798" spans="1:194" ht="23.25" customHeight="1" x14ac:dyDescent="0.15">
      <c r="A798" s="26">
        <v>44662.43907385417</v>
      </c>
      <c r="B798" s="27" t="s">
        <v>6</v>
      </c>
      <c r="C798" s="27" t="s">
        <v>11</v>
      </c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7" t="s">
        <v>1554</v>
      </c>
      <c r="AY798" s="27" t="s">
        <v>1555</v>
      </c>
      <c r="AZ798" s="27" t="s">
        <v>2550</v>
      </c>
      <c r="BA798" s="27" t="s">
        <v>375</v>
      </c>
      <c r="BB798" s="27" t="s">
        <v>1332</v>
      </c>
      <c r="BC798" s="29">
        <v>44318</v>
      </c>
      <c r="BD798" s="29">
        <v>44408</v>
      </c>
      <c r="BE798" s="29">
        <v>44408</v>
      </c>
      <c r="BF798" s="27">
        <v>90</v>
      </c>
      <c r="BG798" s="27" t="s">
        <v>2551</v>
      </c>
      <c r="BH798" s="30" t="s">
        <v>2552</v>
      </c>
      <c r="BI798" s="28"/>
      <c r="BJ798" s="28"/>
      <c r="BK798" s="28"/>
      <c r="BL798" s="28"/>
      <c r="BM798" s="28"/>
      <c r="BN798" s="28"/>
      <c r="BO798" s="28"/>
      <c r="BP798" s="28"/>
      <c r="BQ798" s="28"/>
      <c r="BR798" s="28"/>
      <c r="BS798" s="28"/>
      <c r="BT798" s="28"/>
      <c r="BU798" s="28"/>
      <c r="BV798" s="28"/>
      <c r="BW798" s="28"/>
      <c r="BX798" s="28"/>
      <c r="FL798" s="33" t="s">
        <v>1560</v>
      </c>
      <c r="FM798" s="33" t="s">
        <v>255</v>
      </c>
    </row>
    <row r="799" spans="1:194" ht="23.25" customHeight="1" x14ac:dyDescent="0.15">
      <c r="A799" s="26">
        <v>44662.44019731482</v>
      </c>
      <c r="B799" s="27" t="s">
        <v>6</v>
      </c>
      <c r="C799" s="27" t="s">
        <v>11</v>
      </c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7" t="s">
        <v>959</v>
      </c>
      <c r="AY799" s="27" t="s">
        <v>955</v>
      </c>
      <c r="AZ799" s="27" t="s">
        <v>716</v>
      </c>
      <c r="BA799" s="27" t="s">
        <v>897</v>
      </c>
      <c r="BB799" s="27" t="s">
        <v>2553</v>
      </c>
      <c r="BC799" s="29">
        <v>43466</v>
      </c>
      <c r="BD799" s="29">
        <v>43654</v>
      </c>
      <c r="BE799" s="29">
        <v>43654</v>
      </c>
      <c r="BF799" s="27">
        <v>98</v>
      </c>
      <c r="BG799" s="27" t="s">
        <v>839</v>
      </c>
      <c r="BH799" s="30" t="s">
        <v>2554</v>
      </c>
      <c r="BI799" s="28"/>
      <c r="BJ799" s="28"/>
      <c r="BK799" s="28"/>
      <c r="BL799" s="28"/>
      <c r="BM799" s="28"/>
      <c r="BN799" s="28"/>
      <c r="BO799" s="28"/>
      <c r="BP799" s="28"/>
      <c r="BQ799" s="28"/>
      <c r="BR799" s="28"/>
      <c r="BS799" s="28"/>
      <c r="BT799" s="28"/>
      <c r="BU799" s="28"/>
      <c r="BV799" s="28"/>
      <c r="BW799" s="28"/>
      <c r="BX799" s="28"/>
      <c r="FL799" s="33" t="s">
        <v>959</v>
      </c>
      <c r="FM799" s="33" t="s">
        <v>255</v>
      </c>
    </row>
    <row r="800" spans="1:194" ht="23.25" customHeight="1" x14ac:dyDescent="0.15">
      <c r="A800" s="26">
        <v>44662.440232743058</v>
      </c>
      <c r="B800" s="27" t="s">
        <v>6</v>
      </c>
      <c r="C800" s="27" t="s">
        <v>10</v>
      </c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7" t="s">
        <v>2555</v>
      </c>
      <c r="AO800" s="27" t="s">
        <v>1555</v>
      </c>
      <c r="AP800" s="27" t="s">
        <v>2556</v>
      </c>
      <c r="AQ800" s="27" t="s">
        <v>1065</v>
      </c>
      <c r="AR800" s="29">
        <v>44641</v>
      </c>
      <c r="AS800" s="29">
        <v>44713</v>
      </c>
      <c r="AT800" s="27" t="s">
        <v>251</v>
      </c>
      <c r="AU800" s="27" t="s">
        <v>252</v>
      </c>
      <c r="AV800" s="27">
        <v>5000</v>
      </c>
      <c r="AW800" s="30" t="s">
        <v>2557</v>
      </c>
      <c r="AX800" s="28"/>
      <c r="AY800" s="28"/>
      <c r="AZ800" s="28"/>
      <c r="BA800" s="28"/>
      <c r="BB800" s="28"/>
      <c r="BC800" s="28"/>
      <c r="BD800" s="28"/>
      <c r="BE800" s="28"/>
      <c r="BF800" s="28"/>
      <c r="BG800" s="28"/>
      <c r="BH800" s="28"/>
      <c r="BI800" s="28"/>
      <c r="BJ800" s="28"/>
      <c r="BK800" s="28"/>
      <c r="BL800" s="28"/>
      <c r="BM800" s="28"/>
      <c r="BN800" s="28"/>
      <c r="BO800" s="28"/>
      <c r="BP800" s="28"/>
      <c r="BQ800" s="28"/>
      <c r="BR800" s="28"/>
      <c r="BS800" s="28"/>
      <c r="BT800" s="28"/>
      <c r="BU800" s="28"/>
      <c r="BV800" s="28"/>
      <c r="BW800" s="28"/>
      <c r="BX800" s="28"/>
      <c r="FL800" s="33" t="s">
        <v>1560</v>
      </c>
      <c r="FM800" s="33" t="s">
        <v>255</v>
      </c>
    </row>
    <row r="801" spans="1:194" ht="23.25" customHeight="1" x14ac:dyDescent="0.15">
      <c r="A801" s="26">
        <v>44662.443962604171</v>
      </c>
      <c r="B801" s="27" t="s">
        <v>6</v>
      </c>
      <c r="C801" s="27" t="s">
        <v>11</v>
      </c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  <c r="AX801" s="27" t="s">
        <v>954</v>
      </c>
      <c r="AY801" s="27" t="s">
        <v>955</v>
      </c>
      <c r="AZ801" s="27" t="s">
        <v>349</v>
      </c>
      <c r="BA801" s="27" t="s">
        <v>897</v>
      </c>
      <c r="BB801" s="27" t="s">
        <v>493</v>
      </c>
      <c r="BC801" s="29">
        <v>43668</v>
      </c>
      <c r="BD801" s="29">
        <v>43699</v>
      </c>
      <c r="BE801" s="29">
        <v>43672</v>
      </c>
      <c r="BF801" s="27">
        <v>100</v>
      </c>
      <c r="BG801" s="27" t="s">
        <v>2558</v>
      </c>
      <c r="BH801" s="30" t="s">
        <v>2559</v>
      </c>
      <c r="BI801" s="28"/>
      <c r="BJ801" s="28"/>
      <c r="BK801" s="28"/>
      <c r="BL801" s="28"/>
      <c r="BM801" s="28"/>
      <c r="BN801" s="28"/>
      <c r="BO801" s="28"/>
      <c r="BP801" s="28"/>
      <c r="BQ801" s="28"/>
      <c r="BR801" s="28"/>
      <c r="BS801" s="28"/>
      <c r="BT801" s="28"/>
      <c r="BU801" s="28"/>
      <c r="BV801" s="28"/>
      <c r="BW801" s="28"/>
      <c r="BX801" s="28"/>
      <c r="FL801" s="33" t="s">
        <v>959</v>
      </c>
      <c r="FM801" s="33" t="s">
        <v>255</v>
      </c>
    </row>
    <row r="802" spans="1:194" ht="23.25" customHeight="1" x14ac:dyDescent="0.15">
      <c r="A802" s="26">
        <v>44662.445130717591</v>
      </c>
      <c r="B802" s="27" t="s">
        <v>6</v>
      </c>
      <c r="C802" s="27" t="s">
        <v>11</v>
      </c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  <c r="AX802" s="27" t="s">
        <v>2540</v>
      </c>
      <c r="AY802" s="27" t="s">
        <v>2541</v>
      </c>
      <c r="AZ802" s="27" t="s">
        <v>1911</v>
      </c>
      <c r="BA802" s="27" t="s">
        <v>343</v>
      </c>
      <c r="BB802" s="27" t="s">
        <v>448</v>
      </c>
      <c r="BC802" s="29">
        <v>43952</v>
      </c>
      <c r="BD802" s="29">
        <v>44036</v>
      </c>
      <c r="BE802" s="29">
        <v>44675</v>
      </c>
      <c r="BF802" s="27">
        <v>80</v>
      </c>
      <c r="BG802" s="27" t="s">
        <v>2560</v>
      </c>
      <c r="BH802" s="30" t="s">
        <v>2561</v>
      </c>
      <c r="BI802" s="28"/>
      <c r="BJ802" s="28"/>
      <c r="BK802" s="28"/>
      <c r="BL802" s="28"/>
      <c r="BM802" s="28"/>
      <c r="BN802" s="28"/>
      <c r="BO802" s="28"/>
      <c r="BP802" s="28"/>
      <c r="BQ802" s="28"/>
      <c r="BR802" s="28"/>
      <c r="BS802" s="28"/>
      <c r="BT802" s="28"/>
      <c r="BU802" s="28"/>
      <c r="BV802" s="28"/>
      <c r="BW802" s="28"/>
      <c r="BX802" s="28"/>
      <c r="FL802" s="33" t="s">
        <v>2544</v>
      </c>
      <c r="FM802" s="33" t="s">
        <v>255</v>
      </c>
    </row>
    <row r="803" spans="1:194" ht="23.25" customHeight="1" x14ac:dyDescent="0.15">
      <c r="A803" s="26">
        <v>44662.449553182872</v>
      </c>
      <c r="B803" s="27" t="s">
        <v>6</v>
      </c>
      <c r="C803" s="27" t="s">
        <v>11</v>
      </c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7" t="s">
        <v>2562</v>
      </c>
      <c r="AY803" s="27" t="s">
        <v>2563</v>
      </c>
      <c r="AZ803" s="27" t="s">
        <v>2145</v>
      </c>
      <c r="BA803" s="27" t="s">
        <v>407</v>
      </c>
      <c r="BB803" s="27" t="s">
        <v>1308</v>
      </c>
      <c r="BC803" s="29">
        <v>43670</v>
      </c>
      <c r="BD803" s="29">
        <v>43676</v>
      </c>
      <c r="BE803" s="29">
        <v>43676</v>
      </c>
      <c r="BF803" s="27">
        <v>90</v>
      </c>
      <c r="BG803" s="27" t="s">
        <v>2564</v>
      </c>
      <c r="BH803" s="30" t="s">
        <v>2565</v>
      </c>
      <c r="BI803" s="28"/>
      <c r="BJ803" s="28"/>
      <c r="BK803" s="28"/>
      <c r="BL803" s="28"/>
      <c r="BM803" s="28"/>
      <c r="BN803" s="28"/>
      <c r="BO803" s="28"/>
      <c r="BP803" s="28"/>
      <c r="BQ803" s="28"/>
      <c r="BR803" s="28"/>
      <c r="BS803" s="28"/>
      <c r="BT803" s="28"/>
      <c r="BU803" s="28"/>
      <c r="BV803" s="28"/>
      <c r="BW803" s="28"/>
      <c r="BX803" s="28"/>
      <c r="FL803" s="33" t="s">
        <v>2566</v>
      </c>
      <c r="FM803" s="33" t="s">
        <v>255</v>
      </c>
    </row>
    <row r="804" spans="1:194" ht="23.25" customHeight="1" x14ac:dyDescent="0.15">
      <c r="A804" s="26">
        <v>44662.451685671302</v>
      </c>
      <c r="B804" s="27" t="s">
        <v>6</v>
      </c>
      <c r="C804" s="27" t="s">
        <v>11</v>
      </c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  <c r="AX804" s="27" t="s">
        <v>2562</v>
      </c>
      <c r="AY804" s="27" t="s">
        <v>2563</v>
      </c>
      <c r="AZ804" s="27" t="s">
        <v>1698</v>
      </c>
      <c r="BA804" s="27" t="s">
        <v>375</v>
      </c>
      <c r="BB804" s="27" t="s">
        <v>1308</v>
      </c>
      <c r="BC804" s="29">
        <v>43670</v>
      </c>
      <c r="BD804" s="29">
        <v>43676</v>
      </c>
      <c r="BE804" s="29">
        <v>43676</v>
      </c>
      <c r="BF804" s="27">
        <v>90</v>
      </c>
      <c r="BG804" s="27" t="s">
        <v>2567</v>
      </c>
      <c r="BH804" s="30" t="s">
        <v>2568</v>
      </c>
      <c r="BI804" s="28"/>
      <c r="BJ804" s="28"/>
      <c r="BK804" s="28"/>
      <c r="BL804" s="28"/>
      <c r="BM804" s="28"/>
      <c r="BN804" s="28"/>
      <c r="BO804" s="28"/>
      <c r="BP804" s="28"/>
      <c r="BQ804" s="28"/>
      <c r="BR804" s="28"/>
      <c r="BS804" s="28"/>
      <c r="BT804" s="28"/>
      <c r="BU804" s="28"/>
      <c r="BV804" s="28"/>
      <c r="BW804" s="28"/>
      <c r="BX804" s="28"/>
      <c r="FL804" s="33" t="s">
        <v>2566</v>
      </c>
      <c r="FM804" s="33" t="s">
        <v>255</v>
      </c>
    </row>
    <row r="805" spans="1:194" ht="23.25" customHeight="1" x14ac:dyDescent="0.15">
      <c r="A805" s="26">
        <v>44662.452536342593</v>
      </c>
      <c r="B805" s="27" t="s">
        <v>6</v>
      </c>
      <c r="C805" s="27" t="s">
        <v>11</v>
      </c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  <c r="AX805" s="27" t="s">
        <v>954</v>
      </c>
      <c r="AY805" s="27" t="s">
        <v>955</v>
      </c>
      <c r="AZ805" s="27" t="s">
        <v>2365</v>
      </c>
      <c r="BA805" s="27" t="s">
        <v>897</v>
      </c>
      <c r="BB805" s="27" t="s">
        <v>448</v>
      </c>
      <c r="BC805" s="29">
        <v>43831</v>
      </c>
      <c r="BD805" s="29">
        <v>43936</v>
      </c>
      <c r="BE805" s="29">
        <v>43936</v>
      </c>
      <c r="BF805" s="27">
        <v>98</v>
      </c>
      <c r="BG805" s="27" t="s">
        <v>2569</v>
      </c>
      <c r="BH805" s="30" t="s">
        <v>2570</v>
      </c>
      <c r="BI805" s="28"/>
      <c r="BJ805" s="28"/>
      <c r="BK805" s="28"/>
      <c r="BL805" s="28"/>
      <c r="BM805" s="28"/>
      <c r="BN805" s="28"/>
      <c r="BO805" s="28"/>
      <c r="BP805" s="28"/>
      <c r="BQ805" s="28"/>
      <c r="BR805" s="28"/>
      <c r="BS805" s="28"/>
      <c r="BT805" s="28"/>
      <c r="BU805" s="28"/>
      <c r="BV805" s="28"/>
      <c r="BW805" s="28"/>
      <c r="BX805" s="28"/>
      <c r="FL805" s="33" t="s">
        <v>959</v>
      </c>
      <c r="FM805" s="33" t="s">
        <v>255</v>
      </c>
    </row>
    <row r="806" spans="1:194" ht="23.25" customHeight="1" x14ac:dyDescent="0.15">
      <c r="A806" s="26">
        <v>44662.453593437502</v>
      </c>
      <c r="B806" s="27" t="s">
        <v>6</v>
      </c>
      <c r="C806" s="27" t="s">
        <v>11</v>
      </c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  <c r="AX806" s="27" t="s">
        <v>2562</v>
      </c>
      <c r="AY806" s="27" t="s">
        <v>2563</v>
      </c>
      <c r="AZ806" s="27" t="s">
        <v>498</v>
      </c>
      <c r="BA806" s="27" t="s">
        <v>307</v>
      </c>
      <c r="BB806" s="27" t="s">
        <v>308</v>
      </c>
      <c r="BC806" s="29">
        <v>44482</v>
      </c>
      <c r="BD806" s="29">
        <v>44554</v>
      </c>
      <c r="BE806" s="29">
        <v>44554</v>
      </c>
      <c r="BF806" s="27">
        <v>90</v>
      </c>
      <c r="BG806" s="27" t="s">
        <v>2571</v>
      </c>
      <c r="BH806" s="30" t="s">
        <v>2572</v>
      </c>
      <c r="BI806" s="28"/>
      <c r="BJ806" s="28"/>
      <c r="BK806" s="28"/>
      <c r="BL806" s="28"/>
      <c r="BM806" s="28"/>
      <c r="BN806" s="28"/>
      <c r="BO806" s="28"/>
      <c r="BP806" s="28"/>
      <c r="BQ806" s="28"/>
      <c r="BR806" s="28"/>
      <c r="BS806" s="28"/>
      <c r="BT806" s="28"/>
      <c r="BU806" s="28"/>
      <c r="BV806" s="28"/>
      <c r="BW806" s="28"/>
      <c r="BX806" s="28"/>
      <c r="FL806" s="33" t="s">
        <v>2566</v>
      </c>
      <c r="FM806" s="33" t="s">
        <v>255</v>
      </c>
    </row>
    <row r="807" spans="1:194" ht="23.25" customHeight="1" x14ac:dyDescent="0.15">
      <c r="A807" s="26">
        <v>44662.456831909723</v>
      </c>
      <c r="B807" s="27" t="s">
        <v>6</v>
      </c>
      <c r="C807" s="27" t="s">
        <v>12</v>
      </c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  <c r="BE807" s="28"/>
      <c r="BF807" s="28"/>
      <c r="BG807" s="28"/>
      <c r="BH807" s="28"/>
      <c r="BI807" s="27" t="s">
        <v>2562</v>
      </c>
      <c r="BJ807" s="27" t="s">
        <v>2563</v>
      </c>
      <c r="BK807" s="27" t="s">
        <v>154</v>
      </c>
      <c r="BL807" s="27" t="s">
        <v>1285</v>
      </c>
      <c r="BM807" s="27" t="s">
        <v>2573</v>
      </c>
      <c r="BN807" s="27">
        <v>2</v>
      </c>
      <c r="BO807" s="29">
        <v>43694</v>
      </c>
      <c r="BP807" s="29">
        <v>43695</v>
      </c>
      <c r="BQ807" s="27" t="s">
        <v>2574</v>
      </c>
      <c r="BR807" s="27" t="s">
        <v>756</v>
      </c>
      <c r="BS807" s="27" t="s">
        <v>171</v>
      </c>
      <c r="BT807" s="27" t="s">
        <v>629</v>
      </c>
      <c r="BU807" s="27">
        <v>1250</v>
      </c>
      <c r="BV807" s="30" t="s">
        <v>2575</v>
      </c>
      <c r="BW807" s="28"/>
      <c r="BX807" s="28"/>
      <c r="FL807" s="33" t="s">
        <v>2566</v>
      </c>
      <c r="FM807" s="33" t="s">
        <v>255</v>
      </c>
    </row>
    <row r="808" spans="1:194" ht="23.25" customHeight="1" x14ac:dyDescent="0.15">
      <c r="A808" s="26">
        <v>44662.458297164354</v>
      </c>
      <c r="B808" s="27" t="s">
        <v>6</v>
      </c>
      <c r="C808" s="27" t="s">
        <v>20</v>
      </c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  <c r="BE808" s="28"/>
      <c r="BF808" s="28"/>
      <c r="BG808" s="28"/>
      <c r="BH808" s="28"/>
      <c r="BI808" s="28"/>
      <c r="BJ808" s="28"/>
      <c r="BK808" s="28"/>
      <c r="BL808" s="28"/>
      <c r="BM808" s="28"/>
      <c r="BN808" s="28"/>
      <c r="BO808" s="28"/>
      <c r="BP808" s="28"/>
      <c r="BQ808" s="28"/>
      <c r="BR808" s="28"/>
      <c r="BS808" s="28"/>
      <c r="BT808" s="28"/>
      <c r="BU808" s="28"/>
      <c r="BV808" s="28"/>
      <c r="BW808" s="28"/>
      <c r="BX808" s="28"/>
      <c r="FL808" s="33" t="s">
        <v>2566</v>
      </c>
      <c r="FM808" s="33" t="s">
        <v>255</v>
      </c>
      <c r="FT808" s="33" t="s">
        <v>2576</v>
      </c>
      <c r="FU808" s="33" t="s">
        <v>2563</v>
      </c>
      <c r="FV808" s="33" t="s">
        <v>2577</v>
      </c>
      <c r="FW808" s="34">
        <v>43663</v>
      </c>
      <c r="FX808" s="33" t="s">
        <v>2578</v>
      </c>
      <c r="FY808" s="35" t="s">
        <v>2579</v>
      </c>
    </row>
    <row r="809" spans="1:194" ht="23.25" customHeight="1" x14ac:dyDescent="0.15">
      <c r="A809" s="26">
        <v>44662.461212766204</v>
      </c>
      <c r="B809" s="27" t="s">
        <v>6</v>
      </c>
      <c r="C809" s="27" t="s">
        <v>22</v>
      </c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  <c r="BD809" s="28"/>
      <c r="BE809" s="28"/>
      <c r="BF809" s="28"/>
      <c r="BG809" s="28"/>
      <c r="BH809" s="28"/>
      <c r="BI809" s="28"/>
      <c r="BJ809" s="28"/>
      <c r="BK809" s="28"/>
      <c r="BL809" s="28"/>
      <c r="BM809" s="28"/>
      <c r="BN809" s="28"/>
      <c r="BO809" s="28"/>
      <c r="BP809" s="28"/>
      <c r="BQ809" s="28"/>
      <c r="BR809" s="28"/>
      <c r="BS809" s="28"/>
      <c r="BT809" s="28"/>
      <c r="BU809" s="28"/>
      <c r="BV809" s="28"/>
      <c r="BW809" s="28"/>
      <c r="BX809" s="28"/>
      <c r="FL809" s="33" t="s">
        <v>2566</v>
      </c>
      <c r="FM809" s="33" t="s">
        <v>255</v>
      </c>
      <c r="GF809" s="33" t="s">
        <v>2576</v>
      </c>
      <c r="GG809" s="33" t="s">
        <v>2563</v>
      </c>
      <c r="GH809" s="33" t="s">
        <v>2580</v>
      </c>
      <c r="GI809" s="34">
        <v>44705</v>
      </c>
      <c r="GJ809" s="35" t="s">
        <v>2581</v>
      </c>
      <c r="GK809" s="33" t="s">
        <v>984</v>
      </c>
      <c r="GL809" s="33" t="s">
        <v>2582</v>
      </c>
    </row>
    <row r="810" spans="1:194" ht="23.25" customHeight="1" x14ac:dyDescent="0.15">
      <c r="A810" s="26">
        <v>44662.462786874996</v>
      </c>
      <c r="B810" s="27" t="s">
        <v>6</v>
      </c>
      <c r="C810" s="27" t="s">
        <v>11</v>
      </c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  <c r="AX810" s="27" t="s">
        <v>465</v>
      </c>
      <c r="AY810" s="27" t="s">
        <v>466</v>
      </c>
      <c r="AZ810" s="27" t="s">
        <v>978</v>
      </c>
      <c r="BA810" s="27" t="s">
        <v>375</v>
      </c>
      <c r="BB810" s="27" t="s">
        <v>376</v>
      </c>
      <c r="BC810" s="29">
        <v>43571</v>
      </c>
      <c r="BD810" s="29">
        <v>43693</v>
      </c>
      <c r="BE810" s="29">
        <v>43693</v>
      </c>
      <c r="BF810" s="27" t="s">
        <v>470</v>
      </c>
      <c r="BG810" s="27" t="s">
        <v>2583</v>
      </c>
      <c r="BH810" s="30" t="s">
        <v>2584</v>
      </c>
      <c r="BI810" s="28"/>
      <c r="BJ810" s="28"/>
      <c r="BK810" s="28"/>
      <c r="BL810" s="28"/>
      <c r="BM810" s="28"/>
      <c r="BN810" s="28"/>
      <c r="BO810" s="28"/>
      <c r="BP810" s="28"/>
      <c r="BQ810" s="28"/>
      <c r="BR810" s="28"/>
      <c r="BS810" s="28"/>
      <c r="BT810" s="28"/>
      <c r="BU810" s="28"/>
      <c r="BV810" s="28"/>
      <c r="BW810" s="28"/>
      <c r="BX810" s="28"/>
      <c r="FL810" s="33" t="s">
        <v>472</v>
      </c>
      <c r="FM810" s="33" t="s">
        <v>255</v>
      </c>
    </row>
    <row r="811" spans="1:194" ht="23.25" customHeight="1" x14ac:dyDescent="0.15">
      <c r="A811" s="26">
        <v>44662.466134259259</v>
      </c>
      <c r="B811" s="27" t="s">
        <v>6</v>
      </c>
      <c r="C811" s="27" t="s">
        <v>11</v>
      </c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  <c r="AX811" s="27" t="s">
        <v>465</v>
      </c>
      <c r="AY811" s="27" t="s">
        <v>466</v>
      </c>
      <c r="AZ811" s="27" t="s">
        <v>2545</v>
      </c>
      <c r="BA811" s="27" t="s">
        <v>1431</v>
      </c>
      <c r="BB811" s="27" t="s">
        <v>448</v>
      </c>
      <c r="BC811" s="29">
        <v>43581</v>
      </c>
      <c r="BD811" s="29">
        <v>43672</v>
      </c>
      <c r="BE811" s="29">
        <v>43672</v>
      </c>
      <c r="BF811" s="27" t="s">
        <v>470</v>
      </c>
      <c r="BG811" s="27" t="s">
        <v>495</v>
      </c>
      <c r="BH811" s="30" t="s">
        <v>2585</v>
      </c>
      <c r="BI811" s="28"/>
      <c r="BJ811" s="28"/>
      <c r="BK811" s="28"/>
      <c r="BL811" s="28"/>
      <c r="BM811" s="28"/>
      <c r="BN811" s="28"/>
      <c r="BO811" s="28"/>
      <c r="BP811" s="28"/>
      <c r="BQ811" s="28"/>
      <c r="BR811" s="28"/>
      <c r="BS811" s="28"/>
      <c r="BT811" s="28"/>
      <c r="BU811" s="28"/>
      <c r="BV811" s="28"/>
      <c r="BW811" s="28"/>
      <c r="BX811" s="28"/>
      <c r="FL811" s="33" t="s">
        <v>472</v>
      </c>
      <c r="FM811" s="33" t="s">
        <v>255</v>
      </c>
    </row>
    <row r="812" spans="1:194" ht="23.25" customHeight="1" x14ac:dyDescent="0.15">
      <c r="A812" s="26">
        <v>44662.469930914347</v>
      </c>
      <c r="B812" s="27" t="s">
        <v>6</v>
      </c>
      <c r="C812" s="27" t="s">
        <v>11</v>
      </c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7" t="s">
        <v>465</v>
      </c>
      <c r="AY812" s="27" t="s">
        <v>466</v>
      </c>
      <c r="AZ812" s="27" t="s">
        <v>2586</v>
      </c>
      <c r="BA812" s="27" t="s">
        <v>2587</v>
      </c>
      <c r="BB812" s="27" t="s">
        <v>191</v>
      </c>
      <c r="BC812" s="29">
        <v>44473</v>
      </c>
      <c r="BD812" s="29">
        <v>44473</v>
      </c>
      <c r="BE812" s="29">
        <v>44473</v>
      </c>
      <c r="BF812" s="27" t="s">
        <v>470</v>
      </c>
      <c r="BG812" s="27" t="s">
        <v>470</v>
      </c>
      <c r="BH812" s="30" t="s">
        <v>2588</v>
      </c>
      <c r="BI812" s="28"/>
      <c r="BJ812" s="28"/>
      <c r="BK812" s="28"/>
      <c r="BL812" s="28"/>
      <c r="BM812" s="28"/>
      <c r="BN812" s="28"/>
      <c r="BO812" s="28"/>
      <c r="BP812" s="28"/>
      <c r="BQ812" s="28"/>
      <c r="BR812" s="28"/>
      <c r="BS812" s="28"/>
      <c r="BT812" s="28"/>
      <c r="BU812" s="28"/>
      <c r="BV812" s="28"/>
      <c r="BW812" s="28"/>
      <c r="BX812" s="28"/>
      <c r="FL812" s="33" t="s">
        <v>472</v>
      </c>
      <c r="FM812" s="33" t="s">
        <v>255</v>
      </c>
    </row>
    <row r="813" spans="1:194" ht="23.25" customHeight="1" x14ac:dyDescent="0.15">
      <c r="A813" s="26">
        <v>44662.476222418976</v>
      </c>
      <c r="B813" s="27" t="s">
        <v>6</v>
      </c>
      <c r="C813" s="27" t="s">
        <v>10</v>
      </c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7" t="s">
        <v>465</v>
      </c>
      <c r="AO813" s="27" t="s">
        <v>466</v>
      </c>
      <c r="AP813" s="27" t="s">
        <v>2129</v>
      </c>
      <c r="AQ813" s="27" t="s">
        <v>300</v>
      </c>
      <c r="AR813" s="29">
        <v>44472</v>
      </c>
      <c r="AS813" s="29">
        <v>44557</v>
      </c>
      <c r="AT813" s="27" t="s">
        <v>252</v>
      </c>
      <c r="AU813" s="27" t="s">
        <v>252</v>
      </c>
      <c r="AV813" s="27">
        <v>0</v>
      </c>
      <c r="AW813" s="30" t="s">
        <v>2589</v>
      </c>
      <c r="AX813" s="28"/>
      <c r="AY813" s="28"/>
      <c r="AZ813" s="28"/>
      <c r="BA813" s="28"/>
      <c r="BB813" s="28"/>
      <c r="BC813" s="28"/>
      <c r="BD813" s="28"/>
      <c r="BE813" s="28"/>
      <c r="BF813" s="28"/>
      <c r="BG813" s="28"/>
      <c r="BH813" s="28"/>
      <c r="BI813" s="28"/>
      <c r="BJ813" s="28"/>
      <c r="BK813" s="28"/>
      <c r="BL813" s="28"/>
      <c r="BM813" s="28"/>
      <c r="BN813" s="28"/>
      <c r="BO813" s="28"/>
      <c r="BP813" s="28"/>
      <c r="BQ813" s="28"/>
      <c r="BR813" s="28"/>
      <c r="BS813" s="28"/>
      <c r="BT813" s="28"/>
      <c r="BU813" s="28"/>
      <c r="BV813" s="28"/>
      <c r="BW813" s="28"/>
      <c r="BX813" s="28"/>
      <c r="FL813" s="33" t="s">
        <v>472</v>
      </c>
      <c r="FM813" s="33" t="s">
        <v>255</v>
      </c>
    </row>
    <row r="814" spans="1:194" ht="23.25" customHeight="1" x14ac:dyDescent="0.15">
      <c r="A814" s="26">
        <v>44662.479263993053</v>
      </c>
      <c r="B814" s="27" t="s">
        <v>6</v>
      </c>
      <c r="C814" s="27" t="s">
        <v>17</v>
      </c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  <c r="BD814" s="28"/>
      <c r="BE814" s="28"/>
      <c r="BF814" s="28"/>
      <c r="BG814" s="28"/>
      <c r="BH814" s="28"/>
      <c r="BI814" s="28"/>
      <c r="BJ814" s="28"/>
      <c r="BK814" s="28"/>
      <c r="BL814" s="28"/>
      <c r="BM814" s="28"/>
      <c r="BN814" s="28"/>
      <c r="BO814" s="28"/>
      <c r="BP814" s="28"/>
      <c r="BQ814" s="28"/>
      <c r="BR814" s="28"/>
      <c r="BS814" s="28"/>
      <c r="BT814" s="28"/>
      <c r="BU814" s="28"/>
      <c r="BV814" s="28"/>
      <c r="BW814" s="28"/>
      <c r="BX814" s="28"/>
      <c r="DX814" s="33" t="s">
        <v>465</v>
      </c>
      <c r="DY814" s="33" t="s">
        <v>466</v>
      </c>
      <c r="DZ814" s="33" t="s">
        <v>145</v>
      </c>
      <c r="EA814" s="33" t="s">
        <v>2590</v>
      </c>
      <c r="EB814" s="34">
        <v>43532</v>
      </c>
      <c r="EC814" s="33" t="s">
        <v>2591</v>
      </c>
      <c r="ED814" s="35" t="s">
        <v>2592</v>
      </c>
      <c r="FL814" s="33" t="s">
        <v>472</v>
      </c>
      <c r="FM814" s="33" t="s">
        <v>255</v>
      </c>
    </row>
    <row r="815" spans="1:194" ht="23.25" customHeight="1" x14ac:dyDescent="0.15">
      <c r="A815" s="26">
        <v>44662.481613171301</v>
      </c>
      <c r="B815" s="27" t="s">
        <v>6</v>
      </c>
      <c r="C815" s="27" t="s">
        <v>11</v>
      </c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7" t="s">
        <v>465</v>
      </c>
      <c r="AY815" s="27" t="s">
        <v>466</v>
      </c>
      <c r="AZ815" s="27" t="s">
        <v>2523</v>
      </c>
      <c r="BA815" s="27" t="s">
        <v>2593</v>
      </c>
      <c r="BB815" s="27" t="s">
        <v>493</v>
      </c>
      <c r="BC815" s="29">
        <v>43525</v>
      </c>
      <c r="BD815" s="29">
        <v>43981</v>
      </c>
      <c r="BE815" s="29">
        <v>43921</v>
      </c>
      <c r="BF815" s="27" t="s">
        <v>470</v>
      </c>
      <c r="BG815" s="27" t="s">
        <v>470</v>
      </c>
      <c r="BH815" s="30" t="s">
        <v>2594</v>
      </c>
      <c r="BI815" s="28"/>
      <c r="BJ815" s="28"/>
      <c r="BK815" s="28"/>
      <c r="BL815" s="28"/>
      <c r="BM815" s="28"/>
      <c r="BN815" s="28"/>
      <c r="BO815" s="28"/>
      <c r="BP815" s="28"/>
      <c r="BQ815" s="28"/>
      <c r="BR815" s="28"/>
      <c r="BS815" s="28"/>
      <c r="BT815" s="28"/>
      <c r="BU815" s="28"/>
      <c r="BV815" s="28"/>
      <c r="BW815" s="28"/>
      <c r="BX815" s="28"/>
      <c r="FL815" s="33" t="s">
        <v>472</v>
      </c>
      <c r="FM815" s="33" t="s">
        <v>255</v>
      </c>
    </row>
    <row r="816" spans="1:194" ht="23.25" customHeight="1" x14ac:dyDescent="0.15">
      <c r="A816" s="26">
        <v>44662.485794976848</v>
      </c>
      <c r="B816" s="27" t="s">
        <v>6</v>
      </c>
      <c r="C816" s="27" t="s">
        <v>11</v>
      </c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  <c r="AX816" s="27" t="s">
        <v>465</v>
      </c>
      <c r="AY816" s="27" t="s">
        <v>2595</v>
      </c>
      <c r="AZ816" s="27" t="s">
        <v>2596</v>
      </c>
      <c r="BA816" s="27" t="s">
        <v>2597</v>
      </c>
      <c r="BB816" s="27" t="s">
        <v>2598</v>
      </c>
      <c r="BC816" s="29">
        <v>44484</v>
      </c>
      <c r="BD816" s="29">
        <v>44486</v>
      </c>
      <c r="BE816" s="29">
        <v>44486</v>
      </c>
      <c r="BF816" s="27" t="s">
        <v>470</v>
      </c>
      <c r="BG816" s="27" t="s">
        <v>470</v>
      </c>
      <c r="BH816" s="30" t="s">
        <v>2599</v>
      </c>
      <c r="BI816" s="28"/>
      <c r="BJ816" s="28"/>
      <c r="BK816" s="28"/>
      <c r="BL816" s="28"/>
      <c r="BM816" s="28"/>
      <c r="BN816" s="28"/>
      <c r="BO816" s="28"/>
      <c r="BP816" s="28"/>
      <c r="BQ816" s="28"/>
      <c r="BR816" s="28"/>
      <c r="BS816" s="28"/>
      <c r="BT816" s="28"/>
      <c r="BU816" s="28"/>
      <c r="BV816" s="28"/>
      <c r="BW816" s="28"/>
      <c r="BX816" s="28"/>
      <c r="FL816" s="33" t="s">
        <v>472</v>
      </c>
      <c r="FM816" s="33" t="s">
        <v>255</v>
      </c>
    </row>
    <row r="817" spans="1:169" ht="23.25" customHeight="1" x14ac:dyDescent="0.15">
      <c r="A817" s="26">
        <v>44662.488505787042</v>
      </c>
      <c r="B817" s="27" t="s">
        <v>6</v>
      </c>
      <c r="C817" s="27" t="s">
        <v>11</v>
      </c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7" t="s">
        <v>465</v>
      </c>
      <c r="AY817" s="27" t="s">
        <v>466</v>
      </c>
      <c r="AZ817" s="27" t="s">
        <v>2600</v>
      </c>
      <c r="BA817" s="27" t="s">
        <v>2601</v>
      </c>
      <c r="BB817" s="27" t="s">
        <v>493</v>
      </c>
      <c r="BC817" s="29">
        <v>44593</v>
      </c>
      <c r="BD817" s="29">
        <v>44621</v>
      </c>
      <c r="BE817" s="29">
        <v>44641</v>
      </c>
      <c r="BF817" s="27" t="s">
        <v>2602</v>
      </c>
      <c r="BG817" s="27" t="s">
        <v>470</v>
      </c>
      <c r="BH817" s="30" t="s">
        <v>2603</v>
      </c>
      <c r="BI817" s="28"/>
      <c r="BJ817" s="28"/>
      <c r="BK817" s="28"/>
      <c r="BL817" s="28"/>
      <c r="BM817" s="28"/>
      <c r="BN817" s="28"/>
      <c r="BO817" s="28"/>
      <c r="BP817" s="28"/>
      <c r="BQ817" s="28"/>
      <c r="BR817" s="28"/>
      <c r="BS817" s="28"/>
      <c r="BT817" s="28"/>
      <c r="BU817" s="28"/>
      <c r="BV817" s="28"/>
      <c r="BW817" s="28"/>
      <c r="BX817" s="28"/>
      <c r="FL817" s="33" t="s">
        <v>472</v>
      </c>
      <c r="FM817" s="33" t="s">
        <v>255</v>
      </c>
    </row>
    <row r="818" spans="1:169" ht="23.25" customHeight="1" x14ac:dyDescent="0.15">
      <c r="A818" s="26">
        <v>44662.490922500001</v>
      </c>
      <c r="B818" s="27" t="s">
        <v>6</v>
      </c>
      <c r="C818" s="27" t="s">
        <v>10</v>
      </c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7" t="s">
        <v>465</v>
      </c>
      <c r="AO818" s="27" t="s">
        <v>466</v>
      </c>
      <c r="AP818" s="27" t="s">
        <v>492</v>
      </c>
      <c r="AQ818" s="27" t="s">
        <v>493</v>
      </c>
      <c r="AR818" s="29">
        <v>44440</v>
      </c>
      <c r="AS818" s="29">
        <v>44472</v>
      </c>
      <c r="AT818" s="27" t="s">
        <v>252</v>
      </c>
      <c r="AU818" s="27" t="s">
        <v>252</v>
      </c>
      <c r="AV818" s="27">
        <v>0</v>
      </c>
      <c r="AW818" s="30" t="s">
        <v>2604</v>
      </c>
      <c r="AX818" s="28"/>
      <c r="AY818" s="28"/>
      <c r="AZ818" s="28"/>
      <c r="BA818" s="28"/>
      <c r="BB818" s="28"/>
      <c r="BC818" s="28"/>
      <c r="BD818" s="28"/>
      <c r="BE818" s="28"/>
      <c r="BF818" s="28"/>
      <c r="BG818" s="28"/>
      <c r="BH818" s="28"/>
      <c r="BI818" s="28"/>
      <c r="BJ818" s="28"/>
      <c r="BK818" s="28"/>
      <c r="BL818" s="28"/>
      <c r="BM818" s="28"/>
      <c r="BN818" s="28"/>
      <c r="BO818" s="28"/>
      <c r="BP818" s="28"/>
      <c r="BQ818" s="28"/>
      <c r="BR818" s="28"/>
      <c r="BS818" s="28"/>
      <c r="BT818" s="28"/>
      <c r="BU818" s="28"/>
      <c r="BV818" s="28"/>
      <c r="BW818" s="28"/>
      <c r="BX818" s="28"/>
      <c r="FL818" s="33" t="s">
        <v>472</v>
      </c>
      <c r="FM818" s="33" t="s">
        <v>255</v>
      </c>
    </row>
    <row r="819" spans="1:169" ht="23.25" customHeight="1" x14ac:dyDescent="0.15">
      <c r="A819" s="26">
        <v>44662.49304671296</v>
      </c>
      <c r="B819" s="27" t="s">
        <v>6</v>
      </c>
      <c r="C819" s="27" t="s">
        <v>11</v>
      </c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7" t="s">
        <v>2605</v>
      </c>
      <c r="AY819" s="27" t="s">
        <v>2606</v>
      </c>
      <c r="AZ819" s="27" t="s">
        <v>2145</v>
      </c>
      <c r="BA819" s="27" t="s">
        <v>375</v>
      </c>
      <c r="BB819" s="27">
        <v>6</v>
      </c>
      <c r="BC819" s="29">
        <v>43498</v>
      </c>
      <c r="BD819" s="29">
        <v>43676</v>
      </c>
      <c r="BE819" s="29">
        <v>44681</v>
      </c>
      <c r="BF819" s="27">
        <v>90</v>
      </c>
      <c r="BG819" s="27" t="s">
        <v>1914</v>
      </c>
      <c r="BH819" s="30" t="s">
        <v>2607</v>
      </c>
      <c r="BI819" s="28"/>
      <c r="BJ819" s="28"/>
      <c r="BK819" s="28"/>
      <c r="BL819" s="28"/>
      <c r="BM819" s="28"/>
      <c r="BN819" s="28"/>
      <c r="BO819" s="28"/>
      <c r="BP819" s="28"/>
      <c r="BQ819" s="28"/>
      <c r="BR819" s="28"/>
      <c r="BS819" s="28"/>
      <c r="BT819" s="28"/>
      <c r="BU819" s="28"/>
      <c r="BV819" s="28"/>
      <c r="BW819" s="28"/>
      <c r="BX819" s="28"/>
      <c r="FL819" s="33" t="s">
        <v>2608</v>
      </c>
      <c r="FM819" s="33" t="s">
        <v>380</v>
      </c>
    </row>
    <row r="820" spans="1:169" ht="23.25" customHeight="1" x14ac:dyDescent="0.15">
      <c r="A820" s="26">
        <v>44662.494037245371</v>
      </c>
      <c r="B820" s="27" t="s">
        <v>6</v>
      </c>
      <c r="C820" s="27" t="s">
        <v>11</v>
      </c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7" t="s">
        <v>2609</v>
      </c>
      <c r="AY820" s="27" t="s">
        <v>2610</v>
      </c>
      <c r="AZ820" s="27" t="s">
        <v>2611</v>
      </c>
      <c r="BA820" s="27" t="s">
        <v>375</v>
      </c>
      <c r="BB820" s="27" t="s">
        <v>259</v>
      </c>
      <c r="BC820" s="29">
        <v>43501</v>
      </c>
      <c r="BD820" s="29">
        <v>43655</v>
      </c>
      <c r="BE820" s="29">
        <v>43655</v>
      </c>
      <c r="BF820" s="27">
        <v>100</v>
      </c>
      <c r="BG820" s="27" t="s">
        <v>1914</v>
      </c>
      <c r="BH820" s="30" t="s">
        <v>2612</v>
      </c>
      <c r="BI820" s="28"/>
      <c r="BJ820" s="28"/>
      <c r="BK820" s="28"/>
      <c r="BL820" s="28"/>
      <c r="BM820" s="28"/>
      <c r="BN820" s="28"/>
      <c r="BO820" s="28"/>
      <c r="BP820" s="28"/>
      <c r="BQ820" s="28"/>
      <c r="BR820" s="28"/>
      <c r="BS820" s="28"/>
      <c r="BT820" s="28"/>
      <c r="BU820" s="28"/>
      <c r="BV820" s="28"/>
      <c r="BW820" s="28"/>
      <c r="BX820" s="28"/>
      <c r="FL820" s="33" t="s">
        <v>2613</v>
      </c>
      <c r="FM820" s="33" t="s">
        <v>321</v>
      </c>
    </row>
    <row r="821" spans="1:169" ht="23.25" customHeight="1" x14ac:dyDescent="0.15">
      <c r="A821" s="26">
        <v>44662.494480763889</v>
      </c>
      <c r="B821" s="27" t="s">
        <v>6</v>
      </c>
      <c r="C821" s="27" t="s">
        <v>17</v>
      </c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  <c r="BD821" s="28"/>
      <c r="BE821" s="28"/>
      <c r="BF821" s="28"/>
      <c r="BG821" s="28"/>
      <c r="BH821" s="28"/>
      <c r="BI821" s="28"/>
      <c r="BJ821" s="28"/>
      <c r="BK821" s="28"/>
      <c r="BL821" s="28"/>
      <c r="BM821" s="28"/>
      <c r="BN821" s="28"/>
      <c r="BO821" s="28"/>
      <c r="BP821" s="28"/>
      <c r="BQ821" s="28"/>
      <c r="BR821" s="28"/>
      <c r="BS821" s="28"/>
      <c r="BT821" s="28"/>
      <c r="BU821" s="28"/>
      <c r="BV821" s="28"/>
      <c r="BW821" s="28"/>
      <c r="BX821" s="28"/>
      <c r="DX821" s="33" t="s">
        <v>465</v>
      </c>
      <c r="DY821" s="33" t="s">
        <v>466</v>
      </c>
      <c r="DZ821" s="33" t="s">
        <v>166</v>
      </c>
      <c r="EA821" s="33" t="s">
        <v>2614</v>
      </c>
      <c r="EB821" s="34">
        <v>44104</v>
      </c>
      <c r="EC821" s="33" t="s">
        <v>2615</v>
      </c>
      <c r="ED821" s="35" t="s">
        <v>2616</v>
      </c>
      <c r="FL821" s="33" t="s">
        <v>472</v>
      </c>
      <c r="FM821" s="33" t="s">
        <v>255</v>
      </c>
    </row>
    <row r="822" spans="1:169" ht="23.25" customHeight="1" x14ac:dyDescent="0.15">
      <c r="A822" s="26">
        <v>44662.49479167824</v>
      </c>
      <c r="B822" s="27" t="s">
        <v>6</v>
      </c>
      <c r="C822" s="27" t="s">
        <v>11</v>
      </c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  <c r="AX822" s="27" t="s">
        <v>2617</v>
      </c>
      <c r="AY822" s="27" t="s">
        <v>2618</v>
      </c>
      <c r="AZ822" s="27" t="s">
        <v>563</v>
      </c>
      <c r="BA822" s="27" t="s">
        <v>617</v>
      </c>
      <c r="BB822" s="27" t="s">
        <v>493</v>
      </c>
      <c r="BC822" s="29">
        <v>44348</v>
      </c>
      <c r="BD822" s="29">
        <v>44378</v>
      </c>
      <c r="BE822" s="29">
        <v>44378</v>
      </c>
      <c r="BF822" s="36">
        <v>0.95</v>
      </c>
      <c r="BG822" s="27" t="s">
        <v>495</v>
      </c>
      <c r="BH822" s="30" t="s">
        <v>2619</v>
      </c>
      <c r="BI822" s="28"/>
      <c r="BJ822" s="28"/>
      <c r="BK822" s="28"/>
      <c r="BL822" s="28"/>
      <c r="BM822" s="28"/>
      <c r="BN822" s="28"/>
      <c r="BO822" s="28"/>
      <c r="BP822" s="28"/>
      <c r="BQ822" s="28"/>
      <c r="BR822" s="28"/>
      <c r="BS822" s="28"/>
      <c r="BT822" s="28"/>
      <c r="BU822" s="28"/>
      <c r="BV822" s="28"/>
      <c r="BW822" s="28"/>
      <c r="BX822" s="28"/>
      <c r="FL822" s="33" t="s">
        <v>2620</v>
      </c>
      <c r="FM822" s="33" t="s">
        <v>412</v>
      </c>
    </row>
    <row r="823" spans="1:169" ht="23.25" customHeight="1" x14ac:dyDescent="0.15">
      <c r="A823" s="26">
        <v>44662.49670152778</v>
      </c>
      <c r="B823" s="27" t="s">
        <v>6</v>
      </c>
      <c r="C823" s="27" t="s">
        <v>11</v>
      </c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7" t="s">
        <v>2605</v>
      </c>
      <c r="AY823" s="27" t="s">
        <v>2606</v>
      </c>
      <c r="AZ823" s="27" t="s">
        <v>375</v>
      </c>
      <c r="BA823" s="27" t="s">
        <v>2545</v>
      </c>
      <c r="BB823" s="27" t="s">
        <v>2621</v>
      </c>
      <c r="BC823" s="29">
        <v>43573</v>
      </c>
      <c r="BD823" s="29">
        <v>43662</v>
      </c>
      <c r="BE823" s="29">
        <v>43665</v>
      </c>
      <c r="BF823" s="27">
        <v>90</v>
      </c>
      <c r="BG823" s="27" t="s">
        <v>1914</v>
      </c>
      <c r="BH823" s="30" t="s">
        <v>2622</v>
      </c>
      <c r="BI823" s="28"/>
      <c r="BJ823" s="28"/>
      <c r="BK823" s="28"/>
      <c r="BL823" s="28"/>
      <c r="BM823" s="28"/>
      <c r="BN823" s="28"/>
      <c r="BO823" s="28"/>
      <c r="BP823" s="28"/>
      <c r="BQ823" s="28"/>
      <c r="BR823" s="28"/>
      <c r="BS823" s="28"/>
      <c r="BT823" s="28"/>
      <c r="BU823" s="28"/>
      <c r="BV823" s="28"/>
      <c r="BW823" s="28"/>
      <c r="BX823" s="28"/>
      <c r="FL823" s="33" t="s">
        <v>2608</v>
      </c>
      <c r="FM823" s="33" t="s">
        <v>380</v>
      </c>
    </row>
    <row r="824" spans="1:169" ht="23.25" customHeight="1" x14ac:dyDescent="0.15">
      <c r="A824" s="26">
        <v>44662.49699324074</v>
      </c>
      <c r="B824" s="27" t="s">
        <v>6</v>
      </c>
      <c r="C824" s="27" t="s">
        <v>11</v>
      </c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  <c r="AX824" s="27" t="s">
        <v>2623</v>
      </c>
      <c r="AY824" s="27" t="s">
        <v>2624</v>
      </c>
      <c r="AZ824" s="27" t="s">
        <v>978</v>
      </c>
      <c r="BA824" s="27" t="s">
        <v>617</v>
      </c>
      <c r="BB824" s="27" t="s">
        <v>493</v>
      </c>
      <c r="BC824" s="29">
        <v>43566</v>
      </c>
      <c r="BD824" s="29">
        <v>43585</v>
      </c>
      <c r="BE824" s="29">
        <v>43585</v>
      </c>
      <c r="BF824" s="27">
        <v>100</v>
      </c>
      <c r="BG824" s="27" t="s">
        <v>495</v>
      </c>
      <c r="BH824" s="30" t="s">
        <v>2625</v>
      </c>
      <c r="BI824" s="28"/>
      <c r="BJ824" s="28"/>
      <c r="BK824" s="28"/>
      <c r="BL824" s="28"/>
      <c r="BM824" s="28"/>
      <c r="BN824" s="28"/>
      <c r="BO824" s="28"/>
      <c r="BP824" s="28"/>
      <c r="BQ824" s="28"/>
      <c r="BR824" s="28"/>
      <c r="BS824" s="28"/>
      <c r="BT824" s="28"/>
      <c r="BU824" s="28"/>
      <c r="BV824" s="28"/>
      <c r="BW824" s="28"/>
      <c r="BX824" s="28"/>
      <c r="FL824" s="33" t="s">
        <v>2620</v>
      </c>
      <c r="FM824" s="33" t="s">
        <v>412</v>
      </c>
    </row>
    <row r="825" spans="1:169" ht="23.25" customHeight="1" x14ac:dyDescent="0.15">
      <c r="A825" s="26">
        <v>44662.497484189815</v>
      </c>
      <c r="B825" s="27" t="s">
        <v>6</v>
      </c>
      <c r="C825" s="27" t="s">
        <v>11</v>
      </c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  <c r="AX825" s="27" t="s">
        <v>2609</v>
      </c>
      <c r="AY825" s="27" t="s">
        <v>2610</v>
      </c>
      <c r="AZ825" s="27" t="s">
        <v>2626</v>
      </c>
      <c r="BA825" s="27" t="s">
        <v>335</v>
      </c>
      <c r="BB825" s="27" t="s">
        <v>259</v>
      </c>
      <c r="BC825" s="29">
        <v>43501</v>
      </c>
      <c r="BD825" s="29">
        <v>43676</v>
      </c>
      <c r="BE825" s="29">
        <v>43676</v>
      </c>
      <c r="BF825" s="27">
        <v>100</v>
      </c>
      <c r="BG825" s="27" t="s">
        <v>1914</v>
      </c>
      <c r="BH825" s="30" t="s">
        <v>2627</v>
      </c>
      <c r="BI825" s="28"/>
      <c r="BJ825" s="28"/>
      <c r="BK825" s="28"/>
      <c r="BL825" s="28"/>
      <c r="BM825" s="28"/>
      <c r="BN825" s="28"/>
      <c r="BO825" s="28"/>
      <c r="BP825" s="28"/>
      <c r="BQ825" s="28"/>
      <c r="BR825" s="28"/>
      <c r="BS825" s="28"/>
      <c r="BT825" s="28"/>
      <c r="BU825" s="28"/>
      <c r="BV825" s="28"/>
      <c r="BW825" s="28"/>
      <c r="BX825" s="28"/>
      <c r="FL825" s="33" t="s">
        <v>2613</v>
      </c>
      <c r="FM825" s="33" t="s">
        <v>380</v>
      </c>
    </row>
    <row r="826" spans="1:169" ht="23.25" customHeight="1" x14ac:dyDescent="0.15">
      <c r="A826" s="26">
        <v>44662.498223888892</v>
      </c>
      <c r="B826" s="27" t="s">
        <v>8</v>
      </c>
      <c r="C826" s="27" t="s">
        <v>11</v>
      </c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  <c r="AX826" s="27" t="s">
        <v>2628</v>
      </c>
      <c r="AY826" s="27" t="s">
        <v>2629</v>
      </c>
      <c r="AZ826" s="27" t="s">
        <v>2630</v>
      </c>
      <c r="BA826" s="27" t="s">
        <v>375</v>
      </c>
      <c r="BB826" s="27" t="s">
        <v>308</v>
      </c>
      <c r="BC826" s="29">
        <v>44378</v>
      </c>
      <c r="BD826" s="29">
        <v>44469</v>
      </c>
      <c r="BE826" s="29">
        <v>44464</v>
      </c>
      <c r="BF826" s="27">
        <v>96</v>
      </c>
      <c r="BG826" s="27" t="s">
        <v>2631</v>
      </c>
      <c r="BH826" s="30" t="s">
        <v>2632</v>
      </c>
      <c r="BI826" s="28"/>
      <c r="BJ826" s="28"/>
      <c r="BK826" s="28"/>
      <c r="BL826" s="28"/>
      <c r="BM826" s="28"/>
      <c r="BN826" s="28"/>
      <c r="BO826" s="28"/>
      <c r="BP826" s="28"/>
      <c r="BQ826" s="28"/>
      <c r="BR826" s="28"/>
      <c r="BS826" s="28"/>
      <c r="BT826" s="28"/>
      <c r="BU826" s="28"/>
      <c r="BV826" s="28"/>
      <c r="BW826" s="28"/>
      <c r="BX826" s="28"/>
      <c r="FL826" s="33" t="s">
        <v>2633</v>
      </c>
      <c r="FM826" s="33" t="s">
        <v>321</v>
      </c>
    </row>
    <row r="827" spans="1:169" ht="23.25" customHeight="1" x14ac:dyDescent="0.15">
      <c r="A827" s="26">
        <v>44662.499262083336</v>
      </c>
      <c r="B827" s="27" t="s">
        <v>6</v>
      </c>
      <c r="C827" s="27" t="s">
        <v>11</v>
      </c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  <c r="AX827" s="27" t="s">
        <v>2634</v>
      </c>
      <c r="AY827" s="27" t="s">
        <v>2618</v>
      </c>
      <c r="AZ827" s="27" t="s">
        <v>2635</v>
      </c>
      <c r="BA827" s="27" t="s">
        <v>375</v>
      </c>
      <c r="BB827" s="27" t="s">
        <v>624</v>
      </c>
      <c r="BC827" s="29">
        <v>43641</v>
      </c>
      <c r="BD827" s="29">
        <v>43676</v>
      </c>
      <c r="BE827" s="29">
        <v>43676</v>
      </c>
      <c r="BF827" s="27">
        <v>95</v>
      </c>
      <c r="BG827" s="27" t="s">
        <v>495</v>
      </c>
      <c r="BH827" s="30" t="s">
        <v>2636</v>
      </c>
      <c r="BI827" s="28"/>
      <c r="BJ827" s="28"/>
      <c r="BK827" s="28"/>
      <c r="BL827" s="28"/>
      <c r="BM827" s="28"/>
      <c r="BN827" s="28"/>
      <c r="BO827" s="28"/>
      <c r="BP827" s="28"/>
      <c r="BQ827" s="28"/>
      <c r="BR827" s="28"/>
      <c r="BS827" s="28"/>
      <c r="BT827" s="28"/>
      <c r="BU827" s="28"/>
      <c r="BV827" s="28"/>
      <c r="BW827" s="28"/>
      <c r="BX827" s="28"/>
      <c r="FL827" s="33" t="s">
        <v>2620</v>
      </c>
      <c r="FM827" s="33" t="s">
        <v>321</v>
      </c>
    </row>
    <row r="828" spans="1:169" ht="23.25" customHeight="1" x14ac:dyDescent="0.15">
      <c r="A828" s="26">
        <v>44662.501642465279</v>
      </c>
      <c r="B828" s="27" t="s">
        <v>6</v>
      </c>
      <c r="C828" s="27" t="s">
        <v>11</v>
      </c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7" t="s">
        <v>2609</v>
      </c>
      <c r="AY828" s="27" t="s">
        <v>2610</v>
      </c>
      <c r="AZ828" s="27" t="s">
        <v>2637</v>
      </c>
      <c r="BA828" s="27" t="s">
        <v>335</v>
      </c>
      <c r="BB828" s="27" t="s">
        <v>415</v>
      </c>
      <c r="BC828" s="29">
        <v>44321</v>
      </c>
      <c r="BD828" s="29">
        <v>44387</v>
      </c>
      <c r="BE828" s="29">
        <v>44380</v>
      </c>
      <c r="BF828" s="27">
        <v>100</v>
      </c>
      <c r="BG828" s="27" t="s">
        <v>1914</v>
      </c>
      <c r="BH828" s="30" t="s">
        <v>2638</v>
      </c>
      <c r="BI828" s="28"/>
      <c r="BJ828" s="28"/>
      <c r="BK828" s="28"/>
      <c r="BL828" s="28"/>
      <c r="BM828" s="28"/>
      <c r="BN828" s="28"/>
      <c r="BO828" s="28"/>
      <c r="BP828" s="28"/>
      <c r="BQ828" s="28"/>
      <c r="BR828" s="28"/>
      <c r="BS828" s="28"/>
      <c r="BT828" s="28"/>
      <c r="BU828" s="28"/>
      <c r="BV828" s="28"/>
      <c r="BW828" s="28"/>
      <c r="BX828" s="28"/>
      <c r="FL828" s="33" t="s">
        <v>2613</v>
      </c>
      <c r="FM828" s="33" t="s">
        <v>339</v>
      </c>
    </row>
    <row r="829" spans="1:169" ht="23.25" customHeight="1" x14ac:dyDescent="0.15">
      <c r="A829" s="26">
        <v>44662.502201307871</v>
      </c>
      <c r="B829" s="27" t="s">
        <v>6</v>
      </c>
      <c r="C829" s="27" t="s">
        <v>10</v>
      </c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7" t="s">
        <v>2605</v>
      </c>
      <c r="AO829" s="27" t="s">
        <v>2606</v>
      </c>
      <c r="AP829" s="27" t="s">
        <v>576</v>
      </c>
      <c r="AQ829" s="27" t="s">
        <v>346</v>
      </c>
      <c r="AR829" s="29">
        <v>44533</v>
      </c>
      <c r="AS829" s="29">
        <v>44568</v>
      </c>
      <c r="AT829" s="27" t="s">
        <v>252</v>
      </c>
      <c r="AU829" s="27" t="s">
        <v>252</v>
      </c>
      <c r="AV829" s="27">
        <v>0</v>
      </c>
      <c r="AW829" s="30" t="s">
        <v>2639</v>
      </c>
      <c r="AX829" s="28"/>
      <c r="AY829" s="28"/>
      <c r="AZ829" s="28"/>
      <c r="BA829" s="28"/>
      <c r="BB829" s="28"/>
      <c r="BC829" s="28"/>
      <c r="BD829" s="28"/>
      <c r="BE829" s="28"/>
      <c r="BF829" s="28"/>
      <c r="BG829" s="28"/>
      <c r="BH829" s="28"/>
      <c r="BI829" s="28"/>
      <c r="BJ829" s="28"/>
      <c r="BK829" s="28"/>
      <c r="BL829" s="28"/>
      <c r="BM829" s="28"/>
      <c r="BN829" s="28"/>
      <c r="BO829" s="28"/>
      <c r="BP829" s="28"/>
      <c r="BQ829" s="28"/>
      <c r="BR829" s="28"/>
      <c r="BS829" s="28"/>
      <c r="BT829" s="28"/>
      <c r="BU829" s="28"/>
      <c r="BV829" s="28"/>
      <c r="BW829" s="28"/>
      <c r="BX829" s="28"/>
      <c r="FL829" s="33" t="s">
        <v>2608</v>
      </c>
      <c r="FM829" s="33" t="s">
        <v>273</v>
      </c>
    </row>
    <row r="830" spans="1:169" ht="23.25" customHeight="1" x14ac:dyDescent="0.15">
      <c r="A830" s="26">
        <v>44662.503307499996</v>
      </c>
      <c r="B830" s="27" t="s">
        <v>6</v>
      </c>
      <c r="C830" s="27" t="s">
        <v>11</v>
      </c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7" t="s">
        <v>2623</v>
      </c>
      <c r="AY830" s="27" t="s">
        <v>2618</v>
      </c>
      <c r="AZ830" s="27" t="s">
        <v>2640</v>
      </c>
      <c r="BA830" s="27" t="s">
        <v>375</v>
      </c>
      <c r="BB830" s="27" t="s">
        <v>493</v>
      </c>
      <c r="BC830" s="29">
        <v>43955</v>
      </c>
      <c r="BD830" s="29">
        <v>43990</v>
      </c>
      <c r="BE830" s="29">
        <v>43990</v>
      </c>
      <c r="BF830" s="27">
        <v>100</v>
      </c>
      <c r="BG830" s="27" t="s">
        <v>580</v>
      </c>
      <c r="BH830" s="30" t="s">
        <v>2641</v>
      </c>
      <c r="BI830" s="28"/>
      <c r="BJ830" s="28"/>
      <c r="BK830" s="28"/>
      <c r="BL830" s="28"/>
      <c r="BM830" s="28"/>
      <c r="BN830" s="28"/>
      <c r="BO830" s="28"/>
      <c r="BP830" s="28"/>
      <c r="BQ830" s="28"/>
      <c r="BR830" s="28"/>
      <c r="BS830" s="28"/>
      <c r="BT830" s="28"/>
      <c r="BU830" s="28"/>
      <c r="BV830" s="28"/>
      <c r="BW830" s="28"/>
      <c r="BX830" s="28"/>
      <c r="FL830" s="33" t="s">
        <v>2620</v>
      </c>
      <c r="FM830" s="33" t="s">
        <v>339</v>
      </c>
    </row>
    <row r="831" spans="1:169" ht="23.25" customHeight="1" x14ac:dyDescent="0.15">
      <c r="A831" s="26">
        <v>44662.505435312502</v>
      </c>
      <c r="B831" s="27" t="s">
        <v>6</v>
      </c>
      <c r="C831" s="27" t="s">
        <v>11</v>
      </c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  <c r="AX831" s="27" t="s">
        <v>2623</v>
      </c>
      <c r="AY831" s="27" t="s">
        <v>2618</v>
      </c>
      <c r="AZ831" s="27" t="s">
        <v>2642</v>
      </c>
      <c r="BA831" s="27" t="s">
        <v>375</v>
      </c>
      <c r="BB831" s="27" t="s">
        <v>493</v>
      </c>
      <c r="BC831" s="29">
        <v>43986</v>
      </c>
      <c r="BD831" s="29">
        <v>44024</v>
      </c>
      <c r="BE831" s="29">
        <v>44024</v>
      </c>
      <c r="BF831" s="27">
        <v>90</v>
      </c>
      <c r="BG831" s="27" t="s">
        <v>580</v>
      </c>
      <c r="BH831" s="30" t="s">
        <v>2643</v>
      </c>
      <c r="BI831" s="28"/>
      <c r="BJ831" s="28"/>
      <c r="BK831" s="28"/>
      <c r="BL831" s="28"/>
      <c r="BM831" s="28"/>
      <c r="BN831" s="28"/>
      <c r="BO831" s="28"/>
      <c r="BP831" s="28"/>
      <c r="BQ831" s="28"/>
      <c r="BR831" s="28"/>
      <c r="BS831" s="28"/>
      <c r="BT831" s="28"/>
      <c r="BU831" s="28"/>
      <c r="BV831" s="28"/>
      <c r="BW831" s="28"/>
      <c r="BX831" s="28"/>
      <c r="FL831" s="33" t="s">
        <v>2620</v>
      </c>
      <c r="FM831" s="33" t="s">
        <v>339</v>
      </c>
    </row>
    <row r="832" spans="1:169" ht="23.25" customHeight="1" x14ac:dyDescent="0.15">
      <c r="A832" s="26">
        <v>44662.506048831019</v>
      </c>
      <c r="B832" s="27" t="s">
        <v>8</v>
      </c>
      <c r="C832" s="27" t="s">
        <v>11</v>
      </c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7" t="s">
        <v>2628</v>
      </c>
      <c r="AY832" s="27" t="s">
        <v>2629</v>
      </c>
      <c r="AZ832" s="27" t="s">
        <v>2644</v>
      </c>
      <c r="BA832" s="27" t="s">
        <v>375</v>
      </c>
      <c r="BB832" s="27" t="s">
        <v>308</v>
      </c>
      <c r="BC832" s="29">
        <v>44470</v>
      </c>
      <c r="BD832" s="29">
        <v>44561</v>
      </c>
      <c r="BE832" s="29">
        <v>44556</v>
      </c>
      <c r="BF832" s="27">
        <v>97</v>
      </c>
      <c r="BG832" s="27" t="s">
        <v>2631</v>
      </c>
      <c r="BH832" s="30" t="s">
        <v>2645</v>
      </c>
      <c r="BI832" s="28"/>
      <c r="BJ832" s="28"/>
      <c r="BK832" s="28"/>
      <c r="BL832" s="28"/>
      <c r="BM832" s="28"/>
      <c r="BN832" s="28"/>
      <c r="BO832" s="28"/>
      <c r="BP832" s="28"/>
      <c r="BQ832" s="28"/>
      <c r="BR832" s="28"/>
      <c r="BS832" s="28"/>
      <c r="BT832" s="28"/>
      <c r="BU832" s="28"/>
      <c r="BV832" s="28"/>
      <c r="BW832" s="28"/>
      <c r="BX832" s="28"/>
      <c r="FL832" s="33" t="s">
        <v>2633</v>
      </c>
      <c r="FM832" s="33" t="s">
        <v>321</v>
      </c>
    </row>
    <row r="833" spans="1:194" ht="23.25" customHeight="1" x14ac:dyDescent="0.15">
      <c r="A833" s="26">
        <v>44662.507948055558</v>
      </c>
      <c r="B833" s="27" t="s">
        <v>6</v>
      </c>
      <c r="C833" s="27" t="s">
        <v>11</v>
      </c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7" t="s">
        <v>2634</v>
      </c>
      <c r="AY833" s="27" t="s">
        <v>2618</v>
      </c>
      <c r="AZ833" s="27" t="s">
        <v>345</v>
      </c>
      <c r="BA833" s="27" t="s">
        <v>375</v>
      </c>
      <c r="BB833" s="27" t="s">
        <v>493</v>
      </c>
      <c r="BC833" s="29">
        <v>43901</v>
      </c>
      <c r="BD833" s="29">
        <v>43946</v>
      </c>
      <c r="BE833" s="29">
        <v>43946</v>
      </c>
      <c r="BF833" s="27">
        <v>95</v>
      </c>
      <c r="BG833" s="27" t="s">
        <v>580</v>
      </c>
      <c r="BH833" s="30" t="s">
        <v>2646</v>
      </c>
      <c r="BI833" s="28"/>
      <c r="BJ833" s="28"/>
      <c r="BK833" s="28"/>
      <c r="BL833" s="28"/>
      <c r="BM833" s="28"/>
      <c r="BN833" s="28"/>
      <c r="BO833" s="28"/>
      <c r="BP833" s="28"/>
      <c r="BQ833" s="28"/>
      <c r="BR833" s="28"/>
      <c r="BS833" s="28"/>
      <c r="BT833" s="28"/>
      <c r="BU833" s="28"/>
      <c r="BV833" s="28"/>
      <c r="BW833" s="28"/>
      <c r="BX833" s="28"/>
      <c r="FL833" s="33" t="s">
        <v>2620</v>
      </c>
      <c r="FM833" s="33" t="s">
        <v>278</v>
      </c>
    </row>
    <row r="834" spans="1:194" ht="23.25" customHeight="1" x14ac:dyDescent="0.15">
      <c r="A834" s="26">
        <v>44662.508039097222</v>
      </c>
      <c r="B834" s="27" t="s">
        <v>8</v>
      </c>
      <c r="C834" s="27" t="s">
        <v>10</v>
      </c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7" t="s">
        <v>2628</v>
      </c>
      <c r="AO834" s="27" t="s">
        <v>2629</v>
      </c>
      <c r="AP834" s="27" t="s">
        <v>302</v>
      </c>
      <c r="AQ834" s="27" t="s">
        <v>308</v>
      </c>
      <c r="AR834" s="29">
        <v>44470</v>
      </c>
      <c r="AS834" s="29">
        <v>44561</v>
      </c>
      <c r="AT834" s="27" t="s">
        <v>252</v>
      </c>
      <c r="AU834" s="27" t="s">
        <v>252</v>
      </c>
      <c r="AV834" s="27">
        <v>0</v>
      </c>
      <c r="AW834" s="30" t="s">
        <v>2647</v>
      </c>
      <c r="AX834" s="28"/>
      <c r="AY834" s="28"/>
      <c r="AZ834" s="28"/>
      <c r="BA834" s="28"/>
      <c r="BB834" s="28"/>
      <c r="BC834" s="28"/>
      <c r="BD834" s="28"/>
      <c r="BE834" s="28"/>
      <c r="BF834" s="28"/>
      <c r="BG834" s="28"/>
      <c r="BH834" s="28"/>
      <c r="BI834" s="28"/>
      <c r="BJ834" s="28"/>
      <c r="BK834" s="28"/>
      <c r="BL834" s="28"/>
      <c r="BM834" s="28"/>
      <c r="BN834" s="28"/>
      <c r="BO834" s="28"/>
      <c r="BP834" s="28"/>
      <c r="BQ834" s="28"/>
      <c r="BR834" s="28"/>
      <c r="BS834" s="28"/>
      <c r="BT834" s="28"/>
      <c r="BU834" s="28"/>
      <c r="BV834" s="28"/>
      <c r="BW834" s="28"/>
      <c r="BX834" s="28"/>
      <c r="FL834" s="33" t="s">
        <v>2633</v>
      </c>
      <c r="FM834" s="33" t="s">
        <v>321</v>
      </c>
    </row>
    <row r="835" spans="1:194" ht="23.25" customHeight="1" x14ac:dyDescent="0.15">
      <c r="A835" s="26">
        <v>44662.509825555557</v>
      </c>
      <c r="B835" s="27" t="s">
        <v>6</v>
      </c>
      <c r="C835" s="27" t="s">
        <v>10</v>
      </c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7" t="s">
        <v>2648</v>
      </c>
      <c r="AO835" s="27" t="s">
        <v>2649</v>
      </c>
      <c r="AP835" s="27" t="s">
        <v>1429</v>
      </c>
      <c r="AQ835" s="27" t="s">
        <v>308</v>
      </c>
      <c r="AR835" s="29">
        <v>44317</v>
      </c>
      <c r="AS835" s="29">
        <v>44377</v>
      </c>
      <c r="AT835" s="27" t="s">
        <v>252</v>
      </c>
      <c r="AU835" s="27" t="s">
        <v>251</v>
      </c>
      <c r="AV835" s="27">
        <v>5000</v>
      </c>
      <c r="AW835" s="30" t="s">
        <v>2650</v>
      </c>
      <c r="AX835" s="28"/>
      <c r="AY835" s="28"/>
      <c r="AZ835" s="28"/>
      <c r="BA835" s="28"/>
      <c r="BB835" s="28"/>
      <c r="BC835" s="28"/>
      <c r="BD835" s="28"/>
      <c r="BE835" s="28"/>
      <c r="BF835" s="28"/>
      <c r="BG835" s="28"/>
      <c r="BH835" s="28"/>
      <c r="BI835" s="28"/>
      <c r="BJ835" s="28"/>
      <c r="BK835" s="28"/>
      <c r="BL835" s="28"/>
      <c r="BM835" s="28"/>
      <c r="BN835" s="28"/>
      <c r="BO835" s="28"/>
      <c r="BP835" s="28"/>
      <c r="BQ835" s="28"/>
      <c r="BR835" s="28"/>
      <c r="BS835" s="28"/>
      <c r="BT835" s="28"/>
      <c r="BU835" s="28"/>
      <c r="BV835" s="28"/>
      <c r="BW835" s="28"/>
      <c r="BX835" s="28"/>
      <c r="FL835" s="33" t="s">
        <v>2651</v>
      </c>
      <c r="FM835" s="33" t="s">
        <v>255</v>
      </c>
    </row>
    <row r="836" spans="1:194" ht="23.25" customHeight="1" x14ac:dyDescent="0.15">
      <c r="A836" s="26">
        <v>44662.510534675923</v>
      </c>
      <c r="B836" s="27" t="s">
        <v>6</v>
      </c>
      <c r="C836" s="27" t="s">
        <v>11</v>
      </c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  <c r="AX836" s="27" t="s">
        <v>2652</v>
      </c>
      <c r="AY836" s="27" t="s">
        <v>2618</v>
      </c>
      <c r="AZ836" s="27" t="s">
        <v>440</v>
      </c>
      <c r="BA836" s="27" t="s">
        <v>307</v>
      </c>
      <c r="BB836" s="27" t="s">
        <v>300</v>
      </c>
      <c r="BC836" s="29">
        <v>44481</v>
      </c>
      <c r="BD836" s="29">
        <v>44541</v>
      </c>
      <c r="BE836" s="29">
        <v>44266</v>
      </c>
      <c r="BF836" s="27">
        <v>100</v>
      </c>
      <c r="BG836" s="27" t="s">
        <v>2653</v>
      </c>
      <c r="BH836" s="30" t="s">
        <v>2654</v>
      </c>
      <c r="BI836" s="28"/>
      <c r="BJ836" s="28"/>
      <c r="BK836" s="28"/>
      <c r="BL836" s="28"/>
      <c r="BM836" s="28"/>
      <c r="BN836" s="28"/>
      <c r="BO836" s="28"/>
      <c r="BP836" s="28"/>
      <c r="BQ836" s="28"/>
      <c r="BR836" s="28"/>
      <c r="BS836" s="28"/>
      <c r="BT836" s="28"/>
      <c r="BU836" s="28"/>
      <c r="BV836" s="28"/>
      <c r="BW836" s="28"/>
      <c r="BX836" s="28"/>
      <c r="FL836" s="33" t="s">
        <v>2620</v>
      </c>
      <c r="FM836" s="33" t="s">
        <v>273</v>
      </c>
    </row>
    <row r="837" spans="1:194" ht="23.25" customHeight="1" x14ac:dyDescent="0.15">
      <c r="A837" s="26">
        <v>44662.51212694445</v>
      </c>
      <c r="B837" s="27" t="s">
        <v>6</v>
      </c>
      <c r="C837" s="27" t="s">
        <v>11</v>
      </c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  <c r="AX837" s="27" t="s">
        <v>2623</v>
      </c>
      <c r="AY837" s="27" t="s">
        <v>2618</v>
      </c>
      <c r="AZ837" s="27" t="s">
        <v>354</v>
      </c>
      <c r="BA837" s="27" t="s">
        <v>375</v>
      </c>
      <c r="BB837" s="27" t="s">
        <v>493</v>
      </c>
      <c r="BC837" s="29">
        <v>44293</v>
      </c>
      <c r="BD837" s="29">
        <v>44341</v>
      </c>
      <c r="BE837" s="29">
        <v>44341</v>
      </c>
      <c r="BF837" s="27">
        <v>100</v>
      </c>
      <c r="BG837" s="27" t="s">
        <v>2655</v>
      </c>
      <c r="BH837" s="30" t="s">
        <v>2656</v>
      </c>
      <c r="BI837" s="28"/>
      <c r="BJ837" s="28"/>
      <c r="BK837" s="28"/>
      <c r="BL837" s="28"/>
      <c r="BM837" s="28"/>
      <c r="BN837" s="28"/>
      <c r="BO837" s="28"/>
      <c r="BP837" s="28"/>
      <c r="BQ837" s="28"/>
      <c r="BR837" s="28"/>
      <c r="BS837" s="28"/>
      <c r="BT837" s="28"/>
      <c r="BU837" s="28"/>
      <c r="BV837" s="28"/>
      <c r="BW837" s="28"/>
      <c r="BX837" s="28"/>
      <c r="FL837" s="33" t="s">
        <v>2620</v>
      </c>
      <c r="FM837" s="33" t="s">
        <v>339</v>
      </c>
    </row>
    <row r="838" spans="1:194" ht="23.25" customHeight="1" x14ac:dyDescent="0.15">
      <c r="A838" s="26">
        <v>44662.513351122689</v>
      </c>
      <c r="B838" s="27" t="s">
        <v>6</v>
      </c>
      <c r="C838" s="27" t="s">
        <v>22</v>
      </c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  <c r="BD838" s="28"/>
      <c r="BE838" s="28"/>
      <c r="BF838" s="28"/>
      <c r="BG838" s="28"/>
      <c r="BH838" s="28"/>
      <c r="BI838" s="28"/>
      <c r="BJ838" s="28"/>
      <c r="BK838" s="28"/>
      <c r="BL838" s="28"/>
      <c r="BM838" s="28"/>
      <c r="BN838" s="28"/>
      <c r="BO838" s="28"/>
      <c r="BP838" s="28"/>
      <c r="BQ838" s="28"/>
      <c r="BR838" s="28"/>
      <c r="BS838" s="28"/>
      <c r="BT838" s="28"/>
      <c r="BU838" s="28"/>
      <c r="BV838" s="28"/>
      <c r="BW838" s="28"/>
      <c r="BX838" s="28"/>
      <c r="FL838" s="33" t="s">
        <v>2651</v>
      </c>
      <c r="FM838" s="33" t="s">
        <v>255</v>
      </c>
      <c r="GF838" s="33" t="s">
        <v>2648</v>
      </c>
      <c r="GG838" s="33" t="s">
        <v>2649</v>
      </c>
      <c r="GH838" s="33" t="s">
        <v>634</v>
      </c>
      <c r="GI838" s="34">
        <v>44718</v>
      </c>
      <c r="GJ838" s="35" t="s">
        <v>2657</v>
      </c>
      <c r="GK838" s="33" t="s">
        <v>520</v>
      </c>
      <c r="GL838" s="33">
        <v>3.5</v>
      </c>
    </row>
    <row r="839" spans="1:194" ht="23.25" customHeight="1" x14ac:dyDescent="0.15">
      <c r="A839" s="26">
        <v>44662.513570011579</v>
      </c>
      <c r="B839" s="27" t="s">
        <v>6</v>
      </c>
      <c r="C839" s="27" t="s">
        <v>12</v>
      </c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  <c r="BE839" s="28"/>
      <c r="BF839" s="28"/>
      <c r="BG839" s="28"/>
      <c r="BH839" s="28"/>
      <c r="BI839" s="27" t="s">
        <v>2605</v>
      </c>
      <c r="BJ839" s="27" t="s">
        <v>2606</v>
      </c>
      <c r="BK839" s="27" t="s">
        <v>154</v>
      </c>
      <c r="BL839" s="27" t="s">
        <v>1285</v>
      </c>
      <c r="BM839" s="27" t="s">
        <v>2658</v>
      </c>
      <c r="BN839" s="27">
        <v>2</v>
      </c>
      <c r="BO839" s="29">
        <v>43694</v>
      </c>
      <c r="BP839" s="29">
        <v>43695</v>
      </c>
      <c r="BQ839" s="27" t="s">
        <v>2659</v>
      </c>
      <c r="BR839" s="27" t="s">
        <v>2660</v>
      </c>
      <c r="BS839" s="27" t="s">
        <v>171</v>
      </c>
      <c r="BT839" s="27" t="s">
        <v>629</v>
      </c>
      <c r="BU839" s="28"/>
      <c r="BV839" s="30" t="s">
        <v>2661</v>
      </c>
      <c r="BW839" s="28"/>
      <c r="BX839" s="28"/>
      <c r="FL839" s="33" t="s">
        <v>2608</v>
      </c>
      <c r="FM839" s="33" t="s">
        <v>552</v>
      </c>
    </row>
    <row r="840" spans="1:194" ht="23.25" customHeight="1" x14ac:dyDescent="0.15">
      <c r="A840" s="26">
        <v>44662.516002835648</v>
      </c>
      <c r="B840" s="27" t="s">
        <v>8</v>
      </c>
      <c r="C840" s="27" t="s">
        <v>11</v>
      </c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  <c r="AX840" s="27" t="s">
        <v>2662</v>
      </c>
      <c r="AY840" s="27" t="s">
        <v>2663</v>
      </c>
      <c r="AZ840" s="27" t="s">
        <v>2664</v>
      </c>
      <c r="BA840" s="27" t="s">
        <v>2665</v>
      </c>
      <c r="BB840" s="27" t="s">
        <v>300</v>
      </c>
      <c r="BC840" s="29">
        <v>44491</v>
      </c>
      <c r="BD840" s="29">
        <v>44561</v>
      </c>
      <c r="BE840" s="29">
        <v>44561</v>
      </c>
      <c r="BF840" s="27">
        <v>90</v>
      </c>
      <c r="BG840" s="27" t="s">
        <v>2666</v>
      </c>
      <c r="BH840" s="30" t="s">
        <v>2667</v>
      </c>
      <c r="BI840" s="28"/>
      <c r="BJ840" s="28"/>
      <c r="BK840" s="28"/>
      <c r="BL840" s="28"/>
      <c r="BM840" s="28"/>
      <c r="BN840" s="28"/>
      <c r="BO840" s="28"/>
      <c r="BP840" s="28"/>
      <c r="BQ840" s="28"/>
      <c r="BR840" s="28"/>
      <c r="BS840" s="28"/>
      <c r="BT840" s="28"/>
      <c r="BU840" s="28"/>
      <c r="BV840" s="28"/>
      <c r="BW840" s="28"/>
      <c r="BX840" s="28"/>
      <c r="FL840" s="33" t="s">
        <v>2668</v>
      </c>
      <c r="FM840" s="33" t="s">
        <v>321</v>
      </c>
    </row>
    <row r="841" spans="1:194" ht="23.25" customHeight="1" x14ac:dyDescent="0.15">
      <c r="A841" s="38">
        <v>44662.51639211805</v>
      </c>
      <c r="B841" s="39" t="s">
        <v>6</v>
      </c>
      <c r="C841" s="39" t="s">
        <v>17</v>
      </c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0"/>
      <c r="AJ841" s="40"/>
      <c r="AK841" s="40"/>
      <c r="AL841" s="40"/>
      <c r="AM841" s="40"/>
      <c r="AN841" s="40"/>
      <c r="AO841" s="40"/>
      <c r="AP841" s="40"/>
      <c r="AQ841" s="40"/>
      <c r="AR841" s="40"/>
      <c r="AS841" s="40"/>
      <c r="AT841" s="40"/>
      <c r="AU841" s="40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0"/>
      <c r="BI841" s="40"/>
      <c r="BJ841" s="40"/>
      <c r="BK841" s="40"/>
      <c r="BL841" s="40"/>
      <c r="BM841" s="40"/>
      <c r="BN841" s="40"/>
      <c r="BO841" s="40"/>
      <c r="BP841" s="40"/>
      <c r="BQ841" s="40"/>
      <c r="BR841" s="40"/>
      <c r="BS841" s="40"/>
      <c r="BT841" s="40"/>
      <c r="BU841" s="40"/>
      <c r="BV841" s="40"/>
      <c r="BW841" s="40"/>
      <c r="BX841" s="40"/>
      <c r="DX841" s="33" t="s">
        <v>2669</v>
      </c>
      <c r="DY841" s="33" t="s">
        <v>2618</v>
      </c>
      <c r="DZ841" s="33" t="s">
        <v>311</v>
      </c>
      <c r="EA841" s="33" t="s">
        <v>2670</v>
      </c>
      <c r="EB841" s="34">
        <v>44503</v>
      </c>
      <c r="EC841" s="33" t="s">
        <v>2671</v>
      </c>
      <c r="ED841" s="35" t="s">
        <v>2672</v>
      </c>
      <c r="FL841" s="33" t="s">
        <v>2620</v>
      </c>
      <c r="FM841" s="33" t="s">
        <v>278</v>
      </c>
    </row>
    <row r="842" spans="1:194" ht="23.25" customHeight="1" x14ac:dyDescent="0.15">
      <c r="A842" s="41">
        <v>44662.518064942131</v>
      </c>
      <c r="B842" s="42" t="s">
        <v>6</v>
      </c>
      <c r="C842" s="42" t="s">
        <v>11</v>
      </c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  <c r="AA842" s="43"/>
      <c r="AB842" s="43"/>
      <c r="AC842" s="43"/>
      <c r="AD842" s="43"/>
      <c r="AE842" s="43"/>
      <c r="AF842" s="43"/>
      <c r="AG842" s="43"/>
      <c r="AH842" s="43"/>
      <c r="AI842" s="43"/>
      <c r="AJ842" s="43"/>
      <c r="AK842" s="43"/>
      <c r="AL842" s="43"/>
      <c r="AM842" s="43"/>
      <c r="AN842" s="43"/>
      <c r="AO842" s="43"/>
      <c r="AP842" s="43"/>
      <c r="AQ842" s="43"/>
      <c r="AR842" s="43"/>
      <c r="AS842" s="43"/>
      <c r="AT842" s="43"/>
      <c r="AU842" s="43"/>
      <c r="AV842" s="43"/>
      <c r="AW842" s="43"/>
      <c r="AX842" s="42" t="s">
        <v>2648</v>
      </c>
      <c r="AY842" s="42" t="s">
        <v>2649</v>
      </c>
      <c r="AZ842" s="42" t="s">
        <v>2673</v>
      </c>
      <c r="BA842" s="42" t="s">
        <v>2674</v>
      </c>
      <c r="BB842" s="42" t="s">
        <v>2675</v>
      </c>
      <c r="BC842" s="44">
        <v>44296</v>
      </c>
      <c r="BD842" s="44">
        <v>44661</v>
      </c>
      <c r="BE842" s="44">
        <v>44296</v>
      </c>
      <c r="BF842" s="45">
        <v>0.8</v>
      </c>
      <c r="BG842" s="42" t="s">
        <v>520</v>
      </c>
      <c r="BH842" s="46" t="s">
        <v>2676</v>
      </c>
      <c r="BI842" s="43"/>
      <c r="BJ842" s="43"/>
      <c r="BK842" s="43"/>
      <c r="BL842" s="43"/>
      <c r="BM842" s="43"/>
      <c r="BN842" s="43"/>
      <c r="BO842" s="43"/>
      <c r="BP842" s="43"/>
      <c r="BQ842" s="43"/>
      <c r="BR842" s="43"/>
      <c r="BS842" s="43"/>
      <c r="BT842" s="43"/>
      <c r="BU842" s="43"/>
      <c r="BV842" s="43"/>
      <c r="BW842" s="43"/>
      <c r="BX842" s="43"/>
      <c r="FL842" s="33" t="s">
        <v>2651</v>
      </c>
      <c r="FM842" s="33" t="s">
        <v>255</v>
      </c>
    </row>
    <row r="843" spans="1:194" ht="23.25" customHeight="1" x14ac:dyDescent="0.15">
      <c r="A843" s="41">
        <v>44662.519455462963</v>
      </c>
      <c r="B843" s="42" t="s">
        <v>6</v>
      </c>
      <c r="C843" s="42" t="s">
        <v>12</v>
      </c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  <c r="AA843" s="43"/>
      <c r="AB843" s="43"/>
      <c r="AC843" s="43"/>
      <c r="AD843" s="43"/>
      <c r="AE843" s="43"/>
      <c r="AF843" s="43"/>
      <c r="AG843" s="43"/>
      <c r="AH843" s="43"/>
      <c r="AI843" s="43"/>
      <c r="AJ843" s="43"/>
      <c r="AK843" s="43"/>
      <c r="AL843" s="43"/>
      <c r="AM843" s="43"/>
      <c r="AN843" s="43"/>
      <c r="AO843" s="43"/>
      <c r="AP843" s="43"/>
      <c r="AQ843" s="43"/>
      <c r="AR843" s="43"/>
      <c r="AS843" s="43"/>
      <c r="AT843" s="43"/>
      <c r="AU843" s="43"/>
      <c r="AV843" s="43"/>
      <c r="AW843" s="43"/>
      <c r="AX843" s="43"/>
      <c r="AY843" s="43"/>
      <c r="AZ843" s="43"/>
      <c r="BA843" s="43"/>
      <c r="BB843" s="43"/>
      <c r="BC843" s="43"/>
      <c r="BD843" s="43"/>
      <c r="BE843" s="43"/>
      <c r="BF843" s="43"/>
      <c r="BG843" s="43"/>
      <c r="BH843" s="43"/>
      <c r="BI843" s="42" t="s">
        <v>804</v>
      </c>
      <c r="BJ843" s="42" t="s">
        <v>805</v>
      </c>
      <c r="BK843" s="42" t="s">
        <v>145</v>
      </c>
      <c r="BL843" s="42" t="s">
        <v>1285</v>
      </c>
      <c r="BM843" s="42" t="s">
        <v>2677</v>
      </c>
      <c r="BN843" s="42">
        <v>2</v>
      </c>
      <c r="BO843" s="44">
        <v>43379</v>
      </c>
      <c r="BP843" s="44">
        <v>43380</v>
      </c>
      <c r="BQ843" s="42" t="s">
        <v>820</v>
      </c>
      <c r="BR843" s="42" t="s">
        <v>2678</v>
      </c>
      <c r="BS843" s="42" t="s">
        <v>271</v>
      </c>
      <c r="BT843" s="42" t="s">
        <v>151</v>
      </c>
      <c r="BU843" s="43"/>
      <c r="BV843" s="46" t="s">
        <v>2679</v>
      </c>
      <c r="BW843" s="43"/>
      <c r="BX843" s="43"/>
      <c r="FL843" s="33" t="s">
        <v>809</v>
      </c>
      <c r="FM843" s="33" t="s">
        <v>255</v>
      </c>
    </row>
    <row r="844" spans="1:194" ht="23.25" customHeight="1" x14ac:dyDescent="0.15">
      <c r="A844" s="41">
        <v>44662.519741400465</v>
      </c>
      <c r="B844" s="42" t="s">
        <v>6</v>
      </c>
      <c r="C844" s="42" t="s">
        <v>10</v>
      </c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  <c r="AA844" s="43"/>
      <c r="AB844" s="43"/>
      <c r="AC844" s="43"/>
      <c r="AD844" s="43"/>
      <c r="AE844" s="43"/>
      <c r="AF844" s="43"/>
      <c r="AG844" s="43"/>
      <c r="AH844" s="43"/>
      <c r="AI844" s="43"/>
      <c r="AJ844" s="43"/>
      <c r="AK844" s="43"/>
      <c r="AL844" s="43"/>
      <c r="AM844" s="43"/>
      <c r="AN844" s="42" t="s">
        <v>2634</v>
      </c>
      <c r="AO844" s="42" t="s">
        <v>2618</v>
      </c>
      <c r="AP844" s="42" t="s">
        <v>375</v>
      </c>
      <c r="AQ844" s="42" t="s">
        <v>259</v>
      </c>
      <c r="AR844" s="44">
        <v>44573</v>
      </c>
      <c r="AS844" s="44">
        <v>44730</v>
      </c>
      <c r="AT844" s="42" t="s">
        <v>251</v>
      </c>
      <c r="AU844" s="42" t="s">
        <v>252</v>
      </c>
      <c r="AV844" s="42">
        <v>0</v>
      </c>
      <c r="AW844" s="46" t="s">
        <v>2680</v>
      </c>
      <c r="AX844" s="43"/>
      <c r="AY844" s="43"/>
      <c r="AZ844" s="43"/>
      <c r="BA844" s="43"/>
      <c r="BB844" s="43"/>
      <c r="BC844" s="43"/>
      <c r="BD844" s="43"/>
      <c r="BE844" s="43"/>
      <c r="BF844" s="43"/>
      <c r="BG844" s="43"/>
      <c r="BH844" s="43"/>
      <c r="BI844" s="43"/>
      <c r="BJ844" s="43"/>
      <c r="BK844" s="43"/>
      <c r="BL844" s="43"/>
      <c r="BM844" s="43"/>
      <c r="BN844" s="43"/>
      <c r="BO844" s="43"/>
      <c r="BP844" s="43"/>
      <c r="BQ844" s="43"/>
      <c r="BR844" s="43"/>
      <c r="BS844" s="43"/>
      <c r="BT844" s="43"/>
      <c r="BU844" s="43"/>
      <c r="BV844" s="43"/>
      <c r="BW844" s="43"/>
      <c r="BX844" s="43"/>
      <c r="FL844" s="33" t="s">
        <v>2620</v>
      </c>
      <c r="FM844" s="33" t="s">
        <v>273</v>
      </c>
    </row>
    <row r="845" spans="1:194" ht="23.25" customHeight="1" x14ac:dyDescent="0.15">
      <c r="A845" s="41">
        <v>44662.522129293982</v>
      </c>
      <c r="B845" s="42" t="s">
        <v>6</v>
      </c>
      <c r="C845" s="42" t="s">
        <v>22</v>
      </c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  <c r="AA845" s="43"/>
      <c r="AB845" s="43"/>
      <c r="AC845" s="43"/>
      <c r="AD845" s="43"/>
      <c r="AE845" s="43"/>
      <c r="AF845" s="43"/>
      <c r="AG845" s="43"/>
      <c r="AH845" s="43"/>
      <c r="AI845" s="43"/>
      <c r="AJ845" s="43"/>
      <c r="AK845" s="43"/>
      <c r="AL845" s="43"/>
      <c r="AM845" s="43"/>
      <c r="AN845" s="43"/>
      <c r="AO845" s="43"/>
      <c r="AP845" s="43"/>
      <c r="AQ845" s="43"/>
      <c r="AR845" s="43"/>
      <c r="AS845" s="43"/>
      <c r="AT845" s="43"/>
      <c r="AU845" s="43"/>
      <c r="AV845" s="43"/>
      <c r="AW845" s="43"/>
      <c r="AX845" s="43"/>
      <c r="AY845" s="43"/>
      <c r="AZ845" s="43"/>
      <c r="BA845" s="43"/>
      <c r="BB845" s="43"/>
      <c r="BC845" s="43"/>
      <c r="BD845" s="43"/>
      <c r="BE845" s="43"/>
      <c r="BF845" s="43"/>
      <c r="BG845" s="43"/>
      <c r="BH845" s="43"/>
      <c r="BI845" s="43"/>
      <c r="BJ845" s="43"/>
      <c r="BK845" s="43"/>
      <c r="BL845" s="43"/>
      <c r="BM845" s="43"/>
      <c r="BN845" s="43"/>
      <c r="BO845" s="43"/>
      <c r="BP845" s="43"/>
      <c r="BQ845" s="43"/>
      <c r="BR845" s="43"/>
      <c r="BS845" s="43"/>
      <c r="BT845" s="43"/>
      <c r="BU845" s="43"/>
      <c r="BV845" s="43"/>
      <c r="BW845" s="43"/>
      <c r="BX845" s="43"/>
      <c r="FL845" s="33" t="s">
        <v>2681</v>
      </c>
      <c r="FM845" s="33" t="s">
        <v>321</v>
      </c>
      <c r="GF845" s="33" t="s">
        <v>2682</v>
      </c>
      <c r="GG845" s="33" t="s">
        <v>2683</v>
      </c>
      <c r="GH845" s="33" t="s">
        <v>249</v>
      </c>
      <c r="GI845" s="34">
        <v>44715</v>
      </c>
      <c r="GJ845" s="35" t="s">
        <v>2684</v>
      </c>
      <c r="GK845" s="33" t="s">
        <v>653</v>
      </c>
      <c r="GL845" s="33" t="s">
        <v>2685</v>
      </c>
    </row>
    <row r="846" spans="1:194" ht="23.25" customHeight="1" x14ac:dyDescent="0.15">
      <c r="A846" s="41">
        <v>44662.522148483797</v>
      </c>
      <c r="B846" s="42" t="s">
        <v>6</v>
      </c>
      <c r="C846" s="42" t="s">
        <v>11</v>
      </c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  <c r="AA846" s="43"/>
      <c r="AB846" s="43"/>
      <c r="AC846" s="43"/>
      <c r="AD846" s="43"/>
      <c r="AE846" s="43"/>
      <c r="AF846" s="43"/>
      <c r="AG846" s="43"/>
      <c r="AH846" s="43"/>
      <c r="AI846" s="43"/>
      <c r="AJ846" s="43"/>
      <c r="AK846" s="43"/>
      <c r="AL846" s="43"/>
      <c r="AM846" s="43"/>
      <c r="AN846" s="43"/>
      <c r="AO846" s="43"/>
      <c r="AP846" s="43"/>
      <c r="AQ846" s="43"/>
      <c r="AR846" s="43"/>
      <c r="AS846" s="43"/>
      <c r="AT846" s="43"/>
      <c r="AU846" s="43"/>
      <c r="AV846" s="43"/>
      <c r="AW846" s="43"/>
      <c r="AX846" s="42" t="s">
        <v>2609</v>
      </c>
      <c r="AY846" s="42" t="s">
        <v>2610</v>
      </c>
      <c r="AZ846" s="42" t="s">
        <v>2686</v>
      </c>
      <c r="BA846" s="42" t="s">
        <v>1375</v>
      </c>
      <c r="BB846" s="42" t="s">
        <v>259</v>
      </c>
      <c r="BC846" s="44">
        <v>43872</v>
      </c>
      <c r="BD846" s="44">
        <v>44028</v>
      </c>
      <c r="BE846" s="44">
        <v>44025</v>
      </c>
      <c r="BF846" s="42">
        <v>100</v>
      </c>
      <c r="BG846" s="42" t="s">
        <v>2687</v>
      </c>
      <c r="BH846" s="46" t="s">
        <v>2688</v>
      </c>
      <c r="BI846" s="43"/>
      <c r="BJ846" s="43"/>
      <c r="BK846" s="43"/>
      <c r="BL846" s="43"/>
      <c r="BM846" s="43"/>
      <c r="BN846" s="43"/>
      <c r="BO846" s="43"/>
      <c r="BP846" s="43"/>
      <c r="BQ846" s="43"/>
      <c r="BR846" s="43"/>
      <c r="BS846" s="43"/>
      <c r="BT846" s="43"/>
      <c r="BU846" s="43"/>
      <c r="BV846" s="43"/>
      <c r="BW846" s="43"/>
      <c r="BX846" s="43"/>
      <c r="FL846" s="33" t="s">
        <v>2613</v>
      </c>
      <c r="FM846" s="33" t="s">
        <v>321</v>
      </c>
    </row>
    <row r="847" spans="1:194" ht="23.25" customHeight="1" x14ac:dyDescent="0.15">
      <c r="A847" s="41">
        <v>44662.522828749999</v>
      </c>
      <c r="B847" s="42" t="s">
        <v>6</v>
      </c>
      <c r="C847" s="42" t="s">
        <v>11</v>
      </c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  <c r="AA847" s="43"/>
      <c r="AB847" s="43"/>
      <c r="AC847" s="43"/>
      <c r="AD847" s="43"/>
      <c r="AE847" s="43"/>
      <c r="AF847" s="43"/>
      <c r="AG847" s="43"/>
      <c r="AH847" s="43"/>
      <c r="AI847" s="43"/>
      <c r="AJ847" s="43"/>
      <c r="AK847" s="43"/>
      <c r="AL847" s="43"/>
      <c r="AM847" s="43"/>
      <c r="AN847" s="43"/>
      <c r="AO847" s="43"/>
      <c r="AP847" s="43"/>
      <c r="AQ847" s="43"/>
      <c r="AR847" s="43"/>
      <c r="AS847" s="43"/>
      <c r="AT847" s="43"/>
      <c r="AU847" s="43"/>
      <c r="AV847" s="43"/>
      <c r="AW847" s="43"/>
      <c r="AX847" s="42" t="s">
        <v>804</v>
      </c>
      <c r="AY847" s="42" t="s">
        <v>805</v>
      </c>
      <c r="AZ847" s="42" t="s">
        <v>2689</v>
      </c>
      <c r="BA847" s="42" t="s">
        <v>375</v>
      </c>
      <c r="BB847" s="42" t="s">
        <v>2690</v>
      </c>
      <c r="BC847" s="44">
        <v>43159</v>
      </c>
      <c r="BD847" s="44">
        <v>43311</v>
      </c>
      <c r="BE847" s="44">
        <v>43311</v>
      </c>
      <c r="BF847" s="42">
        <v>98</v>
      </c>
      <c r="BG847" s="42" t="s">
        <v>2056</v>
      </c>
      <c r="BH847" s="46" t="s">
        <v>2691</v>
      </c>
      <c r="BI847" s="43"/>
      <c r="BJ847" s="43"/>
      <c r="BK847" s="43"/>
      <c r="BL847" s="43"/>
      <c r="BM847" s="43"/>
      <c r="BN847" s="43"/>
      <c r="BO847" s="43"/>
      <c r="BP847" s="43"/>
      <c r="BQ847" s="43"/>
      <c r="BR847" s="43"/>
      <c r="BS847" s="43"/>
      <c r="BT847" s="43"/>
      <c r="BU847" s="43"/>
      <c r="BV847" s="43"/>
      <c r="BW847" s="43"/>
      <c r="BX847" s="43"/>
      <c r="FL847" s="33" t="s">
        <v>809</v>
      </c>
      <c r="FM847" s="33" t="s">
        <v>255</v>
      </c>
    </row>
    <row r="848" spans="1:194" ht="23.25" customHeight="1" x14ac:dyDescent="0.15">
      <c r="A848" s="41">
        <v>44662.524278101853</v>
      </c>
      <c r="B848" s="42" t="s">
        <v>6</v>
      </c>
      <c r="C848" s="42" t="s">
        <v>11</v>
      </c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  <c r="AA848" s="43"/>
      <c r="AB848" s="43"/>
      <c r="AC848" s="43"/>
      <c r="AD848" s="43"/>
      <c r="AE848" s="43"/>
      <c r="AF848" s="43"/>
      <c r="AG848" s="43"/>
      <c r="AH848" s="43"/>
      <c r="AI848" s="43"/>
      <c r="AJ848" s="43"/>
      <c r="AK848" s="43"/>
      <c r="AL848" s="43"/>
      <c r="AM848" s="43"/>
      <c r="AN848" s="43"/>
      <c r="AO848" s="43"/>
      <c r="AP848" s="43"/>
      <c r="AQ848" s="43"/>
      <c r="AR848" s="43"/>
      <c r="AS848" s="43"/>
      <c r="AT848" s="43"/>
      <c r="AU848" s="43"/>
      <c r="AV848" s="43"/>
      <c r="AW848" s="43"/>
      <c r="AX848" s="42" t="s">
        <v>804</v>
      </c>
      <c r="AY848" s="42" t="s">
        <v>805</v>
      </c>
      <c r="AZ848" s="42" t="s">
        <v>2692</v>
      </c>
      <c r="BA848" s="42" t="s">
        <v>2693</v>
      </c>
      <c r="BB848" s="42" t="s">
        <v>807</v>
      </c>
      <c r="BC848" s="44">
        <v>44562</v>
      </c>
      <c r="BD848" s="44">
        <v>44639</v>
      </c>
      <c r="BE848" s="44">
        <v>44621</v>
      </c>
      <c r="BF848" s="42">
        <v>90</v>
      </c>
      <c r="BG848" s="42" t="s">
        <v>520</v>
      </c>
      <c r="BH848" s="46" t="s">
        <v>2694</v>
      </c>
      <c r="BI848" s="43"/>
      <c r="BJ848" s="43"/>
      <c r="BK848" s="43"/>
      <c r="BL848" s="43"/>
      <c r="BM848" s="43"/>
      <c r="BN848" s="43"/>
      <c r="BO848" s="43"/>
      <c r="BP848" s="43"/>
      <c r="BQ848" s="43"/>
      <c r="BR848" s="43"/>
      <c r="BS848" s="43"/>
      <c r="BT848" s="43"/>
      <c r="BU848" s="43"/>
      <c r="BV848" s="43"/>
      <c r="BW848" s="43"/>
      <c r="BX848" s="43"/>
      <c r="FL848" s="33" t="s">
        <v>809</v>
      </c>
      <c r="FM848" s="33" t="s">
        <v>255</v>
      </c>
    </row>
    <row r="849" spans="1:169" ht="23.25" customHeight="1" x14ac:dyDescent="0.15">
      <c r="A849" s="41">
        <v>44662.524552812501</v>
      </c>
      <c r="B849" s="42" t="s">
        <v>6</v>
      </c>
      <c r="C849" s="42" t="s">
        <v>11</v>
      </c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  <c r="AA849" s="43"/>
      <c r="AB849" s="43"/>
      <c r="AC849" s="43"/>
      <c r="AD849" s="43"/>
      <c r="AE849" s="43"/>
      <c r="AF849" s="43"/>
      <c r="AG849" s="43"/>
      <c r="AH849" s="43"/>
      <c r="AI849" s="43"/>
      <c r="AJ849" s="43"/>
      <c r="AK849" s="43"/>
      <c r="AL849" s="43"/>
      <c r="AM849" s="43"/>
      <c r="AN849" s="43"/>
      <c r="AO849" s="43"/>
      <c r="AP849" s="43"/>
      <c r="AQ849" s="43"/>
      <c r="AR849" s="43"/>
      <c r="AS849" s="43"/>
      <c r="AT849" s="43"/>
      <c r="AU849" s="43"/>
      <c r="AV849" s="43"/>
      <c r="AW849" s="43"/>
      <c r="AX849" s="42" t="s">
        <v>2609</v>
      </c>
      <c r="AY849" s="42" t="s">
        <v>2610</v>
      </c>
      <c r="AZ849" s="42" t="s">
        <v>2695</v>
      </c>
      <c r="BA849" s="42" t="s">
        <v>1375</v>
      </c>
      <c r="BB849" s="42" t="s">
        <v>408</v>
      </c>
      <c r="BC849" s="44">
        <v>44027</v>
      </c>
      <c r="BD849" s="44">
        <v>44058</v>
      </c>
      <c r="BE849" s="44">
        <v>44048</v>
      </c>
      <c r="BF849" s="42">
        <v>100</v>
      </c>
      <c r="BG849" s="42" t="s">
        <v>2524</v>
      </c>
      <c r="BH849" s="46" t="s">
        <v>2696</v>
      </c>
      <c r="BI849" s="43"/>
      <c r="BJ849" s="43"/>
      <c r="BK849" s="43"/>
      <c r="BL849" s="43"/>
      <c r="BM849" s="43"/>
      <c r="BN849" s="43"/>
      <c r="BO849" s="43"/>
      <c r="BP849" s="43"/>
      <c r="BQ849" s="43"/>
      <c r="BR849" s="43"/>
      <c r="BS849" s="43"/>
      <c r="BT849" s="43"/>
      <c r="BU849" s="43"/>
      <c r="BV849" s="43"/>
      <c r="BW849" s="43"/>
      <c r="BX849" s="43"/>
      <c r="FL849" s="33" t="s">
        <v>2613</v>
      </c>
      <c r="FM849" s="33" t="s">
        <v>321</v>
      </c>
    </row>
    <row r="850" spans="1:169" ht="23.25" customHeight="1" x14ac:dyDescent="0.15">
      <c r="A850" s="41">
        <v>44662.526471608799</v>
      </c>
      <c r="B850" s="42" t="s">
        <v>6</v>
      </c>
      <c r="C850" s="42" t="s">
        <v>11</v>
      </c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  <c r="AA850" s="43"/>
      <c r="AB850" s="43"/>
      <c r="AC850" s="43"/>
      <c r="AD850" s="43"/>
      <c r="AE850" s="43"/>
      <c r="AF850" s="43"/>
      <c r="AG850" s="43"/>
      <c r="AH850" s="43"/>
      <c r="AI850" s="43"/>
      <c r="AJ850" s="43"/>
      <c r="AK850" s="43"/>
      <c r="AL850" s="43"/>
      <c r="AM850" s="43"/>
      <c r="AN850" s="43"/>
      <c r="AO850" s="43"/>
      <c r="AP850" s="43"/>
      <c r="AQ850" s="43"/>
      <c r="AR850" s="43"/>
      <c r="AS850" s="43"/>
      <c r="AT850" s="43"/>
      <c r="AU850" s="43"/>
      <c r="AV850" s="43"/>
      <c r="AW850" s="43"/>
      <c r="AX850" s="42" t="s">
        <v>2682</v>
      </c>
      <c r="AY850" s="42" t="s">
        <v>2683</v>
      </c>
      <c r="AZ850" s="42" t="s">
        <v>644</v>
      </c>
      <c r="BA850" s="42" t="s">
        <v>2697</v>
      </c>
      <c r="BB850" s="42" t="s">
        <v>656</v>
      </c>
      <c r="BC850" s="44">
        <v>44015</v>
      </c>
      <c r="BD850" s="44">
        <v>44015</v>
      </c>
      <c r="BE850" s="44">
        <v>44015</v>
      </c>
      <c r="BF850" s="42" t="s">
        <v>2698</v>
      </c>
      <c r="BG850" s="42" t="s">
        <v>2699</v>
      </c>
      <c r="BH850" s="46" t="s">
        <v>2700</v>
      </c>
      <c r="BI850" s="43"/>
      <c r="BJ850" s="43"/>
      <c r="BK850" s="43"/>
      <c r="BL850" s="43"/>
      <c r="BM850" s="43"/>
      <c r="BN850" s="43"/>
      <c r="BO850" s="43"/>
      <c r="BP850" s="43"/>
      <c r="BQ850" s="43"/>
      <c r="BR850" s="43"/>
      <c r="BS850" s="43"/>
      <c r="BT850" s="43"/>
      <c r="BU850" s="43"/>
      <c r="BV850" s="43"/>
      <c r="BW850" s="43"/>
      <c r="BX850" s="43"/>
      <c r="FL850" s="33" t="s">
        <v>2681</v>
      </c>
      <c r="FM850" s="33" t="s">
        <v>321</v>
      </c>
    </row>
    <row r="851" spans="1:169" ht="23.25" customHeight="1" x14ac:dyDescent="0.15">
      <c r="A851" s="41">
        <v>44662.527209837965</v>
      </c>
      <c r="B851" s="42" t="s">
        <v>6</v>
      </c>
      <c r="C851" s="42" t="s">
        <v>11</v>
      </c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  <c r="AA851" s="43"/>
      <c r="AB851" s="43"/>
      <c r="AC851" s="43"/>
      <c r="AD851" s="43"/>
      <c r="AE851" s="43"/>
      <c r="AF851" s="43"/>
      <c r="AG851" s="43"/>
      <c r="AH851" s="43"/>
      <c r="AI851" s="43"/>
      <c r="AJ851" s="43"/>
      <c r="AK851" s="43"/>
      <c r="AL851" s="43"/>
      <c r="AM851" s="43"/>
      <c r="AN851" s="43"/>
      <c r="AO851" s="43"/>
      <c r="AP851" s="43"/>
      <c r="AQ851" s="43"/>
      <c r="AR851" s="43"/>
      <c r="AS851" s="43"/>
      <c r="AT851" s="43"/>
      <c r="AU851" s="43"/>
      <c r="AV851" s="43"/>
      <c r="AW851" s="43"/>
      <c r="AX851" s="42" t="s">
        <v>2609</v>
      </c>
      <c r="AY851" s="42" t="s">
        <v>2610</v>
      </c>
      <c r="AZ851" s="42" t="s">
        <v>2701</v>
      </c>
      <c r="BA851" s="42" t="s">
        <v>1375</v>
      </c>
      <c r="BB851" s="42" t="s">
        <v>493</v>
      </c>
      <c r="BC851" s="44">
        <v>44024</v>
      </c>
      <c r="BD851" s="44">
        <v>44055</v>
      </c>
      <c r="BE851" s="44">
        <v>44051</v>
      </c>
      <c r="BF851" s="42">
        <v>100</v>
      </c>
      <c r="BG851" s="42" t="s">
        <v>2524</v>
      </c>
      <c r="BH851" s="46" t="s">
        <v>2702</v>
      </c>
      <c r="BI851" s="43"/>
      <c r="BJ851" s="43"/>
      <c r="BK851" s="43"/>
      <c r="BL851" s="43"/>
      <c r="BM851" s="43"/>
      <c r="BN851" s="43"/>
      <c r="BO851" s="43"/>
      <c r="BP851" s="43"/>
      <c r="BQ851" s="43"/>
      <c r="BR851" s="43"/>
      <c r="BS851" s="43"/>
      <c r="BT851" s="43"/>
      <c r="BU851" s="43"/>
      <c r="BV851" s="43"/>
      <c r="BW851" s="43"/>
      <c r="BX851" s="43"/>
      <c r="FL851" s="33" t="s">
        <v>2613</v>
      </c>
      <c r="FM851" s="33" t="s">
        <v>321</v>
      </c>
    </row>
    <row r="852" spans="1:169" ht="23.25" customHeight="1" x14ac:dyDescent="0.15">
      <c r="A852" s="41">
        <v>44662.530894166666</v>
      </c>
      <c r="B852" s="42" t="s">
        <v>6</v>
      </c>
      <c r="C852" s="42" t="s">
        <v>11</v>
      </c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  <c r="AA852" s="43"/>
      <c r="AB852" s="43"/>
      <c r="AC852" s="43"/>
      <c r="AD852" s="43"/>
      <c r="AE852" s="43"/>
      <c r="AF852" s="43"/>
      <c r="AG852" s="43"/>
      <c r="AH852" s="43"/>
      <c r="AI852" s="43"/>
      <c r="AJ852" s="43"/>
      <c r="AK852" s="43"/>
      <c r="AL852" s="43"/>
      <c r="AM852" s="43"/>
      <c r="AN852" s="43"/>
      <c r="AO852" s="43"/>
      <c r="AP852" s="43"/>
      <c r="AQ852" s="43"/>
      <c r="AR852" s="43"/>
      <c r="AS852" s="43"/>
      <c r="AT852" s="43"/>
      <c r="AU852" s="43"/>
      <c r="AV852" s="43"/>
      <c r="AW852" s="43"/>
      <c r="AX852" s="42" t="s">
        <v>2682</v>
      </c>
      <c r="AY852" s="42" t="s">
        <v>2683</v>
      </c>
      <c r="AZ852" s="42" t="s">
        <v>2703</v>
      </c>
      <c r="BA852" s="42" t="s">
        <v>2704</v>
      </c>
      <c r="BB852" s="42" t="s">
        <v>300</v>
      </c>
      <c r="BC852" s="44">
        <v>44487</v>
      </c>
      <c r="BD852" s="44">
        <v>44559</v>
      </c>
      <c r="BE852" s="44">
        <v>44569</v>
      </c>
      <c r="BF852" s="42" t="s">
        <v>2698</v>
      </c>
      <c r="BG852" s="42" t="s">
        <v>1052</v>
      </c>
      <c r="BH852" s="46" t="s">
        <v>2705</v>
      </c>
      <c r="BI852" s="43"/>
      <c r="BJ852" s="43"/>
      <c r="BK852" s="43"/>
      <c r="BL852" s="43"/>
      <c r="BM852" s="43"/>
      <c r="BN852" s="43"/>
      <c r="BO852" s="43"/>
      <c r="BP852" s="43"/>
      <c r="BQ852" s="43"/>
      <c r="BR852" s="43"/>
      <c r="BS852" s="43"/>
      <c r="BT852" s="43"/>
      <c r="BU852" s="43"/>
      <c r="BV852" s="43"/>
      <c r="BW852" s="43"/>
      <c r="BX852" s="43"/>
      <c r="FL852" s="33" t="s">
        <v>2681</v>
      </c>
      <c r="FM852" s="33" t="s">
        <v>273</v>
      </c>
    </row>
    <row r="853" spans="1:169" ht="23.25" customHeight="1" x14ac:dyDescent="0.15">
      <c r="A853" s="41">
        <v>44662.534172708329</v>
      </c>
      <c r="B853" s="42" t="s">
        <v>6</v>
      </c>
      <c r="C853" s="42" t="s">
        <v>10</v>
      </c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  <c r="AA853" s="43"/>
      <c r="AB853" s="43"/>
      <c r="AC853" s="43"/>
      <c r="AD853" s="43"/>
      <c r="AE853" s="43"/>
      <c r="AF853" s="43"/>
      <c r="AG853" s="43"/>
      <c r="AH853" s="43"/>
      <c r="AI853" s="43"/>
      <c r="AJ853" s="43"/>
      <c r="AK853" s="43"/>
      <c r="AL853" s="43"/>
      <c r="AM853" s="43"/>
      <c r="AN853" s="42" t="s">
        <v>2682</v>
      </c>
      <c r="AO853" s="42" t="s">
        <v>2683</v>
      </c>
      <c r="AP853" s="42" t="s">
        <v>2706</v>
      </c>
      <c r="AQ853" s="42" t="s">
        <v>308</v>
      </c>
      <c r="AR853" s="44">
        <v>43983</v>
      </c>
      <c r="AS853" s="44">
        <v>44038</v>
      </c>
      <c r="AT853" s="42" t="s">
        <v>252</v>
      </c>
      <c r="AU853" s="42" t="s">
        <v>251</v>
      </c>
      <c r="AV853" s="42">
        <v>1200</v>
      </c>
      <c r="AW853" s="46" t="s">
        <v>2707</v>
      </c>
      <c r="AX853" s="43"/>
      <c r="AY853" s="43"/>
      <c r="AZ853" s="43"/>
      <c r="BA853" s="43"/>
      <c r="BB853" s="43"/>
      <c r="BC853" s="43"/>
      <c r="BD853" s="43"/>
      <c r="BE853" s="43"/>
      <c r="BF853" s="43"/>
      <c r="BG853" s="43"/>
      <c r="BH853" s="43"/>
      <c r="BI853" s="43"/>
      <c r="BJ853" s="43"/>
      <c r="BK853" s="43"/>
      <c r="BL853" s="43"/>
      <c r="BM853" s="43"/>
      <c r="BN853" s="43"/>
      <c r="BO853" s="43"/>
      <c r="BP853" s="43"/>
      <c r="BQ853" s="43"/>
      <c r="BR853" s="43"/>
      <c r="BS853" s="43"/>
      <c r="BT853" s="43"/>
      <c r="BU853" s="43"/>
      <c r="BV853" s="43"/>
      <c r="BW853" s="43"/>
      <c r="BX853" s="43"/>
      <c r="FL853" s="33" t="s">
        <v>2681</v>
      </c>
      <c r="FM853" s="33" t="s">
        <v>321</v>
      </c>
    </row>
    <row r="854" spans="1:169" ht="23.25" customHeight="1" x14ac:dyDescent="0.15">
      <c r="A854" s="41">
        <v>44662.537927708334</v>
      </c>
      <c r="B854" s="42" t="s">
        <v>6</v>
      </c>
      <c r="C854" s="42" t="s">
        <v>12</v>
      </c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  <c r="AA854" s="43"/>
      <c r="AB854" s="43"/>
      <c r="AC854" s="43"/>
      <c r="AD854" s="43"/>
      <c r="AE854" s="43"/>
      <c r="AF854" s="43"/>
      <c r="AG854" s="43"/>
      <c r="AH854" s="43"/>
      <c r="AI854" s="43"/>
      <c r="AJ854" s="43"/>
      <c r="AK854" s="43"/>
      <c r="AL854" s="43"/>
      <c r="AM854" s="43"/>
      <c r="AN854" s="43"/>
      <c r="AO854" s="43"/>
      <c r="AP854" s="43"/>
      <c r="AQ854" s="43"/>
      <c r="AR854" s="43"/>
      <c r="AS854" s="43"/>
      <c r="AT854" s="43"/>
      <c r="AU854" s="43"/>
      <c r="AV854" s="43"/>
      <c r="AW854" s="43"/>
      <c r="AX854" s="43"/>
      <c r="AY854" s="43"/>
      <c r="AZ854" s="43"/>
      <c r="BA854" s="43"/>
      <c r="BB854" s="43"/>
      <c r="BC854" s="43"/>
      <c r="BD854" s="43"/>
      <c r="BE854" s="43"/>
      <c r="BF854" s="43"/>
      <c r="BG854" s="43"/>
      <c r="BH854" s="43"/>
      <c r="BI854" s="42" t="s">
        <v>2682</v>
      </c>
      <c r="BJ854" s="42" t="s">
        <v>2683</v>
      </c>
      <c r="BK854" s="42" t="s">
        <v>166</v>
      </c>
      <c r="BL854" s="42" t="s">
        <v>1285</v>
      </c>
      <c r="BM854" s="42" t="s">
        <v>2708</v>
      </c>
      <c r="BN854" s="42">
        <v>2</v>
      </c>
      <c r="BO854" s="44">
        <v>44016</v>
      </c>
      <c r="BP854" s="44">
        <v>44017</v>
      </c>
      <c r="BQ854" s="42" t="s">
        <v>2709</v>
      </c>
      <c r="BR854" s="42" t="s">
        <v>1899</v>
      </c>
      <c r="BS854" s="42" t="s">
        <v>171</v>
      </c>
      <c r="BT854" s="42" t="s">
        <v>629</v>
      </c>
      <c r="BU854" s="42">
        <v>299</v>
      </c>
      <c r="BV854" s="46" t="s">
        <v>2710</v>
      </c>
      <c r="BW854" s="43"/>
      <c r="BX854" s="43"/>
      <c r="FL854" s="33" t="s">
        <v>2681</v>
      </c>
      <c r="FM854" s="33" t="s">
        <v>321</v>
      </c>
    </row>
    <row r="855" spans="1:169" ht="23.25" customHeight="1" x14ac:dyDescent="0.15">
      <c r="A855" s="41">
        <v>44662.539092071762</v>
      </c>
      <c r="B855" s="42" t="s">
        <v>8</v>
      </c>
      <c r="C855" s="42" t="s">
        <v>11</v>
      </c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  <c r="AA855" s="43"/>
      <c r="AB855" s="43"/>
      <c r="AC855" s="43"/>
      <c r="AD855" s="43"/>
      <c r="AE855" s="43"/>
      <c r="AF855" s="43"/>
      <c r="AG855" s="43"/>
      <c r="AH855" s="43"/>
      <c r="AI855" s="43"/>
      <c r="AJ855" s="43"/>
      <c r="AK855" s="43"/>
      <c r="AL855" s="43"/>
      <c r="AM855" s="43"/>
      <c r="AN855" s="43"/>
      <c r="AO855" s="43"/>
      <c r="AP855" s="43"/>
      <c r="AQ855" s="43"/>
      <c r="AR855" s="43"/>
      <c r="AS855" s="43"/>
      <c r="AT855" s="43"/>
      <c r="AU855" s="43"/>
      <c r="AV855" s="43"/>
      <c r="AW855" s="43"/>
      <c r="AX855" s="42" t="s">
        <v>2711</v>
      </c>
      <c r="AY855" s="42" t="s">
        <v>2712</v>
      </c>
      <c r="AZ855" s="42" t="s">
        <v>2713</v>
      </c>
      <c r="BA855" s="42" t="s">
        <v>375</v>
      </c>
      <c r="BB855" s="42" t="s">
        <v>308</v>
      </c>
      <c r="BC855" s="44">
        <v>44378</v>
      </c>
      <c r="BD855" s="44">
        <v>44440</v>
      </c>
      <c r="BE855" s="44">
        <v>44464</v>
      </c>
      <c r="BF855" s="42">
        <v>95</v>
      </c>
      <c r="BG855" s="42" t="s">
        <v>2714</v>
      </c>
      <c r="BH855" s="46" t="s">
        <v>2715</v>
      </c>
      <c r="BI855" s="43"/>
      <c r="BJ855" s="43"/>
      <c r="BK855" s="43"/>
      <c r="BL855" s="43"/>
      <c r="BM855" s="43"/>
      <c r="BN855" s="43"/>
      <c r="BO855" s="43"/>
      <c r="BP855" s="43"/>
      <c r="BQ855" s="43"/>
      <c r="BR855" s="43"/>
      <c r="BS855" s="43"/>
      <c r="BT855" s="43"/>
      <c r="BU855" s="43"/>
      <c r="BV855" s="43"/>
      <c r="BW855" s="43"/>
      <c r="BX855" s="43"/>
      <c r="FL855" s="33" t="s">
        <v>2716</v>
      </c>
      <c r="FM855" s="33" t="s">
        <v>321</v>
      </c>
    </row>
    <row r="856" spans="1:169" ht="23.25" customHeight="1" x14ac:dyDescent="0.15">
      <c r="A856" s="41">
        <v>44662.539881215278</v>
      </c>
      <c r="B856" s="42" t="s">
        <v>8</v>
      </c>
      <c r="C856" s="42" t="s">
        <v>11</v>
      </c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  <c r="AA856" s="43"/>
      <c r="AB856" s="43"/>
      <c r="AC856" s="43"/>
      <c r="AD856" s="43"/>
      <c r="AE856" s="43"/>
      <c r="AF856" s="43"/>
      <c r="AG856" s="43"/>
      <c r="AH856" s="43"/>
      <c r="AI856" s="43"/>
      <c r="AJ856" s="43"/>
      <c r="AK856" s="43"/>
      <c r="AL856" s="43"/>
      <c r="AM856" s="43"/>
      <c r="AN856" s="43"/>
      <c r="AO856" s="43"/>
      <c r="AP856" s="43"/>
      <c r="AQ856" s="43"/>
      <c r="AR856" s="43"/>
      <c r="AS856" s="43"/>
      <c r="AT856" s="43"/>
      <c r="AU856" s="43"/>
      <c r="AV856" s="43"/>
      <c r="AW856" s="43"/>
      <c r="AX856" s="42" t="s">
        <v>2717</v>
      </c>
      <c r="AY856" s="42" t="s">
        <v>2718</v>
      </c>
      <c r="AZ856" s="42" t="s">
        <v>853</v>
      </c>
      <c r="BA856" s="42" t="s">
        <v>335</v>
      </c>
      <c r="BB856" s="42" t="s">
        <v>308</v>
      </c>
      <c r="BC856" s="44">
        <v>44378</v>
      </c>
      <c r="BD856" s="44">
        <v>44467</v>
      </c>
      <c r="BE856" s="44">
        <v>44464</v>
      </c>
      <c r="BF856" s="42">
        <v>95</v>
      </c>
      <c r="BG856" s="42" t="s">
        <v>2719</v>
      </c>
      <c r="BH856" s="46" t="s">
        <v>2720</v>
      </c>
      <c r="BI856" s="43"/>
      <c r="BJ856" s="43"/>
      <c r="BK856" s="43"/>
      <c r="BL856" s="43"/>
      <c r="BM856" s="43"/>
      <c r="BN856" s="43"/>
      <c r="BO856" s="43"/>
      <c r="BP856" s="43"/>
      <c r="BQ856" s="43"/>
      <c r="BR856" s="43"/>
      <c r="BS856" s="43"/>
      <c r="BT856" s="43"/>
      <c r="BU856" s="43"/>
      <c r="BV856" s="43"/>
      <c r="BW856" s="43"/>
      <c r="BX856" s="43"/>
      <c r="FL856" s="33" t="s">
        <v>2721</v>
      </c>
      <c r="FM856" s="33" t="s">
        <v>321</v>
      </c>
    </row>
    <row r="857" spans="1:169" ht="23.25" customHeight="1" x14ac:dyDescent="0.15">
      <c r="A857" s="41">
        <v>44662.541470358796</v>
      </c>
      <c r="B857" s="42" t="s">
        <v>8</v>
      </c>
      <c r="C857" s="42" t="s">
        <v>11</v>
      </c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  <c r="AA857" s="43"/>
      <c r="AB857" s="43"/>
      <c r="AC857" s="43"/>
      <c r="AD857" s="43"/>
      <c r="AE857" s="43"/>
      <c r="AF857" s="43"/>
      <c r="AG857" s="43"/>
      <c r="AH857" s="43"/>
      <c r="AI857" s="43"/>
      <c r="AJ857" s="43"/>
      <c r="AK857" s="43"/>
      <c r="AL857" s="43"/>
      <c r="AM857" s="43"/>
      <c r="AN857" s="43"/>
      <c r="AO857" s="43"/>
      <c r="AP857" s="43"/>
      <c r="AQ857" s="43"/>
      <c r="AR857" s="43"/>
      <c r="AS857" s="43"/>
      <c r="AT857" s="43"/>
      <c r="AU857" s="43"/>
      <c r="AV857" s="43"/>
      <c r="AW857" s="43"/>
      <c r="AX857" s="42" t="s">
        <v>2711</v>
      </c>
      <c r="AY857" s="42" t="s">
        <v>2712</v>
      </c>
      <c r="AZ857" s="42" t="s">
        <v>2722</v>
      </c>
      <c r="BA857" s="42" t="s">
        <v>375</v>
      </c>
      <c r="BB857" s="42" t="s">
        <v>308</v>
      </c>
      <c r="BC857" s="44">
        <v>44470</v>
      </c>
      <c r="BD857" s="44">
        <v>44531</v>
      </c>
      <c r="BE857" s="44">
        <v>44555</v>
      </c>
      <c r="BF857" s="42">
        <v>96</v>
      </c>
      <c r="BG857" s="42" t="s">
        <v>2714</v>
      </c>
      <c r="BH857" s="46" t="s">
        <v>2723</v>
      </c>
      <c r="BI857" s="43"/>
      <c r="BJ857" s="43"/>
      <c r="BK857" s="43"/>
      <c r="BL857" s="43"/>
      <c r="BM857" s="43"/>
      <c r="BN857" s="43"/>
      <c r="BO857" s="43"/>
      <c r="BP857" s="43"/>
      <c r="BQ857" s="43"/>
      <c r="BR857" s="43"/>
      <c r="BS857" s="43"/>
      <c r="BT857" s="43"/>
      <c r="BU857" s="43"/>
      <c r="BV857" s="43"/>
      <c r="BW857" s="43"/>
      <c r="BX857" s="43"/>
      <c r="FL857" s="33" t="s">
        <v>2716</v>
      </c>
      <c r="FM857" s="33" t="s">
        <v>321</v>
      </c>
    </row>
    <row r="858" spans="1:169" ht="23.25" customHeight="1" x14ac:dyDescent="0.15">
      <c r="A858" s="41">
        <v>44662.542204571757</v>
      </c>
      <c r="B858" s="42" t="s">
        <v>8</v>
      </c>
      <c r="C858" s="42" t="s">
        <v>12</v>
      </c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  <c r="AA858" s="43"/>
      <c r="AB858" s="43"/>
      <c r="AC858" s="43"/>
      <c r="AD858" s="43"/>
      <c r="AE858" s="43"/>
      <c r="AF858" s="43"/>
      <c r="AG858" s="43"/>
      <c r="AH858" s="43"/>
      <c r="AI858" s="43"/>
      <c r="AJ858" s="43"/>
      <c r="AK858" s="43"/>
      <c r="AL858" s="43"/>
      <c r="AM858" s="43"/>
      <c r="AN858" s="43"/>
      <c r="AO858" s="43"/>
      <c r="AP858" s="43"/>
      <c r="AQ858" s="43"/>
      <c r="AR858" s="43"/>
      <c r="AS858" s="43"/>
      <c r="AT858" s="43"/>
      <c r="AU858" s="43"/>
      <c r="AV858" s="43"/>
      <c r="AW858" s="43"/>
      <c r="AX858" s="43"/>
      <c r="AY858" s="43"/>
      <c r="AZ858" s="43"/>
      <c r="BA858" s="43"/>
      <c r="BB858" s="43"/>
      <c r="BC858" s="43"/>
      <c r="BD858" s="43"/>
      <c r="BE858" s="43"/>
      <c r="BF858" s="43"/>
      <c r="BG858" s="43"/>
      <c r="BH858" s="43"/>
      <c r="BI858" s="42" t="s">
        <v>2662</v>
      </c>
      <c r="BJ858" s="42" t="s">
        <v>2663</v>
      </c>
      <c r="BK858" s="42" t="s">
        <v>311</v>
      </c>
      <c r="BL858" s="42" t="s">
        <v>1285</v>
      </c>
      <c r="BM858" s="42" t="s">
        <v>2724</v>
      </c>
      <c r="BN858" s="42">
        <v>1</v>
      </c>
      <c r="BO858" s="44">
        <v>44626</v>
      </c>
      <c r="BP858" s="44">
        <v>44626</v>
      </c>
      <c r="BQ858" s="42" t="s">
        <v>2725</v>
      </c>
      <c r="BR858" s="42" t="s">
        <v>2726</v>
      </c>
      <c r="BS858" s="42" t="s">
        <v>171</v>
      </c>
      <c r="BT858" s="42" t="s">
        <v>629</v>
      </c>
      <c r="BU858" s="42">
        <v>70</v>
      </c>
      <c r="BV858" s="46" t="s">
        <v>2727</v>
      </c>
      <c r="BW858" s="43"/>
      <c r="BX858" s="43"/>
      <c r="FL858" s="33" t="s">
        <v>2668</v>
      </c>
      <c r="FM858" s="33" t="s">
        <v>321</v>
      </c>
    </row>
    <row r="859" spans="1:169" ht="23.25" customHeight="1" x14ac:dyDescent="0.15">
      <c r="A859" s="41">
        <v>44662.543174120372</v>
      </c>
      <c r="B859" s="42" t="s">
        <v>8</v>
      </c>
      <c r="C859" s="42" t="s">
        <v>10</v>
      </c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  <c r="AA859" s="43"/>
      <c r="AB859" s="43"/>
      <c r="AC859" s="43"/>
      <c r="AD859" s="43"/>
      <c r="AE859" s="43"/>
      <c r="AF859" s="43"/>
      <c r="AG859" s="43"/>
      <c r="AH859" s="43"/>
      <c r="AI859" s="43"/>
      <c r="AJ859" s="43"/>
      <c r="AK859" s="43"/>
      <c r="AL859" s="43"/>
      <c r="AM859" s="43"/>
      <c r="AN859" s="42" t="s">
        <v>2711</v>
      </c>
      <c r="AO859" s="42" t="s">
        <v>2712</v>
      </c>
      <c r="AP859" s="42" t="s">
        <v>302</v>
      </c>
      <c r="AQ859" s="42" t="s">
        <v>308</v>
      </c>
      <c r="AR859" s="44">
        <v>44662</v>
      </c>
      <c r="AS859" s="44">
        <v>44531</v>
      </c>
      <c r="AT859" s="42" t="s">
        <v>252</v>
      </c>
      <c r="AU859" s="42" t="s">
        <v>252</v>
      </c>
      <c r="AV859" s="42">
        <v>0</v>
      </c>
      <c r="AW859" s="46" t="s">
        <v>2728</v>
      </c>
      <c r="AX859" s="43"/>
      <c r="AY859" s="43"/>
      <c r="AZ859" s="43"/>
      <c r="BA859" s="43"/>
      <c r="BB859" s="43"/>
      <c r="BC859" s="43"/>
      <c r="BD859" s="43"/>
      <c r="BE859" s="43"/>
      <c r="BF859" s="43"/>
      <c r="BG859" s="43"/>
      <c r="BH859" s="43"/>
      <c r="BI859" s="43"/>
      <c r="BJ859" s="43"/>
      <c r="BK859" s="43"/>
      <c r="BL859" s="43"/>
      <c r="BM859" s="43"/>
      <c r="BN859" s="43"/>
      <c r="BO859" s="43"/>
      <c r="BP859" s="43"/>
      <c r="BQ859" s="43"/>
      <c r="BR859" s="43"/>
      <c r="BS859" s="43"/>
      <c r="BT859" s="43"/>
      <c r="BU859" s="43"/>
      <c r="BV859" s="43"/>
      <c r="BW859" s="43"/>
      <c r="BX859" s="43"/>
      <c r="FL859" s="33" t="s">
        <v>2716</v>
      </c>
      <c r="FM859" s="33" t="s">
        <v>321</v>
      </c>
    </row>
    <row r="860" spans="1:169" ht="23.25" customHeight="1" x14ac:dyDescent="0.15">
      <c r="A860" s="41">
        <v>44662.544160451391</v>
      </c>
      <c r="B860" s="42" t="s">
        <v>8</v>
      </c>
      <c r="C860" s="42" t="s">
        <v>11</v>
      </c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  <c r="AA860" s="43"/>
      <c r="AB860" s="43"/>
      <c r="AC860" s="43"/>
      <c r="AD860" s="43"/>
      <c r="AE860" s="43"/>
      <c r="AF860" s="43"/>
      <c r="AG860" s="43"/>
      <c r="AH860" s="43"/>
      <c r="AI860" s="43"/>
      <c r="AJ860" s="43"/>
      <c r="AK860" s="43"/>
      <c r="AL860" s="43"/>
      <c r="AM860" s="43"/>
      <c r="AN860" s="43"/>
      <c r="AO860" s="43"/>
      <c r="AP860" s="43"/>
      <c r="AQ860" s="43"/>
      <c r="AR860" s="43"/>
      <c r="AS860" s="43"/>
      <c r="AT860" s="43"/>
      <c r="AU860" s="43"/>
      <c r="AV860" s="43"/>
      <c r="AW860" s="43"/>
      <c r="AX860" s="42" t="s">
        <v>2729</v>
      </c>
      <c r="AY860" s="42" t="s">
        <v>2730</v>
      </c>
      <c r="AZ860" s="42" t="s">
        <v>853</v>
      </c>
      <c r="BA860" s="42" t="s">
        <v>375</v>
      </c>
      <c r="BB860" s="42" t="s">
        <v>308</v>
      </c>
      <c r="BC860" s="44">
        <v>44378</v>
      </c>
      <c r="BD860" s="44">
        <v>44469</v>
      </c>
      <c r="BE860" s="44">
        <v>44464</v>
      </c>
      <c r="BF860" s="42">
        <v>95</v>
      </c>
      <c r="BG860" s="42" t="s">
        <v>2631</v>
      </c>
      <c r="BH860" s="46" t="s">
        <v>2731</v>
      </c>
      <c r="BI860" s="43"/>
      <c r="BJ860" s="43"/>
      <c r="BK860" s="43"/>
      <c r="BL860" s="43"/>
      <c r="BM860" s="43"/>
      <c r="BN860" s="43"/>
      <c r="BO860" s="43"/>
      <c r="BP860" s="43"/>
      <c r="BQ860" s="43"/>
      <c r="BR860" s="43"/>
      <c r="BS860" s="43"/>
      <c r="BT860" s="43"/>
      <c r="BU860" s="43"/>
      <c r="BV860" s="43"/>
      <c r="BW860" s="43"/>
      <c r="BX860" s="43"/>
      <c r="FL860" s="33" t="s">
        <v>2732</v>
      </c>
      <c r="FM860" s="33" t="s">
        <v>321</v>
      </c>
    </row>
    <row r="861" spans="1:169" ht="23.25" customHeight="1" x14ac:dyDescent="0.15">
      <c r="A861" s="41">
        <v>44662.544175532406</v>
      </c>
      <c r="B861" s="42" t="s">
        <v>8</v>
      </c>
      <c r="C861" s="42" t="s">
        <v>12</v>
      </c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  <c r="AA861" s="43"/>
      <c r="AB861" s="43"/>
      <c r="AC861" s="43"/>
      <c r="AD861" s="43"/>
      <c r="AE861" s="43"/>
      <c r="AF861" s="43"/>
      <c r="AG861" s="43"/>
      <c r="AH861" s="43"/>
      <c r="AI861" s="43"/>
      <c r="AJ861" s="43"/>
      <c r="AK861" s="43"/>
      <c r="AL861" s="43"/>
      <c r="AM861" s="43"/>
      <c r="AN861" s="43"/>
      <c r="AO861" s="43"/>
      <c r="AP861" s="43"/>
      <c r="AQ861" s="43"/>
      <c r="AR861" s="43"/>
      <c r="AS861" s="43"/>
      <c r="AT861" s="43"/>
      <c r="AU861" s="43"/>
      <c r="AV861" s="43"/>
      <c r="AW861" s="43"/>
      <c r="AX861" s="43"/>
      <c r="AY861" s="43"/>
      <c r="AZ861" s="43"/>
      <c r="BA861" s="43"/>
      <c r="BB861" s="43"/>
      <c r="BC861" s="43"/>
      <c r="BD861" s="43"/>
      <c r="BE861" s="43"/>
      <c r="BF861" s="43"/>
      <c r="BG861" s="43"/>
      <c r="BH861" s="43"/>
      <c r="BI861" s="42" t="s">
        <v>2662</v>
      </c>
      <c r="BJ861" s="42" t="s">
        <v>2663</v>
      </c>
      <c r="BK861" s="42" t="s">
        <v>311</v>
      </c>
      <c r="BL861" s="42" t="s">
        <v>1285</v>
      </c>
      <c r="BM861" s="42" t="s">
        <v>2733</v>
      </c>
      <c r="BN861" s="42">
        <v>1</v>
      </c>
      <c r="BO861" s="44">
        <v>44619</v>
      </c>
      <c r="BP861" s="44">
        <v>44619</v>
      </c>
      <c r="BQ861" s="42" t="s">
        <v>2725</v>
      </c>
      <c r="BR861" s="42" t="s">
        <v>2726</v>
      </c>
      <c r="BS861" s="42" t="s">
        <v>171</v>
      </c>
      <c r="BT861" s="42" t="s">
        <v>151</v>
      </c>
      <c r="BU861" s="43"/>
      <c r="BV861" s="46" t="s">
        <v>2734</v>
      </c>
      <c r="BW861" s="43"/>
      <c r="BX861" s="43"/>
      <c r="FL861" s="33" t="s">
        <v>2668</v>
      </c>
      <c r="FM861" s="33" t="s">
        <v>321</v>
      </c>
    </row>
    <row r="862" spans="1:169" ht="23.25" customHeight="1" x14ac:dyDescent="0.15">
      <c r="A862" s="41">
        <v>44662.544336851854</v>
      </c>
      <c r="B862" s="42" t="s">
        <v>8</v>
      </c>
      <c r="C862" s="42" t="s">
        <v>11</v>
      </c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  <c r="AA862" s="43"/>
      <c r="AB862" s="43"/>
      <c r="AC862" s="43"/>
      <c r="AD862" s="43"/>
      <c r="AE862" s="43"/>
      <c r="AF862" s="43"/>
      <c r="AG862" s="43"/>
      <c r="AH862" s="43"/>
      <c r="AI862" s="43"/>
      <c r="AJ862" s="43"/>
      <c r="AK862" s="43"/>
      <c r="AL862" s="43"/>
      <c r="AM862" s="43"/>
      <c r="AN862" s="43"/>
      <c r="AO862" s="43"/>
      <c r="AP862" s="43"/>
      <c r="AQ862" s="43"/>
      <c r="AR862" s="43"/>
      <c r="AS862" s="43"/>
      <c r="AT862" s="43"/>
      <c r="AU862" s="43"/>
      <c r="AV862" s="43"/>
      <c r="AW862" s="43"/>
      <c r="AX862" s="42" t="s">
        <v>2735</v>
      </c>
      <c r="AY862" s="42" t="s">
        <v>2736</v>
      </c>
      <c r="AZ862" s="42" t="s">
        <v>2713</v>
      </c>
      <c r="BA862" s="42" t="s">
        <v>335</v>
      </c>
      <c r="BB862" s="42" t="s">
        <v>318</v>
      </c>
      <c r="BC862" s="44">
        <v>44378</v>
      </c>
      <c r="BD862" s="44">
        <v>44440</v>
      </c>
      <c r="BE862" s="44">
        <v>44439</v>
      </c>
      <c r="BF862" s="42">
        <v>92</v>
      </c>
      <c r="BG862" s="42" t="s">
        <v>2737</v>
      </c>
      <c r="BH862" s="46" t="s">
        <v>2738</v>
      </c>
      <c r="BI862" s="43"/>
      <c r="BJ862" s="43"/>
      <c r="BK862" s="43"/>
      <c r="BL862" s="43"/>
      <c r="BM862" s="43"/>
      <c r="BN862" s="43"/>
      <c r="BO862" s="43"/>
      <c r="BP862" s="43"/>
      <c r="BQ862" s="43"/>
      <c r="BR862" s="43"/>
      <c r="BS862" s="43"/>
      <c r="BT862" s="43"/>
      <c r="BU862" s="43"/>
      <c r="BV862" s="43"/>
      <c r="BW862" s="43"/>
      <c r="BX862" s="43"/>
      <c r="FL862" s="33" t="s">
        <v>2739</v>
      </c>
      <c r="FM862" s="33" t="s">
        <v>321</v>
      </c>
    </row>
    <row r="863" spans="1:169" ht="23.25" customHeight="1" x14ac:dyDescent="0.15">
      <c r="A863" s="41">
        <v>44662.545256504629</v>
      </c>
      <c r="B863" s="42" t="s">
        <v>8</v>
      </c>
      <c r="C863" s="42" t="s">
        <v>11</v>
      </c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  <c r="AA863" s="43"/>
      <c r="AB863" s="43"/>
      <c r="AC863" s="43"/>
      <c r="AD863" s="43"/>
      <c r="AE863" s="43"/>
      <c r="AF863" s="43"/>
      <c r="AG863" s="43"/>
      <c r="AH863" s="43"/>
      <c r="AI863" s="43"/>
      <c r="AJ863" s="43"/>
      <c r="AK863" s="43"/>
      <c r="AL863" s="43"/>
      <c r="AM863" s="43"/>
      <c r="AN863" s="43"/>
      <c r="AO863" s="43"/>
      <c r="AP863" s="43"/>
      <c r="AQ863" s="43"/>
      <c r="AR863" s="43"/>
      <c r="AS863" s="43"/>
      <c r="AT863" s="43"/>
      <c r="AU863" s="43"/>
      <c r="AV863" s="43"/>
      <c r="AW863" s="43"/>
      <c r="AX863" s="42" t="s">
        <v>2717</v>
      </c>
      <c r="AY863" s="42" t="s">
        <v>2718</v>
      </c>
      <c r="AZ863" s="42" t="s">
        <v>2332</v>
      </c>
      <c r="BA863" s="42" t="s">
        <v>375</v>
      </c>
      <c r="BB863" s="42" t="s">
        <v>308</v>
      </c>
      <c r="BC863" s="44">
        <v>44481</v>
      </c>
      <c r="BD863" s="44">
        <v>44551</v>
      </c>
      <c r="BE863" s="44">
        <v>44545</v>
      </c>
      <c r="BF863" s="42">
        <v>96</v>
      </c>
      <c r="BG863" s="42" t="s">
        <v>2719</v>
      </c>
      <c r="BH863" s="46" t="s">
        <v>2740</v>
      </c>
      <c r="BI863" s="43"/>
      <c r="BJ863" s="43"/>
      <c r="BK863" s="43"/>
      <c r="BL863" s="43"/>
      <c r="BM863" s="43"/>
      <c r="BN863" s="43"/>
      <c r="BO863" s="43"/>
      <c r="BP863" s="43"/>
      <c r="BQ863" s="43"/>
      <c r="BR863" s="43"/>
      <c r="BS863" s="43"/>
      <c r="BT863" s="43"/>
      <c r="BU863" s="43"/>
      <c r="BV863" s="43"/>
      <c r="BW863" s="43"/>
      <c r="BX863" s="43"/>
      <c r="FL863" s="33" t="s">
        <v>2721</v>
      </c>
      <c r="FM863" s="33" t="s">
        <v>321</v>
      </c>
    </row>
    <row r="864" spans="1:169" ht="23.25" customHeight="1" x14ac:dyDescent="0.15">
      <c r="A864" s="41">
        <v>44662.546402372682</v>
      </c>
      <c r="B864" s="42" t="s">
        <v>8</v>
      </c>
      <c r="C864" s="42" t="s">
        <v>11</v>
      </c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  <c r="AA864" s="43"/>
      <c r="AB864" s="43"/>
      <c r="AC864" s="43"/>
      <c r="AD864" s="43"/>
      <c r="AE864" s="43"/>
      <c r="AF864" s="43"/>
      <c r="AG864" s="43"/>
      <c r="AH864" s="43"/>
      <c r="AI864" s="43"/>
      <c r="AJ864" s="43"/>
      <c r="AK864" s="43"/>
      <c r="AL864" s="43"/>
      <c r="AM864" s="43"/>
      <c r="AN864" s="43"/>
      <c r="AO864" s="43"/>
      <c r="AP864" s="43"/>
      <c r="AQ864" s="43"/>
      <c r="AR864" s="43"/>
      <c r="AS864" s="43"/>
      <c r="AT864" s="43"/>
      <c r="AU864" s="43"/>
      <c r="AV864" s="43"/>
      <c r="AW864" s="43"/>
      <c r="AX864" s="42" t="s">
        <v>2729</v>
      </c>
      <c r="AY864" s="42" t="s">
        <v>2730</v>
      </c>
      <c r="AZ864" s="42" t="s">
        <v>2365</v>
      </c>
      <c r="BA864" s="42" t="s">
        <v>375</v>
      </c>
      <c r="BB864" s="42" t="s">
        <v>308</v>
      </c>
      <c r="BC864" s="44">
        <v>44470</v>
      </c>
      <c r="BD864" s="44">
        <v>44530</v>
      </c>
      <c r="BE864" s="44">
        <v>44555</v>
      </c>
      <c r="BF864" s="42">
        <v>96</v>
      </c>
      <c r="BG864" s="42" t="s">
        <v>2631</v>
      </c>
      <c r="BH864" s="46" t="s">
        <v>2741</v>
      </c>
      <c r="BI864" s="43"/>
      <c r="BJ864" s="43"/>
      <c r="BK864" s="43"/>
      <c r="BL864" s="43"/>
      <c r="BM864" s="43"/>
      <c r="BN864" s="43"/>
      <c r="BO864" s="43"/>
      <c r="BP864" s="43"/>
      <c r="BQ864" s="43"/>
      <c r="BR864" s="43"/>
      <c r="BS864" s="43"/>
      <c r="BT864" s="43"/>
      <c r="BU864" s="43"/>
      <c r="BV864" s="43"/>
      <c r="BW864" s="43"/>
      <c r="BX864" s="43"/>
      <c r="FL864" s="33" t="s">
        <v>2732</v>
      </c>
      <c r="FM864" s="33" t="s">
        <v>321</v>
      </c>
    </row>
    <row r="865" spans="1:169" ht="23.25" customHeight="1" x14ac:dyDescent="0.15">
      <c r="A865" s="41">
        <v>44662.546716192126</v>
      </c>
      <c r="B865" s="42" t="s">
        <v>8</v>
      </c>
      <c r="C865" s="42" t="s">
        <v>10</v>
      </c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  <c r="AA865" s="43"/>
      <c r="AB865" s="43"/>
      <c r="AC865" s="43"/>
      <c r="AD865" s="43"/>
      <c r="AE865" s="43"/>
      <c r="AF865" s="43"/>
      <c r="AG865" s="43"/>
      <c r="AH865" s="43"/>
      <c r="AI865" s="43"/>
      <c r="AJ865" s="43"/>
      <c r="AK865" s="43"/>
      <c r="AL865" s="43"/>
      <c r="AM865" s="43"/>
      <c r="AN865" s="42" t="s">
        <v>2711</v>
      </c>
      <c r="AO865" s="42" t="s">
        <v>2712</v>
      </c>
      <c r="AP865" s="42" t="s">
        <v>2742</v>
      </c>
      <c r="AQ865" s="42" t="s">
        <v>346</v>
      </c>
      <c r="AR865" s="44">
        <v>44470</v>
      </c>
      <c r="AS865" s="44">
        <v>44531</v>
      </c>
      <c r="AT865" s="42" t="s">
        <v>252</v>
      </c>
      <c r="AU865" s="42" t="s">
        <v>252</v>
      </c>
      <c r="AV865" s="42">
        <v>0</v>
      </c>
      <c r="AW865" s="46" t="s">
        <v>2743</v>
      </c>
      <c r="AX865" s="43"/>
      <c r="AY865" s="43"/>
      <c r="AZ865" s="43"/>
      <c r="BA865" s="43"/>
      <c r="BB865" s="43"/>
      <c r="BC865" s="43"/>
      <c r="BD865" s="43"/>
      <c r="BE865" s="43"/>
      <c r="BF865" s="43"/>
      <c r="BG865" s="43"/>
      <c r="BH865" s="43"/>
      <c r="BI865" s="43"/>
      <c r="BJ865" s="43"/>
      <c r="BK865" s="43"/>
      <c r="BL865" s="43"/>
      <c r="BM865" s="43"/>
      <c r="BN865" s="43"/>
      <c r="BO865" s="43"/>
      <c r="BP865" s="43"/>
      <c r="BQ865" s="43"/>
      <c r="BR865" s="43"/>
      <c r="BS865" s="43"/>
      <c r="BT865" s="43"/>
      <c r="BU865" s="43"/>
      <c r="BV865" s="43"/>
      <c r="BW865" s="43"/>
      <c r="BX865" s="43"/>
      <c r="FL865" s="33" t="s">
        <v>2716</v>
      </c>
      <c r="FM865" s="33" t="s">
        <v>552</v>
      </c>
    </row>
    <row r="866" spans="1:169" ht="23.25" customHeight="1" x14ac:dyDescent="0.15">
      <c r="A866" s="41">
        <v>44662.547003900458</v>
      </c>
      <c r="B866" s="42" t="s">
        <v>8</v>
      </c>
      <c r="C866" s="42" t="s">
        <v>10</v>
      </c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  <c r="AA866" s="43"/>
      <c r="AB866" s="43"/>
      <c r="AC866" s="43"/>
      <c r="AD866" s="43"/>
      <c r="AE866" s="43"/>
      <c r="AF866" s="43"/>
      <c r="AG866" s="43"/>
      <c r="AH866" s="43"/>
      <c r="AI866" s="43"/>
      <c r="AJ866" s="43"/>
      <c r="AK866" s="43"/>
      <c r="AL866" s="43"/>
      <c r="AM866" s="43"/>
      <c r="AN866" s="42" t="s">
        <v>2744</v>
      </c>
      <c r="AO866" s="42" t="s">
        <v>2745</v>
      </c>
      <c r="AP866" s="42" t="s">
        <v>2746</v>
      </c>
      <c r="AQ866" s="42" t="s">
        <v>346</v>
      </c>
      <c r="AR866" s="44">
        <v>44593</v>
      </c>
      <c r="AS866" s="44">
        <v>44655</v>
      </c>
      <c r="AT866" s="42" t="s">
        <v>252</v>
      </c>
      <c r="AU866" s="42" t="s">
        <v>252</v>
      </c>
      <c r="AV866" s="42">
        <v>0</v>
      </c>
      <c r="AW866" s="46" t="s">
        <v>2747</v>
      </c>
      <c r="AX866" s="43"/>
      <c r="AY866" s="43"/>
      <c r="AZ866" s="43"/>
      <c r="BA866" s="43"/>
      <c r="BB866" s="43"/>
      <c r="BC866" s="43"/>
      <c r="BD866" s="43"/>
      <c r="BE866" s="43"/>
      <c r="BF866" s="43"/>
      <c r="BG866" s="43"/>
      <c r="BH866" s="43"/>
      <c r="BI866" s="43"/>
      <c r="BJ866" s="43"/>
      <c r="BK866" s="43"/>
      <c r="BL866" s="43"/>
      <c r="BM866" s="43"/>
      <c r="BN866" s="43"/>
      <c r="BO866" s="43"/>
      <c r="BP866" s="43"/>
      <c r="BQ866" s="43"/>
      <c r="BR866" s="43"/>
      <c r="BS866" s="43"/>
      <c r="BT866" s="43"/>
      <c r="BU866" s="43"/>
      <c r="BV866" s="43"/>
      <c r="BW866" s="43"/>
      <c r="BX866" s="43"/>
      <c r="FL866" s="33" t="s">
        <v>2748</v>
      </c>
      <c r="FM866" s="33" t="s">
        <v>321</v>
      </c>
    </row>
    <row r="867" spans="1:169" ht="23.25" customHeight="1" x14ac:dyDescent="0.15">
      <c r="A867" s="41">
        <v>44662.547140266208</v>
      </c>
      <c r="B867" s="42" t="s">
        <v>8</v>
      </c>
      <c r="C867" s="42" t="s">
        <v>10</v>
      </c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  <c r="AA867" s="43"/>
      <c r="AB867" s="43"/>
      <c r="AC867" s="43"/>
      <c r="AD867" s="43"/>
      <c r="AE867" s="43"/>
      <c r="AF867" s="43"/>
      <c r="AG867" s="43"/>
      <c r="AH867" s="43"/>
      <c r="AI867" s="43"/>
      <c r="AJ867" s="43"/>
      <c r="AK867" s="43"/>
      <c r="AL867" s="43"/>
      <c r="AM867" s="43"/>
      <c r="AN867" s="42" t="s">
        <v>2717</v>
      </c>
      <c r="AO867" s="42" t="s">
        <v>2718</v>
      </c>
      <c r="AP867" s="42" t="s">
        <v>2749</v>
      </c>
      <c r="AQ867" s="42" t="s">
        <v>308</v>
      </c>
      <c r="AR867" s="44">
        <v>44470</v>
      </c>
      <c r="AS867" s="44">
        <v>44557</v>
      </c>
      <c r="AT867" s="42" t="s">
        <v>252</v>
      </c>
      <c r="AU867" s="42" t="s">
        <v>252</v>
      </c>
      <c r="AV867" s="42">
        <v>0</v>
      </c>
      <c r="AW867" s="46" t="s">
        <v>2750</v>
      </c>
      <c r="AX867" s="43"/>
      <c r="AY867" s="43"/>
      <c r="AZ867" s="43"/>
      <c r="BA867" s="43"/>
      <c r="BB867" s="43"/>
      <c r="BC867" s="43"/>
      <c r="BD867" s="43"/>
      <c r="BE867" s="43"/>
      <c r="BF867" s="43"/>
      <c r="BG867" s="43"/>
      <c r="BH867" s="43"/>
      <c r="BI867" s="43"/>
      <c r="BJ867" s="43"/>
      <c r="BK867" s="43"/>
      <c r="BL867" s="43"/>
      <c r="BM867" s="43"/>
      <c r="BN867" s="43"/>
      <c r="BO867" s="43"/>
      <c r="BP867" s="43"/>
      <c r="BQ867" s="43"/>
      <c r="BR867" s="43"/>
      <c r="BS867" s="43"/>
      <c r="BT867" s="43"/>
      <c r="BU867" s="43"/>
      <c r="BV867" s="43"/>
      <c r="BW867" s="43"/>
      <c r="BX867" s="43"/>
      <c r="FL867" s="33" t="s">
        <v>2721</v>
      </c>
      <c r="FM867" s="33" t="s">
        <v>321</v>
      </c>
    </row>
    <row r="868" spans="1:169" ht="23.25" customHeight="1" x14ac:dyDescent="0.15">
      <c r="A868" s="41">
        <v>44662.547160844908</v>
      </c>
      <c r="B868" s="42" t="s">
        <v>8</v>
      </c>
      <c r="C868" s="42" t="s">
        <v>10</v>
      </c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  <c r="AA868" s="43"/>
      <c r="AB868" s="43"/>
      <c r="AC868" s="43"/>
      <c r="AD868" s="43"/>
      <c r="AE868" s="43"/>
      <c r="AF868" s="43"/>
      <c r="AG868" s="43"/>
      <c r="AH868" s="43"/>
      <c r="AI868" s="43"/>
      <c r="AJ868" s="43"/>
      <c r="AK868" s="43"/>
      <c r="AL868" s="43"/>
      <c r="AM868" s="43"/>
      <c r="AN868" s="42" t="s">
        <v>2751</v>
      </c>
      <c r="AO868" s="42" t="s">
        <v>2736</v>
      </c>
      <c r="AP868" s="42" t="s">
        <v>302</v>
      </c>
      <c r="AQ868" s="42" t="s">
        <v>318</v>
      </c>
      <c r="AR868" s="44">
        <v>44470</v>
      </c>
      <c r="AS868" s="44">
        <v>44557</v>
      </c>
      <c r="AT868" s="42" t="s">
        <v>252</v>
      </c>
      <c r="AU868" s="42" t="s">
        <v>252</v>
      </c>
      <c r="AV868" s="42">
        <v>0</v>
      </c>
      <c r="AW868" s="46" t="s">
        <v>2752</v>
      </c>
      <c r="AX868" s="43"/>
      <c r="AY868" s="43"/>
      <c r="AZ868" s="43"/>
      <c r="BA868" s="43"/>
      <c r="BB868" s="43"/>
      <c r="BC868" s="43"/>
      <c r="BD868" s="43"/>
      <c r="BE868" s="43"/>
      <c r="BF868" s="43"/>
      <c r="BG868" s="43"/>
      <c r="BH868" s="43"/>
      <c r="BI868" s="43"/>
      <c r="BJ868" s="43"/>
      <c r="BK868" s="43"/>
      <c r="BL868" s="43"/>
      <c r="BM868" s="43"/>
      <c r="BN868" s="43"/>
      <c r="BO868" s="43"/>
      <c r="BP868" s="43"/>
      <c r="BQ868" s="43"/>
      <c r="BR868" s="43"/>
      <c r="BS868" s="43"/>
      <c r="BT868" s="43"/>
      <c r="BU868" s="43"/>
      <c r="BV868" s="43"/>
      <c r="BW868" s="43"/>
      <c r="BX868" s="43"/>
      <c r="FL868" s="33" t="s">
        <v>2739</v>
      </c>
      <c r="FM868" s="33" t="s">
        <v>321</v>
      </c>
    </row>
    <row r="869" spans="1:169" ht="23.25" customHeight="1" x14ac:dyDescent="0.15">
      <c r="A869" s="41">
        <v>44662.547333761569</v>
      </c>
      <c r="B869" s="42" t="s">
        <v>8</v>
      </c>
      <c r="C869" s="42" t="s">
        <v>11</v>
      </c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  <c r="AA869" s="43"/>
      <c r="AB869" s="43"/>
      <c r="AC869" s="43"/>
      <c r="AD869" s="43"/>
      <c r="AE869" s="43"/>
      <c r="AF869" s="43"/>
      <c r="AG869" s="43"/>
      <c r="AH869" s="43"/>
      <c r="AI869" s="43"/>
      <c r="AJ869" s="43"/>
      <c r="AK869" s="43"/>
      <c r="AL869" s="43"/>
      <c r="AM869" s="43"/>
      <c r="AN869" s="43"/>
      <c r="AO869" s="43"/>
      <c r="AP869" s="43"/>
      <c r="AQ869" s="43"/>
      <c r="AR869" s="43"/>
      <c r="AS869" s="43"/>
      <c r="AT869" s="43"/>
      <c r="AU869" s="43"/>
      <c r="AV869" s="43"/>
      <c r="AW869" s="43"/>
      <c r="AX869" s="42" t="s">
        <v>2662</v>
      </c>
      <c r="AY869" s="42" t="s">
        <v>2663</v>
      </c>
      <c r="AZ869" s="42" t="s">
        <v>2328</v>
      </c>
      <c r="BA869" s="42" t="s">
        <v>2753</v>
      </c>
      <c r="BB869" s="42" t="s">
        <v>1784</v>
      </c>
      <c r="BC869" s="44">
        <v>44330</v>
      </c>
      <c r="BD869" s="44">
        <v>44388</v>
      </c>
      <c r="BE869" s="44">
        <v>44388</v>
      </c>
      <c r="BF869" s="42">
        <v>90</v>
      </c>
      <c r="BG869" s="42" t="s">
        <v>2754</v>
      </c>
      <c r="BH869" s="46" t="s">
        <v>2755</v>
      </c>
      <c r="BI869" s="43"/>
      <c r="BJ869" s="43"/>
      <c r="BK869" s="43"/>
      <c r="BL869" s="43"/>
      <c r="BM869" s="43"/>
      <c r="BN869" s="43"/>
      <c r="BO869" s="43"/>
      <c r="BP869" s="43"/>
      <c r="BQ869" s="43"/>
      <c r="BR869" s="43"/>
      <c r="BS869" s="43"/>
      <c r="BT869" s="43"/>
      <c r="BU869" s="43"/>
      <c r="BV869" s="43"/>
      <c r="BW869" s="43"/>
      <c r="BX869" s="43"/>
      <c r="FL869" s="33" t="s">
        <v>2668</v>
      </c>
      <c r="FM869" s="33" t="s">
        <v>321</v>
      </c>
    </row>
    <row r="870" spans="1:169" ht="23.25" customHeight="1" x14ac:dyDescent="0.15">
      <c r="A870" s="41">
        <v>44662.548399421299</v>
      </c>
      <c r="B870" s="42" t="s">
        <v>8</v>
      </c>
      <c r="C870" s="42" t="s">
        <v>10</v>
      </c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  <c r="AA870" s="43"/>
      <c r="AB870" s="43"/>
      <c r="AC870" s="43"/>
      <c r="AD870" s="43"/>
      <c r="AE870" s="43"/>
      <c r="AF870" s="43"/>
      <c r="AG870" s="43"/>
      <c r="AH870" s="43"/>
      <c r="AI870" s="43"/>
      <c r="AJ870" s="43"/>
      <c r="AK870" s="43"/>
      <c r="AL870" s="43"/>
      <c r="AM870" s="43"/>
      <c r="AN870" s="42" t="s">
        <v>2729</v>
      </c>
      <c r="AO870" s="42" t="s">
        <v>2730</v>
      </c>
      <c r="AP870" s="42" t="s">
        <v>302</v>
      </c>
      <c r="AQ870" s="42" t="s">
        <v>308</v>
      </c>
      <c r="AR870" s="44">
        <v>44470</v>
      </c>
      <c r="AS870" s="44">
        <v>44561</v>
      </c>
      <c r="AT870" s="42" t="s">
        <v>252</v>
      </c>
      <c r="AU870" s="42" t="s">
        <v>252</v>
      </c>
      <c r="AV870" s="42">
        <v>0</v>
      </c>
      <c r="AW870" s="46" t="s">
        <v>2756</v>
      </c>
      <c r="AX870" s="43"/>
      <c r="AY870" s="43"/>
      <c r="AZ870" s="43"/>
      <c r="BA870" s="43"/>
      <c r="BB870" s="43"/>
      <c r="BC870" s="43"/>
      <c r="BD870" s="43"/>
      <c r="BE870" s="43"/>
      <c r="BF870" s="43"/>
      <c r="BG870" s="43"/>
      <c r="BH870" s="43"/>
      <c r="BI870" s="43"/>
      <c r="BJ870" s="43"/>
      <c r="BK870" s="43"/>
      <c r="BL870" s="43"/>
      <c r="BM870" s="43"/>
      <c r="BN870" s="43"/>
      <c r="BO870" s="43"/>
      <c r="BP870" s="43"/>
      <c r="BQ870" s="43"/>
      <c r="BR870" s="43"/>
      <c r="BS870" s="43"/>
      <c r="BT870" s="43"/>
      <c r="BU870" s="43"/>
      <c r="BV870" s="43"/>
      <c r="BW870" s="43"/>
      <c r="BX870" s="43"/>
      <c r="FL870" s="33" t="s">
        <v>2732</v>
      </c>
      <c r="FM870" s="33" t="s">
        <v>321</v>
      </c>
    </row>
    <row r="871" spans="1:169" ht="23.25" customHeight="1" x14ac:dyDescent="0.15">
      <c r="A871" s="41">
        <v>44662.557792754626</v>
      </c>
      <c r="B871" s="42" t="s">
        <v>6</v>
      </c>
      <c r="C871" s="17" t="s">
        <v>13</v>
      </c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  <c r="AA871" s="43"/>
      <c r="AB871" s="43"/>
      <c r="AC871" s="43"/>
      <c r="AD871" s="43"/>
      <c r="AE871" s="43"/>
      <c r="AF871" s="43"/>
      <c r="AG871" s="43"/>
      <c r="AH871" s="43"/>
      <c r="AI871" s="43"/>
      <c r="AJ871" s="43"/>
      <c r="AK871" s="43"/>
      <c r="AL871" s="43"/>
      <c r="AM871" s="43"/>
      <c r="AN871" s="43"/>
      <c r="AO871" s="43"/>
      <c r="AP871" s="43"/>
      <c r="AQ871" s="43"/>
      <c r="AR871" s="43"/>
      <c r="AS871" s="43"/>
      <c r="AT871" s="43"/>
      <c r="AU871" s="43"/>
      <c r="AV871" s="43"/>
      <c r="AW871" s="43"/>
      <c r="AX871" s="43"/>
      <c r="AY871" s="43"/>
      <c r="AZ871" s="43"/>
      <c r="BA871" s="43"/>
      <c r="BB871" s="43"/>
      <c r="BC871" s="43"/>
      <c r="BD871" s="43"/>
      <c r="BE871" s="43"/>
      <c r="BF871" s="43"/>
      <c r="BG871" s="43"/>
      <c r="BH871" s="43"/>
      <c r="BI871" s="43"/>
      <c r="BJ871" s="43"/>
      <c r="BK871" s="43"/>
      <c r="BL871" s="43"/>
      <c r="BM871" s="43"/>
      <c r="BN871" s="43"/>
      <c r="BO871" s="43"/>
      <c r="BP871" s="43"/>
      <c r="BQ871" s="43"/>
      <c r="BR871" s="43"/>
      <c r="BS871" s="43"/>
      <c r="BT871" s="43"/>
      <c r="BU871" s="43"/>
      <c r="BV871" s="43"/>
      <c r="BW871" s="42" t="s">
        <v>2757</v>
      </c>
      <c r="BX871" s="42" t="s">
        <v>2758</v>
      </c>
      <c r="BZ871" s="33" t="s">
        <v>154</v>
      </c>
      <c r="CA871" s="33" t="s">
        <v>2759</v>
      </c>
      <c r="CB871" s="33" t="s">
        <v>454</v>
      </c>
      <c r="CC871" s="33" t="s">
        <v>308</v>
      </c>
      <c r="CD871" s="34">
        <v>43657</v>
      </c>
      <c r="CE871" s="34">
        <v>43720</v>
      </c>
      <c r="CF871" s="33">
        <v>67</v>
      </c>
      <c r="CG871" s="35" t="s">
        <v>2760</v>
      </c>
      <c r="FL871" s="33" t="s">
        <v>2761</v>
      </c>
      <c r="FM871" s="33" t="s">
        <v>552</v>
      </c>
    </row>
    <row r="872" spans="1:169" ht="23.25" customHeight="1" x14ac:dyDescent="0.15">
      <c r="A872" s="41">
        <v>44662.55947025463</v>
      </c>
      <c r="B872" s="42" t="s">
        <v>8</v>
      </c>
      <c r="C872" s="42" t="s">
        <v>10</v>
      </c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  <c r="AA872" s="43"/>
      <c r="AB872" s="43"/>
      <c r="AC872" s="43"/>
      <c r="AD872" s="43"/>
      <c r="AE872" s="43"/>
      <c r="AF872" s="43"/>
      <c r="AG872" s="43"/>
      <c r="AH872" s="43"/>
      <c r="AI872" s="43"/>
      <c r="AJ872" s="43"/>
      <c r="AK872" s="43"/>
      <c r="AL872" s="43"/>
      <c r="AM872" s="43"/>
      <c r="AN872" s="42" t="s">
        <v>2762</v>
      </c>
      <c r="AO872" s="42" t="s">
        <v>2763</v>
      </c>
      <c r="AP872" s="42" t="s">
        <v>2742</v>
      </c>
      <c r="AQ872" s="42" t="s">
        <v>1332</v>
      </c>
      <c r="AR872" s="44">
        <v>44470</v>
      </c>
      <c r="AS872" s="44">
        <v>44531</v>
      </c>
      <c r="AT872" s="42" t="s">
        <v>252</v>
      </c>
      <c r="AU872" s="42" t="s">
        <v>252</v>
      </c>
      <c r="AV872" s="42">
        <v>0</v>
      </c>
      <c r="AW872" s="46" t="s">
        <v>2764</v>
      </c>
      <c r="AX872" s="43"/>
      <c r="AY872" s="43"/>
      <c r="AZ872" s="43"/>
      <c r="BA872" s="43"/>
      <c r="BB872" s="43"/>
      <c r="BC872" s="43"/>
      <c r="BD872" s="43"/>
      <c r="BE872" s="43"/>
      <c r="BF872" s="43"/>
      <c r="BG872" s="43"/>
      <c r="BH872" s="43"/>
      <c r="BI872" s="43"/>
      <c r="BJ872" s="43"/>
      <c r="BK872" s="43"/>
      <c r="BL872" s="43"/>
      <c r="BM872" s="43"/>
      <c r="BN872" s="43"/>
      <c r="BO872" s="43"/>
      <c r="BP872" s="43"/>
      <c r="BQ872" s="43"/>
      <c r="BR872" s="43"/>
      <c r="BS872" s="43"/>
      <c r="BT872" s="43"/>
      <c r="BU872" s="43"/>
      <c r="BV872" s="43"/>
      <c r="BW872" s="43"/>
      <c r="BX872" s="43"/>
      <c r="FL872" s="33" t="s">
        <v>2765</v>
      </c>
      <c r="FM872" s="33" t="s">
        <v>321</v>
      </c>
    </row>
    <row r="873" spans="1:169" ht="23.25" customHeight="1" x14ac:dyDescent="0.15">
      <c r="A873" s="41">
        <v>44662.559766712962</v>
      </c>
      <c r="B873" s="42" t="s">
        <v>6</v>
      </c>
      <c r="C873" s="42" t="s">
        <v>12</v>
      </c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  <c r="AA873" s="43"/>
      <c r="AB873" s="43"/>
      <c r="AC873" s="43"/>
      <c r="AD873" s="43"/>
      <c r="AE873" s="43"/>
      <c r="AF873" s="43"/>
      <c r="AG873" s="43"/>
      <c r="AH873" s="43"/>
      <c r="AI873" s="43"/>
      <c r="AJ873" s="43"/>
      <c r="AK873" s="43"/>
      <c r="AL873" s="43"/>
      <c r="AM873" s="43"/>
      <c r="AN873" s="43"/>
      <c r="AO873" s="43"/>
      <c r="AP873" s="43"/>
      <c r="AQ873" s="43"/>
      <c r="AR873" s="43"/>
      <c r="AS873" s="43"/>
      <c r="AT873" s="43"/>
      <c r="AU873" s="43"/>
      <c r="AV873" s="43"/>
      <c r="AW873" s="43"/>
      <c r="AX873" s="43"/>
      <c r="AY873" s="43"/>
      <c r="AZ873" s="43"/>
      <c r="BA873" s="43"/>
      <c r="BB873" s="43"/>
      <c r="BC873" s="43"/>
      <c r="BD873" s="43"/>
      <c r="BE873" s="43"/>
      <c r="BF873" s="43"/>
      <c r="BG873" s="43"/>
      <c r="BH873" s="43"/>
      <c r="BI873" s="42" t="s">
        <v>2766</v>
      </c>
      <c r="BJ873" s="42" t="s">
        <v>2767</v>
      </c>
      <c r="BK873" s="42" t="s">
        <v>145</v>
      </c>
      <c r="BL873" s="42" t="s">
        <v>1285</v>
      </c>
      <c r="BM873" s="42" t="s">
        <v>2768</v>
      </c>
      <c r="BN873" s="42">
        <v>2</v>
      </c>
      <c r="BO873" s="44">
        <v>43694</v>
      </c>
      <c r="BP873" s="44">
        <v>43695</v>
      </c>
      <c r="BQ873" s="42" t="s">
        <v>2709</v>
      </c>
      <c r="BR873" s="42" t="s">
        <v>2769</v>
      </c>
      <c r="BS873" s="42" t="s">
        <v>271</v>
      </c>
      <c r="BT873" s="42" t="s">
        <v>629</v>
      </c>
      <c r="BU873" s="42">
        <v>2500</v>
      </c>
      <c r="BV873" s="46" t="s">
        <v>2770</v>
      </c>
      <c r="BW873" s="43"/>
      <c r="BX873" s="43"/>
      <c r="FL873" s="33" t="s">
        <v>2771</v>
      </c>
      <c r="FM873" s="33" t="s">
        <v>255</v>
      </c>
    </row>
    <row r="874" spans="1:169" ht="23.25" customHeight="1" x14ac:dyDescent="0.15">
      <c r="A874" s="41">
        <v>44662.561892303245</v>
      </c>
      <c r="B874" s="42" t="s">
        <v>8</v>
      </c>
      <c r="C874" s="42" t="s">
        <v>10</v>
      </c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  <c r="AA874" s="43"/>
      <c r="AB874" s="43"/>
      <c r="AC874" s="43"/>
      <c r="AD874" s="43"/>
      <c r="AE874" s="43"/>
      <c r="AF874" s="43"/>
      <c r="AG874" s="43"/>
      <c r="AH874" s="43"/>
      <c r="AI874" s="43"/>
      <c r="AJ874" s="43"/>
      <c r="AK874" s="43"/>
      <c r="AL874" s="43"/>
      <c r="AM874" s="43"/>
      <c r="AN874" s="42" t="s">
        <v>2772</v>
      </c>
      <c r="AO874" s="42" t="s">
        <v>2773</v>
      </c>
      <c r="AP874" s="42" t="s">
        <v>1157</v>
      </c>
      <c r="AQ874" s="42" t="s">
        <v>2774</v>
      </c>
      <c r="AR874" s="44">
        <v>44481</v>
      </c>
      <c r="AS874" s="44">
        <v>44542</v>
      </c>
      <c r="AT874" s="42" t="s">
        <v>252</v>
      </c>
      <c r="AU874" s="42" t="s">
        <v>252</v>
      </c>
      <c r="AV874" s="42">
        <v>0</v>
      </c>
      <c r="AW874" s="46" t="s">
        <v>2775</v>
      </c>
      <c r="AX874" s="43"/>
      <c r="AY874" s="43"/>
      <c r="AZ874" s="43"/>
      <c r="BA874" s="43"/>
      <c r="BB874" s="43"/>
      <c r="BC874" s="43"/>
      <c r="BD874" s="43"/>
      <c r="BE874" s="43"/>
      <c r="BF874" s="43"/>
      <c r="BG874" s="43"/>
      <c r="BH874" s="43"/>
      <c r="BI874" s="43"/>
      <c r="BJ874" s="43"/>
      <c r="BK874" s="43"/>
      <c r="BL874" s="43"/>
      <c r="BM874" s="43"/>
      <c r="BN874" s="43"/>
      <c r="BO874" s="43"/>
      <c r="BP874" s="43"/>
      <c r="BQ874" s="43"/>
      <c r="BR874" s="43"/>
      <c r="BS874" s="43"/>
      <c r="BT874" s="43"/>
      <c r="BU874" s="43"/>
      <c r="BV874" s="43"/>
      <c r="BW874" s="43"/>
      <c r="BX874" s="43"/>
      <c r="FL874" s="33" t="s">
        <v>2776</v>
      </c>
      <c r="FM874" s="33" t="s">
        <v>321</v>
      </c>
    </row>
    <row r="875" spans="1:169" ht="23.25" customHeight="1" x14ac:dyDescent="0.15">
      <c r="A875" s="41">
        <v>44662.562116111112</v>
      </c>
      <c r="B875" s="42" t="s">
        <v>6</v>
      </c>
      <c r="C875" s="42" t="s">
        <v>17</v>
      </c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  <c r="AA875" s="43"/>
      <c r="AB875" s="43"/>
      <c r="AC875" s="43"/>
      <c r="AD875" s="43"/>
      <c r="AE875" s="43"/>
      <c r="AF875" s="43"/>
      <c r="AG875" s="43"/>
      <c r="AH875" s="43"/>
      <c r="AI875" s="43"/>
      <c r="AJ875" s="43"/>
      <c r="AK875" s="43"/>
      <c r="AL875" s="43"/>
      <c r="AM875" s="43"/>
      <c r="AN875" s="43"/>
      <c r="AO875" s="43"/>
      <c r="AP875" s="43"/>
      <c r="AQ875" s="43"/>
      <c r="AR875" s="43"/>
      <c r="AS875" s="43"/>
      <c r="AT875" s="43"/>
      <c r="AU875" s="43"/>
      <c r="AV875" s="43"/>
      <c r="AW875" s="43"/>
      <c r="AX875" s="43"/>
      <c r="AY875" s="43"/>
      <c r="AZ875" s="43"/>
      <c r="BA875" s="43"/>
      <c r="BB875" s="43"/>
      <c r="BC875" s="43"/>
      <c r="BD875" s="43"/>
      <c r="BE875" s="43"/>
      <c r="BF875" s="43"/>
      <c r="BG875" s="43"/>
      <c r="BH875" s="43"/>
      <c r="BI875" s="43"/>
      <c r="BJ875" s="43"/>
      <c r="BK875" s="43"/>
      <c r="BL875" s="43"/>
      <c r="BM875" s="43"/>
      <c r="BN875" s="43"/>
      <c r="BO875" s="43"/>
      <c r="BP875" s="43"/>
      <c r="BQ875" s="43"/>
      <c r="BR875" s="43"/>
      <c r="BS875" s="43"/>
      <c r="BT875" s="43"/>
      <c r="BU875" s="43"/>
      <c r="BV875" s="43"/>
      <c r="BW875" s="43"/>
      <c r="BX875" s="43"/>
      <c r="DX875" s="33" t="s">
        <v>2777</v>
      </c>
      <c r="DY875" s="33" t="s">
        <v>2767</v>
      </c>
      <c r="DZ875" s="33" t="s">
        <v>2778</v>
      </c>
      <c r="EA875" s="33" t="s">
        <v>2779</v>
      </c>
      <c r="EB875" s="34">
        <v>43327</v>
      </c>
      <c r="EC875" s="33" t="s">
        <v>1741</v>
      </c>
      <c r="ED875" s="35" t="s">
        <v>2780</v>
      </c>
      <c r="FL875" s="33" t="s">
        <v>2771</v>
      </c>
      <c r="FM875" s="33" t="s">
        <v>255</v>
      </c>
    </row>
    <row r="876" spans="1:169" ht="23.25" customHeight="1" x14ac:dyDescent="0.15">
      <c r="A876" s="41">
        <v>44662.56326711805</v>
      </c>
      <c r="B876" s="42" t="s">
        <v>6</v>
      </c>
      <c r="C876" s="42" t="s">
        <v>11</v>
      </c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  <c r="AA876" s="43"/>
      <c r="AB876" s="43"/>
      <c r="AC876" s="43"/>
      <c r="AD876" s="43"/>
      <c r="AE876" s="43"/>
      <c r="AF876" s="43"/>
      <c r="AG876" s="43"/>
      <c r="AH876" s="43"/>
      <c r="AI876" s="43"/>
      <c r="AJ876" s="43"/>
      <c r="AK876" s="43"/>
      <c r="AL876" s="43"/>
      <c r="AM876" s="43"/>
      <c r="AN876" s="43"/>
      <c r="AO876" s="43"/>
      <c r="AP876" s="43"/>
      <c r="AQ876" s="43"/>
      <c r="AR876" s="43"/>
      <c r="AS876" s="43"/>
      <c r="AT876" s="43"/>
      <c r="AU876" s="43"/>
      <c r="AV876" s="43"/>
      <c r="AW876" s="43"/>
      <c r="AX876" s="42" t="s">
        <v>2757</v>
      </c>
      <c r="AY876" s="42" t="s">
        <v>2758</v>
      </c>
      <c r="AZ876" s="42" t="s">
        <v>2781</v>
      </c>
      <c r="BA876" s="42" t="s">
        <v>375</v>
      </c>
      <c r="BB876" s="42" t="s">
        <v>2782</v>
      </c>
      <c r="BC876" s="44">
        <v>43624</v>
      </c>
      <c r="BD876" s="44">
        <v>43654</v>
      </c>
      <c r="BE876" s="44">
        <v>43686</v>
      </c>
      <c r="BF876" s="42">
        <v>90</v>
      </c>
      <c r="BG876" s="42" t="s">
        <v>2783</v>
      </c>
      <c r="BH876" s="46" t="s">
        <v>2784</v>
      </c>
      <c r="BI876" s="43"/>
      <c r="BJ876" s="43"/>
      <c r="BK876" s="43"/>
      <c r="BL876" s="43"/>
      <c r="BM876" s="43"/>
      <c r="BN876" s="43"/>
      <c r="BO876" s="43"/>
      <c r="BP876" s="43"/>
      <c r="BQ876" s="43"/>
      <c r="BR876" s="43"/>
      <c r="BS876" s="43"/>
      <c r="BT876" s="43"/>
      <c r="BU876" s="43"/>
      <c r="BV876" s="43"/>
      <c r="BW876" s="43"/>
      <c r="BX876" s="43"/>
      <c r="FL876" s="33" t="s">
        <v>2761</v>
      </c>
      <c r="FM876" s="33" t="s">
        <v>552</v>
      </c>
    </row>
    <row r="877" spans="1:169" ht="23.25" customHeight="1" x14ac:dyDescent="0.15">
      <c r="A877" s="41">
        <v>44662.566840694446</v>
      </c>
      <c r="B877" s="42" t="s">
        <v>6</v>
      </c>
      <c r="C877" s="42" t="s">
        <v>11</v>
      </c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  <c r="AA877" s="43"/>
      <c r="AB877" s="43"/>
      <c r="AC877" s="43"/>
      <c r="AD877" s="43"/>
      <c r="AE877" s="43"/>
      <c r="AF877" s="43"/>
      <c r="AG877" s="43"/>
      <c r="AH877" s="43"/>
      <c r="AI877" s="43"/>
      <c r="AJ877" s="43"/>
      <c r="AK877" s="43"/>
      <c r="AL877" s="43"/>
      <c r="AM877" s="43"/>
      <c r="AN877" s="43"/>
      <c r="AO877" s="43"/>
      <c r="AP877" s="43"/>
      <c r="AQ877" s="43"/>
      <c r="AR877" s="43"/>
      <c r="AS877" s="43"/>
      <c r="AT877" s="43"/>
      <c r="AU877" s="43"/>
      <c r="AV877" s="43"/>
      <c r="AW877" s="43"/>
      <c r="AX877" s="42" t="s">
        <v>2757</v>
      </c>
      <c r="AY877" s="42" t="s">
        <v>2785</v>
      </c>
      <c r="AZ877" s="42" t="s">
        <v>2786</v>
      </c>
      <c r="BA877" s="42" t="s">
        <v>375</v>
      </c>
      <c r="BB877" s="42" t="s">
        <v>2782</v>
      </c>
      <c r="BC877" s="44">
        <v>43666</v>
      </c>
      <c r="BD877" s="44">
        <v>43672</v>
      </c>
      <c r="BE877" s="44">
        <v>43672</v>
      </c>
      <c r="BF877" s="42">
        <v>90</v>
      </c>
      <c r="BG877" s="42" t="s">
        <v>1198</v>
      </c>
      <c r="BH877" s="46" t="s">
        <v>2787</v>
      </c>
      <c r="BI877" s="43"/>
      <c r="BJ877" s="43"/>
      <c r="BK877" s="43"/>
      <c r="BL877" s="43"/>
      <c r="BM877" s="43"/>
      <c r="BN877" s="43"/>
      <c r="BO877" s="43"/>
      <c r="BP877" s="43"/>
      <c r="BQ877" s="43"/>
      <c r="BR877" s="43"/>
      <c r="BS877" s="43"/>
      <c r="BT877" s="43"/>
      <c r="BU877" s="43"/>
      <c r="BV877" s="43"/>
      <c r="BW877" s="43"/>
      <c r="BX877" s="43"/>
      <c r="FL877" s="33" t="s">
        <v>2761</v>
      </c>
      <c r="FM877" s="33" t="s">
        <v>552</v>
      </c>
    </row>
    <row r="878" spans="1:169" ht="23.25" customHeight="1" x14ac:dyDescent="0.15">
      <c r="A878" s="41">
        <v>44662.569601111114</v>
      </c>
      <c r="B878" s="42" t="s">
        <v>6</v>
      </c>
      <c r="C878" s="42" t="s">
        <v>11</v>
      </c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  <c r="AA878" s="43"/>
      <c r="AB878" s="43"/>
      <c r="AC878" s="43"/>
      <c r="AD878" s="43"/>
      <c r="AE878" s="43"/>
      <c r="AF878" s="43"/>
      <c r="AG878" s="43"/>
      <c r="AH878" s="43"/>
      <c r="AI878" s="43"/>
      <c r="AJ878" s="43"/>
      <c r="AK878" s="43"/>
      <c r="AL878" s="43"/>
      <c r="AM878" s="43"/>
      <c r="AN878" s="43"/>
      <c r="AO878" s="43"/>
      <c r="AP878" s="43"/>
      <c r="AQ878" s="43"/>
      <c r="AR878" s="43"/>
      <c r="AS878" s="43"/>
      <c r="AT878" s="43"/>
      <c r="AU878" s="43"/>
      <c r="AV878" s="43"/>
      <c r="AW878" s="43"/>
      <c r="AX878" s="42" t="s">
        <v>2757</v>
      </c>
      <c r="AY878" s="42" t="s">
        <v>2785</v>
      </c>
      <c r="AZ878" s="42" t="s">
        <v>2788</v>
      </c>
      <c r="BA878" s="42" t="s">
        <v>375</v>
      </c>
      <c r="BB878" s="42" t="s">
        <v>2782</v>
      </c>
      <c r="BC878" s="44">
        <v>44355</v>
      </c>
      <c r="BD878" s="44">
        <v>44388</v>
      </c>
      <c r="BE878" s="44">
        <v>44388</v>
      </c>
      <c r="BF878" s="42">
        <v>90</v>
      </c>
      <c r="BG878" s="42" t="s">
        <v>337</v>
      </c>
      <c r="BH878" s="46" t="s">
        <v>2789</v>
      </c>
      <c r="BI878" s="43"/>
      <c r="BJ878" s="43"/>
      <c r="BK878" s="43"/>
      <c r="BL878" s="43"/>
      <c r="BM878" s="43"/>
      <c r="BN878" s="43"/>
      <c r="BO878" s="43"/>
      <c r="BP878" s="43"/>
      <c r="BQ878" s="43"/>
      <c r="BR878" s="43"/>
      <c r="BS878" s="43"/>
      <c r="BT878" s="43"/>
      <c r="BU878" s="43"/>
      <c r="BV878" s="43"/>
      <c r="BW878" s="43"/>
      <c r="BX878" s="43"/>
      <c r="FL878" s="33" t="s">
        <v>2761</v>
      </c>
      <c r="FM878" s="33" t="s">
        <v>273</v>
      </c>
    </row>
    <row r="879" spans="1:169" ht="23.25" customHeight="1" x14ac:dyDescent="0.15">
      <c r="A879" s="41">
        <v>44662.571869016203</v>
      </c>
      <c r="B879" s="42" t="s">
        <v>6</v>
      </c>
      <c r="C879" s="42" t="s">
        <v>11</v>
      </c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  <c r="AA879" s="43"/>
      <c r="AB879" s="43"/>
      <c r="AC879" s="43"/>
      <c r="AD879" s="43"/>
      <c r="AE879" s="43"/>
      <c r="AF879" s="43"/>
      <c r="AG879" s="43"/>
      <c r="AH879" s="43"/>
      <c r="AI879" s="43"/>
      <c r="AJ879" s="43"/>
      <c r="AK879" s="43"/>
      <c r="AL879" s="43"/>
      <c r="AM879" s="43"/>
      <c r="AN879" s="43"/>
      <c r="AO879" s="43"/>
      <c r="AP879" s="43"/>
      <c r="AQ879" s="43"/>
      <c r="AR879" s="43"/>
      <c r="AS879" s="43"/>
      <c r="AT879" s="43"/>
      <c r="AU879" s="43"/>
      <c r="AV879" s="43"/>
      <c r="AW879" s="43"/>
      <c r="AX879" s="42" t="s">
        <v>2757</v>
      </c>
      <c r="AY879" s="42" t="s">
        <v>2790</v>
      </c>
      <c r="AZ879" s="42" t="s">
        <v>617</v>
      </c>
      <c r="BA879" s="42" t="s">
        <v>375</v>
      </c>
      <c r="BB879" s="42" t="s">
        <v>2782</v>
      </c>
      <c r="BC879" s="44">
        <v>44385</v>
      </c>
      <c r="BD879" s="44">
        <v>44388</v>
      </c>
      <c r="BE879" s="44">
        <v>44388</v>
      </c>
      <c r="BF879" s="42">
        <v>90</v>
      </c>
      <c r="BG879" s="42" t="s">
        <v>2791</v>
      </c>
      <c r="BH879" s="46" t="s">
        <v>2792</v>
      </c>
      <c r="BI879" s="43"/>
      <c r="BJ879" s="43"/>
      <c r="BK879" s="43"/>
      <c r="BL879" s="43"/>
      <c r="BM879" s="43"/>
      <c r="BN879" s="43"/>
      <c r="BO879" s="43"/>
      <c r="BP879" s="43"/>
      <c r="BQ879" s="43"/>
      <c r="BR879" s="43"/>
      <c r="BS879" s="43"/>
      <c r="BT879" s="43"/>
      <c r="BU879" s="43"/>
      <c r="BV879" s="43"/>
      <c r="BW879" s="43"/>
      <c r="BX879" s="43"/>
      <c r="FL879" s="33" t="s">
        <v>2761</v>
      </c>
      <c r="FM879" s="33" t="s">
        <v>273</v>
      </c>
    </row>
    <row r="880" spans="1:169" ht="23.25" customHeight="1" x14ac:dyDescent="0.15">
      <c r="A880" s="41">
        <v>44662.57188210648</v>
      </c>
      <c r="B880" s="42" t="s">
        <v>8</v>
      </c>
      <c r="C880" s="42" t="s">
        <v>11</v>
      </c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  <c r="AA880" s="43"/>
      <c r="AB880" s="43"/>
      <c r="AC880" s="43"/>
      <c r="AD880" s="43"/>
      <c r="AE880" s="43"/>
      <c r="AF880" s="43"/>
      <c r="AG880" s="43"/>
      <c r="AH880" s="43"/>
      <c r="AI880" s="43"/>
      <c r="AJ880" s="43"/>
      <c r="AK880" s="43"/>
      <c r="AL880" s="43"/>
      <c r="AM880" s="43"/>
      <c r="AN880" s="43"/>
      <c r="AO880" s="43"/>
      <c r="AP880" s="43"/>
      <c r="AQ880" s="43"/>
      <c r="AR880" s="43"/>
      <c r="AS880" s="43"/>
      <c r="AT880" s="43"/>
      <c r="AU880" s="43"/>
      <c r="AV880" s="43"/>
      <c r="AW880" s="43"/>
      <c r="AX880" s="42" t="s">
        <v>2793</v>
      </c>
      <c r="AY880" s="42" t="s">
        <v>2763</v>
      </c>
      <c r="AZ880" s="42" t="s">
        <v>2794</v>
      </c>
      <c r="BA880" s="42" t="s">
        <v>1431</v>
      </c>
      <c r="BB880" s="42" t="s">
        <v>1332</v>
      </c>
      <c r="BC880" s="44">
        <v>44479</v>
      </c>
      <c r="BD880" s="44">
        <v>44542</v>
      </c>
      <c r="BE880" s="44">
        <v>44540</v>
      </c>
      <c r="BF880" s="42">
        <v>98</v>
      </c>
      <c r="BG880" s="42" t="s">
        <v>2795</v>
      </c>
      <c r="BH880" s="46" t="s">
        <v>2796</v>
      </c>
      <c r="BI880" s="43"/>
      <c r="BJ880" s="43"/>
      <c r="BK880" s="43"/>
      <c r="BL880" s="43"/>
      <c r="BM880" s="43"/>
      <c r="BN880" s="43"/>
      <c r="BO880" s="43"/>
      <c r="BP880" s="43"/>
      <c r="BQ880" s="43"/>
      <c r="BR880" s="43"/>
      <c r="BS880" s="43"/>
      <c r="BT880" s="43"/>
      <c r="BU880" s="43"/>
      <c r="BV880" s="43"/>
      <c r="BW880" s="43"/>
      <c r="BX880" s="43"/>
      <c r="FL880" s="33" t="s">
        <v>2765</v>
      </c>
      <c r="FM880" s="33" t="s">
        <v>321</v>
      </c>
    </row>
    <row r="881" spans="1:169" ht="23.25" customHeight="1" x14ac:dyDescent="0.15">
      <c r="A881" s="41">
        <v>44662.575173495366</v>
      </c>
      <c r="B881" s="42" t="s">
        <v>6</v>
      </c>
      <c r="C881" s="42" t="s">
        <v>17</v>
      </c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  <c r="AA881" s="43"/>
      <c r="AB881" s="43"/>
      <c r="AC881" s="43"/>
      <c r="AD881" s="43"/>
      <c r="AE881" s="43"/>
      <c r="AF881" s="43"/>
      <c r="AG881" s="43"/>
      <c r="AH881" s="43"/>
      <c r="AI881" s="43"/>
      <c r="AJ881" s="43"/>
      <c r="AK881" s="43"/>
      <c r="AL881" s="43"/>
      <c r="AM881" s="43"/>
      <c r="AN881" s="43"/>
      <c r="AO881" s="43"/>
      <c r="AP881" s="43"/>
      <c r="AQ881" s="43"/>
      <c r="AR881" s="43"/>
      <c r="AS881" s="43"/>
      <c r="AT881" s="43"/>
      <c r="AU881" s="43"/>
      <c r="AV881" s="43"/>
      <c r="AW881" s="43"/>
      <c r="AX881" s="43"/>
      <c r="AY881" s="43"/>
      <c r="AZ881" s="43"/>
      <c r="BA881" s="43"/>
      <c r="BB881" s="43"/>
      <c r="BC881" s="43"/>
      <c r="BD881" s="43"/>
      <c r="BE881" s="43"/>
      <c r="BF881" s="43"/>
      <c r="BG881" s="43"/>
      <c r="BH881" s="43"/>
      <c r="BI881" s="43"/>
      <c r="BJ881" s="43"/>
      <c r="BK881" s="43"/>
      <c r="BL881" s="43"/>
      <c r="BM881" s="43"/>
      <c r="BN881" s="43"/>
      <c r="BO881" s="43"/>
      <c r="BP881" s="43"/>
      <c r="BQ881" s="43"/>
      <c r="BR881" s="43"/>
      <c r="BS881" s="43"/>
      <c r="BT881" s="43"/>
      <c r="BU881" s="43"/>
      <c r="BV881" s="43"/>
      <c r="BW881" s="43"/>
      <c r="BX881" s="43"/>
      <c r="DX881" s="33" t="s">
        <v>2757</v>
      </c>
      <c r="DY881" s="33" t="s">
        <v>2790</v>
      </c>
      <c r="DZ881" s="33" t="s">
        <v>154</v>
      </c>
      <c r="EA881" s="33" t="s">
        <v>2797</v>
      </c>
      <c r="EB881" s="34">
        <v>43979</v>
      </c>
      <c r="EC881" s="33" t="s">
        <v>2798</v>
      </c>
      <c r="ED881" s="35" t="s">
        <v>2799</v>
      </c>
      <c r="FL881" s="33" t="s">
        <v>2761</v>
      </c>
      <c r="FM881" s="33" t="s">
        <v>339</v>
      </c>
    </row>
    <row r="882" spans="1:169" ht="23.25" customHeight="1" x14ac:dyDescent="0.15">
      <c r="A882" s="41">
        <v>44662.577437268519</v>
      </c>
      <c r="B882" s="42" t="s">
        <v>6</v>
      </c>
      <c r="C882" s="42" t="s">
        <v>11</v>
      </c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  <c r="AA882" s="43"/>
      <c r="AB882" s="43"/>
      <c r="AC882" s="43"/>
      <c r="AD882" s="43"/>
      <c r="AE882" s="43"/>
      <c r="AF882" s="43"/>
      <c r="AG882" s="43"/>
      <c r="AH882" s="43"/>
      <c r="AI882" s="43"/>
      <c r="AJ882" s="43"/>
      <c r="AK882" s="43"/>
      <c r="AL882" s="43"/>
      <c r="AM882" s="43"/>
      <c r="AN882" s="43"/>
      <c r="AO882" s="43"/>
      <c r="AP882" s="43"/>
      <c r="AQ882" s="43"/>
      <c r="AR882" s="43"/>
      <c r="AS882" s="43"/>
      <c r="AT882" s="43"/>
      <c r="AU882" s="43"/>
      <c r="AV882" s="43"/>
      <c r="AW882" s="43"/>
      <c r="AX882" s="42" t="s">
        <v>2757</v>
      </c>
      <c r="AY882" s="42" t="s">
        <v>2758</v>
      </c>
      <c r="AZ882" s="42" t="s">
        <v>1436</v>
      </c>
      <c r="BA882" s="42" t="s">
        <v>875</v>
      </c>
      <c r="BB882" s="42" t="s">
        <v>2800</v>
      </c>
      <c r="BC882" s="44">
        <v>44647</v>
      </c>
      <c r="BD882" s="44">
        <v>44658</v>
      </c>
      <c r="BE882" s="44">
        <v>44658</v>
      </c>
      <c r="BF882" s="42">
        <v>90</v>
      </c>
      <c r="BG882" s="42" t="s">
        <v>2801</v>
      </c>
      <c r="BH882" s="46" t="s">
        <v>2802</v>
      </c>
      <c r="BI882" s="43"/>
      <c r="BJ882" s="43"/>
      <c r="BK882" s="43"/>
      <c r="BL882" s="43"/>
      <c r="BM882" s="43"/>
      <c r="BN882" s="43"/>
      <c r="BO882" s="43"/>
      <c r="BP882" s="43"/>
      <c r="BQ882" s="43"/>
      <c r="BR882" s="43"/>
      <c r="BS882" s="43"/>
      <c r="BT882" s="43"/>
      <c r="BU882" s="43"/>
      <c r="BV882" s="43"/>
      <c r="BW882" s="43"/>
      <c r="BX882" s="43"/>
      <c r="FL882" s="33" t="s">
        <v>2761</v>
      </c>
      <c r="FM882" s="33" t="s">
        <v>255</v>
      </c>
    </row>
    <row r="883" spans="1:169" ht="23.25" customHeight="1" x14ac:dyDescent="0.15">
      <c r="A883" s="41">
        <v>44662.597997777775</v>
      </c>
      <c r="B883" s="42" t="s">
        <v>6</v>
      </c>
      <c r="C883" s="42" t="s">
        <v>12</v>
      </c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  <c r="AA883" s="43"/>
      <c r="AB883" s="43"/>
      <c r="AC883" s="43"/>
      <c r="AD883" s="43"/>
      <c r="AE883" s="43"/>
      <c r="AF883" s="43"/>
      <c r="AG883" s="43"/>
      <c r="AH883" s="43"/>
      <c r="AI883" s="43"/>
      <c r="AJ883" s="43"/>
      <c r="AK883" s="43"/>
      <c r="AL883" s="43"/>
      <c r="AM883" s="43"/>
      <c r="AN883" s="43"/>
      <c r="AO883" s="43"/>
      <c r="AP883" s="43"/>
      <c r="AQ883" s="43"/>
      <c r="AR883" s="43"/>
      <c r="AS883" s="43"/>
      <c r="AT883" s="43"/>
      <c r="AU883" s="43"/>
      <c r="AV883" s="43"/>
      <c r="AW883" s="43"/>
      <c r="AX883" s="43"/>
      <c r="AY883" s="43"/>
      <c r="AZ883" s="43"/>
      <c r="BA883" s="43"/>
      <c r="BB883" s="43"/>
      <c r="BC883" s="43"/>
      <c r="BD883" s="43"/>
      <c r="BE883" s="43"/>
      <c r="BF883" s="43"/>
      <c r="BG883" s="43"/>
      <c r="BH883" s="43"/>
      <c r="BI883" s="42" t="s">
        <v>2757</v>
      </c>
      <c r="BJ883" s="42" t="s">
        <v>2758</v>
      </c>
      <c r="BK883" s="42" t="s">
        <v>154</v>
      </c>
      <c r="BL883" s="42" t="s">
        <v>1285</v>
      </c>
      <c r="BM883" s="42" t="s">
        <v>2803</v>
      </c>
      <c r="BN883" s="42">
        <v>2</v>
      </c>
      <c r="BO883" s="44">
        <v>43688</v>
      </c>
      <c r="BP883" s="44">
        <v>43689</v>
      </c>
      <c r="BQ883" s="42" t="s">
        <v>2804</v>
      </c>
      <c r="BR883" s="42" t="s">
        <v>2805</v>
      </c>
      <c r="BS883" s="42" t="s">
        <v>271</v>
      </c>
      <c r="BT883" s="42" t="s">
        <v>629</v>
      </c>
      <c r="BU883" s="42">
        <v>500</v>
      </c>
      <c r="BV883" s="46" t="s">
        <v>2806</v>
      </c>
      <c r="BW883" s="43"/>
      <c r="BX883" s="43"/>
      <c r="FL883" s="33" t="s">
        <v>2761</v>
      </c>
      <c r="FM883" s="33" t="s">
        <v>552</v>
      </c>
    </row>
    <row r="884" spans="1:169" ht="23.25" customHeight="1" x14ac:dyDescent="0.15">
      <c r="A884" s="41">
        <v>44662.603072962964</v>
      </c>
      <c r="B884" s="42" t="s">
        <v>6</v>
      </c>
      <c r="C884" s="42" t="s">
        <v>12</v>
      </c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  <c r="AA884" s="43"/>
      <c r="AB884" s="43"/>
      <c r="AC884" s="43"/>
      <c r="AD884" s="43"/>
      <c r="AE884" s="43"/>
      <c r="AF884" s="43"/>
      <c r="AG884" s="43"/>
      <c r="AH884" s="43"/>
      <c r="AI884" s="43"/>
      <c r="AJ884" s="43"/>
      <c r="AK884" s="43"/>
      <c r="AL884" s="43"/>
      <c r="AM884" s="43"/>
      <c r="AN884" s="43"/>
      <c r="AO884" s="43"/>
      <c r="AP884" s="43"/>
      <c r="AQ884" s="43"/>
      <c r="AR884" s="43"/>
      <c r="AS884" s="43"/>
      <c r="AT884" s="43"/>
      <c r="AU884" s="43"/>
      <c r="AV884" s="43"/>
      <c r="AW884" s="43"/>
      <c r="AX884" s="43"/>
      <c r="AY884" s="43"/>
      <c r="AZ884" s="43"/>
      <c r="BA884" s="43"/>
      <c r="BB884" s="43"/>
      <c r="BC884" s="43"/>
      <c r="BD884" s="43"/>
      <c r="BE884" s="43"/>
      <c r="BF884" s="43"/>
      <c r="BG884" s="43"/>
      <c r="BH884" s="43"/>
      <c r="BI884" s="42" t="s">
        <v>2757</v>
      </c>
      <c r="BJ884" s="42" t="s">
        <v>2758</v>
      </c>
      <c r="BK884" s="42" t="s">
        <v>154</v>
      </c>
      <c r="BL884" s="42" t="s">
        <v>1285</v>
      </c>
      <c r="BM884" s="42" t="s">
        <v>2807</v>
      </c>
      <c r="BN884" s="42">
        <v>2</v>
      </c>
      <c r="BO884" s="44">
        <v>43876</v>
      </c>
      <c r="BP884" s="44">
        <v>43877</v>
      </c>
      <c r="BQ884" s="42" t="s">
        <v>2808</v>
      </c>
      <c r="BR884" s="42" t="s">
        <v>2805</v>
      </c>
      <c r="BS884" s="42" t="s">
        <v>171</v>
      </c>
      <c r="BT884" s="42" t="s">
        <v>629</v>
      </c>
      <c r="BU884" s="42">
        <v>500</v>
      </c>
      <c r="BV884" s="46" t="s">
        <v>2809</v>
      </c>
      <c r="BW884" s="43"/>
      <c r="BX884" s="43"/>
      <c r="FL884" s="33" t="s">
        <v>2761</v>
      </c>
      <c r="FM884" s="33" t="s">
        <v>321</v>
      </c>
    </row>
    <row r="885" spans="1:169" ht="23.25" customHeight="1" x14ac:dyDescent="0.15">
      <c r="A885" s="41">
        <v>44662.60594439815</v>
      </c>
      <c r="B885" s="42" t="s">
        <v>8</v>
      </c>
      <c r="C885" s="42" t="s">
        <v>11</v>
      </c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  <c r="AA885" s="43"/>
      <c r="AB885" s="43"/>
      <c r="AC885" s="43"/>
      <c r="AD885" s="43"/>
      <c r="AE885" s="43"/>
      <c r="AF885" s="43"/>
      <c r="AG885" s="43"/>
      <c r="AH885" s="43"/>
      <c r="AI885" s="43"/>
      <c r="AJ885" s="43"/>
      <c r="AK885" s="43"/>
      <c r="AL885" s="43"/>
      <c r="AM885" s="43"/>
      <c r="AN885" s="43"/>
      <c r="AO885" s="43"/>
      <c r="AP885" s="43"/>
      <c r="AQ885" s="43"/>
      <c r="AR885" s="43"/>
      <c r="AS885" s="43"/>
      <c r="AT885" s="43"/>
      <c r="AU885" s="43"/>
      <c r="AV885" s="43"/>
      <c r="AW885" s="43"/>
      <c r="AX885" s="42" t="s">
        <v>2810</v>
      </c>
      <c r="AY885" s="42" t="s">
        <v>2223</v>
      </c>
      <c r="AZ885" s="42" t="s">
        <v>2811</v>
      </c>
      <c r="BA885" s="42" t="s">
        <v>2812</v>
      </c>
      <c r="BB885" s="42" t="s">
        <v>308</v>
      </c>
      <c r="BC885" s="44">
        <v>44317</v>
      </c>
      <c r="BD885" s="44">
        <v>44305</v>
      </c>
      <c r="BE885" s="44">
        <v>44396</v>
      </c>
      <c r="BF885" s="42">
        <v>93</v>
      </c>
      <c r="BG885" s="42" t="s">
        <v>2813</v>
      </c>
      <c r="BH885" s="46" t="s">
        <v>2814</v>
      </c>
      <c r="BI885" s="43"/>
      <c r="BJ885" s="43"/>
      <c r="BK885" s="43"/>
      <c r="BL885" s="43"/>
      <c r="BM885" s="43"/>
      <c r="BN885" s="43"/>
      <c r="BO885" s="43"/>
      <c r="BP885" s="43"/>
      <c r="BQ885" s="43"/>
      <c r="BR885" s="43"/>
      <c r="BS885" s="43"/>
      <c r="BT885" s="43"/>
      <c r="BU885" s="43"/>
      <c r="BV885" s="43"/>
      <c r="BW885" s="43"/>
      <c r="BX885" s="43"/>
      <c r="FL885" s="33" t="s">
        <v>2225</v>
      </c>
      <c r="FM885" s="33" t="s">
        <v>552</v>
      </c>
    </row>
    <row r="886" spans="1:169" ht="23.25" customHeight="1" x14ac:dyDescent="0.15">
      <c r="A886" s="41">
        <v>44662.607154398152</v>
      </c>
      <c r="B886" s="42" t="s">
        <v>6</v>
      </c>
      <c r="C886" s="42" t="s">
        <v>11</v>
      </c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  <c r="AA886" s="43"/>
      <c r="AB886" s="43"/>
      <c r="AC886" s="43"/>
      <c r="AD886" s="43"/>
      <c r="AE886" s="43"/>
      <c r="AF886" s="43"/>
      <c r="AG886" s="43"/>
      <c r="AH886" s="43"/>
      <c r="AI886" s="43"/>
      <c r="AJ886" s="43"/>
      <c r="AK886" s="43"/>
      <c r="AL886" s="43"/>
      <c r="AM886" s="43"/>
      <c r="AN886" s="43"/>
      <c r="AO886" s="43"/>
      <c r="AP886" s="43"/>
      <c r="AQ886" s="43"/>
      <c r="AR886" s="43"/>
      <c r="AS886" s="43"/>
      <c r="AT886" s="43"/>
      <c r="AU886" s="43"/>
      <c r="AV886" s="43"/>
      <c r="AW886" s="43"/>
      <c r="AX886" s="42" t="s">
        <v>2815</v>
      </c>
      <c r="AY886" s="42" t="s">
        <v>2816</v>
      </c>
      <c r="AZ886" s="42" t="s">
        <v>1180</v>
      </c>
      <c r="BA886" s="42" t="s">
        <v>2817</v>
      </c>
      <c r="BB886" s="42" t="s">
        <v>376</v>
      </c>
      <c r="BC886" s="44">
        <v>43647</v>
      </c>
      <c r="BD886" s="44">
        <v>43782</v>
      </c>
      <c r="BE886" s="44">
        <v>43803</v>
      </c>
      <c r="BF886" s="42">
        <v>92</v>
      </c>
      <c r="BG886" s="42" t="s">
        <v>2818</v>
      </c>
      <c r="BH886" s="46" t="s">
        <v>2819</v>
      </c>
      <c r="BI886" s="43"/>
      <c r="BJ886" s="43"/>
      <c r="BK886" s="43"/>
      <c r="BL886" s="43"/>
      <c r="BM886" s="43"/>
      <c r="BN886" s="43"/>
      <c r="BO886" s="43"/>
      <c r="BP886" s="43"/>
      <c r="BQ886" s="43"/>
      <c r="BR886" s="43"/>
      <c r="BS886" s="43"/>
      <c r="BT886" s="43"/>
      <c r="BU886" s="43"/>
      <c r="BV886" s="43"/>
      <c r="BW886" s="43"/>
      <c r="BX886" s="43"/>
      <c r="FL886" s="33" t="s">
        <v>2820</v>
      </c>
      <c r="FM886" s="33" t="s">
        <v>412</v>
      </c>
    </row>
    <row r="887" spans="1:169" ht="23.25" customHeight="1" x14ac:dyDescent="0.15">
      <c r="A887" s="41">
        <v>44662.610634479162</v>
      </c>
      <c r="B887" s="42" t="s">
        <v>6</v>
      </c>
      <c r="C887" s="42" t="s">
        <v>11</v>
      </c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  <c r="AA887" s="43"/>
      <c r="AB887" s="43"/>
      <c r="AC887" s="43"/>
      <c r="AD887" s="43"/>
      <c r="AE887" s="43"/>
      <c r="AF887" s="43"/>
      <c r="AG887" s="43"/>
      <c r="AH887" s="43"/>
      <c r="AI887" s="43"/>
      <c r="AJ887" s="43"/>
      <c r="AK887" s="43"/>
      <c r="AL887" s="43"/>
      <c r="AM887" s="43"/>
      <c r="AN887" s="43"/>
      <c r="AO887" s="43"/>
      <c r="AP887" s="43"/>
      <c r="AQ887" s="43"/>
      <c r="AR887" s="43"/>
      <c r="AS887" s="43"/>
      <c r="AT887" s="43"/>
      <c r="AU887" s="43"/>
      <c r="AV887" s="43"/>
      <c r="AW887" s="43"/>
      <c r="AX887" s="42" t="s">
        <v>2815</v>
      </c>
      <c r="AY887" s="42" t="s">
        <v>2816</v>
      </c>
      <c r="AZ887" s="42" t="s">
        <v>1190</v>
      </c>
      <c r="BA887" s="42" t="s">
        <v>375</v>
      </c>
      <c r="BB887" s="42" t="s">
        <v>493</v>
      </c>
      <c r="BC887" s="44">
        <v>43629</v>
      </c>
      <c r="BD887" s="44">
        <v>43662</v>
      </c>
      <c r="BE887" s="44">
        <v>43676</v>
      </c>
      <c r="BF887" s="42">
        <v>100</v>
      </c>
      <c r="BG887" s="42" t="s">
        <v>2821</v>
      </c>
      <c r="BH887" s="46" t="s">
        <v>2822</v>
      </c>
      <c r="BI887" s="43"/>
      <c r="BJ887" s="43"/>
      <c r="BK887" s="43"/>
      <c r="BL887" s="43"/>
      <c r="BM887" s="43"/>
      <c r="BN887" s="43"/>
      <c r="BO887" s="43"/>
      <c r="BP887" s="43"/>
      <c r="BQ887" s="43"/>
      <c r="BR887" s="43"/>
      <c r="BS887" s="43"/>
      <c r="BT887" s="43"/>
      <c r="BU887" s="43"/>
      <c r="BV887" s="43"/>
      <c r="BW887" s="43"/>
      <c r="BX887" s="43"/>
      <c r="FL887" s="33" t="s">
        <v>2820</v>
      </c>
      <c r="FM887" s="33" t="s">
        <v>380</v>
      </c>
    </row>
    <row r="888" spans="1:169" ht="23.25" customHeight="1" x14ac:dyDescent="0.15">
      <c r="A888" s="41">
        <v>44662.61210189815</v>
      </c>
      <c r="B888" s="42" t="s">
        <v>8</v>
      </c>
      <c r="C888" s="42" t="s">
        <v>17</v>
      </c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  <c r="AA888" s="43"/>
      <c r="AB888" s="43"/>
      <c r="AC888" s="43"/>
      <c r="AD888" s="43"/>
      <c r="AE888" s="43"/>
      <c r="AF888" s="43"/>
      <c r="AG888" s="43"/>
      <c r="AH888" s="43"/>
      <c r="AI888" s="43"/>
      <c r="AJ888" s="43"/>
      <c r="AK888" s="43"/>
      <c r="AL888" s="43"/>
      <c r="AM888" s="43"/>
      <c r="AN888" s="43"/>
      <c r="AO888" s="43"/>
      <c r="AP888" s="43"/>
      <c r="AQ888" s="43"/>
      <c r="AR888" s="43"/>
      <c r="AS888" s="43"/>
      <c r="AT888" s="43"/>
      <c r="AU888" s="43"/>
      <c r="AV888" s="43"/>
      <c r="AW888" s="43"/>
      <c r="AX888" s="43"/>
      <c r="AY888" s="43"/>
      <c r="AZ888" s="43"/>
      <c r="BA888" s="43"/>
      <c r="BB888" s="43"/>
      <c r="BC888" s="43"/>
      <c r="BD888" s="43"/>
      <c r="BE888" s="43"/>
      <c r="BF888" s="43"/>
      <c r="BG888" s="43"/>
      <c r="BH888" s="43"/>
      <c r="BI888" s="43"/>
      <c r="BJ888" s="43"/>
      <c r="BK888" s="43"/>
      <c r="BL888" s="43"/>
      <c r="BM888" s="43"/>
      <c r="BN888" s="43"/>
      <c r="BO888" s="43"/>
      <c r="BP888" s="43"/>
      <c r="BQ888" s="43"/>
      <c r="BR888" s="43"/>
      <c r="BS888" s="43"/>
      <c r="BT888" s="43"/>
      <c r="BU888" s="43"/>
      <c r="BV888" s="43"/>
      <c r="BW888" s="43"/>
      <c r="BX888" s="43"/>
      <c r="DX888" s="33" t="s">
        <v>2810</v>
      </c>
      <c r="DY888" s="33" t="s">
        <v>2223</v>
      </c>
      <c r="DZ888" s="33" t="s">
        <v>311</v>
      </c>
      <c r="EA888" s="33" t="s">
        <v>2823</v>
      </c>
      <c r="EB888" s="34">
        <v>44602</v>
      </c>
      <c r="EC888" s="33" t="s">
        <v>2824</v>
      </c>
      <c r="ED888" s="35" t="s">
        <v>2825</v>
      </c>
      <c r="FL888" s="33" t="s">
        <v>2225</v>
      </c>
      <c r="FM888" s="33" t="s">
        <v>552</v>
      </c>
    </row>
    <row r="889" spans="1:169" ht="23.25" customHeight="1" x14ac:dyDescent="0.15">
      <c r="A889" s="41">
        <v>44662.612745613427</v>
      </c>
      <c r="B889" s="42" t="s">
        <v>7</v>
      </c>
      <c r="C889" s="42" t="s">
        <v>10</v>
      </c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  <c r="AA889" s="43"/>
      <c r="AB889" s="43"/>
      <c r="AC889" s="43"/>
      <c r="AD889" s="43"/>
      <c r="AE889" s="43"/>
      <c r="AF889" s="43"/>
      <c r="AG889" s="43"/>
      <c r="AH889" s="43"/>
      <c r="AI889" s="43"/>
      <c r="AJ889" s="43"/>
      <c r="AK889" s="43"/>
      <c r="AL889" s="43"/>
      <c r="AM889" s="43"/>
      <c r="AN889" s="42" t="s">
        <v>2826</v>
      </c>
      <c r="AO889" s="42" t="s">
        <v>2827</v>
      </c>
      <c r="AP889" s="42" t="s">
        <v>2828</v>
      </c>
      <c r="AQ889" s="42" t="s">
        <v>300</v>
      </c>
      <c r="AR889" s="44">
        <v>44492</v>
      </c>
      <c r="AS889" s="44">
        <v>44554</v>
      </c>
      <c r="AT889" s="42" t="s">
        <v>252</v>
      </c>
      <c r="AU889" s="42" t="s">
        <v>252</v>
      </c>
      <c r="AV889" s="42">
        <v>0</v>
      </c>
      <c r="AW889" s="46" t="s">
        <v>2829</v>
      </c>
      <c r="AX889" s="43"/>
      <c r="AY889" s="43"/>
      <c r="AZ889" s="43"/>
      <c r="BA889" s="43"/>
      <c r="BB889" s="43"/>
      <c r="BC889" s="43"/>
      <c r="BD889" s="43"/>
      <c r="BE889" s="43"/>
      <c r="BF889" s="43"/>
      <c r="BG889" s="43"/>
      <c r="BH889" s="43"/>
      <c r="BI889" s="43"/>
      <c r="BJ889" s="43"/>
      <c r="BK889" s="43"/>
      <c r="BL889" s="43"/>
      <c r="BM889" s="43"/>
      <c r="BN889" s="43"/>
      <c r="BO889" s="43"/>
      <c r="BP889" s="43"/>
      <c r="BQ889" s="43"/>
      <c r="BR889" s="43"/>
      <c r="BS889" s="43"/>
      <c r="BT889" s="43"/>
      <c r="BU889" s="43"/>
      <c r="BV889" s="43"/>
      <c r="BW889" s="43"/>
      <c r="BX889" s="43"/>
      <c r="FL889" s="33" t="s">
        <v>2830</v>
      </c>
      <c r="FM889" s="33" t="s">
        <v>278</v>
      </c>
    </row>
    <row r="890" spans="1:169" ht="23.25" customHeight="1" x14ac:dyDescent="0.15">
      <c r="A890" s="41">
        <v>44662.612748831016</v>
      </c>
      <c r="B890" s="42" t="s">
        <v>7</v>
      </c>
      <c r="C890" s="42" t="s">
        <v>10</v>
      </c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  <c r="AA890" s="43"/>
      <c r="AB890" s="43"/>
      <c r="AC890" s="43"/>
      <c r="AD890" s="43"/>
      <c r="AE890" s="43"/>
      <c r="AF890" s="43"/>
      <c r="AG890" s="43"/>
      <c r="AH890" s="43"/>
      <c r="AI890" s="43"/>
      <c r="AJ890" s="43"/>
      <c r="AK890" s="43"/>
      <c r="AL890" s="43"/>
      <c r="AM890" s="43"/>
      <c r="AN890" s="42" t="s">
        <v>2831</v>
      </c>
      <c r="AO890" s="42" t="s">
        <v>2832</v>
      </c>
      <c r="AP890" s="42" t="s">
        <v>307</v>
      </c>
      <c r="AQ890" s="42" t="s">
        <v>300</v>
      </c>
      <c r="AR890" s="44">
        <v>44479</v>
      </c>
      <c r="AS890" s="44">
        <v>44573</v>
      </c>
      <c r="AT890" s="42" t="s">
        <v>252</v>
      </c>
      <c r="AU890" s="42" t="s">
        <v>252</v>
      </c>
      <c r="AV890" s="42">
        <v>0</v>
      </c>
      <c r="AW890" s="46" t="s">
        <v>2833</v>
      </c>
      <c r="AX890" s="43"/>
      <c r="AY890" s="43"/>
      <c r="AZ890" s="43"/>
      <c r="BA890" s="43"/>
      <c r="BB890" s="43"/>
      <c r="BC890" s="43"/>
      <c r="BD890" s="43"/>
      <c r="BE890" s="43"/>
      <c r="BF890" s="43"/>
      <c r="BG890" s="43"/>
      <c r="BH890" s="43"/>
      <c r="BI890" s="43"/>
      <c r="BJ890" s="43"/>
      <c r="BK890" s="43"/>
      <c r="BL890" s="43"/>
      <c r="BM890" s="43"/>
      <c r="BN890" s="43"/>
      <c r="BO890" s="43"/>
      <c r="BP890" s="43"/>
      <c r="BQ890" s="43"/>
      <c r="BR890" s="43"/>
      <c r="BS890" s="43"/>
      <c r="BT890" s="43"/>
      <c r="BU890" s="43"/>
      <c r="BV890" s="43"/>
      <c r="BW890" s="43"/>
      <c r="BX890" s="43"/>
      <c r="FL890" s="33" t="s">
        <v>2834</v>
      </c>
      <c r="FM890" s="33" t="s">
        <v>278</v>
      </c>
    </row>
    <row r="891" spans="1:169" ht="23.25" customHeight="1" x14ac:dyDescent="0.15">
      <c r="A891" s="41">
        <v>44662.612982326391</v>
      </c>
      <c r="B891" s="42" t="s">
        <v>6</v>
      </c>
      <c r="C891" s="42" t="s">
        <v>11</v>
      </c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  <c r="AA891" s="43"/>
      <c r="AB891" s="43"/>
      <c r="AC891" s="43"/>
      <c r="AD891" s="43"/>
      <c r="AE891" s="43"/>
      <c r="AF891" s="43"/>
      <c r="AG891" s="43"/>
      <c r="AH891" s="43"/>
      <c r="AI891" s="43"/>
      <c r="AJ891" s="43"/>
      <c r="AK891" s="43"/>
      <c r="AL891" s="43"/>
      <c r="AM891" s="43"/>
      <c r="AN891" s="43"/>
      <c r="AO891" s="43"/>
      <c r="AP891" s="43"/>
      <c r="AQ891" s="43"/>
      <c r="AR891" s="43"/>
      <c r="AS891" s="43"/>
      <c r="AT891" s="43"/>
      <c r="AU891" s="43"/>
      <c r="AV891" s="43"/>
      <c r="AW891" s="43"/>
      <c r="AX891" s="42" t="s">
        <v>2815</v>
      </c>
      <c r="AY891" s="42" t="s">
        <v>2816</v>
      </c>
      <c r="AZ891" s="42" t="s">
        <v>600</v>
      </c>
      <c r="BA891" s="42" t="s">
        <v>307</v>
      </c>
      <c r="BB891" s="42" t="s">
        <v>493</v>
      </c>
      <c r="BC891" s="44">
        <v>44627</v>
      </c>
      <c r="BD891" s="44">
        <v>44627</v>
      </c>
      <c r="BE891" s="44">
        <v>44658</v>
      </c>
      <c r="BF891" s="42">
        <v>100</v>
      </c>
      <c r="BG891" s="42" t="s">
        <v>2835</v>
      </c>
      <c r="BH891" s="46" t="s">
        <v>2836</v>
      </c>
      <c r="BI891" s="43"/>
      <c r="BJ891" s="43"/>
      <c r="BK891" s="43"/>
      <c r="BL891" s="43"/>
      <c r="BM891" s="43"/>
      <c r="BN891" s="43"/>
      <c r="BO891" s="43"/>
      <c r="BP891" s="43"/>
      <c r="BQ891" s="43"/>
      <c r="BR891" s="43"/>
      <c r="BS891" s="43"/>
      <c r="BT891" s="43"/>
      <c r="BU891" s="43"/>
      <c r="BV891" s="43"/>
      <c r="BW891" s="43"/>
      <c r="BX891" s="43"/>
      <c r="FL891" s="33" t="s">
        <v>2820</v>
      </c>
      <c r="FM891" s="33" t="s">
        <v>255</v>
      </c>
    </row>
    <row r="892" spans="1:169" ht="23.25" customHeight="1" x14ac:dyDescent="0.15">
      <c r="A892" s="41">
        <v>44662.61511366898</v>
      </c>
      <c r="B892" s="42" t="s">
        <v>8</v>
      </c>
      <c r="C892" s="42" t="s">
        <v>10</v>
      </c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  <c r="AA892" s="43"/>
      <c r="AB892" s="43"/>
      <c r="AC892" s="43"/>
      <c r="AD892" s="43"/>
      <c r="AE892" s="43"/>
      <c r="AF892" s="43"/>
      <c r="AG892" s="43"/>
      <c r="AH892" s="43"/>
      <c r="AI892" s="43"/>
      <c r="AJ892" s="43"/>
      <c r="AK892" s="43"/>
      <c r="AL892" s="43"/>
      <c r="AM892" s="43"/>
      <c r="AN892" s="42" t="s">
        <v>2837</v>
      </c>
      <c r="AO892" s="42" t="s">
        <v>2838</v>
      </c>
      <c r="AP892" s="42" t="s">
        <v>2129</v>
      </c>
      <c r="AQ892" s="42" t="s">
        <v>448</v>
      </c>
      <c r="AR892" s="44">
        <v>44470</v>
      </c>
      <c r="AS892" s="44">
        <v>44561</v>
      </c>
      <c r="AT892" s="42" t="s">
        <v>252</v>
      </c>
      <c r="AU892" s="42" t="s">
        <v>252</v>
      </c>
      <c r="AV892" s="42">
        <v>0</v>
      </c>
      <c r="AW892" s="46" t="s">
        <v>2839</v>
      </c>
      <c r="AX892" s="43"/>
      <c r="AY892" s="43"/>
      <c r="AZ892" s="43"/>
      <c r="BA892" s="43"/>
      <c r="BB892" s="43"/>
      <c r="BC892" s="43"/>
      <c r="BD892" s="43"/>
      <c r="BE892" s="43"/>
      <c r="BF892" s="43"/>
      <c r="BG892" s="43"/>
      <c r="BH892" s="43"/>
      <c r="BI892" s="43"/>
      <c r="BJ892" s="43"/>
      <c r="BK892" s="43"/>
      <c r="BL892" s="43"/>
      <c r="BM892" s="43"/>
      <c r="BN892" s="43"/>
      <c r="BO892" s="43"/>
      <c r="BP892" s="43"/>
      <c r="BQ892" s="43"/>
      <c r="BR892" s="43"/>
      <c r="BS892" s="43"/>
      <c r="BT892" s="43"/>
      <c r="BU892" s="43"/>
      <c r="BV892" s="43"/>
      <c r="BW892" s="43"/>
      <c r="BX892" s="43"/>
      <c r="FL892" s="33" t="s">
        <v>2840</v>
      </c>
      <c r="FM892" s="33" t="s">
        <v>321</v>
      </c>
    </row>
    <row r="893" spans="1:169" ht="23.25" customHeight="1" x14ac:dyDescent="0.15">
      <c r="A893" s="41">
        <v>44662.618595925931</v>
      </c>
      <c r="B893" s="42" t="s">
        <v>8</v>
      </c>
      <c r="C893" s="42" t="s">
        <v>11</v>
      </c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  <c r="AA893" s="43"/>
      <c r="AB893" s="43"/>
      <c r="AC893" s="43"/>
      <c r="AD893" s="43"/>
      <c r="AE893" s="43"/>
      <c r="AF893" s="43"/>
      <c r="AG893" s="43"/>
      <c r="AH893" s="43"/>
      <c r="AI893" s="43"/>
      <c r="AJ893" s="43"/>
      <c r="AK893" s="43"/>
      <c r="AL893" s="43"/>
      <c r="AM893" s="43"/>
      <c r="AN893" s="43"/>
      <c r="AO893" s="43"/>
      <c r="AP893" s="43"/>
      <c r="AQ893" s="43"/>
      <c r="AR893" s="43"/>
      <c r="AS893" s="43"/>
      <c r="AT893" s="43"/>
      <c r="AU893" s="43"/>
      <c r="AV893" s="43"/>
      <c r="AW893" s="43"/>
      <c r="AX893" s="42" t="s">
        <v>2810</v>
      </c>
      <c r="AY893" s="42" t="s">
        <v>2223</v>
      </c>
      <c r="AZ893" s="42" t="s">
        <v>2841</v>
      </c>
      <c r="BA893" s="42" t="s">
        <v>2842</v>
      </c>
      <c r="BB893" s="42" t="s">
        <v>879</v>
      </c>
      <c r="BC893" s="44">
        <v>44662</v>
      </c>
      <c r="BD893" s="44">
        <v>44350</v>
      </c>
      <c r="BE893" s="44">
        <v>44348</v>
      </c>
      <c r="BF893" s="42">
        <v>100</v>
      </c>
      <c r="BG893" s="42" t="s">
        <v>252</v>
      </c>
      <c r="BH893" s="46" t="s">
        <v>2843</v>
      </c>
      <c r="BI893" s="43"/>
      <c r="BJ893" s="43"/>
      <c r="BK893" s="43"/>
      <c r="BL893" s="43"/>
      <c r="BM893" s="43"/>
      <c r="BN893" s="43"/>
      <c r="BO893" s="43"/>
      <c r="BP893" s="43"/>
      <c r="BQ893" s="43"/>
      <c r="BR893" s="43"/>
      <c r="BS893" s="43"/>
      <c r="BT893" s="43"/>
      <c r="BU893" s="43"/>
      <c r="BV893" s="43"/>
      <c r="BW893" s="43"/>
      <c r="BX893" s="43"/>
      <c r="FL893" s="33" t="s">
        <v>2225</v>
      </c>
      <c r="FM893" s="33" t="s">
        <v>552</v>
      </c>
    </row>
    <row r="894" spans="1:169" ht="23.25" customHeight="1" x14ac:dyDescent="0.15">
      <c r="A894" s="41">
        <v>44662.61905011574</v>
      </c>
      <c r="B894" s="42" t="s">
        <v>8</v>
      </c>
      <c r="C894" s="42" t="s">
        <v>11</v>
      </c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  <c r="AA894" s="43"/>
      <c r="AB894" s="43"/>
      <c r="AC894" s="43"/>
      <c r="AD894" s="43"/>
      <c r="AE894" s="43"/>
      <c r="AF894" s="43"/>
      <c r="AG894" s="43"/>
      <c r="AH894" s="43"/>
      <c r="AI894" s="43"/>
      <c r="AJ894" s="43"/>
      <c r="AK894" s="43"/>
      <c r="AL894" s="43"/>
      <c r="AM894" s="43"/>
      <c r="AN894" s="43"/>
      <c r="AO894" s="43"/>
      <c r="AP894" s="43"/>
      <c r="AQ894" s="43"/>
      <c r="AR894" s="43"/>
      <c r="AS894" s="43"/>
      <c r="AT894" s="43"/>
      <c r="AU894" s="43"/>
      <c r="AV894" s="43"/>
      <c r="AW894" s="43"/>
      <c r="AX894" s="42" t="s">
        <v>2844</v>
      </c>
      <c r="AY894" s="42" t="s">
        <v>2845</v>
      </c>
      <c r="AZ894" s="42" t="s">
        <v>2846</v>
      </c>
      <c r="BA894" s="42" t="s">
        <v>2847</v>
      </c>
      <c r="BB894" s="42" t="s">
        <v>308</v>
      </c>
      <c r="BC894" s="44">
        <v>44333</v>
      </c>
      <c r="BD894" s="44">
        <v>44759</v>
      </c>
      <c r="BE894" s="44">
        <v>44394</v>
      </c>
      <c r="BF894" s="45">
        <v>0.92</v>
      </c>
      <c r="BG894" s="42" t="s">
        <v>854</v>
      </c>
      <c r="BH894" s="46" t="s">
        <v>2848</v>
      </c>
      <c r="BI894" s="43"/>
      <c r="BJ894" s="43"/>
      <c r="BK894" s="43"/>
      <c r="BL894" s="43"/>
      <c r="BM894" s="43"/>
      <c r="BN894" s="43"/>
      <c r="BO894" s="43"/>
      <c r="BP894" s="43"/>
      <c r="BQ894" s="43"/>
      <c r="BR894" s="43"/>
      <c r="BS894" s="43"/>
      <c r="BT894" s="43"/>
      <c r="BU894" s="43"/>
      <c r="BV894" s="43"/>
      <c r="BW894" s="43"/>
      <c r="BX894" s="43"/>
      <c r="FL894" s="33" t="s">
        <v>2849</v>
      </c>
      <c r="FM894" s="33" t="s">
        <v>552</v>
      </c>
    </row>
    <row r="895" spans="1:169" ht="23.25" customHeight="1" x14ac:dyDescent="0.15">
      <c r="A895" s="41">
        <v>44662.621641053236</v>
      </c>
      <c r="B895" s="42" t="s">
        <v>8</v>
      </c>
      <c r="C895" s="42" t="s">
        <v>11</v>
      </c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  <c r="AA895" s="43"/>
      <c r="AB895" s="43"/>
      <c r="AC895" s="43"/>
      <c r="AD895" s="43"/>
      <c r="AE895" s="43"/>
      <c r="AF895" s="43"/>
      <c r="AG895" s="43"/>
      <c r="AH895" s="43"/>
      <c r="AI895" s="43"/>
      <c r="AJ895" s="43"/>
      <c r="AK895" s="43"/>
      <c r="AL895" s="43"/>
      <c r="AM895" s="43"/>
      <c r="AN895" s="43"/>
      <c r="AO895" s="43"/>
      <c r="AP895" s="43"/>
      <c r="AQ895" s="43"/>
      <c r="AR895" s="43"/>
      <c r="AS895" s="43"/>
      <c r="AT895" s="43"/>
      <c r="AU895" s="43"/>
      <c r="AV895" s="43"/>
      <c r="AW895" s="43"/>
      <c r="AX895" s="42" t="s">
        <v>2837</v>
      </c>
      <c r="AY895" s="42" t="s">
        <v>2838</v>
      </c>
      <c r="AZ895" s="42" t="s">
        <v>853</v>
      </c>
      <c r="BA895" s="42" t="s">
        <v>375</v>
      </c>
      <c r="BB895" s="42" t="s">
        <v>308</v>
      </c>
      <c r="BC895" s="44">
        <v>44333</v>
      </c>
      <c r="BD895" s="44">
        <v>44396</v>
      </c>
      <c r="BE895" s="44">
        <v>44394</v>
      </c>
      <c r="BF895" s="45">
        <v>0.92</v>
      </c>
      <c r="BG895" s="42" t="s">
        <v>2850</v>
      </c>
      <c r="BH895" s="46" t="s">
        <v>2851</v>
      </c>
      <c r="BI895" s="43"/>
      <c r="BJ895" s="43"/>
      <c r="BK895" s="43"/>
      <c r="BL895" s="43"/>
      <c r="BM895" s="43"/>
      <c r="BN895" s="43"/>
      <c r="BO895" s="43"/>
      <c r="BP895" s="43"/>
      <c r="BQ895" s="43"/>
      <c r="BR895" s="43"/>
      <c r="BS895" s="43"/>
      <c r="BT895" s="43"/>
      <c r="BU895" s="43"/>
      <c r="BV895" s="43"/>
      <c r="BW895" s="43"/>
      <c r="BX895" s="43"/>
      <c r="FL895" s="33" t="s">
        <v>2840</v>
      </c>
      <c r="FM895" s="33" t="s">
        <v>321</v>
      </c>
    </row>
    <row r="896" spans="1:169" ht="23.25" customHeight="1" x14ac:dyDescent="0.15">
      <c r="A896" s="41">
        <v>44662.621994953704</v>
      </c>
      <c r="B896" s="42" t="s">
        <v>7</v>
      </c>
      <c r="C896" s="42" t="s">
        <v>10</v>
      </c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  <c r="AA896" s="43"/>
      <c r="AB896" s="43"/>
      <c r="AC896" s="43"/>
      <c r="AD896" s="43"/>
      <c r="AE896" s="43"/>
      <c r="AF896" s="43"/>
      <c r="AG896" s="43"/>
      <c r="AH896" s="43"/>
      <c r="AI896" s="43"/>
      <c r="AJ896" s="43"/>
      <c r="AK896" s="43"/>
      <c r="AL896" s="43"/>
      <c r="AM896" s="43"/>
      <c r="AN896" s="42" t="s">
        <v>2852</v>
      </c>
      <c r="AO896" s="42" t="s">
        <v>2853</v>
      </c>
      <c r="AP896" s="42" t="s">
        <v>307</v>
      </c>
      <c r="AQ896" s="42" t="s">
        <v>300</v>
      </c>
      <c r="AR896" s="44">
        <v>44481</v>
      </c>
      <c r="AS896" s="44">
        <v>44573</v>
      </c>
      <c r="AT896" s="42" t="s">
        <v>252</v>
      </c>
      <c r="AU896" s="42" t="s">
        <v>252</v>
      </c>
      <c r="AV896" s="42">
        <v>0</v>
      </c>
      <c r="AW896" s="46" t="s">
        <v>2854</v>
      </c>
      <c r="AX896" s="43"/>
      <c r="AY896" s="43"/>
      <c r="AZ896" s="43"/>
      <c r="BA896" s="43"/>
      <c r="BB896" s="43"/>
      <c r="BC896" s="43"/>
      <c r="BD896" s="43"/>
      <c r="BE896" s="43"/>
      <c r="BF896" s="43"/>
      <c r="BG896" s="43"/>
      <c r="BH896" s="43"/>
      <c r="BI896" s="43"/>
      <c r="BJ896" s="43"/>
      <c r="BK896" s="43"/>
      <c r="BL896" s="43"/>
      <c r="BM896" s="43"/>
      <c r="BN896" s="43"/>
      <c r="BO896" s="43"/>
      <c r="BP896" s="43"/>
      <c r="BQ896" s="43"/>
      <c r="BR896" s="43"/>
      <c r="BS896" s="43"/>
      <c r="BT896" s="43"/>
      <c r="BU896" s="43"/>
      <c r="BV896" s="43"/>
      <c r="BW896" s="43"/>
      <c r="BX896" s="43"/>
      <c r="FL896" s="33" t="s">
        <v>2855</v>
      </c>
      <c r="FM896" s="33" t="s">
        <v>339</v>
      </c>
    </row>
    <row r="897" spans="1:169" ht="23.25" customHeight="1" x14ac:dyDescent="0.15">
      <c r="A897" s="41">
        <v>44662.62304298611</v>
      </c>
      <c r="B897" s="42" t="s">
        <v>8</v>
      </c>
      <c r="C897" s="42" t="s">
        <v>11</v>
      </c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  <c r="AA897" s="43"/>
      <c r="AB897" s="43"/>
      <c r="AC897" s="43"/>
      <c r="AD897" s="43"/>
      <c r="AE897" s="43"/>
      <c r="AF897" s="43"/>
      <c r="AG897" s="43"/>
      <c r="AH897" s="43"/>
      <c r="AI897" s="43"/>
      <c r="AJ897" s="43"/>
      <c r="AK897" s="43"/>
      <c r="AL897" s="43"/>
      <c r="AM897" s="43"/>
      <c r="AN897" s="43"/>
      <c r="AO897" s="43"/>
      <c r="AP897" s="43"/>
      <c r="AQ897" s="43"/>
      <c r="AR897" s="43"/>
      <c r="AS897" s="43"/>
      <c r="AT897" s="43"/>
      <c r="AU897" s="43"/>
      <c r="AV897" s="43"/>
      <c r="AW897" s="43"/>
      <c r="AX897" s="42" t="s">
        <v>2735</v>
      </c>
      <c r="AY897" s="42" t="s">
        <v>2736</v>
      </c>
      <c r="AZ897" s="42" t="s">
        <v>853</v>
      </c>
      <c r="BA897" s="42" t="s">
        <v>375</v>
      </c>
      <c r="BB897" s="42" t="s">
        <v>308</v>
      </c>
      <c r="BC897" s="44">
        <v>44378</v>
      </c>
      <c r="BD897" s="44">
        <v>44440</v>
      </c>
      <c r="BE897" s="44">
        <v>44439</v>
      </c>
      <c r="BF897" s="42">
        <v>95</v>
      </c>
      <c r="BG897" s="42" t="s">
        <v>2856</v>
      </c>
      <c r="BH897" s="46" t="s">
        <v>2857</v>
      </c>
      <c r="BI897" s="43"/>
      <c r="BJ897" s="43"/>
      <c r="BK897" s="43"/>
      <c r="BL897" s="43"/>
      <c r="BM897" s="43"/>
      <c r="BN897" s="43"/>
      <c r="BO897" s="43"/>
      <c r="BP897" s="43"/>
      <c r="BQ897" s="43"/>
      <c r="BR897" s="43"/>
      <c r="BS897" s="43"/>
      <c r="BT897" s="43"/>
      <c r="BU897" s="43"/>
      <c r="BV897" s="43"/>
      <c r="BW897" s="43"/>
      <c r="BX897" s="43"/>
      <c r="FL897" s="33" t="s">
        <v>2739</v>
      </c>
      <c r="FM897" s="33" t="s">
        <v>321</v>
      </c>
    </row>
    <row r="898" spans="1:169" ht="23.25" customHeight="1" x14ac:dyDescent="0.15">
      <c r="A898" s="41">
        <v>44662.623631643517</v>
      </c>
      <c r="B898" s="42" t="s">
        <v>7</v>
      </c>
      <c r="C898" s="42" t="s">
        <v>10</v>
      </c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  <c r="AA898" s="43"/>
      <c r="AB898" s="43"/>
      <c r="AC898" s="43"/>
      <c r="AD898" s="43"/>
      <c r="AE898" s="43"/>
      <c r="AF898" s="43"/>
      <c r="AG898" s="43"/>
      <c r="AH898" s="43"/>
      <c r="AI898" s="43"/>
      <c r="AJ898" s="43"/>
      <c r="AK898" s="43"/>
      <c r="AL898" s="43"/>
      <c r="AM898" s="43"/>
      <c r="AN898" s="42" t="s">
        <v>2858</v>
      </c>
      <c r="AO898" s="42" t="s">
        <v>2859</v>
      </c>
      <c r="AP898" s="42" t="s">
        <v>820</v>
      </c>
      <c r="AQ898" s="42" t="s">
        <v>879</v>
      </c>
      <c r="AR898" s="44">
        <v>44338</v>
      </c>
      <c r="AS898" s="44">
        <v>44367</v>
      </c>
      <c r="AT898" s="42" t="s">
        <v>252</v>
      </c>
      <c r="AU898" s="42" t="s">
        <v>252</v>
      </c>
      <c r="AV898" s="42">
        <v>0</v>
      </c>
      <c r="AW898" s="46" t="s">
        <v>2860</v>
      </c>
      <c r="AX898" s="43"/>
      <c r="AY898" s="43"/>
      <c r="AZ898" s="43"/>
      <c r="BA898" s="43"/>
      <c r="BB898" s="43"/>
      <c r="BC898" s="43"/>
      <c r="BD898" s="43"/>
      <c r="BE898" s="43"/>
      <c r="BF898" s="43"/>
      <c r="BG898" s="43"/>
      <c r="BH898" s="43"/>
      <c r="BI898" s="43"/>
      <c r="BJ898" s="43"/>
      <c r="BK898" s="43"/>
      <c r="BL898" s="43"/>
      <c r="BM898" s="43"/>
      <c r="BN898" s="43"/>
      <c r="BO898" s="43"/>
      <c r="BP898" s="43"/>
      <c r="BQ898" s="43"/>
      <c r="BR898" s="43"/>
      <c r="BS898" s="43"/>
      <c r="BT898" s="43"/>
      <c r="BU898" s="43"/>
      <c r="BV898" s="43"/>
      <c r="BW898" s="43"/>
      <c r="BX898" s="43"/>
      <c r="FL898" s="33" t="s">
        <v>2861</v>
      </c>
      <c r="FM898" s="33" t="s">
        <v>278</v>
      </c>
    </row>
    <row r="899" spans="1:169" ht="23.25" customHeight="1" x14ac:dyDescent="0.15">
      <c r="A899" s="41">
        <v>44662.624667199074</v>
      </c>
      <c r="B899" s="42" t="s">
        <v>7</v>
      </c>
      <c r="C899" s="42" t="s">
        <v>10</v>
      </c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  <c r="AA899" s="43"/>
      <c r="AB899" s="43"/>
      <c r="AC899" s="43"/>
      <c r="AD899" s="43"/>
      <c r="AE899" s="43"/>
      <c r="AF899" s="43"/>
      <c r="AG899" s="43"/>
      <c r="AH899" s="43"/>
      <c r="AI899" s="43"/>
      <c r="AJ899" s="43"/>
      <c r="AK899" s="43"/>
      <c r="AL899" s="43"/>
      <c r="AM899" s="43"/>
      <c r="AN899" s="42" t="s">
        <v>2862</v>
      </c>
      <c r="AO899" s="42" t="s">
        <v>2863</v>
      </c>
      <c r="AP899" s="42" t="s">
        <v>307</v>
      </c>
      <c r="AQ899" s="42" t="s">
        <v>300</v>
      </c>
      <c r="AR899" s="44">
        <v>44481</v>
      </c>
      <c r="AS899" s="44">
        <v>44573</v>
      </c>
      <c r="AT899" s="42" t="s">
        <v>252</v>
      </c>
      <c r="AU899" s="42" t="s">
        <v>252</v>
      </c>
      <c r="AV899" s="42">
        <v>0</v>
      </c>
      <c r="AW899" s="46" t="s">
        <v>2864</v>
      </c>
      <c r="AX899" s="43"/>
      <c r="AY899" s="43"/>
      <c r="AZ899" s="43"/>
      <c r="BA899" s="43"/>
      <c r="BB899" s="43"/>
      <c r="BC899" s="43"/>
      <c r="BD899" s="43"/>
      <c r="BE899" s="43"/>
      <c r="BF899" s="43"/>
      <c r="BG899" s="43"/>
      <c r="BH899" s="43"/>
      <c r="BI899" s="43"/>
      <c r="BJ899" s="43"/>
      <c r="BK899" s="43"/>
      <c r="BL899" s="43"/>
      <c r="BM899" s="43"/>
      <c r="BN899" s="43"/>
      <c r="BO899" s="43"/>
      <c r="BP899" s="43"/>
      <c r="BQ899" s="43"/>
      <c r="BR899" s="43"/>
      <c r="BS899" s="43"/>
      <c r="BT899" s="43"/>
      <c r="BU899" s="43"/>
      <c r="BV899" s="43"/>
      <c r="BW899" s="43"/>
      <c r="BX899" s="43"/>
      <c r="FL899" s="33" t="s">
        <v>2865</v>
      </c>
      <c r="FM899" s="33" t="s">
        <v>339</v>
      </c>
    </row>
    <row r="900" spans="1:169" ht="23.25" customHeight="1" x14ac:dyDescent="0.15">
      <c r="A900" s="41">
        <v>44662.624798784724</v>
      </c>
      <c r="B900" s="42" t="s">
        <v>7</v>
      </c>
      <c r="C900" s="42" t="s">
        <v>10</v>
      </c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  <c r="AA900" s="43"/>
      <c r="AB900" s="43"/>
      <c r="AC900" s="43"/>
      <c r="AD900" s="43"/>
      <c r="AE900" s="43"/>
      <c r="AF900" s="43"/>
      <c r="AG900" s="43"/>
      <c r="AH900" s="43"/>
      <c r="AI900" s="43"/>
      <c r="AJ900" s="43"/>
      <c r="AK900" s="43"/>
      <c r="AL900" s="43"/>
      <c r="AM900" s="43"/>
      <c r="AN900" s="42" t="s">
        <v>2866</v>
      </c>
      <c r="AO900" s="42" t="s">
        <v>2867</v>
      </c>
      <c r="AP900" s="42" t="s">
        <v>307</v>
      </c>
      <c r="AQ900" s="42" t="s">
        <v>1417</v>
      </c>
      <c r="AR900" s="44">
        <v>44481</v>
      </c>
      <c r="AS900" s="44">
        <v>44573</v>
      </c>
      <c r="AT900" s="42" t="s">
        <v>252</v>
      </c>
      <c r="AU900" s="42" t="s">
        <v>252</v>
      </c>
      <c r="AV900" s="42">
        <v>0</v>
      </c>
      <c r="AW900" s="46" t="s">
        <v>2868</v>
      </c>
      <c r="AX900" s="43"/>
      <c r="AY900" s="43"/>
      <c r="AZ900" s="43"/>
      <c r="BA900" s="43"/>
      <c r="BB900" s="43"/>
      <c r="BC900" s="43"/>
      <c r="BD900" s="43"/>
      <c r="BE900" s="43"/>
      <c r="BF900" s="43"/>
      <c r="BG900" s="43"/>
      <c r="BH900" s="43"/>
      <c r="BI900" s="43"/>
      <c r="BJ900" s="43"/>
      <c r="BK900" s="43"/>
      <c r="BL900" s="43"/>
      <c r="BM900" s="43"/>
      <c r="BN900" s="43"/>
      <c r="BO900" s="43"/>
      <c r="BP900" s="43"/>
      <c r="BQ900" s="43"/>
      <c r="BR900" s="43"/>
      <c r="BS900" s="43"/>
      <c r="BT900" s="43"/>
      <c r="BU900" s="43"/>
      <c r="BV900" s="43"/>
      <c r="BW900" s="43"/>
      <c r="BX900" s="43"/>
      <c r="FL900" s="33" t="s">
        <v>2869</v>
      </c>
      <c r="FM900" s="33" t="s">
        <v>339</v>
      </c>
    </row>
    <row r="901" spans="1:169" ht="23.25" customHeight="1" x14ac:dyDescent="0.15">
      <c r="A901" s="41">
        <v>44662.625159386575</v>
      </c>
      <c r="B901" s="42" t="s">
        <v>8</v>
      </c>
      <c r="C901" s="42" t="s">
        <v>10</v>
      </c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  <c r="AA901" s="43"/>
      <c r="AB901" s="43"/>
      <c r="AC901" s="43"/>
      <c r="AD901" s="43"/>
      <c r="AE901" s="43"/>
      <c r="AF901" s="43"/>
      <c r="AG901" s="43"/>
      <c r="AH901" s="43"/>
      <c r="AI901" s="43"/>
      <c r="AJ901" s="43"/>
      <c r="AK901" s="43"/>
      <c r="AL901" s="43"/>
      <c r="AM901" s="43"/>
      <c r="AN901" s="42" t="s">
        <v>2751</v>
      </c>
      <c r="AO901" s="42" t="s">
        <v>2736</v>
      </c>
      <c r="AP901" s="42" t="s">
        <v>875</v>
      </c>
      <c r="AQ901" s="42" t="s">
        <v>308</v>
      </c>
      <c r="AR901" s="44">
        <v>44105</v>
      </c>
      <c r="AS901" s="44">
        <v>44562</v>
      </c>
      <c r="AT901" s="42" t="s">
        <v>252</v>
      </c>
      <c r="AU901" s="42" t="s">
        <v>252</v>
      </c>
      <c r="AV901" s="42">
        <v>0</v>
      </c>
      <c r="AW901" s="46" t="s">
        <v>2870</v>
      </c>
      <c r="AX901" s="43"/>
      <c r="AY901" s="43"/>
      <c r="AZ901" s="43"/>
      <c r="BA901" s="43"/>
      <c r="BB901" s="43"/>
      <c r="BC901" s="43"/>
      <c r="BD901" s="43"/>
      <c r="BE901" s="43"/>
      <c r="BF901" s="43"/>
      <c r="BG901" s="43"/>
      <c r="BH901" s="43"/>
      <c r="BI901" s="43"/>
      <c r="BJ901" s="43"/>
      <c r="BK901" s="43"/>
      <c r="BL901" s="43"/>
      <c r="BM901" s="43"/>
      <c r="BN901" s="43"/>
      <c r="BO901" s="43"/>
      <c r="BP901" s="43"/>
      <c r="BQ901" s="43"/>
      <c r="BR901" s="43"/>
      <c r="BS901" s="43"/>
      <c r="BT901" s="43"/>
      <c r="BU901" s="43"/>
      <c r="BV901" s="43"/>
      <c r="BW901" s="43"/>
      <c r="BX901" s="43"/>
      <c r="FL901" s="33" t="s">
        <v>2739</v>
      </c>
      <c r="FM901" s="33" t="s">
        <v>321</v>
      </c>
    </row>
    <row r="902" spans="1:169" ht="23.25" customHeight="1" x14ac:dyDescent="0.15">
      <c r="A902" s="41">
        <v>44662.62579539352</v>
      </c>
      <c r="B902" s="42" t="s">
        <v>7</v>
      </c>
      <c r="C902" s="42" t="s">
        <v>10</v>
      </c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  <c r="AA902" s="43"/>
      <c r="AB902" s="43"/>
      <c r="AC902" s="43"/>
      <c r="AD902" s="43"/>
      <c r="AE902" s="43"/>
      <c r="AF902" s="43"/>
      <c r="AG902" s="43"/>
      <c r="AH902" s="43"/>
      <c r="AI902" s="43"/>
      <c r="AJ902" s="43"/>
      <c r="AK902" s="43"/>
      <c r="AL902" s="43"/>
      <c r="AM902" s="43"/>
      <c r="AN902" s="42" t="s">
        <v>2871</v>
      </c>
      <c r="AO902" s="42" t="s">
        <v>2872</v>
      </c>
      <c r="AP902" s="42" t="s">
        <v>307</v>
      </c>
      <c r="AQ902" s="42" t="s">
        <v>300</v>
      </c>
      <c r="AR902" s="44">
        <v>44480</v>
      </c>
      <c r="AS902" s="44">
        <v>44562</v>
      </c>
      <c r="AT902" s="42" t="s">
        <v>252</v>
      </c>
      <c r="AU902" s="42" t="s">
        <v>252</v>
      </c>
      <c r="AV902" s="42">
        <v>0</v>
      </c>
      <c r="AW902" s="46" t="s">
        <v>2873</v>
      </c>
      <c r="AX902" s="43"/>
      <c r="AY902" s="43"/>
      <c r="AZ902" s="43"/>
      <c r="BA902" s="43"/>
      <c r="BB902" s="43"/>
      <c r="BC902" s="43"/>
      <c r="BD902" s="43"/>
      <c r="BE902" s="43"/>
      <c r="BF902" s="43"/>
      <c r="BG902" s="43"/>
      <c r="BH902" s="43"/>
      <c r="BI902" s="43"/>
      <c r="BJ902" s="43"/>
      <c r="BK902" s="43"/>
      <c r="BL902" s="43"/>
      <c r="BM902" s="43"/>
      <c r="BN902" s="43"/>
      <c r="BO902" s="43"/>
      <c r="BP902" s="43"/>
      <c r="BQ902" s="43"/>
      <c r="BR902" s="43"/>
      <c r="BS902" s="43"/>
      <c r="BT902" s="43"/>
      <c r="BU902" s="43"/>
      <c r="BV902" s="43"/>
      <c r="BW902" s="43"/>
      <c r="BX902" s="43"/>
      <c r="FL902" s="33" t="s">
        <v>2874</v>
      </c>
      <c r="FM902" s="33" t="s">
        <v>339</v>
      </c>
    </row>
    <row r="903" spans="1:169" ht="23.25" customHeight="1" x14ac:dyDescent="0.15">
      <c r="A903" s="41">
        <v>44662.627252615741</v>
      </c>
      <c r="B903" s="42" t="s">
        <v>6</v>
      </c>
      <c r="C903" s="42" t="s">
        <v>10</v>
      </c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  <c r="AA903" s="43"/>
      <c r="AB903" s="43"/>
      <c r="AC903" s="43"/>
      <c r="AD903" s="43"/>
      <c r="AE903" s="43"/>
      <c r="AF903" s="43"/>
      <c r="AG903" s="43"/>
      <c r="AH903" s="43"/>
      <c r="AI903" s="43"/>
      <c r="AJ903" s="43"/>
      <c r="AK903" s="43"/>
      <c r="AL903" s="43"/>
      <c r="AM903" s="43"/>
      <c r="AN903" s="42" t="s">
        <v>2875</v>
      </c>
      <c r="AO903" s="42" t="s">
        <v>2876</v>
      </c>
      <c r="AP903" s="42" t="s">
        <v>2704</v>
      </c>
      <c r="AQ903" s="42" t="s">
        <v>448</v>
      </c>
      <c r="AR903" s="44">
        <v>44105</v>
      </c>
      <c r="AS903" s="44">
        <v>44561</v>
      </c>
      <c r="AT903" s="42" t="s">
        <v>252</v>
      </c>
      <c r="AU903" s="42" t="s">
        <v>252</v>
      </c>
      <c r="AV903" s="42">
        <v>0</v>
      </c>
      <c r="AW903" s="46" t="s">
        <v>2877</v>
      </c>
      <c r="AX903" s="43"/>
      <c r="AY903" s="43"/>
      <c r="AZ903" s="43"/>
      <c r="BA903" s="43"/>
      <c r="BB903" s="43"/>
      <c r="BC903" s="43"/>
      <c r="BD903" s="43"/>
      <c r="BE903" s="43"/>
      <c r="BF903" s="43"/>
      <c r="BG903" s="43"/>
      <c r="BH903" s="43"/>
      <c r="BI903" s="43"/>
      <c r="BJ903" s="43"/>
      <c r="BK903" s="43"/>
      <c r="BL903" s="43"/>
      <c r="BM903" s="43"/>
      <c r="BN903" s="43"/>
      <c r="BO903" s="43"/>
      <c r="BP903" s="43"/>
      <c r="BQ903" s="43"/>
      <c r="BR903" s="43"/>
      <c r="BS903" s="43"/>
      <c r="BT903" s="43"/>
      <c r="BU903" s="43"/>
      <c r="BV903" s="43"/>
      <c r="BW903" s="43"/>
      <c r="BX903" s="43"/>
      <c r="FL903" s="33" t="s">
        <v>2878</v>
      </c>
      <c r="FM903" s="33" t="s">
        <v>255</v>
      </c>
    </row>
    <row r="904" spans="1:169" ht="23.25" customHeight="1" x14ac:dyDescent="0.15">
      <c r="A904" s="41">
        <v>44662.62798075231</v>
      </c>
      <c r="B904" s="42" t="s">
        <v>8</v>
      </c>
      <c r="C904" s="42" t="s">
        <v>10</v>
      </c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  <c r="AA904" s="43"/>
      <c r="AB904" s="43"/>
      <c r="AC904" s="43"/>
      <c r="AD904" s="43"/>
      <c r="AE904" s="43"/>
      <c r="AF904" s="43"/>
      <c r="AG904" s="43"/>
      <c r="AH904" s="43"/>
      <c r="AI904" s="43"/>
      <c r="AJ904" s="43"/>
      <c r="AK904" s="43"/>
      <c r="AL904" s="43"/>
      <c r="AM904" s="43"/>
      <c r="AN904" s="42" t="s">
        <v>2879</v>
      </c>
      <c r="AO904" s="42" t="s">
        <v>2880</v>
      </c>
      <c r="AP904" s="42" t="s">
        <v>2749</v>
      </c>
      <c r="AQ904" s="42" t="s">
        <v>2881</v>
      </c>
      <c r="AR904" s="44">
        <v>44470</v>
      </c>
      <c r="AS904" s="44">
        <v>44531</v>
      </c>
      <c r="AT904" s="42" t="s">
        <v>252</v>
      </c>
      <c r="AU904" s="42" t="s">
        <v>252</v>
      </c>
      <c r="AV904" s="42">
        <v>0</v>
      </c>
      <c r="AW904" s="46" t="s">
        <v>2882</v>
      </c>
      <c r="AX904" s="43"/>
      <c r="AY904" s="43"/>
      <c r="AZ904" s="43"/>
      <c r="BA904" s="43"/>
      <c r="BB904" s="43"/>
      <c r="BC904" s="43"/>
      <c r="BD904" s="43"/>
      <c r="BE904" s="43"/>
      <c r="BF904" s="43"/>
      <c r="BG904" s="43"/>
      <c r="BH904" s="43"/>
      <c r="BI904" s="43"/>
      <c r="BJ904" s="43"/>
      <c r="BK904" s="43"/>
      <c r="BL904" s="43"/>
      <c r="BM904" s="43"/>
      <c r="BN904" s="43"/>
      <c r="BO904" s="43"/>
      <c r="BP904" s="43"/>
      <c r="BQ904" s="43"/>
      <c r="BR904" s="43"/>
      <c r="BS904" s="43"/>
      <c r="BT904" s="43"/>
      <c r="BU904" s="43"/>
      <c r="BV904" s="43"/>
      <c r="BW904" s="43"/>
      <c r="BX904" s="43"/>
      <c r="FL904" s="33" t="s">
        <v>2883</v>
      </c>
      <c r="FM904" s="33" t="s">
        <v>321</v>
      </c>
    </row>
    <row r="905" spans="1:169" ht="23.25" customHeight="1" x14ac:dyDescent="0.15">
      <c r="A905" s="41">
        <v>44662.628674745371</v>
      </c>
      <c r="B905" s="42" t="s">
        <v>8</v>
      </c>
      <c r="C905" s="42" t="s">
        <v>11</v>
      </c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  <c r="AA905" s="43"/>
      <c r="AB905" s="43"/>
      <c r="AC905" s="43"/>
      <c r="AD905" s="43"/>
      <c r="AE905" s="43"/>
      <c r="AF905" s="43"/>
      <c r="AG905" s="43"/>
      <c r="AH905" s="43"/>
      <c r="AI905" s="43"/>
      <c r="AJ905" s="43"/>
      <c r="AK905" s="43"/>
      <c r="AL905" s="43"/>
      <c r="AM905" s="43"/>
      <c r="AN905" s="43"/>
      <c r="AO905" s="43"/>
      <c r="AP905" s="43"/>
      <c r="AQ905" s="43"/>
      <c r="AR905" s="43"/>
      <c r="AS905" s="43"/>
      <c r="AT905" s="43"/>
      <c r="AU905" s="43"/>
      <c r="AV905" s="43"/>
      <c r="AW905" s="43"/>
      <c r="AX905" s="42" t="s">
        <v>2884</v>
      </c>
      <c r="AY905" s="42" t="s">
        <v>2838</v>
      </c>
      <c r="AZ905" s="42" t="s">
        <v>2885</v>
      </c>
      <c r="BA905" s="42" t="s">
        <v>375</v>
      </c>
      <c r="BB905" s="42" t="s">
        <v>308</v>
      </c>
      <c r="BC905" s="44">
        <v>44470</v>
      </c>
      <c r="BD905" s="44">
        <v>44561</v>
      </c>
      <c r="BE905" s="44">
        <v>44542</v>
      </c>
      <c r="BF905" s="42">
        <v>90</v>
      </c>
      <c r="BG905" s="42" t="s">
        <v>2886</v>
      </c>
      <c r="BH905" s="46" t="s">
        <v>2887</v>
      </c>
      <c r="BI905" s="43"/>
      <c r="BJ905" s="43"/>
      <c r="BK905" s="43"/>
      <c r="BL905" s="43"/>
      <c r="BM905" s="43"/>
      <c r="BN905" s="43"/>
      <c r="BO905" s="43"/>
      <c r="BP905" s="43"/>
      <c r="BQ905" s="43"/>
      <c r="BR905" s="43"/>
      <c r="BS905" s="43"/>
      <c r="BT905" s="43"/>
      <c r="BU905" s="43"/>
      <c r="BV905" s="43"/>
      <c r="BW905" s="43"/>
      <c r="BX905" s="43"/>
      <c r="FL905" s="33" t="s">
        <v>2840</v>
      </c>
      <c r="FM905" s="33" t="s">
        <v>321</v>
      </c>
    </row>
    <row r="906" spans="1:169" ht="23.25" customHeight="1" x14ac:dyDescent="0.15">
      <c r="A906" s="41">
        <v>44662.629249386577</v>
      </c>
      <c r="B906" s="42" t="s">
        <v>8</v>
      </c>
      <c r="C906" s="42" t="s">
        <v>11</v>
      </c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  <c r="AA906" s="43"/>
      <c r="AB906" s="43"/>
      <c r="AC906" s="43"/>
      <c r="AD906" s="43"/>
      <c r="AE906" s="43"/>
      <c r="AF906" s="43"/>
      <c r="AG906" s="43"/>
      <c r="AH906" s="43"/>
      <c r="AI906" s="43"/>
      <c r="AJ906" s="43"/>
      <c r="AK906" s="43"/>
      <c r="AL906" s="43"/>
      <c r="AM906" s="43"/>
      <c r="AN906" s="43"/>
      <c r="AO906" s="43"/>
      <c r="AP906" s="43"/>
      <c r="AQ906" s="43"/>
      <c r="AR906" s="43"/>
      <c r="AS906" s="43"/>
      <c r="AT906" s="43"/>
      <c r="AU906" s="43"/>
      <c r="AV906" s="43"/>
      <c r="AW906" s="43"/>
      <c r="AX906" s="42" t="s">
        <v>2888</v>
      </c>
      <c r="AY906" s="42" t="s">
        <v>1284</v>
      </c>
      <c r="AZ906" s="42" t="s">
        <v>2889</v>
      </c>
      <c r="BA906" s="42" t="s">
        <v>2890</v>
      </c>
      <c r="BB906" s="42" t="s">
        <v>308</v>
      </c>
      <c r="BC906" s="44">
        <v>44353</v>
      </c>
      <c r="BD906" s="44">
        <v>44414</v>
      </c>
      <c r="BE906" s="44">
        <v>44779</v>
      </c>
      <c r="BF906" s="42">
        <v>96</v>
      </c>
      <c r="BG906" s="42" t="s">
        <v>2891</v>
      </c>
      <c r="BH906" s="46" t="s">
        <v>2892</v>
      </c>
      <c r="BI906" s="43"/>
      <c r="BJ906" s="43"/>
      <c r="BK906" s="43"/>
      <c r="BL906" s="43"/>
      <c r="BM906" s="43"/>
      <c r="BN906" s="43"/>
      <c r="BO906" s="43"/>
      <c r="BP906" s="43"/>
      <c r="BQ906" s="43"/>
      <c r="BR906" s="43"/>
      <c r="BS906" s="43"/>
      <c r="BT906" s="43"/>
      <c r="BU906" s="43"/>
      <c r="BV906" s="43"/>
      <c r="BW906" s="43"/>
      <c r="BX906" s="43"/>
      <c r="FL906" s="33" t="s">
        <v>1290</v>
      </c>
      <c r="FM906" s="33" t="s">
        <v>380</v>
      </c>
    </row>
    <row r="907" spans="1:169" ht="23.25" customHeight="1" x14ac:dyDescent="0.15">
      <c r="A907" s="41">
        <v>44662.629373402779</v>
      </c>
      <c r="B907" s="42" t="s">
        <v>8</v>
      </c>
      <c r="C907" s="42" t="s">
        <v>11</v>
      </c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  <c r="AA907" s="43"/>
      <c r="AB907" s="43"/>
      <c r="AC907" s="43"/>
      <c r="AD907" s="43"/>
      <c r="AE907" s="43"/>
      <c r="AF907" s="43"/>
      <c r="AG907" s="43"/>
      <c r="AH907" s="43"/>
      <c r="AI907" s="43"/>
      <c r="AJ907" s="43"/>
      <c r="AK907" s="43"/>
      <c r="AL907" s="43"/>
      <c r="AM907" s="43"/>
      <c r="AN907" s="43"/>
      <c r="AO907" s="43"/>
      <c r="AP907" s="43"/>
      <c r="AQ907" s="43"/>
      <c r="AR907" s="43"/>
      <c r="AS907" s="43"/>
      <c r="AT907" s="43"/>
      <c r="AU907" s="43"/>
      <c r="AV907" s="43"/>
      <c r="AW907" s="43"/>
      <c r="AX907" s="42" t="s">
        <v>2893</v>
      </c>
      <c r="AY907" s="42" t="s">
        <v>2894</v>
      </c>
      <c r="AZ907" s="42" t="s">
        <v>853</v>
      </c>
      <c r="BA907" s="42" t="s">
        <v>375</v>
      </c>
      <c r="BB907" s="42" t="s">
        <v>346</v>
      </c>
      <c r="BC907" s="44">
        <v>44378</v>
      </c>
      <c r="BD907" s="44">
        <v>44440</v>
      </c>
      <c r="BE907" s="44">
        <v>44440</v>
      </c>
      <c r="BF907" s="42">
        <v>92</v>
      </c>
      <c r="BG907" s="42" t="s">
        <v>2895</v>
      </c>
      <c r="BH907" s="46" t="s">
        <v>2896</v>
      </c>
      <c r="BI907" s="43"/>
      <c r="BJ907" s="43"/>
      <c r="BK907" s="43"/>
      <c r="BL907" s="43"/>
      <c r="BM907" s="43"/>
      <c r="BN907" s="43"/>
      <c r="BO907" s="43"/>
      <c r="BP907" s="43"/>
      <c r="BQ907" s="43"/>
      <c r="BR907" s="43"/>
      <c r="BS907" s="43"/>
      <c r="BT907" s="43"/>
      <c r="BU907" s="43"/>
      <c r="BV907" s="43"/>
      <c r="BW907" s="43"/>
      <c r="BX907" s="43"/>
      <c r="FL907" s="33" t="s">
        <v>2897</v>
      </c>
      <c r="FM907" s="33" t="s">
        <v>321</v>
      </c>
    </row>
    <row r="908" spans="1:169" ht="23.25" customHeight="1" x14ac:dyDescent="0.15">
      <c r="A908" s="41">
        <v>44662.629719386576</v>
      </c>
      <c r="B908" s="42" t="s">
        <v>6</v>
      </c>
      <c r="C908" s="42" t="s">
        <v>12</v>
      </c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  <c r="AA908" s="43"/>
      <c r="AB908" s="43"/>
      <c r="AC908" s="43"/>
      <c r="AD908" s="43"/>
      <c r="AE908" s="43"/>
      <c r="AF908" s="43"/>
      <c r="AG908" s="43"/>
      <c r="AH908" s="43"/>
      <c r="AI908" s="43"/>
      <c r="AJ908" s="43"/>
      <c r="AK908" s="43"/>
      <c r="AL908" s="43"/>
      <c r="AM908" s="43"/>
      <c r="AN908" s="43"/>
      <c r="AO908" s="43"/>
      <c r="AP908" s="43"/>
      <c r="AQ908" s="43"/>
      <c r="AR908" s="43"/>
      <c r="AS908" s="43"/>
      <c r="AT908" s="43"/>
      <c r="AU908" s="43"/>
      <c r="AV908" s="43"/>
      <c r="AW908" s="43"/>
      <c r="AX908" s="43"/>
      <c r="AY908" s="43"/>
      <c r="AZ908" s="43"/>
      <c r="BA908" s="43"/>
      <c r="BB908" s="43"/>
      <c r="BC908" s="43"/>
      <c r="BD908" s="43"/>
      <c r="BE908" s="43"/>
      <c r="BF908" s="43"/>
      <c r="BG908" s="43"/>
      <c r="BH908" s="43"/>
      <c r="BI908" s="42" t="s">
        <v>2875</v>
      </c>
      <c r="BJ908" s="42" t="s">
        <v>2876</v>
      </c>
      <c r="BK908" s="42" t="s">
        <v>311</v>
      </c>
      <c r="BL908" s="42" t="s">
        <v>732</v>
      </c>
      <c r="BM908" s="42" t="s">
        <v>2898</v>
      </c>
      <c r="BN908" s="42">
        <v>1</v>
      </c>
      <c r="BO908" s="44">
        <v>44567</v>
      </c>
      <c r="BP908" s="44">
        <v>44567</v>
      </c>
      <c r="BQ908" s="42" t="s">
        <v>2899</v>
      </c>
      <c r="BR908" s="42" t="s">
        <v>2900</v>
      </c>
      <c r="BS908" s="42" t="s">
        <v>171</v>
      </c>
      <c r="BT908" s="42" t="s">
        <v>151</v>
      </c>
      <c r="BU908" s="43"/>
      <c r="BV908" s="46" t="s">
        <v>2901</v>
      </c>
      <c r="BW908" s="43"/>
      <c r="BX908" s="43"/>
      <c r="FL908" s="33" t="s">
        <v>2878</v>
      </c>
      <c r="FM908" s="33" t="s">
        <v>255</v>
      </c>
    </row>
    <row r="909" spans="1:169" ht="23.25" customHeight="1" x14ac:dyDescent="0.15">
      <c r="A909" s="41">
        <v>44662.63116503472</v>
      </c>
      <c r="B909" s="42" t="s">
        <v>8</v>
      </c>
      <c r="C909" s="42" t="s">
        <v>11</v>
      </c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  <c r="AA909" s="43"/>
      <c r="AB909" s="43"/>
      <c r="AC909" s="43"/>
      <c r="AD909" s="43"/>
      <c r="AE909" s="43"/>
      <c r="AF909" s="43"/>
      <c r="AG909" s="43"/>
      <c r="AH909" s="43"/>
      <c r="AI909" s="43"/>
      <c r="AJ909" s="43"/>
      <c r="AK909" s="43"/>
      <c r="AL909" s="43"/>
      <c r="AM909" s="43"/>
      <c r="AN909" s="43"/>
      <c r="AO909" s="43"/>
      <c r="AP909" s="43"/>
      <c r="AQ909" s="43"/>
      <c r="AR909" s="43"/>
      <c r="AS909" s="43"/>
      <c r="AT909" s="43"/>
      <c r="AU909" s="43"/>
      <c r="AV909" s="43"/>
      <c r="AW909" s="43"/>
      <c r="AX909" s="42" t="s">
        <v>2902</v>
      </c>
      <c r="AY909" s="42" t="s">
        <v>1292</v>
      </c>
      <c r="AZ909" s="42" t="s">
        <v>2903</v>
      </c>
      <c r="BA909" s="42" t="s">
        <v>1331</v>
      </c>
      <c r="BB909" s="42" t="s">
        <v>308</v>
      </c>
      <c r="BC909" s="44">
        <v>44353</v>
      </c>
      <c r="BD909" s="44">
        <v>44414</v>
      </c>
      <c r="BE909" s="44">
        <v>44414</v>
      </c>
      <c r="BF909" s="42">
        <v>95</v>
      </c>
      <c r="BG909" s="42" t="s">
        <v>2904</v>
      </c>
      <c r="BH909" s="46" t="s">
        <v>2905</v>
      </c>
      <c r="BI909" s="43"/>
      <c r="BJ909" s="43"/>
      <c r="BK909" s="43"/>
      <c r="BL909" s="43"/>
      <c r="BM909" s="43"/>
      <c r="BN909" s="43"/>
      <c r="BO909" s="43"/>
      <c r="BP909" s="43"/>
      <c r="BQ909" s="43"/>
      <c r="BR909" s="43"/>
      <c r="BS909" s="43"/>
      <c r="BT909" s="43"/>
      <c r="BU909" s="43"/>
      <c r="BV909" s="43"/>
      <c r="BW909" s="43"/>
      <c r="BX909" s="43"/>
      <c r="FL909" s="33" t="s">
        <v>1297</v>
      </c>
      <c r="FM909" s="33" t="s">
        <v>380</v>
      </c>
    </row>
    <row r="910" spans="1:169" ht="23.25" customHeight="1" x14ac:dyDescent="0.15">
      <c r="A910" s="41">
        <v>44662.631550300925</v>
      </c>
      <c r="B910" s="42" t="s">
        <v>8</v>
      </c>
      <c r="C910" s="42" t="s">
        <v>11</v>
      </c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  <c r="AA910" s="43"/>
      <c r="AB910" s="43"/>
      <c r="AC910" s="43"/>
      <c r="AD910" s="43"/>
      <c r="AE910" s="43"/>
      <c r="AF910" s="43"/>
      <c r="AG910" s="43"/>
      <c r="AH910" s="43"/>
      <c r="AI910" s="43"/>
      <c r="AJ910" s="43"/>
      <c r="AK910" s="43"/>
      <c r="AL910" s="43"/>
      <c r="AM910" s="43"/>
      <c r="AN910" s="43"/>
      <c r="AO910" s="43"/>
      <c r="AP910" s="43"/>
      <c r="AQ910" s="43"/>
      <c r="AR910" s="43"/>
      <c r="AS910" s="43"/>
      <c r="AT910" s="43"/>
      <c r="AU910" s="43"/>
      <c r="AV910" s="43"/>
      <c r="AW910" s="43"/>
      <c r="AX910" s="42" t="s">
        <v>2906</v>
      </c>
      <c r="AY910" s="42" t="s">
        <v>2907</v>
      </c>
      <c r="AZ910" s="42" t="s">
        <v>2908</v>
      </c>
      <c r="BA910" s="42" t="s">
        <v>375</v>
      </c>
      <c r="BB910" s="42" t="s">
        <v>308</v>
      </c>
      <c r="BC910" s="44">
        <v>44353</v>
      </c>
      <c r="BD910" s="44">
        <v>44414</v>
      </c>
      <c r="BE910" s="44">
        <v>44414</v>
      </c>
      <c r="BF910" s="42">
        <v>96</v>
      </c>
      <c r="BG910" s="42" t="s">
        <v>2909</v>
      </c>
      <c r="BH910" s="46" t="s">
        <v>2910</v>
      </c>
      <c r="BI910" s="43"/>
      <c r="BJ910" s="43"/>
      <c r="BK910" s="43"/>
      <c r="BL910" s="43"/>
      <c r="BM910" s="43"/>
      <c r="BN910" s="43"/>
      <c r="BO910" s="43"/>
      <c r="BP910" s="43"/>
      <c r="BQ910" s="43"/>
      <c r="BR910" s="43"/>
      <c r="BS910" s="43"/>
      <c r="BT910" s="43"/>
      <c r="BU910" s="43"/>
      <c r="BV910" s="43"/>
      <c r="BW910" s="43"/>
      <c r="BX910" s="43"/>
      <c r="FL910" s="33" t="s">
        <v>2911</v>
      </c>
      <c r="FM910" s="33" t="s">
        <v>321</v>
      </c>
    </row>
    <row r="911" spans="1:169" ht="23.25" customHeight="1" x14ac:dyDescent="0.15">
      <c r="A911" s="41">
        <v>44662.633126099536</v>
      </c>
      <c r="B911" s="42" t="s">
        <v>7</v>
      </c>
      <c r="C911" s="42" t="s">
        <v>10</v>
      </c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  <c r="AA911" s="43"/>
      <c r="AB911" s="43"/>
      <c r="AC911" s="43"/>
      <c r="AD911" s="43"/>
      <c r="AE911" s="43"/>
      <c r="AF911" s="43"/>
      <c r="AG911" s="43"/>
      <c r="AH911" s="43"/>
      <c r="AI911" s="43"/>
      <c r="AJ911" s="43"/>
      <c r="AK911" s="43"/>
      <c r="AL911" s="43"/>
      <c r="AM911" s="43"/>
      <c r="AN911" s="42" t="s">
        <v>2912</v>
      </c>
      <c r="AO911" s="42" t="s">
        <v>2913</v>
      </c>
      <c r="AP911" s="42" t="s">
        <v>307</v>
      </c>
      <c r="AQ911" s="42" t="s">
        <v>300</v>
      </c>
      <c r="AR911" s="44">
        <v>44481</v>
      </c>
      <c r="AS911" s="44">
        <v>44573</v>
      </c>
      <c r="AT911" s="42" t="s">
        <v>252</v>
      </c>
      <c r="AU911" s="42" t="s">
        <v>252</v>
      </c>
      <c r="AV911" s="42">
        <v>0</v>
      </c>
      <c r="AW911" s="46" t="s">
        <v>2914</v>
      </c>
      <c r="AX911" s="43"/>
      <c r="AY911" s="43"/>
      <c r="AZ911" s="43"/>
      <c r="BA911" s="43"/>
      <c r="BB911" s="43"/>
      <c r="BC911" s="43"/>
      <c r="BD911" s="43"/>
      <c r="BE911" s="43"/>
      <c r="BF911" s="43"/>
      <c r="BG911" s="43"/>
      <c r="BH911" s="43"/>
      <c r="BI911" s="43"/>
      <c r="BJ911" s="43"/>
      <c r="BK911" s="43"/>
      <c r="BL911" s="43"/>
      <c r="BM911" s="43"/>
      <c r="BN911" s="43"/>
      <c r="BO911" s="43"/>
      <c r="BP911" s="43"/>
      <c r="BQ911" s="43"/>
      <c r="BR911" s="43"/>
      <c r="BS911" s="43"/>
      <c r="BT911" s="43"/>
      <c r="BU911" s="43"/>
      <c r="BV911" s="43"/>
      <c r="BW911" s="43"/>
      <c r="BX911" s="43"/>
      <c r="FL911" s="33" t="s">
        <v>2915</v>
      </c>
      <c r="FM911" s="33" t="s">
        <v>339</v>
      </c>
    </row>
    <row r="912" spans="1:169" ht="23.25" customHeight="1" x14ac:dyDescent="0.15">
      <c r="A912" s="41">
        <v>44662.634083217592</v>
      </c>
      <c r="B912" s="42" t="s">
        <v>6</v>
      </c>
      <c r="C912" s="42" t="s">
        <v>12</v>
      </c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  <c r="AA912" s="43"/>
      <c r="AB912" s="43"/>
      <c r="AC912" s="43"/>
      <c r="AD912" s="43"/>
      <c r="AE912" s="43"/>
      <c r="AF912" s="43"/>
      <c r="AG912" s="43"/>
      <c r="AH912" s="43"/>
      <c r="AI912" s="43"/>
      <c r="AJ912" s="43"/>
      <c r="AK912" s="43"/>
      <c r="AL912" s="43"/>
      <c r="AM912" s="43"/>
      <c r="AN912" s="43"/>
      <c r="AO912" s="43"/>
      <c r="AP912" s="43"/>
      <c r="AQ912" s="43"/>
      <c r="AR912" s="43"/>
      <c r="AS912" s="43"/>
      <c r="AT912" s="43"/>
      <c r="AU912" s="43"/>
      <c r="AV912" s="43"/>
      <c r="AW912" s="43"/>
      <c r="AX912" s="43"/>
      <c r="AY912" s="43"/>
      <c r="AZ912" s="43"/>
      <c r="BA912" s="43"/>
      <c r="BB912" s="43"/>
      <c r="BC912" s="43"/>
      <c r="BD912" s="43"/>
      <c r="BE912" s="43"/>
      <c r="BF912" s="43"/>
      <c r="BG912" s="43"/>
      <c r="BH912" s="43"/>
      <c r="BI912" s="42" t="s">
        <v>2875</v>
      </c>
      <c r="BJ912" s="42" t="s">
        <v>2876</v>
      </c>
      <c r="BK912" s="42" t="s">
        <v>311</v>
      </c>
      <c r="BL912" s="42" t="s">
        <v>1285</v>
      </c>
      <c r="BM912" s="42" t="s">
        <v>2916</v>
      </c>
      <c r="BN912" s="42">
        <v>3</v>
      </c>
      <c r="BO912" s="44">
        <v>44491</v>
      </c>
      <c r="BP912" s="44">
        <v>44493</v>
      </c>
      <c r="BQ912" s="42" t="s">
        <v>2917</v>
      </c>
      <c r="BR912" s="42" t="s">
        <v>1385</v>
      </c>
      <c r="BS912" s="42" t="s">
        <v>171</v>
      </c>
      <c r="BT912" s="42" t="s">
        <v>151</v>
      </c>
      <c r="BU912" s="43"/>
      <c r="BV912" s="46" t="s">
        <v>2918</v>
      </c>
      <c r="BW912" s="43"/>
      <c r="BX912" s="43"/>
      <c r="FL912" s="33" t="s">
        <v>2878</v>
      </c>
      <c r="FM912" s="33" t="s">
        <v>255</v>
      </c>
    </row>
    <row r="913" spans="1:169" ht="23.25" customHeight="1" x14ac:dyDescent="0.15">
      <c r="A913" s="41">
        <v>44662.634813900462</v>
      </c>
      <c r="B913" s="42" t="s">
        <v>8</v>
      </c>
      <c r="C913" s="42" t="s">
        <v>11</v>
      </c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  <c r="AA913" s="43"/>
      <c r="AB913" s="43"/>
      <c r="AC913" s="43"/>
      <c r="AD913" s="43"/>
      <c r="AE913" s="43"/>
      <c r="AF913" s="43"/>
      <c r="AG913" s="43"/>
      <c r="AH913" s="43"/>
      <c r="AI913" s="43"/>
      <c r="AJ913" s="43"/>
      <c r="AK913" s="43"/>
      <c r="AL913" s="43"/>
      <c r="AM913" s="43"/>
      <c r="AN913" s="43"/>
      <c r="AO913" s="43"/>
      <c r="AP913" s="43"/>
      <c r="AQ913" s="43"/>
      <c r="AR913" s="43"/>
      <c r="AS913" s="43"/>
      <c r="AT913" s="43"/>
      <c r="AU913" s="43"/>
      <c r="AV913" s="43"/>
      <c r="AW913" s="43"/>
      <c r="AX913" s="42" t="s">
        <v>2919</v>
      </c>
      <c r="AY913" s="42" t="s">
        <v>2920</v>
      </c>
      <c r="AZ913" s="42" t="s">
        <v>2328</v>
      </c>
      <c r="BA913" s="42" t="s">
        <v>335</v>
      </c>
      <c r="BB913" s="42" t="s">
        <v>507</v>
      </c>
      <c r="BC913" s="44">
        <v>44378</v>
      </c>
      <c r="BD913" s="44">
        <v>44440</v>
      </c>
      <c r="BE913" s="44">
        <v>44440</v>
      </c>
      <c r="BF913" s="42">
        <v>95</v>
      </c>
      <c r="BG913" s="42" t="s">
        <v>2921</v>
      </c>
      <c r="BH913" s="46" t="s">
        <v>2922</v>
      </c>
      <c r="BI913" s="43"/>
      <c r="BJ913" s="43"/>
      <c r="BK913" s="43"/>
      <c r="BL913" s="43"/>
      <c r="BM913" s="43"/>
      <c r="BN913" s="43"/>
      <c r="BO913" s="43"/>
      <c r="BP913" s="43"/>
      <c r="BQ913" s="43"/>
      <c r="BR913" s="43"/>
      <c r="BS913" s="43"/>
      <c r="BT913" s="43"/>
      <c r="BU913" s="43"/>
      <c r="BV913" s="43"/>
      <c r="BW913" s="43"/>
      <c r="BX913" s="43"/>
      <c r="FL913" s="33" t="s">
        <v>2923</v>
      </c>
      <c r="FM913" s="33" t="s">
        <v>321</v>
      </c>
    </row>
    <row r="914" spans="1:169" ht="23.25" customHeight="1" x14ac:dyDescent="0.15">
      <c r="A914" s="41">
        <v>44662.635661493056</v>
      </c>
      <c r="B914" s="42" t="s">
        <v>8</v>
      </c>
      <c r="C914" s="42" t="s">
        <v>11</v>
      </c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  <c r="AA914" s="43"/>
      <c r="AB914" s="43"/>
      <c r="AC914" s="43"/>
      <c r="AD914" s="43"/>
      <c r="AE914" s="43"/>
      <c r="AF914" s="43"/>
      <c r="AG914" s="43"/>
      <c r="AH914" s="43"/>
      <c r="AI914" s="43"/>
      <c r="AJ914" s="43"/>
      <c r="AK914" s="43"/>
      <c r="AL914" s="43"/>
      <c r="AM914" s="43"/>
      <c r="AN914" s="43"/>
      <c r="AO914" s="43"/>
      <c r="AP914" s="43"/>
      <c r="AQ914" s="43"/>
      <c r="AR914" s="43"/>
      <c r="AS914" s="43"/>
      <c r="AT914" s="43"/>
      <c r="AU914" s="43"/>
      <c r="AV914" s="43"/>
      <c r="AW914" s="43"/>
      <c r="AX914" s="42" t="s">
        <v>1283</v>
      </c>
      <c r="AY914" s="42" t="s">
        <v>1284</v>
      </c>
      <c r="AZ914" s="42" t="s">
        <v>2885</v>
      </c>
      <c r="BA914" s="42" t="s">
        <v>1331</v>
      </c>
      <c r="BB914" s="42" t="s">
        <v>1332</v>
      </c>
      <c r="BC914" s="44">
        <v>44596</v>
      </c>
      <c r="BD914" s="44">
        <v>44655</v>
      </c>
      <c r="BE914" s="44">
        <v>44654</v>
      </c>
      <c r="BF914" s="42" t="s">
        <v>2924</v>
      </c>
      <c r="BG914" s="42" t="s">
        <v>2925</v>
      </c>
      <c r="BH914" s="46" t="s">
        <v>2926</v>
      </c>
      <c r="BI914" s="43"/>
      <c r="BJ914" s="43"/>
      <c r="BK914" s="43"/>
      <c r="BL914" s="43"/>
      <c r="BM914" s="43"/>
      <c r="BN914" s="43"/>
      <c r="BO914" s="43"/>
      <c r="BP914" s="43"/>
      <c r="BQ914" s="43"/>
      <c r="BR914" s="43"/>
      <c r="BS914" s="43"/>
      <c r="BT914" s="43"/>
      <c r="BU914" s="43"/>
      <c r="BV914" s="43"/>
      <c r="BW914" s="43"/>
      <c r="BX914" s="43"/>
      <c r="FL914" s="33" t="s">
        <v>2927</v>
      </c>
      <c r="FM914" s="33" t="s">
        <v>552</v>
      </c>
    </row>
    <row r="915" spans="1:169" ht="23.25" customHeight="1" x14ac:dyDescent="0.15">
      <c r="A915" s="41">
        <v>44662.635744178246</v>
      </c>
      <c r="B915" s="42" t="s">
        <v>8</v>
      </c>
      <c r="C915" s="42" t="s">
        <v>11</v>
      </c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  <c r="AA915" s="43"/>
      <c r="AB915" s="43"/>
      <c r="AC915" s="43"/>
      <c r="AD915" s="43"/>
      <c r="AE915" s="43"/>
      <c r="AF915" s="43"/>
      <c r="AG915" s="43"/>
      <c r="AH915" s="43"/>
      <c r="AI915" s="43"/>
      <c r="AJ915" s="43"/>
      <c r="AK915" s="43"/>
      <c r="AL915" s="43"/>
      <c r="AM915" s="43"/>
      <c r="AN915" s="43"/>
      <c r="AO915" s="43"/>
      <c r="AP915" s="43"/>
      <c r="AQ915" s="43"/>
      <c r="AR915" s="43"/>
      <c r="AS915" s="43"/>
      <c r="AT915" s="43"/>
      <c r="AU915" s="43"/>
      <c r="AV915" s="43"/>
      <c r="AW915" s="43"/>
      <c r="AX915" s="42" t="s">
        <v>2928</v>
      </c>
      <c r="AY915" s="42" t="s">
        <v>2929</v>
      </c>
      <c r="AZ915" s="42" t="s">
        <v>2908</v>
      </c>
      <c r="BA915" s="42" t="s">
        <v>2817</v>
      </c>
      <c r="BB915" s="42" t="s">
        <v>346</v>
      </c>
      <c r="BC915" s="44">
        <v>44353</v>
      </c>
      <c r="BD915" s="44">
        <v>44414</v>
      </c>
      <c r="BE915" s="44">
        <v>44414</v>
      </c>
      <c r="BF915" s="42">
        <v>95</v>
      </c>
      <c r="BG915" s="42" t="s">
        <v>2666</v>
      </c>
      <c r="BH915" s="46" t="s">
        <v>2930</v>
      </c>
      <c r="BI915" s="43"/>
      <c r="BJ915" s="43"/>
      <c r="BK915" s="43"/>
      <c r="BL915" s="43"/>
      <c r="BM915" s="43"/>
      <c r="BN915" s="43"/>
      <c r="BO915" s="43"/>
      <c r="BP915" s="43"/>
      <c r="BQ915" s="43"/>
      <c r="BR915" s="43"/>
      <c r="BS915" s="43"/>
      <c r="BT915" s="43"/>
      <c r="BU915" s="43"/>
      <c r="BV915" s="43"/>
      <c r="BW915" s="43"/>
      <c r="BX915" s="43"/>
      <c r="FL915" s="33" t="s">
        <v>2931</v>
      </c>
      <c r="FM915" s="33" t="s">
        <v>380</v>
      </c>
    </row>
    <row r="916" spans="1:169" ht="23.25" customHeight="1" x14ac:dyDescent="0.15">
      <c r="A916" s="41">
        <v>44662.637399629632</v>
      </c>
      <c r="B916" s="42" t="s">
        <v>6</v>
      </c>
      <c r="C916" s="42" t="s">
        <v>17</v>
      </c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  <c r="AA916" s="43"/>
      <c r="AB916" s="43"/>
      <c r="AC916" s="43"/>
      <c r="AD916" s="43"/>
      <c r="AE916" s="43"/>
      <c r="AF916" s="43"/>
      <c r="AG916" s="43"/>
      <c r="AH916" s="43"/>
      <c r="AI916" s="43"/>
      <c r="AJ916" s="43"/>
      <c r="AK916" s="43"/>
      <c r="AL916" s="43"/>
      <c r="AM916" s="43"/>
      <c r="AN916" s="43"/>
      <c r="AO916" s="43"/>
      <c r="AP916" s="43"/>
      <c r="AQ916" s="43"/>
      <c r="AR916" s="43"/>
      <c r="AS916" s="43"/>
      <c r="AT916" s="43"/>
      <c r="AU916" s="43"/>
      <c r="AV916" s="43"/>
      <c r="AW916" s="43"/>
      <c r="AX916" s="43"/>
      <c r="AY916" s="43"/>
      <c r="AZ916" s="43"/>
      <c r="BA916" s="43"/>
      <c r="BB916" s="43"/>
      <c r="BC916" s="43"/>
      <c r="BD916" s="43"/>
      <c r="BE916" s="43"/>
      <c r="BF916" s="43"/>
      <c r="BG916" s="43"/>
      <c r="BH916" s="43"/>
      <c r="BI916" s="43"/>
      <c r="BJ916" s="43"/>
      <c r="BK916" s="43"/>
      <c r="BL916" s="43"/>
      <c r="BM916" s="43"/>
      <c r="BN916" s="43"/>
      <c r="BO916" s="43"/>
      <c r="BP916" s="43"/>
      <c r="BQ916" s="43"/>
      <c r="BR916" s="43"/>
      <c r="BS916" s="43"/>
      <c r="BT916" s="43"/>
      <c r="BU916" s="43"/>
      <c r="BV916" s="43"/>
      <c r="BW916" s="43"/>
      <c r="BX916" s="43"/>
      <c r="DX916" s="33" t="s">
        <v>2815</v>
      </c>
      <c r="DY916" s="33" t="s">
        <v>2816</v>
      </c>
      <c r="DZ916" s="33" t="s">
        <v>311</v>
      </c>
      <c r="EA916" s="33" t="s">
        <v>2932</v>
      </c>
      <c r="EB916" s="34">
        <v>44549</v>
      </c>
      <c r="EC916" s="33" t="s">
        <v>2933</v>
      </c>
      <c r="ED916" s="35" t="s">
        <v>2934</v>
      </c>
      <c r="FL916" s="33" t="s">
        <v>2820</v>
      </c>
      <c r="FM916" s="33" t="s">
        <v>380</v>
      </c>
    </row>
    <row r="917" spans="1:169" ht="23.25" customHeight="1" x14ac:dyDescent="0.15">
      <c r="A917" s="41">
        <v>44662.637927708332</v>
      </c>
      <c r="B917" s="42" t="s">
        <v>8</v>
      </c>
      <c r="C917" s="42" t="s">
        <v>10</v>
      </c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  <c r="AA917" s="43"/>
      <c r="AB917" s="43"/>
      <c r="AC917" s="43"/>
      <c r="AD917" s="43"/>
      <c r="AE917" s="43"/>
      <c r="AF917" s="43"/>
      <c r="AG917" s="43"/>
      <c r="AH917" s="43"/>
      <c r="AI917" s="43"/>
      <c r="AJ917" s="43"/>
      <c r="AK917" s="43"/>
      <c r="AL917" s="43"/>
      <c r="AM917" s="43"/>
      <c r="AN917" s="42" t="s">
        <v>2893</v>
      </c>
      <c r="AO917" s="42">
        <v>203310576</v>
      </c>
      <c r="AP917" s="42" t="s">
        <v>2749</v>
      </c>
      <c r="AQ917" s="42" t="s">
        <v>308</v>
      </c>
      <c r="AR917" s="44">
        <v>44470</v>
      </c>
      <c r="AS917" s="44">
        <v>44531</v>
      </c>
      <c r="AT917" s="42" t="s">
        <v>252</v>
      </c>
      <c r="AU917" s="42" t="s">
        <v>252</v>
      </c>
      <c r="AV917" s="42">
        <v>0</v>
      </c>
      <c r="AW917" s="46" t="s">
        <v>2935</v>
      </c>
      <c r="AX917" s="43"/>
      <c r="AY917" s="43"/>
      <c r="AZ917" s="43"/>
      <c r="BA917" s="43"/>
      <c r="BB917" s="43"/>
      <c r="BC917" s="43"/>
      <c r="BD917" s="43"/>
      <c r="BE917" s="43"/>
      <c r="BF917" s="43"/>
      <c r="BG917" s="43"/>
      <c r="BH917" s="43"/>
      <c r="BI917" s="43"/>
      <c r="BJ917" s="43"/>
      <c r="BK917" s="43"/>
      <c r="BL917" s="43"/>
      <c r="BM917" s="43"/>
      <c r="BN917" s="43"/>
      <c r="BO917" s="43"/>
      <c r="BP917" s="43"/>
      <c r="BQ917" s="43"/>
      <c r="BR917" s="43"/>
      <c r="BS917" s="43"/>
      <c r="BT917" s="43"/>
      <c r="BU917" s="43"/>
      <c r="BV917" s="43"/>
      <c r="BW917" s="43"/>
      <c r="BX917" s="43"/>
      <c r="FL917" s="33" t="s">
        <v>2897</v>
      </c>
      <c r="FM917" s="33" t="s">
        <v>321</v>
      </c>
    </row>
    <row r="918" spans="1:169" ht="13" x14ac:dyDescent="0.15">
      <c r="A918" s="47">
        <v>44662.63921332176</v>
      </c>
      <c r="B918" s="33" t="s">
        <v>8</v>
      </c>
      <c r="C918" s="33" t="s">
        <v>11</v>
      </c>
      <c r="AX918" s="33" t="s">
        <v>2936</v>
      </c>
      <c r="AY918" s="33" t="s">
        <v>2929</v>
      </c>
      <c r="AZ918" s="33" t="s">
        <v>2937</v>
      </c>
      <c r="BA918" s="33" t="s">
        <v>2938</v>
      </c>
      <c r="BB918" s="33" t="s">
        <v>308</v>
      </c>
      <c r="BC918" s="34">
        <v>44494</v>
      </c>
      <c r="BD918" s="34">
        <v>44555</v>
      </c>
      <c r="BE918" s="34">
        <v>44555</v>
      </c>
      <c r="BF918" s="33" t="s">
        <v>2924</v>
      </c>
      <c r="BG918" s="33" t="s">
        <v>2939</v>
      </c>
      <c r="BH918" s="35" t="s">
        <v>2940</v>
      </c>
      <c r="FL918" s="33" t="s">
        <v>2931</v>
      </c>
      <c r="FM918" s="33" t="s">
        <v>552</v>
      </c>
    </row>
    <row r="919" spans="1:169" ht="13" x14ac:dyDescent="0.15">
      <c r="A919" s="47">
        <v>44662.639345868054</v>
      </c>
      <c r="B919" s="33" t="s">
        <v>6</v>
      </c>
      <c r="C919" s="33" t="s">
        <v>17</v>
      </c>
      <c r="DX919" s="33" t="s">
        <v>2941</v>
      </c>
      <c r="DY919" s="33" t="s">
        <v>2816</v>
      </c>
      <c r="DZ919" s="33" t="s">
        <v>145</v>
      </c>
      <c r="EA919" s="33" t="s">
        <v>2942</v>
      </c>
      <c r="EB919" s="34">
        <v>43543</v>
      </c>
      <c r="EC919" s="33" t="s">
        <v>2943</v>
      </c>
      <c r="ED919" s="35" t="s">
        <v>2944</v>
      </c>
      <c r="FL919" s="33" t="s">
        <v>2820</v>
      </c>
      <c r="FM919" s="33" t="s">
        <v>380</v>
      </c>
    </row>
    <row r="920" spans="1:169" ht="13" x14ac:dyDescent="0.15">
      <c r="A920" s="47">
        <v>44662.639484513886</v>
      </c>
      <c r="B920" s="33" t="s">
        <v>8</v>
      </c>
      <c r="C920" s="33" t="s">
        <v>11</v>
      </c>
      <c r="AX920" s="33" t="s">
        <v>2945</v>
      </c>
      <c r="AY920" s="33" t="s">
        <v>2946</v>
      </c>
      <c r="AZ920" s="33" t="s">
        <v>2947</v>
      </c>
      <c r="BA920" s="33" t="s">
        <v>335</v>
      </c>
      <c r="BB920" s="33" t="s">
        <v>318</v>
      </c>
      <c r="BC920" s="34">
        <v>44470</v>
      </c>
      <c r="BD920" s="34">
        <v>44530</v>
      </c>
      <c r="BE920" s="34">
        <v>44555</v>
      </c>
      <c r="BF920" s="33">
        <v>94</v>
      </c>
      <c r="BG920" s="33" t="s">
        <v>1868</v>
      </c>
      <c r="BH920" s="35" t="s">
        <v>2948</v>
      </c>
      <c r="FL920" s="33" t="s">
        <v>2949</v>
      </c>
      <c r="FM920" s="33" t="s">
        <v>321</v>
      </c>
    </row>
    <row r="921" spans="1:169" ht="13" x14ac:dyDescent="0.15">
      <c r="A921" s="47">
        <v>44662.640048761576</v>
      </c>
      <c r="B921" s="33" t="s">
        <v>8</v>
      </c>
      <c r="C921" s="33" t="s">
        <v>11</v>
      </c>
      <c r="AX921" s="33" t="s">
        <v>2906</v>
      </c>
      <c r="AY921" s="33" t="s">
        <v>2907</v>
      </c>
      <c r="AZ921" s="33" t="s">
        <v>2950</v>
      </c>
      <c r="BA921" s="33" t="s">
        <v>2951</v>
      </c>
      <c r="BB921" s="33" t="s">
        <v>308</v>
      </c>
      <c r="BC921" s="34">
        <v>44494</v>
      </c>
      <c r="BD921" s="34">
        <v>44555</v>
      </c>
      <c r="BE921" s="34">
        <v>44555</v>
      </c>
      <c r="BF921" s="33" t="s">
        <v>2924</v>
      </c>
      <c r="BG921" s="33" t="s">
        <v>2909</v>
      </c>
      <c r="BH921" s="35" t="s">
        <v>2952</v>
      </c>
      <c r="FL921" s="33" t="s">
        <v>2911</v>
      </c>
      <c r="FM921" s="33" t="s">
        <v>552</v>
      </c>
    </row>
    <row r="922" spans="1:169" ht="13" x14ac:dyDescent="0.15">
      <c r="A922" s="47">
        <v>44662.640063981482</v>
      </c>
      <c r="B922" s="33" t="s">
        <v>8</v>
      </c>
      <c r="C922" s="33" t="s">
        <v>10</v>
      </c>
      <c r="AN922" s="33" t="s">
        <v>2919</v>
      </c>
      <c r="AO922" s="33" t="s">
        <v>2920</v>
      </c>
      <c r="AP922" s="33" t="s">
        <v>2749</v>
      </c>
      <c r="AQ922" s="33" t="s">
        <v>507</v>
      </c>
      <c r="AR922" s="34">
        <v>44470</v>
      </c>
      <c r="AS922" s="34">
        <v>44531</v>
      </c>
      <c r="AT922" s="33" t="s">
        <v>252</v>
      </c>
      <c r="AU922" s="33" t="s">
        <v>252</v>
      </c>
      <c r="AV922" s="33">
        <v>0</v>
      </c>
      <c r="AW922" s="35" t="s">
        <v>2953</v>
      </c>
      <c r="FL922" s="33" t="s">
        <v>2923</v>
      </c>
      <c r="FM922" s="33" t="s">
        <v>321</v>
      </c>
    </row>
    <row r="923" spans="1:169" ht="13" x14ac:dyDescent="0.15">
      <c r="A923" s="47">
        <v>44662.641084861112</v>
      </c>
      <c r="B923" s="33" t="s">
        <v>8</v>
      </c>
      <c r="C923" s="33" t="s">
        <v>11</v>
      </c>
      <c r="AX923" s="33" t="s">
        <v>1283</v>
      </c>
      <c r="AY923" s="33" t="s">
        <v>1284</v>
      </c>
      <c r="AZ923" s="33" t="s">
        <v>2954</v>
      </c>
      <c r="BA923" s="33" t="s">
        <v>2692</v>
      </c>
      <c r="BB923" s="33" t="s">
        <v>308</v>
      </c>
      <c r="BC923" s="34">
        <v>44494</v>
      </c>
      <c r="BD923" s="34">
        <v>44555</v>
      </c>
      <c r="BE923" s="34">
        <v>44555</v>
      </c>
      <c r="BF923" s="33" t="s">
        <v>2955</v>
      </c>
      <c r="BG923" s="33" t="s">
        <v>2956</v>
      </c>
      <c r="BH923" s="35" t="s">
        <v>2957</v>
      </c>
      <c r="FL923" s="33" t="s">
        <v>2927</v>
      </c>
      <c r="FM923" s="33" t="s">
        <v>552</v>
      </c>
    </row>
    <row r="924" spans="1:169" ht="13" x14ac:dyDescent="0.15">
      <c r="A924" s="47">
        <v>44662.641296666668</v>
      </c>
      <c r="B924" s="33" t="s">
        <v>8</v>
      </c>
      <c r="C924" s="33" t="s">
        <v>11</v>
      </c>
      <c r="AX924" s="33" t="s">
        <v>2906</v>
      </c>
      <c r="AY924" s="33" t="s">
        <v>2907</v>
      </c>
      <c r="AZ924" s="33" t="s">
        <v>2958</v>
      </c>
      <c r="BA924" s="33" t="s">
        <v>2951</v>
      </c>
      <c r="BB924" s="33" t="s">
        <v>308</v>
      </c>
      <c r="BC924" s="34">
        <v>44494</v>
      </c>
      <c r="BD924" s="34">
        <v>44555</v>
      </c>
      <c r="BE924" s="34">
        <v>44555</v>
      </c>
      <c r="BF924" s="33" t="s">
        <v>2924</v>
      </c>
      <c r="BG924" s="33" t="s">
        <v>2909</v>
      </c>
      <c r="BH924" s="35" t="s">
        <v>2959</v>
      </c>
      <c r="FL924" s="33" t="s">
        <v>2911</v>
      </c>
      <c r="FM924" s="33" t="s">
        <v>552</v>
      </c>
    </row>
    <row r="925" spans="1:169" ht="13" x14ac:dyDescent="0.15">
      <c r="A925" s="47">
        <v>44662.641649027777</v>
      </c>
      <c r="B925" s="33" t="s">
        <v>8</v>
      </c>
      <c r="C925" s="33" t="s">
        <v>11</v>
      </c>
      <c r="AX925" s="33" t="s">
        <v>2936</v>
      </c>
      <c r="AY925" s="33" t="s">
        <v>2929</v>
      </c>
      <c r="AZ925" s="33" t="s">
        <v>2960</v>
      </c>
      <c r="BA925" s="33" t="s">
        <v>2938</v>
      </c>
      <c r="BB925" s="33" t="s">
        <v>308</v>
      </c>
      <c r="BC925" s="34">
        <v>44494</v>
      </c>
      <c r="BD925" s="34">
        <v>44555</v>
      </c>
      <c r="BE925" s="34">
        <v>44555</v>
      </c>
      <c r="BF925" s="33" t="s">
        <v>2924</v>
      </c>
      <c r="BG925" s="33" t="s">
        <v>2939</v>
      </c>
      <c r="BH925" s="35" t="s">
        <v>2961</v>
      </c>
      <c r="FL925" s="33" t="s">
        <v>2931</v>
      </c>
      <c r="FM925" s="33" t="s">
        <v>552</v>
      </c>
    </row>
    <row r="926" spans="1:169" ht="13" x14ac:dyDescent="0.15">
      <c r="A926" s="47">
        <v>44662.642779965274</v>
      </c>
      <c r="B926" s="33" t="s">
        <v>8</v>
      </c>
      <c r="C926" s="33" t="s">
        <v>11</v>
      </c>
      <c r="AX926" s="33" t="s">
        <v>2906</v>
      </c>
      <c r="AY926" s="33" t="s">
        <v>2907</v>
      </c>
      <c r="AZ926" s="33" t="s">
        <v>2908</v>
      </c>
      <c r="BA926" s="33" t="s">
        <v>375</v>
      </c>
      <c r="BB926" s="33" t="s">
        <v>308</v>
      </c>
      <c r="BC926" s="34">
        <v>44353</v>
      </c>
      <c r="BD926" s="34">
        <v>44414</v>
      </c>
      <c r="BE926" s="34">
        <v>44414</v>
      </c>
      <c r="BF926" s="33">
        <v>96</v>
      </c>
      <c r="BG926" s="33" t="s">
        <v>2909</v>
      </c>
      <c r="BH926" s="35" t="s">
        <v>2962</v>
      </c>
      <c r="FL926" s="33" t="s">
        <v>2911</v>
      </c>
      <c r="FM926" s="33" t="s">
        <v>380</v>
      </c>
    </row>
    <row r="927" spans="1:169" ht="13" x14ac:dyDescent="0.15">
      <c r="A927" s="47">
        <v>44662.643523900464</v>
      </c>
      <c r="B927" s="33" t="s">
        <v>8</v>
      </c>
      <c r="C927" s="33" t="s">
        <v>11</v>
      </c>
      <c r="AX927" s="33" t="s">
        <v>2963</v>
      </c>
      <c r="AY927" s="33" t="s">
        <v>2964</v>
      </c>
      <c r="AZ927" s="33" t="s">
        <v>2713</v>
      </c>
      <c r="BA927" s="33" t="s">
        <v>375</v>
      </c>
      <c r="BB927" s="33" t="s">
        <v>1332</v>
      </c>
      <c r="BC927" s="34">
        <v>44353</v>
      </c>
      <c r="BD927" s="34">
        <v>44414</v>
      </c>
      <c r="BE927" s="34">
        <v>44414</v>
      </c>
      <c r="BF927" s="33">
        <v>90</v>
      </c>
      <c r="BG927" s="33" t="s">
        <v>2965</v>
      </c>
      <c r="BH927" s="35" t="s">
        <v>2966</v>
      </c>
      <c r="FL927" s="33" t="s">
        <v>2967</v>
      </c>
      <c r="FM927" s="33" t="s">
        <v>380</v>
      </c>
    </row>
    <row r="928" spans="1:169" ht="13" x14ac:dyDescent="0.15">
      <c r="A928" s="47">
        <v>44662.644633761578</v>
      </c>
      <c r="B928" s="33" t="s">
        <v>7</v>
      </c>
      <c r="C928" s="33" t="s">
        <v>10</v>
      </c>
      <c r="AN928" s="33" t="s">
        <v>2968</v>
      </c>
      <c r="AO928" s="33" t="s">
        <v>2969</v>
      </c>
      <c r="AP928" s="33" t="s">
        <v>307</v>
      </c>
      <c r="AQ928" s="33" t="s">
        <v>300</v>
      </c>
      <c r="AR928" s="34">
        <v>44481</v>
      </c>
      <c r="AS928" s="34">
        <v>44573</v>
      </c>
      <c r="AT928" s="33" t="s">
        <v>252</v>
      </c>
      <c r="AU928" s="33" t="s">
        <v>252</v>
      </c>
      <c r="AV928" s="33">
        <v>0</v>
      </c>
      <c r="AW928" s="35" t="s">
        <v>2970</v>
      </c>
      <c r="FL928" s="33" t="s">
        <v>2971</v>
      </c>
      <c r="FM928" s="33" t="s">
        <v>339</v>
      </c>
    </row>
    <row r="929" spans="1:169" ht="13" x14ac:dyDescent="0.15">
      <c r="A929" s="47">
        <v>44662.64467061343</v>
      </c>
      <c r="B929" s="33" t="s">
        <v>6</v>
      </c>
      <c r="C929" s="33" t="s">
        <v>10</v>
      </c>
      <c r="AN929" s="33" t="s">
        <v>2815</v>
      </c>
      <c r="AO929" s="33" t="s">
        <v>2816</v>
      </c>
      <c r="AP929" s="33" t="s">
        <v>2972</v>
      </c>
      <c r="AQ929" s="33" t="s">
        <v>300</v>
      </c>
      <c r="AR929" s="34">
        <v>44482</v>
      </c>
      <c r="AS929" s="34">
        <v>44546</v>
      </c>
      <c r="AT929" s="33" t="s">
        <v>252</v>
      </c>
      <c r="AU929" s="33" t="s">
        <v>252</v>
      </c>
      <c r="AV929" s="33">
        <v>0</v>
      </c>
      <c r="AW929" s="35" t="s">
        <v>2973</v>
      </c>
      <c r="FL929" s="33" t="s">
        <v>2820</v>
      </c>
      <c r="FM929" s="33" t="s">
        <v>278</v>
      </c>
    </row>
    <row r="930" spans="1:169" ht="13" x14ac:dyDescent="0.15">
      <c r="A930" s="47">
        <v>44662.646369212962</v>
      </c>
      <c r="B930" s="33" t="s">
        <v>8</v>
      </c>
      <c r="C930" s="33" t="s">
        <v>11</v>
      </c>
      <c r="AX930" s="33" t="s">
        <v>1283</v>
      </c>
      <c r="AY930" s="33" t="s">
        <v>1284</v>
      </c>
      <c r="AZ930" s="33" t="s">
        <v>2974</v>
      </c>
      <c r="BA930" s="33" t="s">
        <v>2692</v>
      </c>
      <c r="BB930" s="33" t="s">
        <v>1332</v>
      </c>
      <c r="BC930" s="34">
        <v>44494</v>
      </c>
      <c r="BD930" s="34">
        <v>44555</v>
      </c>
      <c r="BE930" s="34">
        <v>44555</v>
      </c>
      <c r="BF930" s="33" t="s">
        <v>2955</v>
      </c>
      <c r="BG930" s="33" t="s">
        <v>2939</v>
      </c>
      <c r="BH930" s="35" t="s">
        <v>2975</v>
      </c>
      <c r="FL930" s="33" t="s">
        <v>1290</v>
      </c>
      <c r="FM930" s="33" t="s">
        <v>552</v>
      </c>
    </row>
    <row r="931" spans="1:169" ht="13" x14ac:dyDescent="0.15">
      <c r="A931" s="47">
        <v>44662.646442268524</v>
      </c>
      <c r="B931" s="33" t="s">
        <v>7</v>
      </c>
      <c r="C931" s="33" t="s">
        <v>10</v>
      </c>
      <c r="AN931" s="33" t="s">
        <v>2976</v>
      </c>
      <c r="AO931" s="33" t="s">
        <v>2977</v>
      </c>
      <c r="AP931" s="33" t="s">
        <v>2542</v>
      </c>
      <c r="AQ931" s="33" t="s">
        <v>300</v>
      </c>
      <c r="AR931" s="34">
        <v>44481</v>
      </c>
      <c r="AS931" s="34">
        <v>44573</v>
      </c>
      <c r="AT931" s="33" t="s">
        <v>252</v>
      </c>
      <c r="AU931" s="33" t="s">
        <v>252</v>
      </c>
      <c r="AV931" s="33">
        <v>0</v>
      </c>
      <c r="AW931" s="35" t="s">
        <v>2978</v>
      </c>
      <c r="FL931" s="33" t="s">
        <v>2979</v>
      </c>
      <c r="FM931" s="33" t="s">
        <v>339</v>
      </c>
    </row>
    <row r="932" spans="1:169" ht="13" x14ac:dyDescent="0.15">
      <c r="A932" s="47">
        <v>44662.646577210646</v>
      </c>
      <c r="B932" s="33" t="s">
        <v>8</v>
      </c>
      <c r="C932" s="33" t="s">
        <v>12</v>
      </c>
      <c r="BI932" s="33" t="s">
        <v>2936</v>
      </c>
      <c r="BJ932" s="33" t="s">
        <v>2929</v>
      </c>
      <c r="BK932" s="33" t="s">
        <v>311</v>
      </c>
      <c r="BL932" s="33" t="s">
        <v>1285</v>
      </c>
      <c r="BM932" s="33" t="s">
        <v>2980</v>
      </c>
      <c r="BN932" s="33">
        <v>2</v>
      </c>
      <c r="BO932" s="34">
        <v>44650</v>
      </c>
      <c r="BP932" s="34">
        <v>44651</v>
      </c>
      <c r="BQ932" s="33" t="s">
        <v>2981</v>
      </c>
      <c r="BR932" s="33" t="s">
        <v>2982</v>
      </c>
      <c r="BS932" s="33" t="s">
        <v>171</v>
      </c>
      <c r="BT932" s="33" t="s">
        <v>629</v>
      </c>
      <c r="BU932" s="33">
        <v>800</v>
      </c>
      <c r="BV932" s="35" t="s">
        <v>2983</v>
      </c>
      <c r="FL932" s="33" t="s">
        <v>2931</v>
      </c>
      <c r="FM932" s="33" t="s">
        <v>321</v>
      </c>
    </row>
    <row r="933" spans="1:169" ht="13" x14ac:dyDescent="0.15">
      <c r="A933" s="47">
        <v>44662.646836435189</v>
      </c>
      <c r="B933" s="33" t="s">
        <v>8</v>
      </c>
      <c r="C933" s="33" t="s">
        <v>11</v>
      </c>
      <c r="AX933" s="33" t="s">
        <v>2984</v>
      </c>
      <c r="AY933" s="33" t="s">
        <v>2964</v>
      </c>
      <c r="AZ933" s="33" t="s">
        <v>2985</v>
      </c>
      <c r="BA933" s="33" t="s">
        <v>2986</v>
      </c>
      <c r="BB933" s="33" t="s">
        <v>308</v>
      </c>
      <c r="BC933" s="34">
        <v>44494</v>
      </c>
      <c r="BD933" s="34">
        <v>44555</v>
      </c>
      <c r="BE933" s="34">
        <v>44555</v>
      </c>
      <c r="BF933" s="33" t="s">
        <v>2924</v>
      </c>
      <c r="BG933" s="33" t="s">
        <v>2987</v>
      </c>
      <c r="BH933" s="35" t="s">
        <v>2988</v>
      </c>
      <c r="FL933" s="33" t="s">
        <v>2967</v>
      </c>
      <c r="FM933" s="33" t="s">
        <v>552</v>
      </c>
    </row>
    <row r="934" spans="1:169" ht="13" x14ac:dyDescent="0.15">
      <c r="A934" s="47">
        <v>44662.648605601848</v>
      </c>
      <c r="B934" s="33" t="s">
        <v>8</v>
      </c>
      <c r="C934" s="33" t="s">
        <v>11</v>
      </c>
      <c r="AX934" s="33" t="s">
        <v>1291</v>
      </c>
      <c r="AY934" s="33" t="s">
        <v>1292</v>
      </c>
      <c r="AZ934" s="33" t="s">
        <v>2989</v>
      </c>
      <c r="BA934" s="33" t="s">
        <v>2990</v>
      </c>
      <c r="BB934" s="33" t="s">
        <v>308</v>
      </c>
      <c r="BC934" s="34">
        <v>44494</v>
      </c>
      <c r="BD934" s="34">
        <v>44555</v>
      </c>
      <c r="BE934" s="34">
        <v>44555</v>
      </c>
      <c r="BF934" s="33" t="s">
        <v>2991</v>
      </c>
      <c r="BG934" s="33" t="s">
        <v>2992</v>
      </c>
      <c r="BH934" s="35" t="s">
        <v>2993</v>
      </c>
      <c r="FL934" s="33" t="s">
        <v>1297</v>
      </c>
      <c r="FM934" s="33" t="s">
        <v>380</v>
      </c>
    </row>
    <row r="935" spans="1:169" ht="13" x14ac:dyDescent="0.15">
      <c r="A935" s="47">
        <v>44662.649499432868</v>
      </c>
      <c r="B935" s="33" t="s">
        <v>8</v>
      </c>
      <c r="C935" s="33" t="s">
        <v>11</v>
      </c>
      <c r="AX935" s="33" t="s">
        <v>2984</v>
      </c>
      <c r="AY935" s="33" t="s">
        <v>2964</v>
      </c>
      <c r="AZ935" s="33" t="s">
        <v>2994</v>
      </c>
      <c r="BA935" s="33" t="s">
        <v>2995</v>
      </c>
      <c r="BB935" s="33" t="s">
        <v>1852</v>
      </c>
      <c r="BC935" s="34">
        <v>44650</v>
      </c>
      <c r="BD935" s="34">
        <v>44651</v>
      </c>
      <c r="BE935" s="34">
        <v>44651</v>
      </c>
      <c r="BF935" s="33" t="s">
        <v>2924</v>
      </c>
      <c r="BG935" s="33" t="s">
        <v>2996</v>
      </c>
      <c r="BH935" s="35" t="s">
        <v>2997</v>
      </c>
      <c r="FL935" s="33" t="s">
        <v>2967</v>
      </c>
      <c r="FM935" s="33" t="s">
        <v>321</v>
      </c>
    </row>
    <row r="936" spans="1:169" ht="13" x14ac:dyDescent="0.15">
      <c r="A936" s="47">
        <v>44662.649781111111</v>
      </c>
      <c r="B936" s="33" t="s">
        <v>8</v>
      </c>
      <c r="C936" s="33" t="s">
        <v>11</v>
      </c>
      <c r="AX936" s="33" t="s">
        <v>2998</v>
      </c>
      <c r="AY936" s="33" t="s">
        <v>2999</v>
      </c>
      <c r="AZ936" s="33" t="s">
        <v>2328</v>
      </c>
      <c r="BA936" s="33" t="s">
        <v>335</v>
      </c>
      <c r="BB936" s="33" t="s">
        <v>308</v>
      </c>
      <c r="BC936" s="34">
        <v>44378</v>
      </c>
      <c r="BD936" s="34">
        <v>44440</v>
      </c>
      <c r="BE936" s="34">
        <v>44464</v>
      </c>
      <c r="BF936" s="33">
        <v>95</v>
      </c>
      <c r="BG936" s="33" t="s">
        <v>3000</v>
      </c>
      <c r="BH936" s="35" t="s">
        <v>3001</v>
      </c>
      <c r="FL936" s="33" t="s">
        <v>3002</v>
      </c>
      <c r="FM936" s="33" t="s">
        <v>321</v>
      </c>
    </row>
    <row r="937" spans="1:169" ht="13" x14ac:dyDescent="0.15">
      <c r="A937" s="47">
        <v>44662.650874155093</v>
      </c>
      <c r="B937" s="33" t="s">
        <v>8</v>
      </c>
      <c r="C937" s="33" t="s">
        <v>11</v>
      </c>
      <c r="AX937" s="33" t="s">
        <v>1291</v>
      </c>
      <c r="AY937" s="33" t="s">
        <v>1292</v>
      </c>
      <c r="AZ937" s="33" t="s">
        <v>3003</v>
      </c>
      <c r="BA937" s="33" t="s">
        <v>3004</v>
      </c>
      <c r="BB937" s="33" t="s">
        <v>308</v>
      </c>
      <c r="BC937" s="34">
        <v>44494</v>
      </c>
      <c r="BD937" s="34">
        <v>44555</v>
      </c>
      <c r="BE937" s="34">
        <v>44555</v>
      </c>
      <c r="BF937" s="33" t="s">
        <v>2991</v>
      </c>
      <c r="BG937" s="33" t="s">
        <v>2992</v>
      </c>
      <c r="BH937" s="35" t="s">
        <v>3005</v>
      </c>
      <c r="FL937" s="33" t="s">
        <v>1297</v>
      </c>
      <c r="FM937" s="33" t="s">
        <v>552</v>
      </c>
    </row>
    <row r="938" spans="1:169" ht="13" x14ac:dyDescent="0.15">
      <c r="A938" s="47">
        <v>44662.651353831017</v>
      </c>
      <c r="B938" s="33" t="s">
        <v>8</v>
      </c>
      <c r="C938" s="33" t="s">
        <v>11</v>
      </c>
      <c r="AX938" s="33" t="s">
        <v>1283</v>
      </c>
      <c r="AY938" s="33" t="s">
        <v>1284</v>
      </c>
      <c r="AZ938" s="33" t="s">
        <v>3006</v>
      </c>
      <c r="BA938" s="33" t="s">
        <v>3007</v>
      </c>
      <c r="BB938" s="33" t="s">
        <v>318</v>
      </c>
      <c r="BC938" s="34">
        <v>44478</v>
      </c>
      <c r="BD938" s="34">
        <v>44494</v>
      </c>
      <c r="BE938" s="34">
        <v>44555</v>
      </c>
      <c r="BF938" s="33" t="s">
        <v>2924</v>
      </c>
      <c r="BG938" s="33" t="s">
        <v>3008</v>
      </c>
      <c r="BH938" s="35" t="s">
        <v>3009</v>
      </c>
      <c r="FL938" s="33" t="s">
        <v>1290</v>
      </c>
      <c r="FM938" s="33" t="s">
        <v>552</v>
      </c>
    </row>
    <row r="939" spans="1:169" ht="13" x14ac:dyDescent="0.15">
      <c r="A939" s="47">
        <v>44662.65246582176</v>
      </c>
      <c r="B939" s="33" t="s">
        <v>8</v>
      </c>
      <c r="C939" s="33" t="s">
        <v>11</v>
      </c>
      <c r="AX939" s="33" t="s">
        <v>2906</v>
      </c>
      <c r="AY939" s="33" t="s">
        <v>2907</v>
      </c>
      <c r="AZ939" s="33" t="s">
        <v>3010</v>
      </c>
      <c r="BA939" s="33" t="s">
        <v>3011</v>
      </c>
      <c r="BB939" s="33" t="s">
        <v>308</v>
      </c>
      <c r="BC939" s="34">
        <v>44494</v>
      </c>
      <c r="BD939" s="34">
        <v>44555</v>
      </c>
      <c r="BE939" s="34">
        <v>44555</v>
      </c>
      <c r="BF939" s="33" t="s">
        <v>2924</v>
      </c>
      <c r="BG939" s="33" t="s">
        <v>2909</v>
      </c>
      <c r="BH939" s="35" t="s">
        <v>3012</v>
      </c>
      <c r="FL939" s="33" t="s">
        <v>2911</v>
      </c>
      <c r="FM939" s="33" t="s">
        <v>552</v>
      </c>
    </row>
    <row r="940" spans="1:169" ht="13" x14ac:dyDescent="0.15">
      <c r="A940" s="47">
        <v>44662.65468118056</v>
      </c>
      <c r="B940" s="33" t="s">
        <v>8</v>
      </c>
      <c r="C940" s="33" t="s">
        <v>11</v>
      </c>
      <c r="AX940" s="33" t="s">
        <v>2906</v>
      </c>
      <c r="AY940" s="33" t="s">
        <v>2907</v>
      </c>
      <c r="AZ940" s="33" t="s">
        <v>3013</v>
      </c>
      <c r="BA940" s="33" t="s">
        <v>2817</v>
      </c>
      <c r="BB940" s="33" t="s">
        <v>448</v>
      </c>
      <c r="BC940" s="34">
        <v>44562</v>
      </c>
      <c r="BD940" s="34">
        <v>44651</v>
      </c>
      <c r="BE940" s="34">
        <v>44651</v>
      </c>
      <c r="BF940" s="33" t="s">
        <v>2924</v>
      </c>
      <c r="BG940" s="33" t="s">
        <v>2909</v>
      </c>
      <c r="BH940" s="35" t="s">
        <v>3014</v>
      </c>
      <c r="FL940" s="33" t="s">
        <v>2911</v>
      </c>
      <c r="FM940" s="33" t="s">
        <v>552</v>
      </c>
    </row>
    <row r="941" spans="1:169" ht="13" x14ac:dyDescent="0.15">
      <c r="A941" s="47">
        <v>44662.654966111106</v>
      </c>
      <c r="B941" s="33" t="s">
        <v>8</v>
      </c>
      <c r="C941" s="33" t="s">
        <v>11</v>
      </c>
      <c r="AX941" s="33" t="s">
        <v>1291</v>
      </c>
      <c r="AY941" s="33" t="s">
        <v>1292</v>
      </c>
      <c r="AZ941" s="33" t="s">
        <v>3013</v>
      </c>
      <c r="BA941" s="33" t="s">
        <v>897</v>
      </c>
      <c r="BB941" s="33" t="s">
        <v>448</v>
      </c>
      <c r="BC941" s="34">
        <v>44562</v>
      </c>
      <c r="BD941" s="34">
        <v>44651</v>
      </c>
      <c r="BE941" s="34">
        <v>44651</v>
      </c>
      <c r="BF941" s="33" t="s">
        <v>2991</v>
      </c>
      <c r="BG941" s="33" t="s">
        <v>3015</v>
      </c>
      <c r="BH941" s="35" t="s">
        <v>3016</v>
      </c>
      <c r="FL941" s="33" t="s">
        <v>1297</v>
      </c>
      <c r="FM941" s="33" t="s">
        <v>552</v>
      </c>
    </row>
    <row r="942" spans="1:169" ht="13" x14ac:dyDescent="0.15">
      <c r="A942" s="47">
        <v>44662.655447314814</v>
      </c>
      <c r="B942" s="33" t="s">
        <v>8</v>
      </c>
      <c r="C942" s="33" t="s">
        <v>11</v>
      </c>
      <c r="AX942" s="33" t="s">
        <v>1283</v>
      </c>
      <c r="AY942" s="33" t="s">
        <v>1284</v>
      </c>
      <c r="AZ942" s="33" t="s">
        <v>3017</v>
      </c>
      <c r="BA942" s="33" t="s">
        <v>2847</v>
      </c>
      <c r="BB942" s="33" t="s">
        <v>1065</v>
      </c>
      <c r="BC942" s="34">
        <v>44562</v>
      </c>
      <c r="BD942" s="34">
        <v>44651</v>
      </c>
      <c r="BE942" s="34">
        <v>44651</v>
      </c>
      <c r="BF942" s="33" t="s">
        <v>2924</v>
      </c>
      <c r="BG942" s="33" t="s">
        <v>3008</v>
      </c>
      <c r="BH942" s="35" t="s">
        <v>3018</v>
      </c>
      <c r="FL942" s="33" t="s">
        <v>1290</v>
      </c>
      <c r="FM942" s="33" t="s">
        <v>552</v>
      </c>
    </row>
    <row r="943" spans="1:169" ht="13" x14ac:dyDescent="0.15">
      <c r="A943" s="47">
        <v>44662.656513854163</v>
      </c>
      <c r="B943" s="33" t="s">
        <v>8</v>
      </c>
      <c r="C943" s="33" t="s">
        <v>11</v>
      </c>
      <c r="AX943" s="33" t="s">
        <v>3019</v>
      </c>
      <c r="AY943" s="33" t="s">
        <v>3020</v>
      </c>
      <c r="AZ943" s="33" t="s">
        <v>2328</v>
      </c>
      <c r="BA943" s="33" t="s">
        <v>3021</v>
      </c>
      <c r="BB943" s="33" t="s">
        <v>507</v>
      </c>
      <c r="BC943" s="34">
        <v>44333</v>
      </c>
      <c r="BD943" s="34">
        <v>44394</v>
      </c>
      <c r="BE943" s="34">
        <v>44394</v>
      </c>
      <c r="BF943" s="33">
        <v>94</v>
      </c>
      <c r="BG943" s="33" t="s">
        <v>3022</v>
      </c>
      <c r="BH943" s="35" t="s">
        <v>3023</v>
      </c>
      <c r="FL943" s="33" t="s">
        <v>3024</v>
      </c>
      <c r="FM943" s="33" t="s">
        <v>380</v>
      </c>
    </row>
    <row r="944" spans="1:169" ht="13" x14ac:dyDescent="0.15">
      <c r="A944" s="47">
        <v>44662.656830972221</v>
      </c>
      <c r="B944" s="33" t="s">
        <v>8</v>
      </c>
      <c r="C944" s="33" t="s">
        <v>11</v>
      </c>
      <c r="AX944" s="33" t="s">
        <v>3025</v>
      </c>
      <c r="AY944" s="33" t="s">
        <v>3026</v>
      </c>
      <c r="AZ944" s="33" t="s">
        <v>2365</v>
      </c>
      <c r="BA944" s="33" t="s">
        <v>3027</v>
      </c>
      <c r="BB944" s="33" t="s">
        <v>308</v>
      </c>
      <c r="BC944" s="34">
        <v>44524</v>
      </c>
      <c r="BD944" s="34">
        <v>44585</v>
      </c>
      <c r="BE944" s="34">
        <v>44585</v>
      </c>
      <c r="BF944" s="48">
        <v>0.95</v>
      </c>
      <c r="BG944" s="33" t="s">
        <v>3028</v>
      </c>
      <c r="BH944" s="35" t="s">
        <v>3029</v>
      </c>
      <c r="FL944" s="33" t="s">
        <v>3030</v>
      </c>
      <c r="FM944" s="33" t="s">
        <v>552</v>
      </c>
    </row>
    <row r="945" spans="1:194" ht="13" x14ac:dyDescent="0.15">
      <c r="A945" s="47">
        <v>44662.658254120368</v>
      </c>
      <c r="B945" s="33" t="s">
        <v>8</v>
      </c>
      <c r="C945" s="33" t="s">
        <v>11</v>
      </c>
      <c r="AX945" s="33" t="s">
        <v>3031</v>
      </c>
      <c r="AY945" s="33" t="s">
        <v>3032</v>
      </c>
      <c r="AZ945" s="33" t="s">
        <v>2332</v>
      </c>
      <c r="BA945" s="33" t="s">
        <v>3021</v>
      </c>
      <c r="BB945" s="33" t="s">
        <v>346</v>
      </c>
      <c r="BC945" s="34">
        <v>44524</v>
      </c>
      <c r="BD945" s="34">
        <v>44585</v>
      </c>
      <c r="BE945" s="34">
        <v>44585</v>
      </c>
      <c r="BF945" s="48">
        <v>0.92</v>
      </c>
      <c r="BG945" s="33" t="s">
        <v>3033</v>
      </c>
      <c r="BH945" s="35" t="s">
        <v>3034</v>
      </c>
      <c r="FL945" s="33" t="s">
        <v>3035</v>
      </c>
      <c r="FM945" s="33" t="s">
        <v>552</v>
      </c>
    </row>
    <row r="946" spans="1:194" ht="13" x14ac:dyDescent="0.15">
      <c r="A946" s="47">
        <v>44662.658902048614</v>
      </c>
      <c r="B946" s="33" t="s">
        <v>8</v>
      </c>
      <c r="C946" s="33" t="s">
        <v>11</v>
      </c>
      <c r="AX946" s="33" t="s">
        <v>2902</v>
      </c>
      <c r="AY946" s="33" t="s">
        <v>1292</v>
      </c>
      <c r="AZ946" s="33" t="s">
        <v>3036</v>
      </c>
      <c r="BA946" s="33" t="s">
        <v>3007</v>
      </c>
      <c r="BB946" s="33" t="s">
        <v>1332</v>
      </c>
      <c r="BC946" s="34">
        <v>44494</v>
      </c>
      <c r="BD946" s="34">
        <v>44555</v>
      </c>
      <c r="BE946" s="34">
        <v>44555</v>
      </c>
      <c r="BF946" s="33" t="s">
        <v>2924</v>
      </c>
      <c r="BG946" s="33" t="s">
        <v>3015</v>
      </c>
      <c r="BH946" s="35" t="s">
        <v>3037</v>
      </c>
      <c r="FL946" s="33" t="s">
        <v>1297</v>
      </c>
      <c r="FM946" s="33" t="s">
        <v>552</v>
      </c>
    </row>
    <row r="947" spans="1:194" ht="13" x14ac:dyDescent="0.15">
      <c r="A947" s="47">
        <v>44662.659419733798</v>
      </c>
      <c r="B947" s="33" t="s">
        <v>8</v>
      </c>
      <c r="C947" s="33" t="s">
        <v>11</v>
      </c>
      <c r="AX947" s="33" t="s">
        <v>2275</v>
      </c>
      <c r="AY947" s="33" t="s">
        <v>2276</v>
      </c>
      <c r="AZ947" s="33" t="s">
        <v>2713</v>
      </c>
      <c r="BA947" s="33" t="s">
        <v>375</v>
      </c>
      <c r="BB947" s="33" t="s">
        <v>300</v>
      </c>
      <c r="BC947" s="34">
        <v>44298</v>
      </c>
      <c r="BD947" s="34">
        <v>44387</v>
      </c>
      <c r="BE947" s="34">
        <v>44387</v>
      </c>
      <c r="BF947" s="48">
        <v>0.9</v>
      </c>
      <c r="BG947" s="33" t="s">
        <v>3038</v>
      </c>
      <c r="BH947" s="35" t="s">
        <v>3039</v>
      </c>
      <c r="FL947" s="33" t="s">
        <v>2278</v>
      </c>
      <c r="FM947" s="33" t="s">
        <v>321</v>
      </c>
    </row>
    <row r="948" spans="1:194" ht="13" x14ac:dyDescent="0.15">
      <c r="A948" s="47">
        <v>44662.659902951389</v>
      </c>
      <c r="B948" s="33" t="s">
        <v>8</v>
      </c>
      <c r="C948" s="33" t="s">
        <v>11</v>
      </c>
      <c r="AX948" s="33" t="s">
        <v>2936</v>
      </c>
      <c r="AY948" s="33" t="s">
        <v>2929</v>
      </c>
      <c r="AZ948" s="33" t="s">
        <v>3040</v>
      </c>
      <c r="BA948" s="33" t="s">
        <v>3041</v>
      </c>
      <c r="BB948" s="33" t="s">
        <v>308</v>
      </c>
      <c r="BC948" s="34">
        <v>44494</v>
      </c>
      <c r="BD948" s="34">
        <v>44555</v>
      </c>
      <c r="BE948" s="34">
        <v>44555</v>
      </c>
      <c r="BF948" s="33" t="s">
        <v>2924</v>
      </c>
      <c r="BG948" s="33" t="s">
        <v>2939</v>
      </c>
      <c r="BH948" s="35" t="s">
        <v>3042</v>
      </c>
      <c r="FL948" s="33" t="s">
        <v>2931</v>
      </c>
      <c r="FM948" s="33" t="s">
        <v>552</v>
      </c>
    </row>
    <row r="949" spans="1:194" ht="13" x14ac:dyDescent="0.15">
      <c r="A949" s="47">
        <v>44662.660242453705</v>
      </c>
      <c r="B949" s="33" t="s">
        <v>8</v>
      </c>
      <c r="C949" s="33" t="s">
        <v>10</v>
      </c>
      <c r="AN949" s="33" t="s">
        <v>3025</v>
      </c>
      <c r="AO949" s="33" t="s">
        <v>3026</v>
      </c>
      <c r="AP949" s="33" t="s">
        <v>441</v>
      </c>
      <c r="AQ949" s="33" t="s">
        <v>448</v>
      </c>
      <c r="AR949" s="34">
        <v>44481</v>
      </c>
      <c r="AS949" s="34">
        <v>44542</v>
      </c>
      <c r="AT949" s="33" t="s">
        <v>252</v>
      </c>
      <c r="AU949" s="33" t="s">
        <v>252</v>
      </c>
      <c r="AV949" s="33">
        <v>0</v>
      </c>
      <c r="AW949" s="35" t="s">
        <v>3043</v>
      </c>
      <c r="FL949" s="33" t="s">
        <v>3030</v>
      </c>
      <c r="FM949" s="33" t="s">
        <v>552</v>
      </c>
    </row>
    <row r="950" spans="1:194" ht="13" x14ac:dyDescent="0.15">
      <c r="A950" s="47">
        <v>44662.660906493053</v>
      </c>
      <c r="B950" s="33" t="s">
        <v>8</v>
      </c>
      <c r="C950" s="33" t="s">
        <v>11</v>
      </c>
      <c r="AX950" s="33" t="s">
        <v>3044</v>
      </c>
      <c r="AY950" s="33" t="s">
        <v>3045</v>
      </c>
      <c r="AZ950" s="33" t="s">
        <v>853</v>
      </c>
      <c r="BA950" s="33" t="s">
        <v>3021</v>
      </c>
      <c r="BB950" s="33" t="s">
        <v>308</v>
      </c>
      <c r="BC950" s="34">
        <v>44333</v>
      </c>
      <c r="BD950" s="34">
        <v>44394</v>
      </c>
      <c r="BE950" s="34">
        <v>44394</v>
      </c>
      <c r="BF950" s="48">
        <v>0.92</v>
      </c>
      <c r="BG950" s="33" t="s">
        <v>3046</v>
      </c>
      <c r="BH950" s="35" t="s">
        <v>3047</v>
      </c>
      <c r="FL950" s="33" t="s">
        <v>3035</v>
      </c>
      <c r="FM950" s="33" t="s">
        <v>380</v>
      </c>
    </row>
    <row r="951" spans="1:194" ht="13" x14ac:dyDescent="0.15">
      <c r="A951" s="47">
        <v>44662.661193159722</v>
      </c>
      <c r="B951" s="33" t="s">
        <v>8</v>
      </c>
      <c r="C951" s="33" t="s">
        <v>11</v>
      </c>
      <c r="AX951" s="33" t="s">
        <v>3019</v>
      </c>
      <c r="AY951" s="33" t="s">
        <v>3020</v>
      </c>
      <c r="AZ951" s="33" t="s">
        <v>2332</v>
      </c>
      <c r="BA951" s="33" t="s">
        <v>3021</v>
      </c>
      <c r="BB951" s="33" t="s">
        <v>308</v>
      </c>
      <c r="BC951" s="34">
        <v>44514</v>
      </c>
      <c r="BD951" s="34">
        <v>44575</v>
      </c>
      <c r="BE951" s="34">
        <v>44575</v>
      </c>
      <c r="BF951" s="33">
        <v>94</v>
      </c>
      <c r="BG951" s="33" t="s">
        <v>3022</v>
      </c>
      <c r="BH951" s="35" t="s">
        <v>3048</v>
      </c>
      <c r="FL951" s="33" t="s">
        <v>3024</v>
      </c>
      <c r="FM951" s="33" t="s">
        <v>552</v>
      </c>
    </row>
    <row r="952" spans="1:194" ht="13" x14ac:dyDescent="0.15">
      <c r="A952" s="47">
        <v>44662.661556284722</v>
      </c>
      <c r="B952" s="33" t="s">
        <v>8</v>
      </c>
      <c r="C952" s="33" t="s">
        <v>10</v>
      </c>
      <c r="AN952" s="33" t="s">
        <v>3049</v>
      </c>
      <c r="AO952" s="33" t="s">
        <v>3050</v>
      </c>
      <c r="AP952" s="33" t="s">
        <v>307</v>
      </c>
      <c r="AQ952" s="33" t="s">
        <v>389</v>
      </c>
      <c r="AR952" s="34">
        <v>44481</v>
      </c>
      <c r="AS952" s="34">
        <v>44542</v>
      </c>
      <c r="AT952" s="33" t="s">
        <v>252</v>
      </c>
      <c r="AU952" s="33" t="s">
        <v>252</v>
      </c>
      <c r="AV952" s="33">
        <v>0</v>
      </c>
      <c r="AW952" s="35" t="s">
        <v>3051</v>
      </c>
      <c r="FL952" s="33" t="s">
        <v>3052</v>
      </c>
      <c r="FM952" s="33" t="s">
        <v>321</v>
      </c>
    </row>
    <row r="953" spans="1:194" ht="13" x14ac:dyDescent="0.15">
      <c r="A953" s="47">
        <v>44662.664190439813</v>
      </c>
      <c r="B953" s="33" t="s">
        <v>8</v>
      </c>
      <c r="C953" s="33" t="s">
        <v>10</v>
      </c>
      <c r="AN953" s="33" t="s">
        <v>3049</v>
      </c>
      <c r="AO953" s="33" t="s">
        <v>3050</v>
      </c>
      <c r="AP953" s="33" t="s">
        <v>897</v>
      </c>
      <c r="AQ953" s="33" t="s">
        <v>308</v>
      </c>
      <c r="AR953" s="34">
        <v>44326</v>
      </c>
      <c r="AS953" s="34">
        <v>44752</v>
      </c>
      <c r="AT953" s="33" t="s">
        <v>252</v>
      </c>
      <c r="AU953" s="33" t="s">
        <v>252</v>
      </c>
      <c r="AV953" s="33">
        <v>0</v>
      </c>
      <c r="AW953" s="35" t="s">
        <v>3053</v>
      </c>
      <c r="FL953" s="33" t="s">
        <v>3052</v>
      </c>
      <c r="FM953" s="33" t="s">
        <v>321</v>
      </c>
    </row>
    <row r="954" spans="1:194" ht="13" x14ac:dyDescent="0.15">
      <c r="A954" s="47">
        <v>44662.664256516204</v>
      </c>
      <c r="B954" s="33" t="s">
        <v>6</v>
      </c>
      <c r="C954" s="33" t="s">
        <v>22</v>
      </c>
      <c r="FL954" s="33" t="s">
        <v>3054</v>
      </c>
      <c r="FM954" s="33" t="s">
        <v>255</v>
      </c>
      <c r="GF954" s="33" t="s">
        <v>3055</v>
      </c>
      <c r="GG954" s="33" t="s">
        <v>3056</v>
      </c>
      <c r="GH954" s="33" t="s">
        <v>1245</v>
      </c>
      <c r="GI954" s="34">
        <v>44662</v>
      </c>
      <c r="GJ954" s="35" t="s">
        <v>3057</v>
      </c>
      <c r="GK954" s="33" t="s">
        <v>3058</v>
      </c>
      <c r="GL954" s="33" t="s">
        <v>3059</v>
      </c>
    </row>
    <row r="955" spans="1:194" ht="13" x14ac:dyDescent="0.15">
      <c r="A955" s="47">
        <v>44662.664494027777</v>
      </c>
      <c r="B955" s="33" t="s">
        <v>6</v>
      </c>
      <c r="C955" s="33" t="s">
        <v>11</v>
      </c>
      <c r="AX955" s="33" t="s">
        <v>3060</v>
      </c>
      <c r="AY955" s="33" t="s">
        <v>3061</v>
      </c>
      <c r="AZ955" s="33" t="s">
        <v>787</v>
      </c>
      <c r="BA955" s="33" t="s">
        <v>3062</v>
      </c>
      <c r="BB955" s="33" t="s">
        <v>493</v>
      </c>
      <c r="BC955" s="34">
        <v>43586</v>
      </c>
      <c r="BD955" s="34">
        <v>43617</v>
      </c>
      <c r="BE955" s="34">
        <v>43617</v>
      </c>
      <c r="BF955" s="33">
        <v>79</v>
      </c>
      <c r="BG955" s="33" t="s">
        <v>3063</v>
      </c>
      <c r="BH955" s="35" t="s">
        <v>3064</v>
      </c>
      <c r="FL955" s="33" t="s">
        <v>3065</v>
      </c>
      <c r="FM955" s="33" t="s">
        <v>255</v>
      </c>
    </row>
    <row r="956" spans="1:194" ht="13" x14ac:dyDescent="0.15">
      <c r="A956" s="47">
        <v>44662.665145497682</v>
      </c>
      <c r="B956" s="33" t="s">
        <v>6</v>
      </c>
      <c r="C956" s="33" t="s">
        <v>22</v>
      </c>
      <c r="FL956" s="33" t="s">
        <v>3054</v>
      </c>
      <c r="FM956" s="33" t="s">
        <v>255</v>
      </c>
      <c r="GF956" s="33" t="s">
        <v>3055</v>
      </c>
      <c r="GG956" s="33" t="s">
        <v>3056</v>
      </c>
      <c r="GH956" s="33" t="s">
        <v>515</v>
      </c>
      <c r="GI956" s="34">
        <v>44662</v>
      </c>
      <c r="GJ956" s="35" t="s">
        <v>3066</v>
      </c>
      <c r="GK956" s="33" t="s">
        <v>3058</v>
      </c>
      <c r="GL956" s="33" t="s">
        <v>3059</v>
      </c>
    </row>
    <row r="957" spans="1:194" ht="13" x14ac:dyDescent="0.15">
      <c r="A957" s="47">
        <v>44662.665362858796</v>
      </c>
      <c r="B957" s="33" t="s">
        <v>6</v>
      </c>
      <c r="C957" s="33" t="s">
        <v>22</v>
      </c>
      <c r="FL957" s="33" t="s">
        <v>3067</v>
      </c>
      <c r="FM957" s="33" t="s">
        <v>255</v>
      </c>
      <c r="GF957" s="33" t="s">
        <v>3068</v>
      </c>
      <c r="GG957" s="33" t="s">
        <v>3069</v>
      </c>
      <c r="GH957" s="33" t="s">
        <v>264</v>
      </c>
      <c r="GI957" s="34">
        <v>44774</v>
      </c>
      <c r="GJ957" s="35" t="s">
        <v>3070</v>
      </c>
      <c r="GK957" s="33" t="s">
        <v>3071</v>
      </c>
      <c r="GL957" s="33">
        <v>3.36</v>
      </c>
    </row>
    <row r="958" spans="1:194" ht="13" x14ac:dyDescent="0.15">
      <c r="A958" s="47">
        <v>44662.666117511573</v>
      </c>
      <c r="B958" s="33" t="s">
        <v>6</v>
      </c>
      <c r="C958" s="33" t="s">
        <v>10</v>
      </c>
      <c r="AN958" s="33" t="s">
        <v>3055</v>
      </c>
      <c r="AO958" s="33" t="s">
        <v>3056</v>
      </c>
      <c r="AP958" s="33" t="s">
        <v>1245</v>
      </c>
      <c r="AQ958" s="33" t="s">
        <v>415</v>
      </c>
      <c r="AR958" s="34">
        <v>44642</v>
      </c>
      <c r="AS958" s="34">
        <v>44713</v>
      </c>
      <c r="AT958" s="33" t="s">
        <v>251</v>
      </c>
      <c r="AU958" s="33" t="s">
        <v>252</v>
      </c>
      <c r="AV958" s="33">
        <v>10000</v>
      </c>
      <c r="AW958" s="35" t="s">
        <v>3072</v>
      </c>
      <c r="FL958" s="33" t="s">
        <v>3054</v>
      </c>
      <c r="FM958" s="33" t="s">
        <v>255</v>
      </c>
    </row>
    <row r="959" spans="1:194" ht="13" x14ac:dyDescent="0.15">
      <c r="A959" s="47">
        <v>44662.666417106477</v>
      </c>
      <c r="B959" s="33" t="s">
        <v>6</v>
      </c>
      <c r="C959" s="33" t="s">
        <v>10</v>
      </c>
      <c r="AN959" s="33" t="s">
        <v>3073</v>
      </c>
      <c r="AO959" s="33" t="s">
        <v>3074</v>
      </c>
      <c r="AP959" s="33" t="s">
        <v>3075</v>
      </c>
      <c r="AQ959" s="33" t="s">
        <v>448</v>
      </c>
      <c r="AR959" s="34">
        <v>44650</v>
      </c>
      <c r="AS959" s="34">
        <v>44742</v>
      </c>
      <c r="AT959" s="33" t="s">
        <v>251</v>
      </c>
      <c r="AU959" s="33" t="s">
        <v>252</v>
      </c>
      <c r="AV959" s="33">
        <v>20000</v>
      </c>
      <c r="AW959" s="35" t="s">
        <v>3076</v>
      </c>
      <c r="FL959" s="33" t="s">
        <v>3077</v>
      </c>
      <c r="FM959" s="33" t="s">
        <v>255</v>
      </c>
    </row>
    <row r="960" spans="1:194" ht="13" x14ac:dyDescent="0.15">
      <c r="A960" s="47">
        <v>44662.666490324074</v>
      </c>
      <c r="B960" s="33" t="s">
        <v>8</v>
      </c>
      <c r="C960" s="33" t="s">
        <v>11</v>
      </c>
      <c r="AX960" s="33" t="s">
        <v>3078</v>
      </c>
      <c r="AY960" s="33" t="s">
        <v>3079</v>
      </c>
      <c r="AZ960" s="33" t="s">
        <v>2713</v>
      </c>
      <c r="BA960" s="33" t="s">
        <v>2817</v>
      </c>
      <c r="BB960" s="33" t="s">
        <v>346</v>
      </c>
      <c r="BC960" s="34">
        <v>44378</v>
      </c>
      <c r="BD960" s="34">
        <v>44440</v>
      </c>
      <c r="BE960" s="34">
        <v>44440</v>
      </c>
      <c r="BF960" s="33">
        <v>95</v>
      </c>
      <c r="BG960" s="33" t="s">
        <v>3080</v>
      </c>
      <c r="BH960" s="35" t="s">
        <v>3081</v>
      </c>
      <c r="FL960" s="33" t="s">
        <v>3082</v>
      </c>
      <c r="FM960" s="33" t="s">
        <v>321</v>
      </c>
    </row>
    <row r="961" spans="1:194" ht="13" x14ac:dyDescent="0.15">
      <c r="A961" s="47">
        <v>44662.666954733795</v>
      </c>
      <c r="B961" s="33" t="s">
        <v>6</v>
      </c>
      <c r="C961" s="33" t="s">
        <v>12</v>
      </c>
      <c r="BI961" s="33" t="s">
        <v>3060</v>
      </c>
      <c r="BJ961" s="33" t="s">
        <v>3061</v>
      </c>
      <c r="BK961" s="33" t="s">
        <v>145</v>
      </c>
      <c r="BL961" s="33" t="s">
        <v>1285</v>
      </c>
      <c r="BM961" s="33" t="s">
        <v>2768</v>
      </c>
      <c r="BN961" s="33">
        <v>2</v>
      </c>
      <c r="BO961" s="34">
        <v>43715</v>
      </c>
      <c r="BP961" s="34">
        <v>43717</v>
      </c>
      <c r="BQ961" s="33" t="s">
        <v>1764</v>
      </c>
      <c r="BR961" s="33" t="s">
        <v>3083</v>
      </c>
      <c r="BS961" s="33" t="s">
        <v>271</v>
      </c>
      <c r="BT961" s="33" t="s">
        <v>629</v>
      </c>
      <c r="BU961" s="33">
        <v>500</v>
      </c>
      <c r="BV961" s="35" t="s">
        <v>3084</v>
      </c>
      <c r="FL961" s="33" t="s">
        <v>3065</v>
      </c>
      <c r="FM961" s="33" t="s">
        <v>255</v>
      </c>
    </row>
    <row r="962" spans="1:194" ht="13" x14ac:dyDescent="0.15">
      <c r="A962" s="47">
        <v>44662.667805138888</v>
      </c>
      <c r="B962" s="33" t="s">
        <v>8</v>
      </c>
      <c r="C962" s="33" t="s">
        <v>10</v>
      </c>
      <c r="AN962" s="33" t="s">
        <v>3049</v>
      </c>
      <c r="AO962" s="33" t="s">
        <v>3050</v>
      </c>
      <c r="AP962" s="33" t="s">
        <v>3085</v>
      </c>
      <c r="AQ962" s="33" t="s">
        <v>191</v>
      </c>
      <c r="AR962" s="34">
        <v>44626</v>
      </c>
      <c r="AS962" s="34">
        <v>44626</v>
      </c>
      <c r="AT962" s="33" t="s">
        <v>252</v>
      </c>
      <c r="AU962" s="33" t="s">
        <v>251</v>
      </c>
      <c r="AV962" s="33">
        <v>100</v>
      </c>
      <c r="AW962" s="35" t="s">
        <v>3086</v>
      </c>
      <c r="FL962" s="33" t="s">
        <v>3052</v>
      </c>
      <c r="FM962" s="33" t="s">
        <v>321</v>
      </c>
    </row>
    <row r="963" spans="1:194" ht="13" x14ac:dyDescent="0.15">
      <c r="A963" s="47">
        <v>44662.667899479165</v>
      </c>
      <c r="B963" s="33" t="s">
        <v>6</v>
      </c>
      <c r="C963" s="33" t="s">
        <v>10</v>
      </c>
      <c r="AN963" s="33" t="s">
        <v>3087</v>
      </c>
      <c r="AO963" s="33" t="s">
        <v>3088</v>
      </c>
      <c r="AP963" s="33" t="s">
        <v>982</v>
      </c>
      <c r="AQ963" s="33" t="s">
        <v>448</v>
      </c>
      <c r="AR963" s="34">
        <v>44547</v>
      </c>
      <c r="AS963" s="34">
        <v>44286</v>
      </c>
      <c r="AT963" s="33" t="s">
        <v>251</v>
      </c>
      <c r="AU963" s="33" t="s">
        <v>252</v>
      </c>
      <c r="AV963" s="33">
        <v>6500</v>
      </c>
      <c r="AW963" s="35" t="s">
        <v>3089</v>
      </c>
      <c r="FL963" s="33" t="s">
        <v>3090</v>
      </c>
      <c r="FM963" s="33" t="s">
        <v>255</v>
      </c>
    </row>
    <row r="964" spans="1:194" ht="13" x14ac:dyDescent="0.15">
      <c r="A964" s="47">
        <v>44662.668225752313</v>
      </c>
      <c r="B964" s="33" t="s">
        <v>8</v>
      </c>
      <c r="C964" s="33" t="s">
        <v>10</v>
      </c>
      <c r="AN964" s="33" t="s">
        <v>3078</v>
      </c>
      <c r="AO964" s="33" t="s">
        <v>3079</v>
      </c>
      <c r="AP964" s="33" t="s">
        <v>3091</v>
      </c>
      <c r="AQ964" s="33" t="s">
        <v>308</v>
      </c>
      <c r="AR964" s="34">
        <v>44470</v>
      </c>
      <c r="AS964" s="34">
        <v>44531</v>
      </c>
      <c r="AT964" s="33" t="s">
        <v>252</v>
      </c>
      <c r="AU964" s="33" t="s">
        <v>252</v>
      </c>
      <c r="AV964" s="33">
        <v>0</v>
      </c>
      <c r="AW964" s="35" t="s">
        <v>3092</v>
      </c>
      <c r="FL964" s="33" t="s">
        <v>3082</v>
      </c>
      <c r="FM964" s="33" t="s">
        <v>321</v>
      </c>
    </row>
    <row r="965" spans="1:194" ht="13" x14ac:dyDescent="0.15">
      <c r="A965" s="47">
        <v>44662.66838988426</v>
      </c>
      <c r="B965" s="33" t="s">
        <v>6</v>
      </c>
      <c r="C965" s="33" t="s">
        <v>12</v>
      </c>
      <c r="BI965" s="33" t="s">
        <v>3093</v>
      </c>
      <c r="BJ965" s="33" t="s">
        <v>3094</v>
      </c>
      <c r="BK965" s="33" t="s">
        <v>145</v>
      </c>
      <c r="BL965" s="33" t="s">
        <v>1285</v>
      </c>
      <c r="BM965" s="33" t="s">
        <v>820</v>
      </c>
      <c r="BN965" s="33">
        <v>1</v>
      </c>
      <c r="BO965" s="34">
        <v>43566</v>
      </c>
      <c r="BP965" s="34">
        <v>43567</v>
      </c>
      <c r="BQ965" s="33" t="s">
        <v>3095</v>
      </c>
      <c r="BR965" s="33" t="s">
        <v>3096</v>
      </c>
      <c r="BS965" s="33" t="s">
        <v>271</v>
      </c>
      <c r="BT965" s="33" t="s">
        <v>629</v>
      </c>
      <c r="BU965" s="33">
        <v>300</v>
      </c>
      <c r="BV965" s="35" t="s">
        <v>3097</v>
      </c>
      <c r="FL965" s="33" t="s">
        <v>3098</v>
      </c>
      <c r="FM965" s="33" t="s">
        <v>255</v>
      </c>
    </row>
    <row r="966" spans="1:194" ht="13" x14ac:dyDescent="0.15">
      <c r="A966" s="47">
        <v>44662.66863482639</v>
      </c>
      <c r="B966" s="33" t="s">
        <v>6</v>
      </c>
      <c r="C966" s="33" t="s">
        <v>10</v>
      </c>
      <c r="AN966" s="33" t="s">
        <v>3060</v>
      </c>
      <c r="AO966" s="33" t="s">
        <v>3061</v>
      </c>
      <c r="AP966" s="33" t="s">
        <v>3099</v>
      </c>
      <c r="AQ966" s="33" t="s">
        <v>448</v>
      </c>
      <c r="AR966" s="34">
        <v>44271</v>
      </c>
      <c r="AS966" s="34">
        <v>44370</v>
      </c>
      <c r="AT966" s="33" t="s">
        <v>252</v>
      </c>
      <c r="AU966" s="33" t="s">
        <v>252</v>
      </c>
      <c r="AV966" s="33">
        <v>0</v>
      </c>
      <c r="AW966" s="35" t="s">
        <v>3100</v>
      </c>
      <c r="FL966" s="33" t="s">
        <v>3065</v>
      </c>
      <c r="FM966" s="33" t="s">
        <v>255</v>
      </c>
    </row>
    <row r="967" spans="1:194" ht="13" x14ac:dyDescent="0.15">
      <c r="A967" s="47">
        <v>44662.668825486107</v>
      </c>
      <c r="B967" s="33" t="s">
        <v>6</v>
      </c>
      <c r="C967" s="33" t="s">
        <v>22</v>
      </c>
      <c r="FL967" s="33" t="s">
        <v>3054</v>
      </c>
      <c r="FM967" s="33" t="s">
        <v>255</v>
      </c>
      <c r="GF967" s="33" t="s">
        <v>3055</v>
      </c>
      <c r="GG967" s="33" t="s">
        <v>3056</v>
      </c>
      <c r="GH967" s="33" t="s">
        <v>3101</v>
      </c>
      <c r="GI967" s="34">
        <v>44662</v>
      </c>
      <c r="GJ967" s="35" t="s">
        <v>3102</v>
      </c>
      <c r="GK967" s="33" t="s">
        <v>3103</v>
      </c>
      <c r="GL967" s="33" t="s">
        <v>3059</v>
      </c>
    </row>
    <row r="968" spans="1:194" ht="13" x14ac:dyDescent="0.15">
      <c r="A968" s="47">
        <v>44662.668942673612</v>
      </c>
      <c r="B968" s="33" t="s">
        <v>6</v>
      </c>
      <c r="C968" s="33" t="s">
        <v>10</v>
      </c>
      <c r="AN968" s="33" t="s">
        <v>3073</v>
      </c>
      <c r="AO968" s="33" t="s">
        <v>3074</v>
      </c>
      <c r="AP968" s="33" t="s">
        <v>264</v>
      </c>
      <c r="AQ968" s="33" t="s">
        <v>448</v>
      </c>
      <c r="AR968" s="34">
        <v>44593</v>
      </c>
      <c r="AS968" s="34">
        <v>44673</v>
      </c>
      <c r="AT968" s="33" t="s">
        <v>252</v>
      </c>
      <c r="AU968" s="33" t="s">
        <v>252</v>
      </c>
      <c r="AV968" s="33">
        <v>0</v>
      </c>
      <c r="AW968" s="35" t="s">
        <v>3104</v>
      </c>
      <c r="FL968" s="33" t="s">
        <v>3077</v>
      </c>
      <c r="FM968" s="33" t="s">
        <v>255</v>
      </c>
    </row>
    <row r="969" spans="1:194" ht="13" x14ac:dyDescent="0.15">
      <c r="A969" s="47">
        <v>44662.669549363425</v>
      </c>
      <c r="B969" s="33" t="s">
        <v>6</v>
      </c>
      <c r="C969" s="33" t="s">
        <v>22</v>
      </c>
      <c r="FL969" s="33" t="s">
        <v>3054</v>
      </c>
      <c r="FM969" s="33" t="s">
        <v>255</v>
      </c>
      <c r="GF969" s="33" t="s">
        <v>3055</v>
      </c>
      <c r="GG969" s="33" t="s">
        <v>3056</v>
      </c>
      <c r="GH969" s="33" t="s">
        <v>634</v>
      </c>
      <c r="GI969" s="34">
        <v>44662</v>
      </c>
      <c r="GJ969" s="35" t="s">
        <v>3105</v>
      </c>
      <c r="GK969" s="33" t="s">
        <v>3058</v>
      </c>
      <c r="GL969" s="33">
        <v>5.5</v>
      </c>
    </row>
    <row r="970" spans="1:194" ht="13" x14ac:dyDescent="0.15">
      <c r="A970" s="47">
        <v>44662.669929189811</v>
      </c>
      <c r="B970" s="33" t="s">
        <v>8</v>
      </c>
      <c r="C970" s="33" t="s">
        <v>10</v>
      </c>
      <c r="AN970" s="33" t="s">
        <v>3106</v>
      </c>
      <c r="AO970" s="33" t="s">
        <v>3107</v>
      </c>
      <c r="AP970" s="33" t="s">
        <v>2742</v>
      </c>
      <c r="AQ970" s="33" t="s">
        <v>308</v>
      </c>
      <c r="AR970" s="34">
        <v>44470</v>
      </c>
      <c r="AS970" s="34">
        <v>44531</v>
      </c>
      <c r="AT970" s="33" t="s">
        <v>252</v>
      </c>
      <c r="AU970" s="33" t="s">
        <v>252</v>
      </c>
      <c r="AV970" s="33">
        <v>0</v>
      </c>
      <c r="AW970" s="35" t="s">
        <v>3108</v>
      </c>
      <c r="FL970" s="33" t="s">
        <v>3109</v>
      </c>
      <c r="FM970" s="33" t="s">
        <v>321</v>
      </c>
    </row>
    <row r="971" spans="1:194" ht="13" x14ac:dyDescent="0.15">
      <c r="A971" s="47">
        <v>44662.670530428237</v>
      </c>
      <c r="B971" s="33" t="s">
        <v>6</v>
      </c>
      <c r="C971" s="33" t="s">
        <v>10</v>
      </c>
      <c r="AN971" s="33" t="s">
        <v>3073</v>
      </c>
      <c r="AO971" s="33" t="s">
        <v>3074</v>
      </c>
      <c r="AP971" s="33" t="s">
        <v>1429</v>
      </c>
      <c r="AQ971" s="33" t="s">
        <v>308</v>
      </c>
      <c r="AR971" s="34">
        <v>43983</v>
      </c>
      <c r="AS971" s="34">
        <v>44044</v>
      </c>
      <c r="AT971" s="33" t="s">
        <v>252</v>
      </c>
      <c r="AU971" s="33" t="s">
        <v>251</v>
      </c>
      <c r="AV971" s="33">
        <v>4500</v>
      </c>
      <c r="AW971" s="35" t="s">
        <v>3110</v>
      </c>
      <c r="FL971" s="33" t="s">
        <v>3077</v>
      </c>
      <c r="FM971" s="33" t="s">
        <v>255</v>
      </c>
    </row>
    <row r="972" spans="1:194" ht="13" x14ac:dyDescent="0.15">
      <c r="A972" s="47">
        <v>44662.671220972217</v>
      </c>
      <c r="B972" s="33" t="s">
        <v>6</v>
      </c>
      <c r="C972" s="33" t="s">
        <v>11</v>
      </c>
      <c r="AX972" s="33" t="s">
        <v>3060</v>
      </c>
      <c r="AY972" s="33" t="s">
        <v>3061</v>
      </c>
      <c r="AZ972" s="33" t="s">
        <v>3111</v>
      </c>
      <c r="BA972" s="33" t="s">
        <v>498</v>
      </c>
      <c r="BB972" s="33" t="s">
        <v>448</v>
      </c>
      <c r="BC972" s="34">
        <v>44470</v>
      </c>
      <c r="BD972" s="34">
        <v>44561</v>
      </c>
      <c r="BE972" s="34">
        <v>44297</v>
      </c>
      <c r="BF972" s="33">
        <v>100</v>
      </c>
      <c r="BG972" s="33" t="s">
        <v>3112</v>
      </c>
      <c r="BH972" s="35" t="s">
        <v>3113</v>
      </c>
      <c r="FL972" s="33" t="s">
        <v>3065</v>
      </c>
      <c r="FM972" s="33" t="s">
        <v>255</v>
      </c>
    </row>
    <row r="973" spans="1:194" ht="13" x14ac:dyDescent="0.15">
      <c r="A973" s="47">
        <v>44662.6722031713</v>
      </c>
      <c r="B973" s="33" t="s">
        <v>6</v>
      </c>
      <c r="C973" s="33" t="s">
        <v>11</v>
      </c>
      <c r="AX973" s="33" t="s">
        <v>3114</v>
      </c>
      <c r="AY973" s="33" t="s">
        <v>3088</v>
      </c>
      <c r="AZ973" s="33" t="s">
        <v>3115</v>
      </c>
      <c r="BA973" s="33" t="s">
        <v>375</v>
      </c>
      <c r="BB973" s="33" t="s">
        <v>308</v>
      </c>
      <c r="BC973" s="34">
        <v>43993</v>
      </c>
      <c r="BD973" s="34">
        <v>44054</v>
      </c>
      <c r="BE973" s="34">
        <v>44057</v>
      </c>
      <c r="BF973" s="48">
        <v>0.85</v>
      </c>
      <c r="BG973" s="33" t="s">
        <v>2159</v>
      </c>
      <c r="BH973" s="35" t="s">
        <v>3116</v>
      </c>
      <c r="FL973" s="33" t="s">
        <v>3090</v>
      </c>
      <c r="FM973" s="33" t="s">
        <v>278</v>
      </c>
    </row>
    <row r="974" spans="1:194" ht="13" x14ac:dyDescent="0.15">
      <c r="A974" s="47">
        <v>44662.672569131944</v>
      </c>
      <c r="B974" s="33" t="s">
        <v>6</v>
      </c>
      <c r="C974" s="33" t="s">
        <v>11</v>
      </c>
      <c r="AX974" s="33" t="s">
        <v>3117</v>
      </c>
      <c r="AY974" s="33" t="s">
        <v>3118</v>
      </c>
      <c r="AZ974" s="33" t="s">
        <v>3119</v>
      </c>
      <c r="BA974" s="33" t="s">
        <v>3120</v>
      </c>
      <c r="BB974" s="33" t="s">
        <v>1852</v>
      </c>
      <c r="BC974" s="34">
        <v>44658</v>
      </c>
      <c r="BD974" s="34">
        <v>44661</v>
      </c>
      <c r="BE974" s="34">
        <v>44661</v>
      </c>
      <c r="BF974" s="48">
        <v>0.75</v>
      </c>
      <c r="BG974" s="33" t="s">
        <v>3121</v>
      </c>
      <c r="BH974" s="35" t="s">
        <v>3122</v>
      </c>
      <c r="FL974" s="33" t="s">
        <v>3123</v>
      </c>
      <c r="FM974" s="33" t="s">
        <v>255</v>
      </c>
    </row>
    <row r="975" spans="1:194" ht="13" x14ac:dyDescent="0.15">
      <c r="A975" s="47">
        <v>44662.67278680556</v>
      </c>
      <c r="B975" s="33" t="s">
        <v>6</v>
      </c>
      <c r="C975" s="33" t="s">
        <v>10</v>
      </c>
      <c r="AN975" s="33" t="s">
        <v>3124</v>
      </c>
      <c r="AO975" s="33" t="s">
        <v>3061</v>
      </c>
      <c r="AP975" s="33" t="s">
        <v>3125</v>
      </c>
      <c r="AQ975" s="33" t="s">
        <v>3126</v>
      </c>
      <c r="AR975" s="34">
        <v>44620</v>
      </c>
      <c r="AS975" s="34">
        <v>44742</v>
      </c>
      <c r="AT975" s="33" t="s">
        <v>251</v>
      </c>
      <c r="AU975" s="33" t="s">
        <v>252</v>
      </c>
      <c r="AV975" s="33">
        <v>10000</v>
      </c>
      <c r="AW975" s="35" t="s">
        <v>3127</v>
      </c>
      <c r="FL975" s="33" t="s">
        <v>3065</v>
      </c>
      <c r="FM975" s="33" t="s">
        <v>255</v>
      </c>
    </row>
    <row r="976" spans="1:194" ht="13" x14ac:dyDescent="0.15">
      <c r="A976" s="47">
        <v>44662.674127766208</v>
      </c>
      <c r="B976" s="33" t="s">
        <v>6</v>
      </c>
      <c r="C976" s="33" t="s">
        <v>11</v>
      </c>
      <c r="AX976" s="33" t="s">
        <v>3073</v>
      </c>
      <c r="AY976" s="33" t="s">
        <v>3074</v>
      </c>
      <c r="AZ976" s="33" t="s">
        <v>3128</v>
      </c>
      <c r="BA976" s="33" t="s">
        <v>1764</v>
      </c>
      <c r="BB976" s="33" t="s">
        <v>1852</v>
      </c>
      <c r="BC976" s="34">
        <v>43715</v>
      </c>
      <c r="BD976" s="34">
        <v>43716</v>
      </c>
      <c r="BE976" s="34">
        <v>43716</v>
      </c>
      <c r="BF976" s="33">
        <v>100</v>
      </c>
      <c r="BG976" s="33" t="s">
        <v>1899</v>
      </c>
      <c r="BH976" s="35" t="s">
        <v>3129</v>
      </c>
      <c r="FL976" s="33" t="s">
        <v>3077</v>
      </c>
      <c r="FM976" s="33" t="s">
        <v>255</v>
      </c>
    </row>
    <row r="977" spans="1:194" ht="13" x14ac:dyDescent="0.15">
      <c r="A977" s="47">
        <v>44662.674130520834</v>
      </c>
      <c r="B977" s="33" t="s">
        <v>6</v>
      </c>
      <c r="C977" s="33" t="s">
        <v>11</v>
      </c>
      <c r="AX977" s="33" t="s">
        <v>3093</v>
      </c>
      <c r="AY977" s="33" t="s">
        <v>3094</v>
      </c>
      <c r="AZ977" s="33" t="s">
        <v>3130</v>
      </c>
      <c r="BA977" s="33" t="s">
        <v>3131</v>
      </c>
      <c r="BB977" s="33" t="s">
        <v>879</v>
      </c>
      <c r="BC977" s="34">
        <v>44357</v>
      </c>
      <c r="BD977" s="34">
        <v>44037</v>
      </c>
      <c r="BE977" s="34">
        <v>44767</v>
      </c>
      <c r="BF977" s="33">
        <v>100</v>
      </c>
      <c r="BG977" s="33" t="s">
        <v>3132</v>
      </c>
      <c r="BH977" s="35" t="s">
        <v>3133</v>
      </c>
      <c r="FL977" s="33" t="s">
        <v>3098</v>
      </c>
      <c r="FM977" s="33" t="s">
        <v>255</v>
      </c>
    </row>
    <row r="978" spans="1:194" ht="13" x14ac:dyDescent="0.15">
      <c r="A978" s="47">
        <v>44662.674338067125</v>
      </c>
      <c r="B978" s="33" t="s">
        <v>6</v>
      </c>
      <c r="C978" s="33" t="s">
        <v>11</v>
      </c>
      <c r="AX978" s="33" t="s">
        <v>3117</v>
      </c>
      <c r="AY978" s="33" t="s">
        <v>3118</v>
      </c>
      <c r="AZ978" s="33" t="s">
        <v>3134</v>
      </c>
      <c r="BA978" s="33" t="s">
        <v>3135</v>
      </c>
      <c r="BB978" s="33">
        <v>2</v>
      </c>
      <c r="BC978" s="34">
        <v>44657</v>
      </c>
      <c r="BD978" s="34">
        <v>44659</v>
      </c>
      <c r="BE978" s="34">
        <v>44659</v>
      </c>
      <c r="BF978" s="48">
        <v>0.75</v>
      </c>
      <c r="BG978" s="33" t="s">
        <v>3136</v>
      </c>
      <c r="BH978" s="35" t="s">
        <v>3137</v>
      </c>
      <c r="FL978" s="33" t="s">
        <v>3123</v>
      </c>
      <c r="FM978" s="33" t="s">
        <v>255</v>
      </c>
    </row>
    <row r="979" spans="1:194" ht="13" x14ac:dyDescent="0.15">
      <c r="A979" s="47">
        <v>44662.674920729165</v>
      </c>
      <c r="B979" s="33" t="s">
        <v>6</v>
      </c>
      <c r="C979" s="33" t="s">
        <v>22</v>
      </c>
      <c r="FL979" s="33" t="s">
        <v>3090</v>
      </c>
      <c r="FM979" s="33" t="s">
        <v>255</v>
      </c>
      <c r="GF979" s="33" t="s">
        <v>3114</v>
      </c>
      <c r="GG979" s="33" t="s">
        <v>3088</v>
      </c>
      <c r="GH979" s="33" t="s">
        <v>982</v>
      </c>
      <c r="GI979" s="34">
        <v>44723</v>
      </c>
      <c r="GJ979" s="35" t="s">
        <v>3138</v>
      </c>
      <c r="GK979" s="33" t="s">
        <v>3139</v>
      </c>
      <c r="GL979" s="33">
        <v>450000</v>
      </c>
    </row>
    <row r="980" spans="1:194" ht="13" x14ac:dyDescent="0.15">
      <c r="A980" s="47">
        <v>44662.675711250005</v>
      </c>
      <c r="B980" s="33" t="s">
        <v>6</v>
      </c>
      <c r="C980" s="33" t="s">
        <v>22</v>
      </c>
      <c r="FL980" s="33" t="s">
        <v>3098</v>
      </c>
      <c r="FM980" s="33" t="s">
        <v>255</v>
      </c>
      <c r="GF980" s="33" t="s">
        <v>3140</v>
      </c>
      <c r="GG980" s="33" t="s">
        <v>3094</v>
      </c>
      <c r="GH980" s="33" t="s">
        <v>3141</v>
      </c>
      <c r="GI980" s="34">
        <v>44762</v>
      </c>
      <c r="GJ980" s="35" t="s">
        <v>3142</v>
      </c>
      <c r="GK980" s="33" t="s">
        <v>3071</v>
      </c>
      <c r="GL980" s="33">
        <v>4</v>
      </c>
    </row>
    <row r="981" spans="1:194" ht="13" x14ac:dyDescent="0.15">
      <c r="A981" s="47">
        <v>44662.676591909723</v>
      </c>
      <c r="B981" s="33" t="s">
        <v>6</v>
      </c>
      <c r="C981" s="33" t="s">
        <v>22</v>
      </c>
      <c r="FL981" s="33" t="s">
        <v>3090</v>
      </c>
      <c r="FM981" s="33" t="s">
        <v>255</v>
      </c>
      <c r="GF981" s="33" t="s">
        <v>3114</v>
      </c>
      <c r="GG981" s="33" t="s">
        <v>3088</v>
      </c>
      <c r="GH981" s="33" t="s">
        <v>634</v>
      </c>
      <c r="GI981" s="34">
        <v>44723</v>
      </c>
      <c r="GJ981" s="35" t="s">
        <v>3143</v>
      </c>
      <c r="GK981" s="33" t="s">
        <v>3139</v>
      </c>
      <c r="GL981" s="33">
        <v>360000</v>
      </c>
    </row>
    <row r="982" spans="1:194" ht="13" x14ac:dyDescent="0.15">
      <c r="A982" s="47">
        <v>44662.678145868056</v>
      </c>
      <c r="B982" s="33" t="s">
        <v>6</v>
      </c>
      <c r="C982" s="33" t="s">
        <v>22</v>
      </c>
      <c r="FL982" s="33" t="s">
        <v>3090</v>
      </c>
      <c r="FM982" s="33" t="s">
        <v>255</v>
      </c>
      <c r="GF982" s="33" t="s">
        <v>3114</v>
      </c>
      <c r="GG982" s="33" t="s">
        <v>3088</v>
      </c>
      <c r="GH982" s="33" t="s">
        <v>3144</v>
      </c>
      <c r="GI982" s="34">
        <v>44723</v>
      </c>
      <c r="GJ982" s="35" t="s">
        <v>3145</v>
      </c>
      <c r="GK982" s="33" t="s">
        <v>3139</v>
      </c>
      <c r="GL982" s="33">
        <v>625000</v>
      </c>
    </row>
    <row r="983" spans="1:194" ht="13" x14ac:dyDescent="0.15">
      <c r="A983" s="47">
        <v>44662.679124305556</v>
      </c>
      <c r="B983" s="33" t="s">
        <v>8</v>
      </c>
      <c r="C983" s="33" t="s">
        <v>10</v>
      </c>
      <c r="AN983" s="33" t="s">
        <v>2744</v>
      </c>
      <c r="AO983" s="33" t="s">
        <v>2745</v>
      </c>
      <c r="AP983" s="33" t="s">
        <v>3146</v>
      </c>
      <c r="AQ983" s="33" t="s">
        <v>346</v>
      </c>
      <c r="AR983" s="34">
        <v>44326</v>
      </c>
      <c r="AS983" s="34">
        <v>44387</v>
      </c>
      <c r="AT983" s="33" t="s">
        <v>252</v>
      </c>
      <c r="AU983" s="33" t="s">
        <v>252</v>
      </c>
      <c r="AV983" s="33">
        <v>0</v>
      </c>
      <c r="AW983" s="35" t="s">
        <v>3147</v>
      </c>
      <c r="FL983" s="33" t="s">
        <v>2748</v>
      </c>
      <c r="FM983" s="33" t="s">
        <v>321</v>
      </c>
    </row>
    <row r="984" spans="1:194" ht="13" x14ac:dyDescent="0.15">
      <c r="A984" s="47">
        <v>44662.714730011576</v>
      </c>
      <c r="B984" s="33" t="s">
        <v>8</v>
      </c>
      <c r="C984" s="33" t="s">
        <v>11</v>
      </c>
      <c r="AX984" s="33" t="s">
        <v>2078</v>
      </c>
      <c r="AY984" s="33" t="s">
        <v>2079</v>
      </c>
      <c r="AZ984" s="33" t="s">
        <v>2328</v>
      </c>
      <c r="BA984" s="33" t="s">
        <v>335</v>
      </c>
      <c r="BB984" s="33" t="s">
        <v>448</v>
      </c>
      <c r="BC984" s="34">
        <v>44296</v>
      </c>
      <c r="BD984" s="34">
        <v>44387</v>
      </c>
      <c r="BE984" s="34">
        <v>44296</v>
      </c>
      <c r="BF984" s="33">
        <v>90</v>
      </c>
      <c r="BG984" s="33" t="s">
        <v>3148</v>
      </c>
      <c r="BH984" s="35" t="s">
        <v>3149</v>
      </c>
      <c r="FL984" s="33" t="s">
        <v>2082</v>
      </c>
      <c r="FM984" s="33" t="s">
        <v>412</v>
      </c>
    </row>
    <row r="985" spans="1:194" ht="13" x14ac:dyDescent="0.15">
      <c r="A985" s="47">
        <v>44662.717104062496</v>
      </c>
      <c r="B985" s="33" t="s">
        <v>8</v>
      </c>
      <c r="C985" s="33" t="s">
        <v>11</v>
      </c>
      <c r="AX985" s="33" t="s">
        <v>2078</v>
      </c>
      <c r="AY985" s="33" t="s">
        <v>2079</v>
      </c>
      <c r="AZ985" s="33" t="s">
        <v>674</v>
      </c>
      <c r="BA985" s="33" t="s">
        <v>335</v>
      </c>
      <c r="BB985" s="33" t="s">
        <v>1954</v>
      </c>
      <c r="BC985" s="34">
        <v>44479</v>
      </c>
      <c r="BD985" s="34">
        <v>44594</v>
      </c>
      <c r="BE985" s="34">
        <v>44594</v>
      </c>
      <c r="BF985" s="33">
        <v>90</v>
      </c>
      <c r="BG985" s="33" t="s">
        <v>3150</v>
      </c>
      <c r="BH985" s="35" t="s">
        <v>3151</v>
      </c>
      <c r="FL985" s="33" t="s">
        <v>2082</v>
      </c>
      <c r="FM985" s="33" t="s">
        <v>380</v>
      </c>
    </row>
    <row r="986" spans="1:194" ht="13" x14ac:dyDescent="0.15">
      <c r="A986" s="47">
        <v>44662.719935972222</v>
      </c>
      <c r="B986" s="33" t="s">
        <v>8</v>
      </c>
      <c r="C986" s="33" t="s">
        <v>11</v>
      </c>
      <c r="AX986" s="33" t="s">
        <v>2078</v>
      </c>
      <c r="AY986" s="33" t="s">
        <v>2079</v>
      </c>
      <c r="AZ986" s="33" t="s">
        <v>3152</v>
      </c>
      <c r="BA986" s="33" t="s">
        <v>3153</v>
      </c>
      <c r="BB986" s="33" t="s">
        <v>448</v>
      </c>
      <c r="BC986" s="34">
        <v>44479</v>
      </c>
      <c r="BD986" s="34">
        <v>44540</v>
      </c>
      <c r="BE986" s="34">
        <v>44540</v>
      </c>
      <c r="BF986" s="33">
        <v>90</v>
      </c>
      <c r="BG986" s="33" t="s">
        <v>3148</v>
      </c>
      <c r="BH986" s="35" t="s">
        <v>3154</v>
      </c>
      <c r="FL986" s="33" t="s">
        <v>2082</v>
      </c>
      <c r="FM986" s="33" t="s">
        <v>552</v>
      </c>
    </row>
    <row r="987" spans="1:194" ht="13" x14ac:dyDescent="0.15">
      <c r="A987" s="47">
        <v>44662.781064016206</v>
      </c>
      <c r="B987" s="33" t="s">
        <v>6</v>
      </c>
      <c r="C987" s="33" t="s">
        <v>11</v>
      </c>
      <c r="AX987" s="33" t="s">
        <v>3155</v>
      </c>
      <c r="AY987" s="33" t="s">
        <v>3156</v>
      </c>
      <c r="AZ987" s="33" t="s">
        <v>3157</v>
      </c>
      <c r="BA987" s="33" t="s">
        <v>335</v>
      </c>
      <c r="BB987" s="33" t="s">
        <v>318</v>
      </c>
      <c r="BC987" s="34">
        <v>43871</v>
      </c>
      <c r="BD987" s="34">
        <v>43873</v>
      </c>
      <c r="BE987" s="34">
        <v>44242</v>
      </c>
      <c r="BF987" s="33">
        <v>100</v>
      </c>
      <c r="BG987" s="33" t="s">
        <v>3150</v>
      </c>
      <c r="BH987" s="35" t="s">
        <v>3158</v>
      </c>
      <c r="FL987" s="33" t="s">
        <v>3159</v>
      </c>
      <c r="FM987" s="33" t="s">
        <v>255</v>
      </c>
    </row>
    <row r="988" spans="1:194" ht="13" x14ac:dyDescent="0.15">
      <c r="A988" s="47">
        <v>44662.783256041672</v>
      </c>
      <c r="B988" s="33" t="s">
        <v>8</v>
      </c>
      <c r="C988" s="33" t="s">
        <v>10</v>
      </c>
      <c r="AN988" s="33" t="s">
        <v>3160</v>
      </c>
      <c r="AO988" s="33" t="s">
        <v>3161</v>
      </c>
      <c r="AP988" s="33" t="s">
        <v>3162</v>
      </c>
      <c r="AQ988" s="33" t="s">
        <v>389</v>
      </c>
      <c r="AR988" s="34">
        <v>44522</v>
      </c>
      <c r="AS988" s="34">
        <v>44561</v>
      </c>
      <c r="AT988" s="33" t="s">
        <v>252</v>
      </c>
      <c r="AU988" s="33" t="s">
        <v>252</v>
      </c>
      <c r="AV988" s="33">
        <v>0</v>
      </c>
      <c r="AW988" s="35" t="s">
        <v>3163</v>
      </c>
      <c r="FL988" s="33" t="s">
        <v>3164</v>
      </c>
      <c r="FM988" s="33" t="s">
        <v>321</v>
      </c>
    </row>
    <row r="989" spans="1:194" ht="13" x14ac:dyDescent="0.15">
      <c r="A989" s="47">
        <v>44662.784257164356</v>
      </c>
      <c r="B989" s="33" t="s">
        <v>6</v>
      </c>
      <c r="C989" s="33" t="s">
        <v>22</v>
      </c>
      <c r="FL989" s="33" t="s">
        <v>3159</v>
      </c>
      <c r="FM989" s="33" t="s">
        <v>255</v>
      </c>
      <c r="GF989" s="33" t="s">
        <v>3155</v>
      </c>
      <c r="GG989" s="33" t="s">
        <v>3156</v>
      </c>
      <c r="GH989" s="33" t="s">
        <v>3165</v>
      </c>
      <c r="GI989" s="34">
        <v>44757</v>
      </c>
      <c r="GJ989" s="35" t="s">
        <v>3166</v>
      </c>
      <c r="GK989" s="33" t="s">
        <v>3167</v>
      </c>
      <c r="GL989" s="33" t="s">
        <v>3168</v>
      </c>
    </row>
    <row r="990" spans="1:194" ht="13" x14ac:dyDescent="0.15">
      <c r="A990" s="47">
        <v>44662.787497708334</v>
      </c>
      <c r="B990" s="33" t="s">
        <v>8</v>
      </c>
      <c r="C990" s="33" t="s">
        <v>12</v>
      </c>
      <c r="BI990" s="33" t="s">
        <v>3160</v>
      </c>
      <c r="BJ990" s="33" t="s">
        <v>3161</v>
      </c>
      <c r="BK990" s="33" t="s">
        <v>311</v>
      </c>
      <c r="BL990" s="33" t="s">
        <v>1285</v>
      </c>
      <c r="BM990" s="33" t="s">
        <v>3169</v>
      </c>
      <c r="BN990" s="33">
        <v>1</v>
      </c>
      <c r="BO990" s="34">
        <v>44626</v>
      </c>
      <c r="BP990" s="34">
        <v>44626</v>
      </c>
      <c r="BQ990" s="33" t="s">
        <v>3170</v>
      </c>
      <c r="BR990" s="33">
        <v>2</v>
      </c>
      <c r="BS990" s="33" t="s">
        <v>171</v>
      </c>
      <c r="BT990" s="33" t="s">
        <v>629</v>
      </c>
      <c r="BU990" s="33">
        <v>75</v>
      </c>
      <c r="BV990" s="35" t="s">
        <v>3171</v>
      </c>
      <c r="FL990" s="33" t="s">
        <v>3164</v>
      </c>
      <c r="FM990" s="33" t="s">
        <v>321</v>
      </c>
    </row>
    <row r="991" spans="1:194" ht="13" x14ac:dyDescent="0.15">
      <c r="A991" s="47">
        <v>44662.798813078705</v>
      </c>
      <c r="B991" s="33" t="s">
        <v>8</v>
      </c>
      <c r="C991" s="33" t="s">
        <v>11</v>
      </c>
      <c r="AX991" s="33" t="s">
        <v>3172</v>
      </c>
      <c r="AY991" s="33" t="s">
        <v>3173</v>
      </c>
      <c r="AZ991" s="33" t="s">
        <v>853</v>
      </c>
      <c r="BA991" s="33" t="s">
        <v>3027</v>
      </c>
      <c r="BB991" s="33" t="s">
        <v>308</v>
      </c>
      <c r="BC991" s="34">
        <v>44353</v>
      </c>
      <c r="BD991" s="34">
        <v>44414</v>
      </c>
      <c r="BE991" s="34">
        <v>44414</v>
      </c>
      <c r="BF991" s="33">
        <v>95</v>
      </c>
      <c r="BG991" s="33" t="s">
        <v>3174</v>
      </c>
      <c r="BH991" s="35" t="s">
        <v>3175</v>
      </c>
      <c r="FL991" s="33" t="s">
        <v>3176</v>
      </c>
      <c r="FM991" s="33" t="s">
        <v>380</v>
      </c>
    </row>
    <row r="992" spans="1:194" ht="13" x14ac:dyDescent="0.15">
      <c r="A992" s="47">
        <v>44662.806151655095</v>
      </c>
      <c r="B992" s="33" t="s">
        <v>8</v>
      </c>
      <c r="C992" s="33" t="s">
        <v>11</v>
      </c>
      <c r="AX992" s="33" t="s">
        <v>3160</v>
      </c>
      <c r="AY992" s="33" t="s">
        <v>3161</v>
      </c>
      <c r="AZ992" s="33" t="s">
        <v>2947</v>
      </c>
      <c r="BA992" s="33" t="s">
        <v>3177</v>
      </c>
      <c r="BB992" s="33" t="s">
        <v>473</v>
      </c>
      <c r="BC992" s="34">
        <v>44333</v>
      </c>
      <c r="BD992" s="34">
        <v>44754</v>
      </c>
      <c r="BE992" s="34">
        <v>44754</v>
      </c>
      <c r="BF992" s="33">
        <v>90</v>
      </c>
      <c r="BG992" s="33" t="s">
        <v>3178</v>
      </c>
      <c r="BH992" s="35" t="s">
        <v>3179</v>
      </c>
      <c r="FL992" s="33" t="s">
        <v>3164</v>
      </c>
      <c r="FM992" s="33" t="s">
        <v>321</v>
      </c>
    </row>
    <row r="993" spans="1:169" ht="13" x14ac:dyDescent="0.15">
      <c r="A993" s="47">
        <v>44662.826656145829</v>
      </c>
      <c r="B993" s="33" t="s">
        <v>7</v>
      </c>
      <c r="C993" s="33" t="s">
        <v>10</v>
      </c>
      <c r="AN993" s="33" t="s">
        <v>3180</v>
      </c>
      <c r="AO993" s="33" t="s">
        <v>3181</v>
      </c>
      <c r="AP993" s="33" t="s">
        <v>307</v>
      </c>
      <c r="AQ993" s="33" t="s">
        <v>300</v>
      </c>
      <c r="AR993" s="34">
        <v>44477</v>
      </c>
      <c r="AS993" s="34">
        <v>44547</v>
      </c>
      <c r="AT993" s="33" t="s">
        <v>252</v>
      </c>
      <c r="AU993" s="33" t="s">
        <v>252</v>
      </c>
      <c r="AV993" s="33">
        <v>0</v>
      </c>
      <c r="AW993" s="35" t="s">
        <v>3182</v>
      </c>
      <c r="FL993" s="33" t="s">
        <v>3183</v>
      </c>
      <c r="FM993" s="33" t="s">
        <v>278</v>
      </c>
    </row>
    <row r="994" spans="1:169" ht="13" x14ac:dyDescent="0.15">
      <c r="A994" s="47">
        <v>44662.829200497683</v>
      </c>
      <c r="B994" s="33" t="s">
        <v>8</v>
      </c>
      <c r="C994" s="33" t="s">
        <v>10</v>
      </c>
      <c r="AN994" s="33" t="s">
        <v>3184</v>
      </c>
      <c r="AO994" s="33" t="s">
        <v>3185</v>
      </c>
      <c r="AP994" s="33" t="s">
        <v>335</v>
      </c>
      <c r="AQ994" s="33" t="s">
        <v>308</v>
      </c>
      <c r="AR994" s="34">
        <v>44357</v>
      </c>
      <c r="AS994" s="34">
        <v>44418</v>
      </c>
      <c r="AT994" s="33" t="s">
        <v>252</v>
      </c>
      <c r="AU994" s="33" t="s">
        <v>252</v>
      </c>
      <c r="AV994" s="33">
        <v>0</v>
      </c>
      <c r="AW994" s="35" t="s">
        <v>3186</v>
      </c>
      <c r="FL994" s="33" t="s">
        <v>3187</v>
      </c>
      <c r="FM994" s="33" t="s">
        <v>321</v>
      </c>
    </row>
    <row r="995" spans="1:169" ht="13" x14ac:dyDescent="0.15">
      <c r="A995" s="47">
        <v>44662.832787581021</v>
      </c>
      <c r="B995" s="33" t="s">
        <v>8</v>
      </c>
      <c r="C995" s="33" t="s">
        <v>10</v>
      </c>
      <c r="AN995" s="33" t="s">
        <v>3184</v>
      </c>
      <c r="AO995" s="33" t="s">
        <v>3185</v>
      </c>
      <c r="AP995" s="33" t="s">
        <v>1995</v>
      </c>
      <c r="AQ995" s="33" t="s">
        <v>448</v>
      </c>
      <c r="AR995" s="34">
        <v>44835</v>
      </c>
      <c r="AS995" s="34">
        <v>44926</v>
      </c>
      <c r="AT995" s="33" t="s">
        <v>252</v>
      </c>
      <c r="AU995" s="33" t="s">
        <v>252</v>
      </c>
      <c r="AV995" s="33">
        <v>0</v>
      </c>
      <c r="AW995" s="35" t="s">
        <v>3188</v>
      </c>
      <c r="FL995" s="33" t="s">
        <v>3187</v>
      </c>
      <c r="FM995" s="33" t="s">
        <v>321</v>
      </c>
    </row>
    <row r="996" spans="1:169" ht="13" x14ac:dyDescent="0.15">
      <c r="A996" s="47">
        <v>44662.851166030094</v>
      </c>
      <c r="B996" s="33" t="s">
        <v>6</v>
      </c>
      <c r="C996" s="33" t="s">
        <v>11</v>
      </c>
      <c r="AX996" s="33" t="s">
        <v>1904</v>
      </c>
      <c r="AY996" s="33" t="s">
        <v>3189</v>
      </c>
      <c r="AZ996" s="33" t="s">
        <v>2145</v>
      </c>
      <c r="BA996" s="33" t="s">
        <v>375</v>
      </c>
      <c r="BB996" s="33" t="s">
        <v>493</v>
      </c>
      <c r="BC996" s="34">
        <v>44550</v>
      </c>
      <c r="BD996" s="34">
        <v>44576</v>
      </c>
      <c r="BE996" s="34">
        <v>44573</v>
      </c>
      <c r="BF996" s="33">
        <v>95</v>
      </c>
      <c r="BG996" s="33" t="s">
        <v>3190</v>
      </c>
      <c r="BH996" s="35" t="s">
        <v>3191</v>
      </c>
      <c r="FL996" s="33" t="s">
        <v>1903</v>
      </c>
      <c r="FM996" s="33" t="s">
        <v>255</v>
      </c>
    </row>
    <row r="997" spans="1:169" ht="13" x14ac:dyDescent="0.15">
      <c r="A997" s="47">
        <v>44662.853160370374</v>
      </c>
      <c r="B997" s="33" t="s">
        <v>6</v>
      </c>
      <c r="C997" s="33" t="s">
        <v>11</v>
      </c>
      <c r="AX997" s="33" t="s">
        <v>1904</v>
      </c>
      <c r="AY997" s="33" t="s">
        <v>1905</v>
      </c>
      <c r="AZ997" s="33" t="s">
        <v>617</v>
      </c>
      <c r="BA997" s="33" t="s">
        <v>375</v>
      </c>
      <c r="BB997" s="33" t="s">
        <v>493</v>
      </c>
      <c r="BC997" s="34">
        <v>44577</v>
      </c>
      <c r="BD997" s="34">
        <v>44607</v>
      </c>
      <c r="BE997" s="34">
        <v>44604</v>
      </c>
      <c r="BF997" s="33">
        <v>95</v>
      </c>
      <c r="BG997" s="33" t="s">
        <v>3192</v>
      </c>
      <c r="BH997" s="35" t="s">
        <v>3193</v>
      </c>
      <c r="FL997" s="33" t="s">
        <v>1903</v>
      </c>
      <c r="FM997" s="33" t="s">
        <v>255</v>
      </c>
    </row>
    <row r="998" spans="1:169" ht="13" x14ac:dyDescent="0.15">
      <c r="A998" s="47">
        <v>44662.857412025463</v>
      </c>
      <c r="B998" s="33" t="s">
        <v>6</v>
      </c>
      <c r="C998" s="33" t="s">
        <v>11</v>
      </c>
      <c r="AX998" s="33" t="s">
        <v>1904</v>
      </c>
      <c r="AY998" s="33" t="s">
        <v>1905</v>
      </c>
      <c r="AZ998" s="33" t="s">
        <v>617</v>
      </c>
      <c r="BA998" s="33" t="s">
        <v>375</v>
      </c>
      <c r="BB998" s="33" t="s">
        <v>493</v>
      </c>
      <c r="BC998" s="34">
        <v>44608</v>
      </c>
      <c r="BD998" s="34">
        <v>44635</v>
      </c>
      <c r="BE998" s="34">
        <v>44632</v>
      </c>
      <c r="BF998" s="33">
        <v>95</v>
      </c>
      <c r="BG998" s="33" t="s">
        <v>3194</v>
      </c>
      <c r="BH998" s="35" t="s">
        <v>3195</v>
      </c>
      <c r="FL998" s="33" t="s">
        <v>1903</v>
      </c>
      <c r="FM998" s="33" t="s">
        <v>255</v>
      </c>
    </row>
    <row r="999" spans="1:169" ht="13" x14ac:dyDescent="0.15">
      <c r="A999" s="47">
        <v>44662.857516585645</v>
      </c>
      <c r="B999" s="33" t="s">
        <v>7</v>
      </c>
      <c r="C999" s="33" t="s">
        <v>10</v>
      </c>
      <c r="AN999" s="33" t="s">
        <v>3196</v>
      </c>
      <c r="AO999" s="33" t="s">
        <v>3197</v>
      </c>
      <c r="AP999" s="33" t="s">
        <v>307</v>
      </c>
      <c r="AQ999" s="33" t="s">
        <v>300</v>
      </c>
      <c r="AR999" s="34">
        <v>44487</v>
      </c>
      <c r="AS999" s="34">
        <v>44541</v>
      </c>
      <c r="AT999" s="33" t="s">
        <v>252</v>
      </c>
      <c r="AU999" s="33" t="s">
        <v>252</v>
      </c>
      <c r="AV999" s="33">
        <v>0</v>
      </c>
      <c r="AW999" s="35" t="s">
        <v>3198</v>
      </c>
      <c r="FL999" s="33" t="s">
        <v>3199</v>
      </c>
      <c r="FM999" s="33" t="s">
        <v>339</v>
      </c>
    </row>
    <row r="1000" spans="1:169" ht="13" x14ac:dyDescent="0.15">
      <c r="A1000" s="47">
        <v>44662.860269525467</v>
      </c>
      <c r="B1000" s="33" t="s">
        <v>6</v>
      </c>
      <c r="C1000" s="33" t="s">
        <v>11</v>
      </c>
      <c r="AX1000" s="33" t="s">
        <v>1904</v>
      </c>
      <c r="AY1000" s="33" t="s">
        <v>1905</v>
      </c>
      <c r="AZ1000" s="33" t="s">
        <v>2145</v>
      </c>
      <c r="BA1000" s="33" t="s">
        <v>375</v>
      </c>
      <c r="BB1000" s="33" t="s">
        <v>308</v>
      </c>
      <c r="BC1000" s="34">
        <v>44378</v>
      </c>
      <c r="BD1000" s="34">
        <v>44439</v>
      </c>
      <c r="BE1000" s="34">
        <v>44438</v>
      </c>
      <c r="BF1000" s="33">
        <v>90</v>
      </c>
      <c r="BG1000" s="33" t="s">
        <v>3200</v>
      </c>
      <c r="BH1000" s="35" t="s">
        <v>3201</v>
      </c>
      <c r="FL1000" s="33" t="s">
        <v>1903</v>
      </c>
      <c r="FM1000" s="33" t="s">
        <v>255</v>
      </c>
    </row>
    <row r="1001" spans="1:169" ht="13" x14ac:dyDescent="0.15">
      <c r="A1001" s="47">
        <v>44662.861992025464</v>
      </c>
      <c r="B1001" s="33" t="s">
        <v>6</v>
      </c>
      <c r="C1001" s="33" t="s">
        <v>11</v>
      </c>
      <c r="AX1001" s="33" t="s">
        <v>1904</v>
      </c>
      <c r="AY1001" s="33" t="s">
        <v>1905</v>
      </c>
      <c r="AZ1001" s="33" t="s">
        <v>3202</v>
      </c>
      <c r="BA1001" s="33" t="s">
        <v>375</v>
      </c>
      <c r="BB1001" s="33" t="s">
        <v>308</v>
      </c>
      <c r="BC1001" s="34">
        <v>44440</v>
      </c>
      <c r="BD1001" s="34">
        <v>44500</v>
      </c>
      <c r="BE1001" s="34">
        <v>44499</v>
      </c>
      <c r="BF1001" s="33">
        <v>90</v>
      </c>
      <c r="BG1001" s="33" t="s">
        <v>3200</v>
      </c>
      <c r="BH1001" s="35" t="s">
        <v>3203</v>
      </c>
      <c r="FL1001" s="33" t="s">
        <v>1903</v>
      </c>
      <c r="FM1001" s="33" t="s">
        <v>255</v>
      </c>
    </row>
    <row r="1002" spans="1:169" ht="13" x14ac:dyDescent="0.15">
      <c r="A1002" s="47">
        <v>44662.863686006945</v>
      </c>
      <c r="B1002" s="33" t="s">
        <v>6</v>
      </c>
      <c r="C1002" s="33" t="s">
        <v>11</v>
      </c>
      <c r="AX1002" s="33" t="s">
        <v>1904</v>
      </c>
      <c r="AY1002" s="33" t="s">
        <v>1905</v>
      </c>
      <c r="AZ1002" s="33" t="s">
        <v>644</v>
      </c>
      <c r="BA1002" s="33" t="s">
        <v>375</v>
      </c>
      <c r="BB1002" s="33" t="s">
        <v>493</v>
      </c>
      <c r="BC1002" s="34">
        <v>44501</v>
      </c>
      <c r="BD1002" s="34">
        <v>44530</v>
      </c>
      <c r="BE1002" s="34">
        <v>44529</v>
      </c>
      <c r="BF1002" s="33">
        <v>95</v>
      </c>
      <c r="BG1002" s="33" t="s">
        <v>3200</v>
      </c>
      <c r="BH1002" s="35" t="s">
        <v>3204</v>
      </c>
      <c r="FL1002" s="33" t="s">
        <v>1903</v>
      </c>
      <c r="FM1002" s="33" t="s">
        <v>255</v>
      </c>
    </row>
    <row r="1003" spans="1:169" ht="13" x14ac:dyDescent="0.15">
      <c r="A1003" s="47">
        <v>44662.865302939812</v>
      </c>
      <c r="B1003" s="33" t="s">
        <v>6</v>
      </c>
      <c r="C1003" s="33" t="s">
        <v>11</v>
      </c>
      <c r="AX1003" s="33" t="s">
        <v>1904</v>
      </c>
      <c r="AY1003" s="33" t="s">
        <v>1905</v>
      </c>
      <c r="AZ1003" s="33" t="s">
        <v>3205</v>
      </c>
      <c r="BA1003" s="33" t="s">
        <v>375</v>
      </c>
      <c r="BB1003" s="33" t="s">
        <v>308</v>
      </c>
      <c r="BC1003" s="34">
        <v>44440</v>
      </c>
      <c r="BD1003" s="34">
        <v>44500</v>
      </c>
      <c r="BE1003" s="34">
        <v>44499</v>
      </c>
      <c r="BF1003" s="33">
        <v>90</v>
      </c>
      <c r="BG1003" s="33" t="s">
        <v>3200</v>
      </c>
      <c r="BH1003" s="35" t="s">
        <v>3206</v>
      </c>
      <c r="FL1003" s="33" t="s">
        <v>1903</v>
      </c>
      <c r="FM1003" s="33" t="s">
        <v>255</v>
      </c>
    </row>
    <row r="1004" spans="1:169" ht="13" x14ac:dyDescent="0.15">
      <c r="A1004" s="47">
        <v>44662.866998391204</v>
      </c>
      <c r="B1004" s="33" t="s">
        <v>6</v>
      </c>
      <c r="C1004" s="33" t="s">
        <v>11</v>
      </c>
      <c r="AX1004" s="33" t="s">
        <v>1904</v>
      </c>
      <c r="AY1004" s="33" t="s">
        <v>1905</v>
      </c>
      <c r="AZ1004" s="33" t="s">
        <v>3207</v>
      </c>
      <c r="BA1004" s="33" t="s">
        <v>375</v>
      </c>
      <c r="BB1004" s="33" t="s">
        <v>493</v>
      </c>
      <c r="BC1004" s="34">
        <v>44531</v>
      </c>
      <c r="BD1004" s="34">
        <v>44561</v>
      </c>
      <c r="BE1004" s="34">
        <v>44560</v>
      </c>
      <c r="BF1004" s="33">
        <v>90</v>
      </c>
      <c r="BG1004" s="33" t="s">
        <v>3200</v>
      </c>
      <c r="BH1004" s="35" t="s">
        <v>3208</v>
      </c>
      <c r="FL1004" s="33" t="s">
        <v>1903</v>
      </c>
      <c r="FM1004" s="33" t="s">
        <v>255</v>
      </c>
    </row>
    <row r="1005" spans="1:169" ht="13" x14ac:dyDescent="0.15">
      <c r="A1005" s="47">
        <v>44662.874950277779</v>
      </c>
      <c r="B1005" s="33" t="s">
        <v>6</v>
      </c>
      <c r="C1005" s="33" t="s">
        <v>11</v>
      </c>
      <c r="AX1005" s="33" t="s">
        <v>3209</v>
      </c>
      <c r="AY1005" s="33" t="s">
        <v>3210</v>
      </c>
      <c r="AZ1005" s="33" t="s">
        <v>1751</v>
      </c>
      <c r="BA1005" s="33" t="s">
        <v>343</v>
      </c>
      <c r="BB1005" s="33" t="s">
        <v>879</v>
      </c>
      <c r="BC1005" s="34">
        <v>43925</v>
      </c>
      <c r="BD1005" s="34">
        <v>43946</v>
      </c>
      <c r="BE1005" s="34">
        <v>43947</v>
      </c>
      <c r="BF1005" s="33" t="s">
        <v>1794</v>
      </c>
      <c r="BG1005" s="33" t="s">
        <v>1372</v>
      </c>
      <c r="BH1005" s="35" t="s">
        <v>3211</v>
      </c>
      <c r="FL1005" s="33" t="s">
        <v>3212</v>
      </c>
      <c r="FM1005" s="33" t="s">
        <v>321</v>
      </c>
    </row>
    <row r="1006" spans="1:169" ht="13" x14ac:dyDescent="0.15">
      <c r="A1006" s="47">
        <v>44662.882470254626</v>
      </c>
      <c r="B1006" s="33" t="s">
        <v>6</v>
      </c>
      <c r="C1006" s="33" t="s">
        <v>11</v>
      </c>
      <c r="AX1006" s="33" t="s">
        <v>3209</v>
      </c>
      <c r="AY1006" s="33" t="s">
        <v>3213</v>
      </c>
      <c r="AZ1006" s="33" t="s">
        <v>3214</v>
      </c>
      <c r="BA1006" s="33" t="s">
        <v>3215</v>
      </c>
      <c r="BB1006" s="33" t="s">
        <v>656</v>
      </c>
      <c r="BC1006" s="34">
        <v>43401</v>
      </c>
      <c r="BD1006" s="34">
        <v>43401</v>
      </c>
      <c r="BE1006" s="34">
        <v>43401</v>
      </c>
      <c r="BF1006" s="33" t="s">
        <v>1794</v>
      </c>
      <c r="BG1006" s="33" t="s">
        <v>3216</v>
      </c>
      <c r="BH1006" s="35" t="s">
        <v>3217</v>
      </c>
      <c r="FL1006" s="33" t="s">
        <v>3212</v>
      </c>
      <c r="FM1006" s="33" t="s">
        <v>412</v>
      </c>
    </row>
    <row r="1007" spans="1:169" ht="13" x14ac:dyDescent="0.15">
      <c r="A1007" s="47">
        <v>44662.884529120369</v>
      </c>
      <c r="B1007" s="33" t="s">
        <v>7</v>
      </c>
      <c r="C1007" s="33" t="s">
        <v>10</v>
      </c>
      <c r="AN1007" s="33" t="s">
        <v>3218</v>
      </c>
      <c r="AO1007" s="33" t="s">
        <v>3219</v>
      </c>
      <c r="AP1007" s="33" t="s">
        <v>307</v>
      </c>
      <c r="AQ1007" s="33" t="s">
        <v>300</v>
      </c>
      <c r="AR1007" s="34">
        <v>44487</v>
      </c>
      <c r="AS1007" s="34">
        <v>44541</v>
      </c>
      <c r="AT1007" s="33" t="s">
        <v>252</v>
      </c>
      <c r="AU1007" s="33" t="s">
        <v>252</v>
      </c>
      <c r="AV1007" s="33">
        <v>0</v>
      </c>
      <c r="AW1007" s="35" t="s">
        <v>3220</v>
      </c>
      <c r="FL1007" s="33" t="s">
        <v>3221</v>
      </c>
      <c r="FM1007" s="33" t="s">
        <v>278</v>
      </c>
    </row>
    <row r="1008" spans="1:169" ht="13" x14ac:dyDescent="0.15">
      <c r="A1008" s="47">
        <v>44662.886927916668</v>
      </c>
      <c r="B1008" s="33" t="s">
        <v>8</v>
      </c>
      <c r="C1008" s="33" t="s">
        <v>11</v>
      </c>
      <c r="AX1008" s="33" t="s">
        <v>3172</v>
      </c>
      <c r="AY1008" s="33" t="s">
        <v>3173</v>
      </c>
      <c r="AZ1008" s="33" t="s">
        <v>3222</v>
      </c>
      <c r="BA1008" s="33" t="s">
        <v>2990</v>
      </c>
      <c r="BB1008" s="33" t="s">
        <v>1332</v>
      </c>
      <c r="BC1008" s="34">
        <v>44494</v>
      </c>
      <c r="BD1008" s="34">
        <v>44555</v>
      </c>
      <c r="BE1008" s="34">
        <v>44555</v>
      </c>
      <c r="BF1008" s="33">
        <v>92</v>
      </c>
      <c r="BG1008" s="33" t="s">
        <v>3174</v>
      </c>
      <c r="BH1008" s="35" t="s">
        <v>3223</v>
      </c>
      <c r="FL1008" s="33" t="s">
        <v>3176</v>
      </c>
      <c r="FM1008" s="33" t="s">
        <v>552</v>
      </c>
    </row>
    <row r="1009" spans="1:169" ht="13" x14ac:dyDescent="0.15">
      <c r="A1009" s="47">
        <v>44662.88741354167</v>
      </c>
      <c r="B1009" s="33" t="s">
        <v>7</v>
      </c>
      <c r="C1009" s="33" t="s">
        <v>10</v>
      </c>
      <c r="AN1009" s="33" t="s">
        <v>3224</v>
      </c>
      <c r="AO1009" s="33" t="s">
        <v>3225</v>
      </c>
      <c r="AP1009" s="33" t="s">
        <v>307</v>
      </c>
      <c r="AQ1009" s="33" t="s">
        <v>300</v>
      </c>
      <c r="AR1009" s="34">
        <v>44487</v>
      </c>
      <c r="AS1009" s="34">
        <v>44541</v>
      </c>
      <c r="AT1009" s="33" t="s">
        <v>252</v>
      </c>
      <c r="AU1009" s="33" t="s">
        <v>252</v>
      </c>
      <c r="AV1009" s="33">
        <v>0</v>
      </c>
      <c r="AW1009" s="35" t="s">
        <v>3226</v>
      </c>
      <c r="FL1009" s="33" t="s">
        <v>3227</v>
      </c>
      <c r="FM1009" s="33" t="s">
        <v>278</v>
      </c>
    </row>
    <row r="1010" spans="1:169" ht="13" x14ac:dyDescent="0.15">
      <c r="A1010" s="47">
        <v>44662.887537627314</v>
      </c>
      <c r="B1010" s="33" t="s">
        <v>6</v>
      </c>
      <c r="C1010" s="33" t="s">
        <v>11</v>
      </c>
      <c r="AX1010" s="33" t="s">
        <v>3209</v>
      </c>
      <c r="AY1010" s="33" t="s">
        <v>3213</v>
      </c>
      <c r="AZ1010" s="33" t="s">
        <v>2523</v>
      </c>
      <c r="BA1010" s="33" t="s">
        <v>3228</v>
      </c>
      <c r="BB1010" s="33" t="s">
        <v>1808</v>
      </c>
      <c r="BC1010" s="34">
        <v>44290</v>
      </c>
      <c r="BD1010" s="34">
        <v>44311</v>
      </c>
      <c r="BE1010" s="34">
        <v>44315</v>
      </c>
      <c r="BF1010" s="33" t="s">
        <v>1794</v>
      </c>
      <c r="BG1010" s="33" t="s">
        <v>3229</v>
      </c>
      <c r="BH1010" s="35" t="s">
        <v>3230</v>
      </c>
      <c r="FL1010" s="33" t="s">
        <v>3212</v>
      </c>
      <c r="FM1010" s="33" t="s">
        <v>339</v>
      </c>
    </row>
    <row r="1011" spans="1:169" ht="13" x14ac:dyDescent="0.15">
      <c r="A1011" s="47">
        <v>44662.888405891208</v>
      </c>
      <c r="B1011" s="33" t="s">
        <v>8</v>
      </c>
      <c r="C1011" s="33" t="s">
        <v>11</v>
      </c>
      <c r="AX1011" s="33" t="s">
        <v>3172</v>
      </c>
      <c r="AY1011" s="33" t="s">
        <v>3173</v>
      </c>
      <c r="AZ1011" s="33" t="s">
        <v>3231</v>
      </c>
      <c r="BA1011" s="33" t="s">
        <v>2990</v>
      </c>
      <c r="BB1011" s="33" t="s">
        <v>1332</v>
      </c>
      <c r="BC1011" s="34">
        <v>44494</v>
      </c>
      <c r="BD1011" s="34">
        <v>44555</v>
      </c>
      <c r="BE1011" s="34">
        <v>44555</v>
      </c>
      <c r="BF1011" s="33">
        <v>91</v>
      </c>
      <c r="BG1011" s="33" t="s">
        <v>3174</v>
      </c>
      <c r="BH1011" s="35" t="s">
        <v>3232</v>
      </c>
      <c r="FL1011" s="33" t="s">
        <v>3176</v>
      </c>
      <c r="FM1011" s="33" t="s">
        <v>552</v>
      </c>
    </row>
    <row r="1012" spans="1:169" ht="13" x14ac:dyDescent="0.15">
      <c r="A1012" s="47">
        <v>44662.889446354166</v>
      </c>
      <c r="B1012" s="33" t="s">
        <v>7</v>
      </c>
      <c r="C1012" s="33" t="s">
        <v>10</v>
      </c>
      <c r="AN1012" s="33" t="s">
        <v>3233</v>
      </c>
      <c r="AO1012" s="33" t="s">
        <v>3234</v>
      </c>
      <c r="AP1012" s="33" t="s">
        <v>307</v>
      </c>
      <c r="AQ1012" s="33" t="s">
        <v>300</v>
      </c>
      <c r="AR1012" s="34">
        <v>44492</v>
      </c>
      <c r="AS1012" s="34">
        <v>44545</v>
      </c>
      <c r="AT1012" s="33" t="s">
        <v>252</v>
      </c>
      <c r="AU1012" s="33" t="s">
        <v>252</v>
      </c>
      <c r="AV1012" s="33">
        <v>0</v>
      </c>
      <c r="AW1012" s="35" t="s">
        <v>3235</v>
      </c>
      <c r="FL1012" s="33" t="s">
        <v>3236</v>
      </c>
      <c r="FM1012" s="33" t="s">
        <v>278</v>
      </c>
    </row>
    <row r="1013" spans="1:169" ht="13" x14ac:dyDescent="0.15">
      <c r="A1013" s="47">
        <v>44662.889645381947</v>
      </c>
      <c r="B1013" s="33" t="s">
        <v>7</v>
      </c>
      <c r="C1013" s="33" t="s">
        <v>10</v>
      </c>
      <c r="AN1013" s="33" t="s">
        <v>3237</v>
      </c>
      <c r="AO1013" s="33" t="s">
        <v>3238</v>
      </c>
      <c r="AP1013" s="33" t="s">
        <v>307</v>
      </c>
      <c r="AQ1013" s="33" t="s">
        <v>300</v>
      </c>
      <c r="AR1013" s="34">
        <v>44635</v>
      </c>
      <c r="AS1013" s="34">
        <v>44545</v>
      </c>
      <c r="AT1013" s="33" t="s">
        <v>252</v>
      </c>
      <c r="AU1013" s="33" t="s">
        <v>252</v>
      </c>
      <c r="AV1013" s="33">
        <v>0</v>
      </c>
      <c r="AW1013" s="35" t="s">
        <v>3239</v>
      </c>
      <c r="FL1013" s="33" t="s">
        <v>3240</v>
      </c>
      <c r="FM1013" s="33" t="s">
        <v>278</v>
      </c>
    </row>
    <row r="1014" spans="1:169" ht="13" x14ac:dyDescent="0.15">
      <c r="A1014" s="47">
        <v>44662.891138194449</v>
      </c>
      <c r="B1014" s="33" t="s">
        <v>8</v>
      </c>
      <c r="C1014" s="33" t="s">
        <v>11</v>
      </c>
      <c r="AX1014" s="33" t="s">
        <v>3172</v>
      </c>
      <c r="AY1014" s="33" t="s">
        <v>3173</v>
      </c>
      <c r="AZ1014" s="33" t="s">
        <v>2365</v>
      </c>
      <c r="BA1014" s="33" t="s">
        <v>2812</v>
      </c>
      <c r="BB1014" s="33" t="s">
        <v>1332</v>
      </c>
      <c r="BC1014" s="34">
        <v>44494</v>
      </c>
      <c r="BD1014" s="34">
        <v>44555</v>
      </c>
      <c r="BE1014" s="34">
        <v>44555</v>
      </c>
      <c r="BF1014" s="33">
        <v>95</v>
      </c>
      <c r="BG1014" s="33" t="s">
        <v>3241</v>
      </c>
      <c r="BH1014" s="35" t="s">
        <v>3242</v>
      </c>
      <c r="FL1014" s="33" t="s">
        <v>3176</v>
      </c>
      <c r="FM1014" s="33" t="s">
        <v>552</v>
      </c>
    </row>
    <row r="1015" spans="1:169" ht="13" x14ac:dyDescent="0.15">
      <c r="A1015" s="47">
        <v>44662.894593124998</v>
      </c>
      <c r="B1015" s="33" t="s">
        <v>6</v>
      </c>
      <c r="C1015" s="33" t="s">
        <v>11</v>
      </c>
      <c r="AX1015" s="33" t="s">
        <v>3209</v>
      </c>
      <c r="AY1015" s="33" t="s">
        <v>3213</v>
      </c>
      <c r="AZ1015" s="33" t="s">
        <v>644</v>
      </c>
      <c r="BA1015" s="33" t="s">
        <v>3228</v>
      </c>
      <c r="BB1015" s="33" t="s">
        <v>2337</v>
      </c>
      <c r="BC1015" s="34">
        <v>44296</v>
      </c>
      <c r="BD1015" s="34">
        <v>44310</v>
      </c>
      <c r="BE1015" s="34">
        <v>44317</v>
      </c>
      <c r="BF1015" s="33" t="s">
        <v>1794</v>
      </c>
      <c r="BG1015" s="33" t="s">
        <v>3229</v>
      </c>
      <c r="BH1015" s="35" t="s">
        <v>3243</v>
      </c>
      <c r="FL1015" s="33" t="s">
        <v>3212</v>
      </c>
      <c r="FM1015" s="33" t="s">
        <v>339</v>
      </c>
    </row>
    <row r="1016" spans="1:169" ht="13" x14ac:dyDescent="0.15">
      <c r="A1016" s="47">
        <v>44662.89728902778</v>
      </c>
      <c r="B1016" s="33" t="s">
        <v>7</v>
      </c>
      <c r="C1016" s="33" t="s">
        <v>11</v>
      </c>
      <c r="AX1016" s="33" t="s">
        <v>3244</v>
      </c>
      <c r="AY1016" s="33" t="s">
        <v>3245</v>
      </c>
      <c r="AZ1016" s="33" t="s">
        <v>3246</v>
      </c>
      <c r="BA1016" s="33" t="s">
        <v>3247</v>
      </c>
      <c r="BB1016" s="33" t="s">
        <v>308</v>
      </c>
      <c r="BC1016" s="34">
        <v>44480</v>
      </c>
      <c r="BD1016" s="34">
        <v>44541</v>
      </c>
      <c r="BE1016" s="34">
        <v>44541</v>
      </c>
      <c r="BF1016" s="33" t="s">
        <v>3248</v>
      </c>
      <c r="BG1016" s="33" t="s">
        <v>3249</v>
      </c>
      <c r="BH1016" s="35" t="s">
        <v>3250</v>
      </c>
      <c r="FL1016" s="33" t="s">
        <v>3251</v>
      </c>
      <c r="FM1016" s="33" t="s">
        <v>278</v>
      </c>
    </row>
    <row r="1017" spans="1:169" ht="13" x14ac:dyDescent="0.15">
      <c r="A1017" s="47">
        <v>44662.89900928241</v>
      </c>
      <c r="B1017" s="33" t="s">
        <v>6</v>
      </c>
      <c r="C1017" s="33" t="s">
        <v>17</v>
      </c>
      <c r="DX1017" s="33" t="s">
        <v>3209</v>
      </c>
      <c r="DY1017" s="33" t="s">
        <v>3213</v>
      </c>
      <c r="DZ1017" s="33" t="s">
        <v>154</v>
      </c>
      <c r="EA1017" s="33" t="s">
        <v>3252</v>
      </c>
      <c r="EB1017" s="34">
        <v>44488</v>
      </c>
      <c r="EC1017" s="33" t="s">
        <v>2218</v>
      </c>
      <c r="ED1017" s="35" t="s">
        <v>3253</v>
      </c>
      <c r="FL1017" s="33" t="s">
        <v>3212</v>
      </c>
      <c r="FM1017" s="33" t="s">
        <v>552</v>
      </c>
    </row>
    <row r="1018" spans="1:169" ht="13" x14ac:dyDescent="0.15">
      <c r="A1018" s="47">
        <v>44662.900007743054</v>
      </c>
      <c r="B1018" s="33" t="s">
        <v>7</v>
      </c>
      <c r="C1018" s="33" t="s">
        <v>10</v>
      </c>
      <c r="AN1018" s="33" t="s">
        <v>3254</v>
      </c>
      <c r="AO1018" s="33" t="s">
        <v>3255</v>
      </c>
      <c r="AP1018" s="33" t="s">
        <v>307</v>
      </c>
      <c r="AQ1018" s="33" t="s">
        <v>300</v>
      </c>
      <c r="AR1018" s="34">
        <v>44477</v>
      </c>
      <c r="AS1018" s="34">
        <v>44547</v>
      </c>
      <c r="AT1018" s="33" t="s">
        <v>252</v>
      </c>
      <c r="AU1018" s="33" t="s">
        <v>252</v>
      </c>
      <c r="AV1018" s="33">
        <v>0</v>
      </c>
      <c r="AW1018" s="35" t="s">
        <v>3256</v>
      </c>
      <c r="FL1018" s="33" t="s">
        <v>3257</v>
      </c>
      <c r="FM1018" s="33" t="s">
        <v>278</v>
      </c>
    </row>
    <row r="1019" spans="1:169" ht="13" x14ac:dyDescent="0.15">
      <c r="A1019" s="47">
        <v>44662.901098750001</v>
      </c>
      <c r="B1019" s="33" t="s">
        <v>6</v>
      </c>
      <c r="C1019" s="33" t="s">
        <v>17</v>
      </c>
      <c r="DX1019" s="33" t="s">
        <v>3209</v>
      </c>
      <c r="DY1019" s="33" t="s">
        <v>3213</v>
      </c>
      <c r="DZ1019" s="33" t="s">
        <v>154</v>
      </c>
      <c r="EA1019" s="33" t="s">
        <v>3258</v>
      </c>
      <c r="EB1019" s="34">
        <v>44128</v>
      </c>
      <c r="EC1019" s="33" t="s">
        <v>2218</v>
      </c>
      <c r="ED1019" s="35" t="s">
        <v>3259</v>
      </c>
      <c r="FL1019" s="33" t="s">
        <v>3212</v>
      </c>
      <c r="FM1019" s="33" t="s">
        <v>321</v>
      </c>
    </row>
    <row r="1020" spans="1:169" ht="13" x14ac:dyDescent="0.15">
      <c r="A1020" s="47">
        <v>44662.902962881941</v>
      </c>
      <c r="B1020" s="33" t="s">
        <v>6</v>
      </c>
      <c r="C1020" s="33" t="s">
        <v>17</v>
      </c>
      <c r="DX1020" s="33" t="s">
        <v>3209</v>
      </c>
      <c r="DY1020" s="33" t="s">
        <v>3213</v>
      </c>
      <c r="DZ1020" s="33" t="s">
        <v>166</v>
      </c>
      <c r="EA1020" s="33" t="s">
        <v>3260</v>
      </c>
      <c r="EB1020" s="34">
        <v>44492</v>
      </c>
      <c r="EC1020" s="33" t="s">
        <v>2218</v>
      </c>
      <c r="ED1020" s="35" t="s">
        <v>3261</v>
      </c>
      <c r="FL1020" s="33" t="s">
        <v>3212</v>
      </c>
      <c r="FM1020" s="33" t="s">
        <v>339</v>
      </c>
    </row>
    <row r="1021" spans="1:169" ht="13" x14ac:dyDescent="0.15">
      <c r="A1021" s="47">
        <v>44662.906372951387</v>
      </c>
      <c r="B1021" s="33" t="s">
        <v>6</v>
      </c>
      <c r="C1021" s="33" t="s">
        <v>11</v>
      </c>
      <c r="AX1021" s="33" t="s">
        <v>3209</v>
      </c>
      <c r="AY1021" s="33" t="s">
        <v>3213</v>
      </c>
      <c r="AZ1021" s="33" t="s">
        <v>3262</v>
      </c>
      <c r="BA1021" s="33" t="s">
        <v>579</v>
      </c>
      <c r="BB1021" s="33" t="s">
        <v>3263</v>
      </c>
      <c r="BC1021" s="34">
        <v>44484</v>
      </c>
      <c r="BD1021" s="34">
        <v>44545</v>
      </c>
      <c r="BE1021" s="34">
        <v>44550</v>
      </c>
      <c r="BF1021" s="33" t="s">
        <v>1794</v>
      </c>
      <c r="BG1021" s="33" t="s">
        <v>3264</v>
      </c>
      <c r="BH1021" s="35" t="s">
        <v>3265</v>
      </c>
      <c r="FL1021" s="33" t="s">
        <v>3212</v>
      </c>
      <c r="FM1021" s="33" t="s">
        <v>273</v>
      </c>
    </row>
    <row r="1022" spans="1:169" ht="13" x14ac:dyDescent="0.15">
      <c r="A1022" s="47">
        <v>44662.90770221065</v>
      </c>
      <c r="B1022" s="33" t="s">
        <v>7</v>
      </c>
      <c r="C1022" s="33" t="s">
        <v>10</v>
      </c>
      <c r="AN1022" s="33" t="s">
        <v>3266</v>
      </c>
      <c r="AO1022" s="33" t="s">
        <v>3267</v>
      </c>
      <c r="AP1022" s="33" t="s">
        <v>307</v>
      </c>
      <c r="AQ1022" s="33" t="s">
        <v>300</v>
      </c>
      <c r="AR1022" s="34">
        <v>44470</v>
      </c>
      <c r="AS1022" s="34">
        <v>44561</v>
      </c>
      <c r="AT1022" s="33" t="s">
        <v>252</v>
      </c>
      <c r="AU1022" s="33" t="s">
        <v>252</v>
      </c>
      <c r="AV1022" s="33">
        <v>0</v>
      </c>
      <c r="AW1022" s="35" t="s">
        <v>3268</v>
      </c>
      <c r="FL1022" s="33" t="s">
        <v>3269</v>
      </c>
      <c r="FM1022" s="33" t="s">
        <v>278</v>
      </c>
    </row>
    <row r="1023" spans="1:169" ht="13" x14ac:dyDescent="0.15">
      <c r="A1023" s="47">
        <v>44662.909980497687</v>
      </c>
      <c r="B1023" s="33" t="s">
        <v>6</v>
      </c>
      <c r="C1023" s="17" t="s">
        <v>13</v>
      </c>
      <c r="BW1023" s="33" t="s">
        <v>3209</v>
      </c>
      <c r="BX1023" s="33" t="s">
        <v>3213</v>
      </c>
      <c r="BZ1023" s="33" t="s">
        <v>154</v>
      </c>
      <c r="CA1023" s="33" t="s">
        <v>3270</v>
      </c>
      <c r="CB1023" s="33" t="s">
        <v>454</v>
      </c>
      <c r="CC1023" s="33" t="s">
        <v>455</v>
      </c>
      <c r="CD1023" s="34">
        <v>43476</v>
      </c>
      <c r="CE1023" s="34">
        <v>43566</v>
      </c>
      <c r="CF1023" s="33">
        <v>73</v>
      </c>
      <c r="CG1023" s="35" t="s">
        <v>3271</v>
      </c>
      <c r="FL1023" s="33" t="s">
        <v>3212</v>
      </c>
      <c r="FM1023" s="33" t="s">
        <v>552</v>
      </c>
    </row>
    <row r="1024" spans="1:169" ht="13" x14ac:dyDescent="0.15">
      <c r="A1024" s="47">
        <v>44662.914336631948</v>
      </c>
      <c r="B1024" s="33" t="s">
        <v>6</v>
      </c>
      <c r="C1024" s="33" t="s">
        <v>11</v>
      </c>
      <c r="AX1024" s="33" t="s">
        <v>3209</v>
      </c>
      <c r="AY1024" s="33" t="s">
        <v>3210</v>
      </c>
      <c r="AZ1024" s="33" t="s">
        <v>3272</v>
      </c>
      <c r="BA1024" s="33" t="s">
        <v>343</v>
      </c>
      <c r="BB1024" s="33" t="s">
        <v>1808</v>
      </c>
      <c r="BC1024" s="34">
        <v>44612</v>
      </c>
      <c r="BD1024" s="34">
        <v>44655</v>
      </c>
      <c r="BE1024" s="34">
        <v>44661</v>
      </c>
      <c r="BF1024" s="33" t="s">
        <v>1794</v>
      </c>
      <c r="BG1024" s="33" t="s">
        <v>3273</v>
      </c>
      <c r="BH1024" s="35" t="s">
        <v>3274</v>
      </c>
      <c r="FL1024" s="33" t="s">
        <v>3212</v>
      </c>
      <c r="FM1024" s="33" t="s">
        <v>273</v>
      </c>
    </row>
    <row r="1025" spans="1:187" ht="13" x14ac:dyDescent="0.15">
      <c r="A1025" s="47">
        <v>44662.923822881945</v>
      </c>
      <c r="B1025" s="33" t="s">
        <v>7</v>
      </c>
      <c r="C1025" s="33" t="s">
        <v>11</v>
      </c>
      <c r="AX1025" s="33" t="s">
        <v>3275</v>
      </c>
      <c r="AY1025" s="33" t="s">
        <v>3267</v>
      </c>
      <c r="AZ1025" s="33" t="s">
        <v>2550</v>
      </c>
      <c r="BA1025" s="33" t="s">
        <v>2488</v>
      </c>
      <c r="BB1025" s="33" t="s">
        <v>493</v>
      </c>
      <c r="BC1025" s="34">
        <v>44294</v>
      </c>
      <c r="BD1025" s="34">
        <v>44322</v>
      </c>
      <c r="BE1025" s="34">
        <v>44321</v>
      </c>
      <c r="BF1025" s="33" t="s">
        <v>470</v>
      </c>
      <c r="BG1025" s="33" t="s">
        <v>3276</v>
      </c>
      <c r="BH1025" s="35" t="s">
        <v>3277</v>
      </c>
      <c r="FL1025" s="33" t="s">
        <v>3269</v>
      </c>
      <c r="FM1025" s="33" t="s">
        <v>278</v>
      </c>
    </row>
    <row r="1026" spans="1:187" ht="13" x14ac:dyDescent="0.15">
      <c r="A1026" s="47">
        <v>44662.928126087965</v>
      </c>
      <c r="B1026" s="33" t="s">
        <v>7</v>
      </c>
      <c r="C1026" s="33" t="s">
        <v>11</v>
      </c>
      <c r="AX1026" s="33" t="s">
        <v>3275</v>
      </c>
      <c r="AY1026" s="33" t="s">
        <v>3267</v>
      </c>
      <c r="AZ1026" s="33" t="s">
        <v>3278</v>
      </c>
      <c r="BA1026" s="33" t="s">
        <v>335</v>
      </c>
      <c r="BB1026" s="33" t="s">
        <v>2333</v>
      </c>
      <c r="BC1026" s="34">
        <v>44539</v>
      </c>
      <c r="BD1026" s="34">
        <v>44372</v>
      </c>
      <c r="BE1026" s="34">
        <v>44370</v>
      </c>
      <c r="BF1026" s="33" t="s">
        <v>470</v>
      </c>
      <c r="BG1026" s="33" t="s">
        <v>3279</v>
      </c>
      <c r="BH1026" s="35" t="s">
        <v>3280</v>
      </c>
      <c r="FL1026" s="33" t="s">
        <v>3269</v>
      </c>
      <c r="FM1026" s="33" t="s">
        <v>278</v>
      </c>
    </row>
    <row r="1027" spans="1:187" ht="13" x14ac:dyDescent="0.15">
      <c r="A1027" s="47">
        <v>44662.928712303241</v>
      </c>
      <c r="B1027" s="33" t="s">
        <v>7</v>
      </c>
      <c r="C1027" s="33" t="s">
        <v>10</v>
      </c>
      <c r="AN1027" s="33" t="s">
        <v>3281</v>
      </c>
      <c r="AO1027" s="33" t="s">
        <v>3282</v>
      </c>
      <c r="AP1027" s="33" t="s">
        <v>307</v>
      </c>
      <c r="AQ1027" s="33" t="s">
        <v>300</v>
      </c>
      <c r="AR1027" s="34">
        <v>44470</v>
      </c>
      <c r="AS1027" s="34">
        <v>44542</v>
      </c>
      <c r="AT1027" s="33" t="s">
        <v>252</v>
      </c>
      <c r="AU1027" s="33" t="s">
        <v>252</v>
      </c>
      <c r="AV1027" s="33">
        <v>0</v>
      </c>
      <c r="AW1027" s="35" t="s">
        <v>3283</v>
      </c>
      <c r="FL1027" s="33" t="s">
        <v>3284</v>
      </c>
      <c r="FM1027" s="33" t="s">
        <v>278</v>
      </c>
    </row>
    <row r="1028" spans="1:187" ht="13" x14ac:dyDescent="0.15">
      <c r="A1028" s="47">
        <v>44662.93022490741</v>
      </c>
      <c r="B1028" s="33" t="s">
        <v>7</v>
      </c>
      <c r="C1028" s="33" t="s">
        <v>10</v>
      </c>
      <c r="AN1028" s="33" t="s">
        <v>3285</v>
      </c>
      <c r="AO1028" s="33" t="s">
        <v>3286</v>
      </c>
      <c r="AP1028" s="33" t="s">
        <v>307</v>
      </c>
      <c r="AQ1028" s="33" t="s">
        <v>300</v>
      </c>
      <c r="AR1028" s="34">
        <v>44470</v>
      </c>
      <c r="AS1028" s="34">
        <v>44542</v>
      </c>
      <c r="AT1028" s="33" t="s">
        <v>252</v>
      </c>
      <c r="AU1028" s="33" t="s">
        <v>252</v>
      </c>
      <c r="AV1028" s="33">
        <v>0</v>
      </c>
      <c r="AW1028" s="35" t="s">
        <v>3287</v>
      </c>
      <c r="FL1028" s="33" t="s">
        <v>3288</v>
      </c>
      <c r="FM1028" s="33" t="s">
        <v>278</v>
      </c>
    </row>
    <row r="1029" spans="1:187" ht="13" x14ac:dyDescent="0.15">
      <c r="A1029" s="47">
        <v>44662.930548530094</v>
      </c>
      <c r="B1029" s="33" t="s">
        <v>7</v>
      </c>
      <c r="C1029" s="33" t="s">
        <v>11</v>
      </c>
      <c r="AX1029" s="33" t="s">
        <v>3275</v>
      </c>
      <c r="AY1029" s="33" t="s">
        <v>3267</v>
      </c>
      <c r="AZ1029" s="33" t="s">
        <v>3289</v>
      </c>
      <c r="BA1029" s="33" t="s">
        <v>335</v>
      </c>
      <c r="BB1029" s="33" t="s">
        <v>2333</v>
      </c>
      <c r="BC1029" s="34">
        <v>44443</v>
      </c>
      <c r="BD1029" s="34">
        <v>44604</v>
      </c>
      <c r="BE1029" s="34">
        <v>44601</v>
      </c>
      <c r="BF1029" s="33" t="s">
        <v>3290</v>
      </c>
      <c r="BG1029" s="33" t="s">
        <v>2159</v>
      </c>
      <c r="BH1029" s="35" t="s">
        <v>3291</v>
      </c>
      <c r="FL1029" s="33" t="s">
        <v>3269</v>
      </c>
      <c r="FM1029" s="33" t="s">
        <v>278</v>
      </c>
    </row>
    <row r="1030" spans="1:187" ht="13" x14ac:dyDescent="0.15">
      <c r="A1030" s="47">
        <v>44662.930793009262</v>
      </c>
      <c r="B1030" s="33" t="s">
        <v>7</v>
      </c>
      <c r="C1030" s="33" t="s">
        <v>10</v>
      </c>
      <c r="AN1030" s="33" t="s">
        <v>3292</v>
      </c>
      <c r="AO1030" s="33" t="s">
        <v>3293</v>
      </c>
      <c r="AP1030" s="33" t="s">
        <v>307</v>
      </c>
      <c r="AQ1030" s="33" t="s">
        <v>300</v>
      </c>
      <c r="AR1030" s="34">
        <v>44492</v>
      </c>
      <c r="AS1030" s="34">
        <v>44548</v>
      </c>
      <c r="AT1030" s="33" t="s">
        <v>252</v>
      </c>
      <c r="AU1030" s="33" t="s">
        <v>252</v>
      </c>
      <c r="AV1030" s="33">
        <v>0</v>
      </c>
      <c r="AW1030" s="35" t="s">
        <v>3294</v>
      </c>
      <c r="FL1030" s="33" t="s">
        <v>3295</v>
      </c>
      <c r="FM1030" s="33" t="s">
        <v>278</v>
      </c>
    </row>
    <row r="1031" spans="1:187" ht="13" x14ac:dyDescent="0.15">
      <c r="A1031" s="47">
        <v>44662.931949050922</v>
      </c>
      <c r="B1031" s="33" t="s">
        <v>6</v>
      </c>
      <c r="C1031" s="33" t="s">
        <v>11</v>
      </c>
      <c r="AX1031" s="33" t="s">
        <v>3296</v>
      </c>
      <c r="AY1031" s="33" t="s">
        <v>3297</v>
      </c>
      <c r="AZ1031" s="33" t="s">
        <v>3298</v>
      </c>
      <c r="BA1031" s="33" t="s">
        <v>2488</v>
      </c>
      <c r="BB1031" s="33" t="s">
        <v>507</v>
      </c>
      <c r="BC1031" s="34">
        <v>44323</v>
      </c>
      <c r="BD1031" s="34">
        <v>44376</v>
      </c>
      <c r="BE1031" s="34">
        <v>44379</v>
      </c>
      <c r="BF1031" s="33">
        <v>100</v>
      </c>
      <c r="BG1031" s="33" t="s">
        <v>1633</v>
      </c>
      <c r="BH1031" s="35" t="s">
        <v>3299</v>
      </c>
      <c r="FL1031" s="33" t="s">
        <v>3300</v>
      </c>
      <c r="FM1031" s="33" t="s">
        <v>552</v>
      </c>
    </row>
    <row r="1032" spans="1:187" ht="13" x14ac:dyDescent="0.15">
      <c r="A1032" s="47">
        <v>44662.932265844909</v>
      </c>
      <c r="B1032" s="33" t="s">
        <v>7</v>
      </c>
      <c r="C1032" s="33" t="s">
        <v>10</v>
      </c>
      <c r="AN1032" s="33" t="s">
        <v>3301</v>
      </c>
      <c r="AO1032" s="33" t="s">
        <v>3302</v>
      </c>
      <c r="AP1032" s="33" t="s">
        <v>307</v>
      </c>
      <c r="AQ1032" s="33" t="s">
        <v>300</v>
      </c>
      <c r="AR1032" s="34">
        <v>44470</v>
      </c>
      <c r="AS1032" s="34">
        <v>44542</v>
      </c>
      <c r="AT1032" s="33" t="s">
        <v>252</v>
      </c>
      <c r="AU1032" s="33" t="s">
        <v>252</v>
      </c>
      <c r="AV1032" s="33">
        <v>0</v>
      </c>
      <c r="AW1032" s="35" t="s">
        <v>3303</v>
      </c>
      <c r="FL1032" s="33" t="s">
        <v>3304</v>
      </c>
      <c r="FM1032" s="33" t="s">
        <v>278</v>
      </c>
    </row>
    <row r="1033" spans="1:187" ht="13" x14ac:dyDescent="0.15">
      <c r="A1033" s="47">
        <v>44662.933829641202</v>
      </c>
      <c r="B1033" s="33" t="s">
        <v>7</v>
      </c>
      <c r="C1033" s="33" t="s">
        <v>21</v>
      </c>
      <c r="FL1033" s="33" t="s">
        <v>3305</v>
      </c>
      <c r="FM1033" s="33" t="s">
        <v>278</v>
      </c>
      <c r="FZ1033" s="33" t="s">
        <v>3306</v>
      </c>
      <c r="GA1033" s="33" t="s">
        <v>3307</v>
      </c>
      <c r="GB1033" s="33" t="s">
        <v>3308</v>
      </c>
      <c r="GC1033" s="34">
        <v>44462</v>
      </c>
      <c r="GE1033" s="34">
        <v>45078</v>
      </c>
    </row>
    <row r="1034" spans="1:187" ht="13" x14ac:dyDescent="0.15">
      <c r="A1034" s="47">
        <v>44662.935004803236</v>
      </c>
      <c r="B1034" s="33" t="s">
        <v>7</v>
      </c>
      <c r="C1034" s="33" t="s">
        <v>10</v>
      </c>
      <c r="AN1034" s="33" t="s">
        <v>3309</v>
      </c>
      <c r="AO1034" s="33" t="s">
        <v>3310</v>
      </c>
      <c r="AP1034" s="33" t="s">
        <v>2828</v>
      </c>
      <c r="AQ1034" s="33" t="s">
        <v>300</v>
      </c>
      <c r="AR1034" s="34">
        <v>44492</v>
      </c>
      <c r="AS1034" s="34">
        <v>44548</v>
      </c>
      <c r="AT1034" s="33" t="s">
        <v>252</v>
      </c>
      <c r="AU1034" s="33" t="s">
        <v>252</v>
      </c>
      <c r="AV1034" s="33">
        <v>0</v>
      </c>
      <c r="AW1034" s="35" t="s">
        <v>3311</v>
      </c>
      <c r="FL1034" s="33" t="s">
        <v>3312</v>
      </c>
      <c r="FM1034" s="33" t="s">
        <v>278</v>
      </c>
    </row>
    <row r="1035" spans="1:187" ht="13" x14ac:dyDescent="0.15">
      <c r="A1035" s="47">
        <v>44662.936805844904</v>
      </c>
      <c r="B1035" s="33" t="s">
        <v>6</v>
      </c>
      <c r="C1035" s="33" t="s">
        <v>11</v>
      </c>
      <c r="AX1035" s="33" t="s">
        <v>3313</v>
      </c>
      <c r="AY1035" s="33" t="s">
        <v>3297</v>
      </c>
      <c r="AZ1035" s="33" t="s">
        <v>374</v>
      </c>
      <c r="BA1035" s="33" t="s">
        <v>335</v>
      </c>
      <c r="BB1035" s="33" t="s">
        <v>1954</v>
      </c>
      <c r="BC1035" s="34">
        <v>43647</v>
      </c>
      <c r="BD1035" s="34">
        <v>43681</v>
      </c>
      <c r="BE1035" s="34">
        <v>43803</v>
      </c>
      <c r="BF1035" s="48">
        <v>0.84</v>
      </c>
      <c r="BG1035" s="33" t="s">
        <v>3314</v>
      </c>
      <c r="BH1035" s="35" t="s">
        <v>3315</v>
      </c>
      <c r="FL1035" s="33" t="s">
        <v>3300</v>
      </c>
      <c r="FM1035" s="33" t="s">
        <v>412</v>
      </c>
    </row>
    <row r="1036" spans="1:187" ht="13" x14ac:dyDescent="0.15">
      <c r="A1036" s="47">
        <v>44662.938115694444</v>
      </c>
      <c r="B1036" s="33" t="s">
        <v>7</v>
      </c>
      <c r="C1036" s="33" t="s">
        <v>10</v>
      </c>
      <c r="AN1036" s="33" t="s">
        <v>3316</v>
      </c>
      <c r="AO1036" s="33" t="s">
        <v>3317</v>
      </c>
      <c r="AP1036" s="33" t="s">
        <v>307</v>
      </c>
      <c r="AQ1036" s="33" t="s">
        <v>300</v>
      </c>
      <c r="AR1036" s="34">
        <v>44492</v>
      </c>
      <c r="AS1036" s="34">
        <v>44548</v>
      </c>
      <c r="AT1036" s="33" t="s">
        <v>252</v>
      </c>
      <c r="AU1036" s="33" t="s">
        <v>252</v>
      </c>
      <c r="AV1036" s="33">
        <v>0</v>
      </c>
      <c r="AW1036" s="35" t="s">
        <v>3318</v>
      </c>
      <c r="FL1036" s="33" t="s">
        <v>3319</v>
      </c>
      <c r="FM1036" s="33" t="s">
        <v>278</v>
      </c>
    </row>
    <row r="1037" spans="1:187" ht="13" x14ac:dyDescent="0.15">
      <c r="A1037" s="47">
        <v>44662.939672534718</v>
      </c>
      <c r="B1037" s="33" t="s">
        <v>6</v>
      </c>
      <c r="C1037" s="33" t="s">
        <v>11</v>
      </c>
      <c r="AX1037" s="33" t="s">
        <v>3296</v>
      </c>
      <c r="AY1037" s="33" t="s">
        <v>3297</v>
      </c>
      <c r="AZ1037" s="33" t="s">
        <v>3320</v>
      </c>
      <c r="BA1037" s="33" t="s">
        <v>335</v>
      </c>
      <c r="BB1037" s="33" t="s">
        <v>2482</v>
      </c>
      <c r="BC1037" s="34">
        <v>43525</v>
      </c>
      <c r="BD1037" s="34">
        <v>43646</v>
      </c>
      <c r="BE1037" s="34">
        <v>43675</v>
      </c>
      <c r="BF1037" s="48">
        <v>1</v>
      </c>
      <c r="BG1037" s="33" t="s">
        <v>3314</v>
      </c>
      <c r="BH1037" s="35" t="s">
        <v>3321</v>
      </c>
      <c r="FL1037" s="33" t="s">
        <v>3300</v>
      </c>
      <c r="FM1037" s="33" t="s">
        <v>380</v>
      </c>
    </row>
    <row r="1038" spans="1:187" ht="13" x14ac:dyDescent="0.15">
      <c r="A1038" s="47">
        <v>44662.942145740744</v>
      </c>
      <c r="B1038" s="33" t="s">
        <v>6</v>
      </c>
      <c r="C1038" s="33" t="s">
        <v>11</v>
      </c>
      <c r="AX1038" s="33" t="s">
        <v>3296</v>
      </c>
      <c r="AY1038" s="33" t="s">
        <v>3297</v>
      </c>
      <c r="AZ1038" s="33" t="s">
        <v>1364</v>
      </c>
      <c r="BA1038" s="33" t="s">
        <v>335</v>
      </c>
      <c r="BB1038" s="33" t="s">
        <v>698</v>
      </c>
      <c r="BC1038" s="34">
        <v>43933</v>
      </c>
      <c r="BD1038" s="34">
        <v>43963</v>
      </c>
      <c r="BE1038" s="34">
        <v>43965</v>
      </c>
      <c r="BF1038" s="48">
        <v>0.9</v>
      </c>
      <c r="BG1038" s="33" t="s">
        <v>3314</v>
      </c>
      <c r="BH1038" s="35" t="s">
        <v>3322</v>
      </c>
      <c r="FL1038" s="33" t="s">
        <v>3300</v>
      </c>
      <c r="FM1038" s="33" t="s">
        <v>321</v>
      </c>
    </row>
    <row r="1039" spans="1:187" ht="13" x14ac:dyDescent="0.15">
      <c r="A1039" s="47">
        <v>44662.94994288194</v>
      </c>
      <c r="B1039" s="33" t="s">
        <v>7</v>
      </c>
      <c r="C1039" s="33" t="s">
        <v>10</v>
      </c>
      <c r="AN1039" s="33" t="s">
        <v>3323</v>
      </c>
      <c r="AO1039" s="33" t="s">
        <v>3324</v>
      </c>
      <c r="AP1039" s="33" t="s">
        <v>307</v>
      </c>
      <c r="AQ1039" s="33" t="s">
        <v>389</v>
      </c>
      <c r="AR1039" s="34">
        <v>44492</v>
      </c>
      <c r="AS1039" s="34">
        <v>44548</v>
      </c>
      <c r="AT1039" s="33" t="s">
        <v>252</v>
      </c>
      <c r="AU1039" s="33" t="s">
        <v>252</v>
      </c>
      <c r="AV1039" s="33">
        <v>0</v>
      </c>
      <c r="AW1039" s="35" t="s">
        <v>3325</v>
      </c>
      <c r="FL1039" s="33" t="s">
        <v>3326</v>
      </c>
      <c r="FM1039" s="33" t="s">
        <v>278</v>
      </c>
    </row>
    <row r="1040" spans="1:187" ht="13" x14ac:dyDescent="0.15">
      <c r="A1040" s="47">
        <v>44662.952392094907</v>
      </c>
      <c r="B1040" s="33" t="s">
        <v>6</v>
      </c>
      <c r="C1040" s="33" t="s">
        <v>11</v>
      </c>
      <c r="AX1040" s="33" t="s">
        <v>3209</v>
      </c>
      <c r="AY1040" s="33" t="s">
        <v>3213</v>
      </c>
      <c r="AZ1040" s="33" t="s">
        <v>500</v>
      </c>
      <c r="BA1040" s="33" t="s">
        <v>375</v>
      </c>
      <c r="BB1040" s="33" t="s">
        <v>1801</v>
      </c>
      <c r="BC1040" s="34">
        <v>43513</v>
      </c>
      <c r="BD1040" s="34">
        <v>43649</v>
      </c>
      <c r="BE1040" s="34">
        <v>44745</v>
      </c>
      <c r="BF1040" s="33" t="s">
        <v>1794</v>
      </c>
      <c r="BG1040" s="33" t="s">
        <v>392</v>
      </c>
      <c r="BH1040" s="35" t="s">
        <v>3327</v>
      </c>
      <c r="FL1040" s="33" t="s">
        <v>3212</v>
      </c>
      <c r="FM1040" s="33" t="s">
        <v>552</v>
      </c>
    </row>
    <row r="1041" spans="1:169" ht="13" x14ac:dyDescent="0.15">
      <c r="A1041" s="47">
        <v>44662.953969502312</v>
      </c>
      <c r="B1041" s="33" t="s">
        <v>6</v>
      </c>
      <c r="C1041" s="33" t="s">
        <v>11</v>
      </c>
      <c r="AX1041" s="33" t="s">
        <v>3296</v>
      </c>
      <c r="AY1041" s="33" t="s">
        <v>3297</v>
      </c>
      <c r="AZ1041" s="33" t="s">
        <v>3328</v>
      </c>
      <c r="BA1041" s="33" t="s">
        <v>335</v>
      </c>
      <c r="BB1041" s="33" t="s">
        <v>698</v>
      </c>
      <c r="BC1041" s="34">
        <v>43957</v>
      </c>
      <c r="BD1041" s="34">
        <v>43988</v>
      </c>
      <c r="BE1041" s="34">
        <v>43989</v>
      </c>
      <c r="BF1041" s="48">
        <v>1</v>
      </c>
      <c r="BG1041" s="33" t="s">
        <v>3314</v>
      </c>
      <c r="BH1041" s="35" t="s">
        <v>3329</v>
      </c>
      <c r="FL1041" s="33" t="s">
        <v>3300</v>
      </c>
      <c r="FM1041" s="33" t="s">
        <v>321</v>
      </c>
    </row>
    <row r="1042" spans="1:169" ht="13" x14ac:dyDescent="0.15">
      <c r="A1042" s="47">
        <v>44662.954131412036</v>
      </c>
      <c r="B1042" s="33" t="s">
        <v>8</v>
      </c>
      <c r="C1042" s="33" t="s">
        <v>11</v>
      </c>
      <c r="AX1042" s="33" t="s">
        <v>3330</v>
      </c>
      <c r="AY1042" s="33" t="s">
        <v>3331</v>
      </c>
      <c r="AZ1042" s="33" t="s">
        <v>853</v>
      </c>
      <c r="BA1042" s="33" t="s">
        <v>375</v>
      </c>
      <c r="BB1042" s="33" t="s">
        <v>308</v>
      </c>
      <c r="BC1042" s="34">
        <v>44378</v>
      </c>
      <c r="BD1042" s="34">
        <v>44440</v>
      </c>
      <c r="BE1042" s="34">
        <v>44440</v>
      </c>
      <c r="BF1042" s="33">
        <v>91</v>
      </c>
      <c r="BG1042" s="33" t="s">
        <v>3332</v>
      </c>
      <c r="BH1042" s="35" t="s">
        <v>3333</v>
      </c>
      <c r="FL1042" s="33" t="s">
        <v>3334</v>
      </c>
      <c r="FM1042" s="33" t="s">
        <v>321</v>
      </c>
    </row>
    <row r="1043" spans="1:169" ht="13" x14ac:dyDescent="0.15">
      <c r="A1043" s="47">
        <v>44662.954499027779</v>
      </c>
      <c r="B1043" s="33" t="s">
        <v>7</v>
      </c>
      <c r="C1043" s="33" t="s">
        <v>10</v>
      </c>
      <c r="AN1043" s="33" t="s">
        <v>3306</v>
      </c>
      <c r="AO1043" s="33" t="s">
        <v>3307</v>
      </c>
      <c r="AP1043" s="33" t="s">
        <v>307</v>
      </c>
      <c r="AQ1043" s="33" t="s">
        <v>300</v>
      </c>
      <c r="AR1043" s="34">
        <v>44485</v>
      </c>
      <c r="AS1043" s="34">
        <v>44548</v>
      </c>
      <c r="AT1043" s="33" t="s">
        <v>252</v>
      </c>
      <c r="AU1043" s="33" t="s">
        <v>252</v>
      </c>
      <c r="AV1043" s="33">
        <v>0</v>
      </c>
      <c r="AW1043" s="35" t="s">
        <v>3335</v>
      </c>
      <c r="FL1043" s="33" t="s">
        <v>3305</v>
      </c>
      <c r="FM1043" s="33" t="s">
        <v>278</v>
      </c>
    </row>
    <row r="1044" spans="1:169" ht="13" x14ac:dyDescent="0.15">
      <c r="A1044" s="47">
        <v>44662.955823807875</v>
      </c>
      <c r="B1044" s="33" t="s">
        <v>7</v>
      </c>
      <c r="C1044" s="33" t="s">
        <v>10</v>
      </c>
      <c r="AN1044" s="33" t="s">
        <v>3336</v>
      </c>
      <c r="AO1044" s="33" t="s">
        <v>3337</v>
      </c>
      <c r="AP1044" s="33" t="s">
        <v>307</v>
      </c>
      <c r="AQ1044" s="33" t="s">
        <v>448</v>
      </c>
      <c r="AR1044" s="34">
        <v>44492</v>
      </c>
      <c r="AS1044" s="34">
        <v>44548</v>
      </c>
      <c r="AT1044" s="33" t="s">
        <v>252</v>
      </c>
      <c r="AU1044" s="33" t="s">
        <v>252</v>
      </c>
      <c r="AV1044" s="33">
        <v>0</v>
      </c>
      <c r="AW1044" s="35" t="s">
        <v>3338</v>
      </c>
      <c r="FL1044" s="33" t="s">
        <v>3339</v>
      </c>
      <c r="FM1044" s="33" t="s">
        <v>278</v>
      </c>
    </row>
    <row r="1045" spans="1:169" ht="13" x14ac:dyDescent="0.15">
      <c r="A1045" s="47">
        <v>44662.956520717591</v>
      </c>
      <c r="B1045" s="33" t="s">
        <v>7</v>
      </c>
      <c r="C1045" s="33" t="s">
        <v>10</v>
      </c>
      <c r="AN1045" s="33" t="s">
        <v>3306</v>
      </c>
      <c r="AO1045" s="33" t="s">
        <v>3307</v>
      </c>
      <c r="AP1045" s="33" t="s">
        <v>3340</v>
      </c>
      <c r="AQ1045" s="33" t="s">
        <v>879</v>
      </c>
      <c r="AR1045" s="34">
        <v>44338</v>
      </c>
      <c r="AS1045" s="34">
        <v>44367</v>
      </c>
      <c r="AT1045" s="33" t="s">
        <v>252</v>
      </c>
      <c r="AU1045" s="33" t="s">
        <v>252</v>
      </c>
      <c r="AV1045" s="33">
        <v>0</v>
      </c>
      <c r="AW1045" s="35" t="s">
        <v>3341</v>
      </c>
      <c r="FL1045" s="33" t="s">
        <v>3305</v>
      </c>
      <c r="FM1045" s="33" t="s">
        <v>278</v>
      </c>
    </row>
    <row r="1046" spans="1:169" ht="13" x14ac:dyDescent="0.15">
      <c r="A1046" s="47">
        <v>44662.959679664353</v>
      </c>
      <c r="B1046" s="33" t="s">
        <v>8</v>
      </c>
      <c r="C1046" s="33" t="s">
        <v>11</v>
      </c>
      <c r="AX1046" s="33" t="s">
        <v>3330</v>
      </c>
      <c r="AY1046" s="33" t="s">
        <v>3331</v>
      </c>
      <c r="AZ1046" s="33" t="s">
        <v>2885</v>
      </c>
      <c r="BA1046" s="33" t="s">
        <v>375</v>
      </c>
      <c r="BB1046" s="33" t="s">
        <v>308</v>
      </c>
      <c r="BC1046" s="34">
        <v>44596</v>
      </c>
      <c r="BD1046" s="34">
        <v>44655</v>
      </c>
      <c r="BE1046" s="34">
        <v>44655</v>
      </c>
      <c r="BF1046" s="33">
        <v>90</v>
      </c>
      <c r="BG1046" s="33" t="s">
        <v>3332</v>
      </c>
      <c r="BH1046" s="35" t="s">
        <v>3342</v>
      </c>
      <c r="FL1046" s="33" t="s">
        <v>3334</v>
      </c>
      <c r="FM1046" s="33" t="s">
        <v>321</v>
      </c>
    </row>
    <row r="1047" spans="1:169" ht="13" x14ac:dyDescent="0.15">
      <c r="A1047" s="47">
        <v>44662.961701921296</v>
      </c>
      <c r="B1047" s="33" t="s">
        <v>8</v>
      </c>
      <c r="C1047" s="33" t="s">
        <v>10</v>
      </c>
      <c r="AN1047" s="33" t="s">
        <v>3330</v>
      </c>
      <c r="AO1047" s="33" t="s">
        <v>3331</v>
      </c>
      <c r="AP1047" s="33" t="s">
        <v>875</v>
      </c>
      <c r="AQ1047" s="33" t="s">
        <v>308</v>
      </c>
      <c r="AR1047" s="34">
        <v>44470</v>
      </c>
      <c r="AS1047" s="34">
        <v>44531</v>
      </c>
      <c r="AT1047" s="33" t="s">
        <v>252</v>
      </c>
      <c r="AU1047" s="33" t="s">
        <v>252</v>
      </c>
      <c r="AV1047" s="33">
        <v>0</v>
      </c>
      <c r="AW1047" s="35" t="s">
        <v>3343</v>
      </c>
      <c r="FL1047" s="33" t="s">
        <v>3334</v>
      </c>
      <c r="FM1047" s="33" t="s">
        <v>321</v>
      </c>
    </row>
    <row r="1048" spans="1:169" ht="13" x14ac:dyDescent="0.15">
      <c r="A1048" s="47">
        <v>44662.962323726853</v>
      </c>
      <c r="B1048" s="33" t="s">
        <v>6</v>
      </c>
      <c r="C1048" s="33" t="s">
        <v>11</v>
      </c>
      <c r="AX1048" s="33" t="s">
        <v>3209</v>
      </c>
      <c r="AY1048" s="33" t="s">
        <v>3213</v>
      </c>
      <c r="AZ1048" s="33" t="s">
        <v>716</v>
      </c>
      <c r="BA1048" s="33" t="s">
        <v>335</v>
      </c>
      <c r="BB1048" s="33" t="s">
        <v>3344</v>
      </c>
      <c r="BC1048" s="34">
        <v>43547</v>
      </c>
      <c r="BD1048" s="34">
        <v>43585</v>
      </c>
      <c r="BE1048" s="34">
        <v>43585</v>
      </c>
      <c r="BF1048" s="33" t="s">
        <v>1794</v>
      </c>
      <c r="BG1048" s="33" t="s">
        <v>392</v>
      </c>
      <c r="BH1048" s="35" t="s">
        <v>3345</v>
      </c>
      <c r="FL1048" s="33" t="s">
        <v>3212</v>
      </c>
      <c r="FM1048" s="33" t="s">
        <v>380</v>
      </c>
    </row>
    <row r="1049" spans="1:169" ht="13" x14ac:dyDescent="0.15">
      <c r="A1049" s="47">
        <v>44662.962502361115</v>
      </c>
      <c r="B1049" s="33" t="s">
        <v>6</v>
      </c>
      <c r="C1049" s="33" t="s">
        <v>11</v>
      </c>
      <c r="AX1049" s="33" t="s">
        <v>3346</v>
      </c>
      <c r="AY1049" s="33" t="s">
        <v>3347</v>
      </c>
      <c r="AZ1049" s="33" t="s">
        <v>3348</v>
      </c>
      <c r="BA1049" s="33" t="s">
        <v>1854</v>
      </c>
      <c r="BB1049" s="33" t="s">
        <v>3349</v>
      </c>
      <c r="BC1049" s="34">
        <v>44654</v>
      </c>
      <c r="BD1049" s="34">
        <v>44659</v>
      </c>
      <c r="BE1049" s="34">
        <v>44663</v>
      </c>
      <c r="BF1049" s="33">
        <v>90</v>
      </c>
      <c r="BG1049" s="33" t="s">
        <v>3350</v>
      </c>
      <c r="BH1049" s="35" t="s">
        <v>3351</v>
      </c>
      <c r="FL1049" s="33" t="s">
        <v>3352</v>
      </c>
      <c r="FM1049" s="33" t="s">
        <v>255</v>
      </c>
    </row>
    <row r="1050" spans="1:169" ht="13" x14ac:dyDescent="0.15">
      <c r="A1050" s="47">
        <v>44662.964741053242</v>
      </c>
      <c r="B1050" s="33" t="s">
        <v>6</v>
      </c>
      <c r="C1050" s="33" t="s">
        <v>11</v>
      </c>
      <c r="AX1050" s="33" t="s">
        <v>3346</v>
      </c>
      <c r="AY1050" s="33" t="s">
        <v>3347</v>
      </c>
      <c r="AZ1050" s="33" t="s">
        <v>3353</v>
      </c>
      <c r="BA1050" s="33" t="s">
        <v>1854</v>
      </c>
      <c r="BB1050" s="33" t="s">
        <v>3354</v>
      </c>
      <c r="BC1050" s="34">
        <v>44654</v>
      </c>
      <c r="BD1050" s="34">
        <v>44663</v>
      </c>
      <c r="BE1050" s="34">
        <v>44663</v>
      </c>
      <c r="BF1050" s="33">
        <v>91</v>
      </c>
      <c r="BG1050" s="33" t="s">
        <v>3355</v>
      </c>
      <c r="BH1050" s="35" t="s">
        <v>3356</v>
      </c>
      <c r="FL1050" s="33" t="s">
        <v>3352</v>
      </c>
      <c r="FM1050" s="33" t="s">
        <v>255</v>
      </c>
    </row>
    <row r="1051" spans="1:169" ht="13" x14ac:dyDescent="0.15">
      <c r="A1051" s="47">
        <v>44662.965785162036</v>
      </c>
      <c r="B1051" s="33" t="s">
        <v>8</v>
      </c>
      <c r="C1051" s="33" t="s">
        <v>11</v>
      </c>
      <c r="AX1051" s="33" t="s">
        <v>3357</v>
      </c>
      <c r="AY1051" s="33" t="s">
        <v>3358</v>
      </c>
      <c r="AZ1051" s="33" t="s">
        <v>2947</v>
      </c>
      <c r="BA1051" s="33" t="s">
        <v>375</v>
      </c>
      <c r="BB1051" s="33" t="s">
        <v>308</v>
      </c>
      <c r="BC1051" s="34">
        <v>44378</v>
      </c>
      <c r="BD1051" s="34">
        <v>44440</v>
      </c>
      <c r="BE1051" s="34">
        <v>44440</v>
      </c>
      <c r="BF1051" s="33">
        <v>95</v>
      </c>
      <c r="BG1051" s="33" t="s">
        <v>3332</v>
      </c>
      <c r="BH1051" s="35" t="s">
        <v>3359</v>
      </c>
      <c r="FL1051" s="33" t="s">
        <v>3360</v>
      </c>
      <c r="FM1051" s="33" t="s">
        <v>321</v>
      </c>
    </row>
    <row r="1052" spans="1:169" ht="13" x14ac:dyDescent="0.15">
      <c r="A1052" s="47">
        <v>44662.965909756946</v>
      </c>
      <c r="B1052" s="33" t="s">
        <v>7</v>
      </c>
      <c r="C1052" s="33" t="s">
        <v>10</v>
      </c>
      <c r="AN1052" s="33" t="s">
        <v>3361</v>
      </c>
      <c r="AO1052" s="33" t="s">
        <v>3362</v>
      </c>
      <c r="AP1052" s="33" t="s">
        <v>307</v>
      </c>
      <c r="AQ1052" s="33" t="s">
        <v>300</v>
      </c>
      <c r="AR1052" s="34">
        <v>44492</v>
      </c>
      <c r="AS1052" s="34">
        <v>44548</v>
      </c>
      <c r="AT1052" s="33" t="s">
        <v>252</v>
      </c>
      <c r="AU1052" s="33" t="s">
        <v>252</v>
      </c>
      <c r="AV1052" s="33">
        <v>0</v>
      </c>
      <c r="AW1052" s="35" t="s">
        <v>3363</v>
      </c>
      <c r="FL1052" s="33" t="s">
        <v>3364</v>
      </c>
      <c r="FM1052" s="33" t="s">
        <v>278</v>
      </c>
    </row>
    <row r="1053" spans="1:169" ht="13" x14ac:dyDescent="0.15">
      <c r="A1053" s="47">
        <v>44662.966686238426</v>
      </c>
      <c r="B1053" s="33" t="s">
        <v>6</v>
      </c>
      <c r="C1053" s="33" t="s">
        <v>11</v>
      </c>
      <c r="AX1053" s="33" t="s">
        <v>3346</v>
      </c>
      <c r="AY1053" s="33" t="s">
        <v>3347</v>
      </c>
      <c r="AZ1053" s="33" t="s">
        <v>3365</v>
      </c>
      <c r="BA1053" s="33" t="s">
        <v>1854</v>
      </c>
      <c r="BB1053" s="33" t="s">
        <v>3366</v>
      </c>
      <c r="BC1053" s="34">
        <v>44661</v>
      </c>
      <c r="BD1053" s="34">
        <v>44663</v>
      </c>
      <c r="BE1053" s="34">
        <v>44663</v>
      </c>
      <c r="BF1053" s="33">
        <v>93</v>
      </c>
      <c r="BG1053" s="33" t="s">
        <v>3367</v>
      </c>
      <c r="BH1053" s="35" t="s">
        <v>3368</v>
      </c>
      <c r="FL1053" s="33" t="s">
        <v>3352</v>
      </c>
      <c r="FM1053" s="33" t="s">
        <v>255</v>
      </c>
    </row>
    <row r="1054" spans="1:169" ht="13" x14ac:dyDescent="0.15">
      <c r="A1054" s="47">
        <v>44662.967454317128</v>
      </c>
      <c r="B1054" s="33" t="s">
        <v>8</v>
      </c>
      <c r="C1054" s="33" t="s">
        <v>11</v>
      </c>
      <c r="AX1054" s="33" t="s">
        <v>3369</v>
      </c>
      <c r="AY1054" s="33" t="s">
        <v>3358</v>
      </c>
      <c r="AZ1054" s="33" t="s">
        <v>2370</v>
      </c>
      <c r="BA1054" s="33" t="s">
        <v>375</v>
      </c>
      <c r="BB1054" s="33" t="s">
        <v>308</v>
      </c>
      <c r="BC1054" s="34">
        <v>44594</v>
      </c>
      <c r="BD1054" s="34">
        <v>44655</v>
      </c>
      <c r="BE1054" s="34">
        <v>44655</v>
      </c>
      <c r="BF1054" s="33">
        <v>95</v>
      </c>
      <c r="BG1054" s="33" t="s">
        <v>3332</v>
      </c>
      <c r="BH1054" s="35" t="s">
        <v>3370</v>
      </c>
      <c r="FL1054" s="33" t="s">
        <v>3360</v>
      </c>
      <c r="FM1054" s="33" t="s">
        <v>321</v>
      </c>
    </row>
    <row r="1055" spans="1:169" ht="13" x14ac:dyDescent="0.15">
      <c r="A1055" s="47">
        <v>44662.96944508102</v>
      </c>
      <c r="B1055" s="33" t="s">
        <v>8</v>
      </c>
      <c r="C1055" s="33" t="s">
        <v>10</v>
      </c>
      <c r="AN1055" s="33" t="s">
        <v>3369</v>
      </c>
      <c r="AO1055" s="33" t="s">
        <v>3358</v>
      </c>
      <c r="AP1055" s="33" t="s">
        <v>875</v>
      </c>
      <c r="AQ1055" s="33" t="s">
        <v>308</v>
      </c>
      <c r="AR1055" s="34">
        <v>44470</v>
      </c>
      <c r="AS1055" s="34">
        <v>44531</v>
      </c>
      <c r="AT1055" s="33" t="s">
        <v>252</v>
      </c>
      <c r="AU1055" s="33" t="s">
        <v>252</v>
      </c>
      <c r="AV1055" s="33">
        <v>0</v>
      </c>
      <c r="AW1055" s="35" t="s">
        <v>3371</v>
      </c>
      <c r="FL1055" s="33" t="s">
        <v>3360</v>
      </c>
      <c r="FM1055" s="33" t="s">
        <v>321</v>
      </c>
    </row>
    <row r="1056" spans="1:169" ht="13" x14ac:dyDescent="0.15">
      <c r="A1056" s="47">
        <v>44662.969729212964</v>
      </c>
      <c r="B1056" s="33" t="s">
        <v>6</v>
      </c>
      <c r="C1056" s="33" t="s">
        <v>11</v>
      </c>
      <c r="AX1056" s="33" t="s">
        <v>3209</v>
      </c>
      <c r="AY1056" s="33" t="s">
        <v>3213</v>
      </c>
      <c r="AZ1056" s="33" t="s">
        <v>724</v>
      </c>
      <c r="BA1056" s="33" t="s">
        <v>335</v>
      </c>
      <c r="BB1056" s="33" t="s">
        <v>3344</v>
      </c>
      <c r="BC1056" s="34">
        <v>44008</v>
      </c>
      <c r="BD1056" s="34">
        <v>44024</v>
      </c>
      <c r="BE1056" s="34">
        <v>44024</v>
      </c>
      <c r="BF1056" s="33" t="s">
        <v>1794</v>
      </c>
      <c r="BG1056" s="33" t="s">
        <v>392</v>
      </c>
      <c r="BH1056" s="35" t="s">
        <v>3372</v>
      </c>
      <c r="FL1056" s="33" t="s">
        <v>3212</v>
      </c>
      <c r="FM1056" s="33" t="s">
        <v>339</v>
      </c>
    </row>
    <row r="1057" spans="1:169" ht="13" x14ac:dyDescent="0.15">
      <c r="A1057" s="47">
        <v>44662.975470115736</v>
      </c>
      <c r="B1057" s="33" t="s">
        <v>6</v>
      </c>
      <c r="C1057" s="33" t="s">
        <v>11</v>
      </c>
      <c r="AX1057" s="33" t="s">
        <v>3209</v>
      </c>
      <c r="AY1057" s="33" t="s">
        <v>3213</v>
      </c>
      <c r="AZ1057" s="33" t="s">
        <v>664</v>
      </c>
      <c r="BA1057" s="33" t="s">
        <v>335</v>
      </c>
      <c r="BB1057" s="33" t="s">
        <v>1890</v>
      </c>
      <c r="BC1057" s="34">
        <v>43977</v>
      </c>
      <c r="BD1057" s="34">
        <v>43991</v>
      </c>
      <c r="BE1057" s="34">
        <v>43991</v>
      </c>
      <c r="BF1057" s="33">
        <v>100</v>
      </c>
      <c r="BG1057" s="33" t="s">
        <v>392</v>
      </c>
      <c r="BH1057" s="35" t="s">
        <v>3373</v>
      </c>
      <c r="FL1057" s="33" t="s">
        <v>3212</v>
      </c>
      <c r="FM1057" s="33" t="s">
        <v>339</v>
      </c>
    </row>
    <row r="1058" spans="1:169" ht="13" x14ac:dyDescent="0.15">
      <c r="A1058" s="47">
        <v>44662.977748437501</v>
      </c>
      <c r="B1058" s="33" t="s">
        <v>6</v>
      </c>
      <c r="C1058" s="33" t="s">
        <v>11</v>
      </c>
      <c r="AX1058" s="33" t="s">
        <v>3209</v>
      </c>
      <c r="AY1058" s="33" t="s">
        <v>3213</v>
      </c>
      <c r="AZ1058" s="33" t="s">
        <v>354</v>
      </c>
      <c r="BA1058" s="33" t="s">
        <v>335</v>
      </c>
      <c r="BB1058" s="33" t="s">
        <v>3344</v>
      </c>
      <c r="BC1058" s="34">
        <v>44307</v>
      </c>
      <c r="BD1058" s="34">
        <v>44321</v>
      </c>
      <c r="BE1058" s="34">
        <v>44322</v>
      </c>
      <c r="BF1058" s="33">
        <v>100</v>
      </c>
      <c r="BG1058" s="33" t="s">
        <v>392</v>
      </c>
      <c r="BH1058" s="35" t="s">
        <v>3374</v>
      </c>
      <c r="FL1058" s="33" t="s">
        <v>3212</v>
      </c>
      <c r="FM1058" s="33" t="s">
        <v>278</v>
      </c>
    </row>
    <row r="1059" spans="1:169" ht="13" x14ac:dyDescent="0.15">
      <c r="A1059" s="47">
        <v>44662.978571840278</v>
      </c>
      <c r="B1059" s="33" t="s">
        <v>6</v>
      </c>
      <c r="C1059" s="33" t="s">
        <v>12</v>
      </c>
      <c r="BI1059" s="33" t="s">
        <v>2609</v>
      </c>
      <c r="BJ1059" s="33" t="s">
        <v>2610</v>
      </c>
      <c r="BK1059" s="33" t="s">
        <v>154</v>
      </c>
      <c r="BL1059" s="33" t="s">
        <v>1285</v>
      </c>
      <c r="BM1059" s="33" t="s">
        <v>3375</v>
      </c>
      <c r="BN1059" s="33">
        <v>2</v>
      </c>
      <c r="BO1059" s="34">
        <v>43694</v>
      </c>
      <c r="BP1059" s="34">
        <v>43695</v>
      </c>
      <c r="BQ1059" s="33" t="s">
        <v>2574</v>
      </c>
      <c r="BR1059" s="33" t="s">
        <v>756</v>
      </c>
      <c r="BS1059" s="33" t="s">
        <v>171</v>
      </c>
      <c r="BT1059" s="33" t="s">
        <v>629</v>
      </c>
      <c r="BV1059" s="35" t="s">
        <v>3376</v>
      </c>
      <c r="FL1059" s="33" t="s">
        <v>2613</v>
      </c>
      <c r="FM1059" s="33" t="s">
        <v>552</v>
      </c>
    </row>
    <row r="1060" spans="1:169" ht="13" x14ac:dyDescent="0.15">
      <c r="A1060" s="47">
        <v>44662.979797222222</v>
      </c>
      <c r="B1060" s="33" t="s">
        <v>6</v>
      </c>
      <c r="C1060" s="33" t="s">
        <v>11</v>
      </c>
      <c r="AX1060" s="33" t="s">
        <v>3209</v>
      </c>
      <c r="AY1060" s="33" t="s">
        <v>3213</v>
      </c>
      <c r="AZ1060" s="33" t="s">
        <v>568</v>
      </c>
      <c r="BA1060" s="33" t="s">
        <v>335</v>
      </c>
      <c r="BB1060" s="33" t="s">
        <v>1890</v>
      </c>
      <c r="BC1060" s="34">
        <v>43954</v>
      </c>
      <c r="BD1060" s="34">
        <v>43968</v>
      </c>
      <c r="BE1060" s="34">
        <v>43969</v>
      </c>
      <c r="BF1060" s="33">
        <v>100</v>
      </c>
      <c r="BG1060" s="33" t="s">
        <v>392</v>
      </c>
      <c r="BH1060" s="35" t="s">
        <v>3377</v>
      </c>
      <c r="FL1060" s="33" t="s">
        <v>3212</v>
      </c>
      <c r="FM1060" s="33" t="s">
        <v>339</v>
      </c>
    </row>
    <row r="1061" spans="1:169" ht="13" x14ac:dyDescent="0.15">
      <c r="A1061" s="47">
        <v>44662.981369502319</v>
      </c>
      <c r="B1061" s="33" t="s">
        <v>6</v>
      </c>
      <c r="C1061" s="33" t="s">
        <v>11</v>
      </c>
      <c r="AX1061" s="33" t="s">
        <v>3209</v>
      </c>
      <c r="AY1061" s="33" t="s">
        <v>3213</v>
      </c>
      <c r="AZ1061" s="33" t="s">
        <v>349</v>
      </c>
      <c r="BA1061" s="33" t="s">
        <v>335</v>
      </c>
      <c r="BB1061" s="33" t="s">
        <v>3344</v>
      </c>
      <c r="BC1061" s="34">
        <v>43655</v>
      </c>
      <c r="BD1061" s="34">
        <v>43675</v>
      </c>
      <c r="BE1061" s="34">
        <v>43676</v>
      </c>
      <c r="BF1061" s="33">
        <v>100</v>
      </c>
      <c r="BG1061" s="33" t="s">
        <v>392</v>
      </c>
      <c r="BH1061" s="35" t="s">
        <v>3378</v>
      </c>
      <c r="FL1061" s="33" t="s">
        <v>3212</v>
      </c>
      <c r="FM1061" s="33" t="s">
        <v>552</v>
      </c>
    </row>
    <row r="1062" spans="1:169" ht="13" x14ac:dyDescent="0.15">
      <c r="A1062" s="47">
        <v>44662.981562476853</v>
      </c>
      <c r="B1062" s="33" t="s">
        <v>6</v>
      </c>
      <c r="C1062" s="33" t="s">
        <v>11</v>
      </c>
      <c r="AX1062" s="33" t="s">
        <v>3296</v>
      </c>
      <c r="AY1062" s="33" t="s">
        <v>3297</v>
      </c>
      <c r="AZ1062" s="33" t="s">
        <v>2490</v>
      </c>
      <c r="BA1062" s="33" t="s">
        <v>3379</v>
      </c>
      <c r="BB1062" s="33" t="s">
        <v>2482</v>
      </c>
      <c r="BC1062" s="34">
        <v>44256</v>
      </c>
      <c r="BD1062" s="34">
        <v>44377</v>
      </c>
      <c r="BE1062" s="34">
        <v>44402</v>
      </c>
      <c r="BF1062" s="33">
        <v>100</v>
      </c>
      <c r="BG1062" s="33" t="s">
        <v>3380</v>
      </c>
      <c r="BH1062" s="35" t="s">
        <v>3381</v>
      </c>
      <c r="FL1062" s="33" t="s">
        <v>3300</v>
      </c>
      <c r="FM1062" s="33" t="s">
        <v>339</v>
      </c>
    </row>
    <row r="1063" spans="1:169" ht="13" x14ac:dyDescent="0.15">
      <c r="A1063" s="47">
        <v>44662.983757592592</v>
      </c>
      <c r="B1063" s="33" t="s">
        <v>6</v>
      </c>
      <c r="C1063" s="33" t="s">
        <v>11</v>
      </c>
      <c r="AX1063" s="33" t="s">
        <v>3209</v>
      </c>
      <c r="AY1063" s="33" t="s">
        <v>3213</v>
      </c>
      <c r="AZ1063" s="33" t="s">
        <v>684</v>
      </c>
      <c r="BA1063" s="33" t="s">
        <v>335</v>
      </c>
      <c r="BB1063" s="33" t="s">
        <v>1890</v>
      </c>
      <c r="BC1063" s="34">
        <v>43927</v>
      </c>
      <c r="BD1063" s="34">
        <v>43948</v>
      </c>
      <c r="BE1063" s="34">
        <v>43949</v>
      </c>
      <c r="BF1063" s="33">
        <v>100</v>
      </c>
      <c r="BG1063" s="33" t="s">
        <v>392</v>
      </c>
      <c r="BH1063" s="35" t="s">
        <v>3382</v>
      </c>
      <c r="FL1063" s="33" t="s">
        <v>3212</v>
      </c>
      <c r="FM1063" s="33" t="s">
        <v>321</v>
      </c>
    </row>
    <row r="1064" spans="1:169" ht="13" x14ac:dyDescent="0.15">
      <c r="A1064" s="47">
        <v>44662.985754328707</v>
      </c>
      <c r="B1064" s="33" t="s">
        <v>6</v>
      </c>
      <c r="C1064" s="33" t="s">
        <v>10</v>
      </c>
      <c r="AN1064" s="33" t="s">
        <v>3209</v>
      </c>
      <c r="AO1064" s="33" t="s">
        <v>3213</v>
      </c>
      <c r="AP1064" s="33" t="s">
        <v>982</v>
      </c>
      <c r="AQ1064" s="33" t="s">
        <v>442</v>
      </c>
      <c r="AR1064" s="34">
        <v>44547</v>
      </c>
      <c r="AS1064" s="34">
        <v>44651</v>
      </c>
      <c r="AT1064" s="33" t="s">
        <v>251</v>
      </c>
      <c r="AU1064" s="33" t="s">
        <v>252</v>
      </c>
      <c r="AV1064" s="33">
        <v>5000</v>
      </c>
      <c r="AW1064" s="35" t="s">
        <v>3383</v>
      </c>
      <c r="FL1064" s="33" t="s">
        <v>3212</v>
      </c>
      <c r="FM1064" s="33" t="s">
        <v>273</v>
      </c>
    </row>
    <row r="1065" spans="1:169" ht="13" x14ac:dyDescent="0.15">
      <c r="A1065" s="47">
        <v>44662.98871849537</v>
      </c>
      <c r="B1065" s="33" t="s">
        <v>6</v>
      </c>
      <c r="C1065" s="33" t="s">
        <v>14</v>
      </c>
      <c r="CS1065" s="33" t="s">
        <v>3384</v>
      </c>
      <c r="CT1065" s="33" t="s">
        <v>1808</v>
      </c>
      <c r="CU1065" s="34">
        <v>43513</v>
      </c>
      <c r="CV1065" s="34">
        <v>43527</v>
      </c>
      <c r="CW1065" s="33">
        <v>100</v>
      </c>
      <c r="CX1065" s="33" t="s">
        <v>3385</v>
      </c>
      <c r="CY1065" s="32" t="s">
        <v>212</v>
      </c>
      <c r="DC1065" s="35" t="s">
        <v>3386</v>
      </c>
      <c r="FL1065" s="33" t="s">
        <v>3212</v>
      </c>
      <c r="FM1065" s="33" t="s">
        <v>380</v>
      </c>
    </row>
    <row r="1066" spans="1:169" ht="13" x14ac:dyDescent="0.15">
      <c r="A1066" s="47">
        <v>44662.990731493061</v>
      </c>
      <c r="B1066" s="33" t="s">
        <v>6</v>
      </c>
      <c r="C1066" s="33" t="s">
        <v>11</v>
      </c>
      <c r="AX1066" s="33" t="s">
        <v>3296</v>
      </c>
      <c r="AY1066" s="33" t="s">
        <v>3297</v>
      </c>
      <c r="AZ1066" s="33" t="s">
        <v>1171</v>
      </c>
      <c r="BA1066" s="33" t="s">
        <v>307</v>
      </c>
      <c r="BB1066" s="33" t="s">
        <v>507</v>
      </c>
      <c r="BC1066" s="34">
        <v>44482</v>
      </c>
      <c r="BD1066" s="34">
        <v>44554</v>
      </c>
      <c r="BE1066" s="34">
        <v>44554</v>
      </c>
      <c r="BF1066" s="33">
        <v>90</v>
      </c>
      <c r="BG1066" s="33" t="s">
        <v>3387</v>
      </c>
      <c r="BH1066" s="35" t="s">
        <v>3388</v>
      </c>
      <c r="FL1066" s="33" t="s">
        <v>3300</v>
      </c>
      <c r="FM1066" s="33" t="s">
        <v>273</v>
      </c>
    </row>
    <row r="1067" spans="1:169" ht="13" x14ac:dyDescent="0.15">
      <c r="A1067" s="47">
        <v>44662.995416446764</v>
      </c>
      <c r="B1067" s="33" t="s">
        <v>8</v>
      </c>
      <c r="C1067" s="33" t="s">
        <v>10</v>
      </c>
      <c r="AN1067" s="33" t="s">
        <v>3389</v>
      </c>
      <c r="AO1067" s="33" t="s">
        <v>3390</v>
      </c>
      <c r="AP1067" s="33" t="s">
        <v>3391</v>
      </c>
      <c r="AQ1067" s="33" t="s">
        <v>300</v>
      </c>
      <c r="AR1067" s="34">
        <v>44483</v>
      </c>
      <c r="AS1067" s="34">
        <v>44561</v>
      </c>
      <c r="AT1067" s="33" t="s">
        <v>252</v>
      </c>
      <c r="AU1067" s="33" t="s">
        <v>252</v>
      </c>
      <c r="AV1067" s="33">
        <v>0</v>
      </c>
      <c r="AW1067" s="35" t="s">
        <v>3392</v>
      </c>
      <c r="FL1067" s="33" t="s">
        <v>3393</v>
      </c>
      <c r="FM1067" s="33" t="s">
        <v>321</v>
      </c>
    </row>
    <row r="1068" spans="1:169" ht="13" x14ac:dyDescent="0.15">
      <c r="A1068" s="47">
        <v>44662.99991056713</v>
      </c>
      <c r="B1068" s="33" t="s">
        <v>8</v>
      </c>
      <c r="C1068" s="33" t="s">
        <v>11</v>
      </c>
      <c r="AX1068" s="33" t="s">
        <v>3389</v>
      </c>
      <c r="AY1068" s="33" t="s">
        <v>3390</v>
      </c>
      <c r="AZ1068" s="33" t="s">
        <v>2630</v>
      </c>
      <c r="BA1068" s="33" t="s">
        <v>897</v>
      </c>
      <c r="BB1068" s="33" t="s">
        <v>3394</v>
      </c>
      <c r="BC1068" s="34">
        <v>44321</v>
      </c>
      <c r="BD1068" s="34">
        <v>44393</v>
      </c>
      <c r="BE1068" s="34">
        <v>44393</v>
      </c>
      <c r="BF1068" s="33">
        <v>90</v>
      </c>
      <c r="BG1068" s="33" t="s">
        <v>3395</v>
      </c>
      <c r="BH1068" s="35" t="s">
        <v>3396</v>
      </c>
      <c r="FL1068" s="33" t="s">
        <v>3393</v>
      </c>
      <c r="FM1068" s="33" t="s">
        <v>321</v>
      </c>
    </row>
    <row r="1069" spans="1:169" ht="13" x14ac:dyDescent="0.15">
      <c r="A1069" s="47">
        <v>44663.004734351853</v>
      </c>
      <c r="B1069" s="33" t="s">
        <v>7</v>
      </c>
      <c r="C1069" s="33" t="s">
        <v>11</v>
      </c>
      <c r="AX1069" s="33" t="s">
        <v>3397</v>
      </c>
      <c r="AY1069" s="33" t="s">
        <v>3398</v>
      </c>
      <c r="AZ1069" s="33" t="s">
        <v>3399</v>
      </c>
      <c r="BA1069" s="33" t="s">
        <v>897</v>
      </c>
      <c r="BB1069" s="33" t="s">
        <v>3400</v>
      </c>
      <c r="BC1069" s="34">
        <v>43931</v>
      </c>
      <c r="BD1069" s="34">
        <v>43981</v>
      </c>
      <c r="BE1069" s="34">
        <v>43981</v>
      </c>
      <c r="BF1069" s="33" t="s">
        <v>470</v>
      </c>
      <c r="BG1069" s="33" t="s">
        <v>337</v>
      </c>
      <c r="BH1069" s="35" t="s">
        <v>3401</v>
      </c>
      <c r="FL1069" s="33" t="s">
        <v>3402</v>
      </c>
      <c r="FM1069" s="33" t="s">
        <v>278</v>
      </c>
    </row>
    <row r="1070" spans="1:169" ht="13" x14ac:dyDescent="0.15">
      <c r="A1070" s="47">
        <v>44663.006295902778</v>
      </c>
      <c r="B1070" s="33" t="s">
        <v>8</v>
      </c>
      <c r="C1070" s="33" t="s">
        <v>12</v>
      </c>
      <c r="BI1070" s="33" t="s">
        <v>3389</v>
      </c>
      <c r="BJ1070" s="33" t="s">
        <v>3390</v>
      </c>
      <c r="BK1070" s="33" t="s">
        <v>311</v>
      </c>
      <c r="BL1070" s="33" t="s">
        <v>1285</v>
      </c>
      <c r="BM1070" s="33" t="s">
        <v>3403</v>
      </c>
      <c r="BN1070" s="33">
        <v>1</v>
      </c>
      <c r="BO1070" s="34">
        <v>44626</v>
      </c>
      <c r="BP1070" s="34">
        <v>44626</v>
      </c>
      <c r="BQ1070" s="33" t="s">
        <v>3404</v>
      </c>
      <c r="BR1070" s="33" t="s">
        <v>3405</v>
      </c>
      <c r="BS1070" s="33" t="s">
        <v>171</v>
      </c>
      <c r="BT1070" s="33" t="s">
        <v>629</v>
      </c>
      <c r="BU1070" s="33">
        <v>70</v>
      </c>
      <c r="BV1070" s="35" t="s">
        <v>3406</v>
      </c>
      <c r="FL1070" s="33" t="s">
        <v>3393</v>
      </c>
      <c r="FM1070" s="33" t="s">
        <v>321</v>
      </c>
    </row>
    <row r="1071" spans="1:169" ht="13" x14ac:dyDescent="0.15">
      <c r="A1071" s="47">
        <v>44663.007426805554</v>
      </c>
      <c r="B1071" s="33" t="s">
        <v>7</v>
      </c>
      <c r="C1071" s="33" t="s">
        <v>11</v>
      </c>
      <c r="AX1071" s="33" t="s">
        <v>3397</v>
      </c>
      <c r="AY1071" s="33" t="s">
        <v>3407</v>
      </c>
      <c r="AZ1071" s="33" t="s">
        <v>3408</v>
      </c>
      <c r="BA1071" s="33" t="s">
        <v>897</v>
      </c>
      <c r="BB1071" s="33" t="s">
        <v>3400</v>
      </c>
      <c r="BC1071" s="34">
        <v>44036</v>
      </c>
      <c r="BD1071" s="34">
        <v>44072</v>
      </c>
      <c r="BE1071" s="34">
        <v>44072</v>
      </c>
      <c r="BF1071" s="33" t="s">
        <v>470</v>
      </c>
      <c r="BG1071" s="33" t="s">
        <v>854</v>
      </c>
      <c r="BH1071" s="35" t="s">
        <v>3409</v>
      </c>
      <c r="FL1071" s="33" t="s">
        <v>3402</v>
      </c>
      <c r="FM1071" s="33" t="s">
        <v>278</v>
      </c>
    </row>
    <row r="1072" spans="1:169" ht="13" x14ac:dyDescent="0.15">
      <c r="A1072" s="47">
        <v>44663.011993344902</v>
      </c>
      <c r="B1072" s="33" t="s">
        <v>7</v>
      </c>
      <c r="C1072" s="33" t="s">
        <v>11</v>
      </c>
      <c r="AX1072" s="33" t="s">
        <v>3397</v>
      </c>
      <c r="AY1072" s="33" t="s">
        <v>3407</v>
      </c>
      <c r="AZ1072" s="33" t="s">
        <v>3410</v>
      </c>
      <c r="BA1072" s="33" t="s">
        <v>897</v>
      </c>
      <c r="BB1072" s="33" t="s">
        <v>3411</v>
      </c>
      <c r="BC1072" s="34">
        <v>44270</v>
      </c>
      <c r="BD1072" s="34">
        <v>44308</v>
      </c>
      <c r="BE1072" s="34">
        <v>44308</v>
      </c>
      <c r="BF1072" s="33" t="s">
        <v>470</v>
      </c>
      <c r="BG1072" s="33" t="s">
        <v>3412</v>
      </c>
      <c r="BH1072" s="35" t="s">
        <v>3413</v>
      </c>
      <c r="FL1072" s="33" t="s">
        <v>3402</v>
      </c>
      <c r="FM1072" s="33" t="s">
        <v>278</v>
      </c>
    </row>
    <row r="1073" spans="1:194" ht="13" x14ac:dyDescent="0.15">
      <c r="A1073" s="47">
        <v>44663.012154849537</v>
      </c>
      <c r="B1073" s="33" t="s">
        <v>8</v>
      </c>
      <c r="C1073" s="33" t="s">
        <v>12</v>
      </c>
      <c r="BI1073" s="33" t="s">
        <v>3389</v>
      </c>
      <c r="BJ1073" s="33" t="s">
        <v>3390</v>
      </c>
      <c r="BK1073" s="33" t="s">
        <v>311</v>
      </c>
      <c r="BL1073" s="33" t="s">
        <v>1285</v>
      </c>
      <c r="BM1073" s="33" t="s">
        <v>3414</v>
      </c>
      <c r="BN1073" s="33">
        <v>2</v>
      </c>
      <c r="BO1073" s="34">
        <v>44639</v>
      </c>
      <c r="BP1073" s="34">
        <v>44640</v>
      </c>
      <c r="BQ1073" s="33" t="s">
        <v>3415</v>
      </c>
      <c r="BR1073" s="33" t="s">
        <v>3416</v>
      </c>
      <c r="BS1073" s="33" t="s">
        <v>171</v>
      </c>
      <c r="BT1073" s="33" t="s">
        <v>629</v>
      </c>
      <c r="BU1073" s="33">
        <v>300</v>
      </c>
      <c r="BV1073" s="35" t="s">
        <v>3417</v>
      </c>
      <c r="FL1073" s="33" t="s">
        <v>3393</v>
      </c>
      <c r="FM1073" s="33" t="s">
        <v>321</v>
      </c>
    </row>
    <row r="1074" spans="1:194" ht="13" x14ac:dyDescent="0.15">
      <c r="A1074" s="47">
        <v>44663.0157047338</v>
      </c>
      <c r="B1074" s="33" t="s">
        <v>8</v>
      </c>
      <c r="C1074" s="33" t="s">
        <v>12</v>
      </c>
      <c r="BI1074" s="33" t="s">
        <v>3389</v>
      </c>
      <c r="BJ1074" s="33" t="s">
        <v>3390</v>
      </c>
      <c r="BK1074" s="33" t="s">
        <v>311</v>
      </c>
      <c r="BL1074" s="33" t="s">
        <v>1285</v>
      </c>
      <c r="BM1074" s="33" t="s">
        <v>3418</v>
      </c>
      <c r="BN1074" s="33">
        <v>2</v>
      </c>
      <c r="BO1074" s="34">
        <v>44513</v>
      </c>
      <c r="BP1074" s="34">
        <v>44514</v>
      </c>
      <c r="BQ1074" s="33" t="s">
        <v>3419</v>
      </c>
      <c r="BR1074" s="33" t="s">
        <v>2678</v>
      </c>
      <c r="BS1074" s="33" t="s">
        <v>271</v>
      </c>
      <c r="BT1074" s="33" t="s">
        <v>629</v>
      </c>
      <c r="BU1074" s="33">
        <v>150</v>
      </c>
      <c r="BV1074" s="35" t="s">
        <v>3420</v>
      </c>
      <c r="FL1074" s="33" t="s">
        <v>3393</v>
      </c>
      <c r="FM1074" s="33" t="s">
        <v>321</v>
      </c>
    </row>
    <row r="1075" spans="1:194" ht="13" x14ac:dyDescent="0.15">
      <c r="A1075" s="47">
        <v>44663.049465173608</v>
      </c>
      <c r="B1075" s="33" t="s">
        <v>8</v>
      </c>
      <c r="C1075" s="33" t="s">
        <v>11</v>
      </c>
      <c r="AX1075" s="33" t="s">
        <v>3421</v>
      </c>
      <c r="AY1075" s="33" t="s">
        <v>3422</v>
      </c>
      <c r="AZ1075" s="33" t="s">
        <v>2328</v>
      </c>
      <c r="BA1075" s="33" t="s">
        <v>3021</v>
      </c>
      <c r="BB1075" s="33" t="s">
        <v>507</v>
      </c>
      <c r="BC1075" s="34">
        <v>44334</v>
      </c>
      <c r="BD1075" s="34">
        <v>44395</v>
      </c>
      <c r="BE1075" s="34">
        <v>44394</v>
      </c>
      <c r="BF1075" s="33">
        <v>94</v>
      </c>
      <c r="BG1075" s="33" t="s">
        <v>3423</v>
      </c>
      <c r="BH1075" s="35" t="s">
        <v>3424</v>
      </c>
      <c r="FL1075" s="33" t="s">
        <v>3425</v>
      </c>
      <c r="FM1075" s="33" t="s">
        <v>321</v>
      </c>
    </row>
    <row r="1076" spans="1:194" ht="13" x14ac:dyDescent="0.15">
      <c r="A1076" s="47">
        <v>44663.057316956023</v>
      </c>
      <c r="B1076" s="33" t="s">
        <v>8</v>
      </c>
      <c r="C1076" s="33" t="s">
        <v>11</v>
      </c>
      <c r="AX1076" s="33" t="s">
        <v>3421</v>
      </c>
      <c r="AY1076" s="33" t="s">
        <v>3422</v>
      </c>
      <c r="AZ1076" s="33" t="s">
        <v>3426</v>
      </c>
      <c r="BA1076" s="33" t="s">
        <v>3427</v>
      </c>
      <c r="BB1076" s="33" t="s">
        <v>3428</v>
      </c>
      <c r="BC1076" s="34">
        <v>44603</v>
      </c>
      <c r="BD1076" s="34">
        <v>44662</v>
      </c>
      <c r="BE1076" s="34">
        <v>44652</v>
      </c>
      <c r="BF1076" s="33">
        <v>94</v>
      </c>
      <c r="BG1076" s="33" t="s">
        <v>3429</v>
      </c>
      <c r="BH1076" s="35" t="s">
        <v>3430</v>
      </c>
      <c r="FL1076" s="33" t="s">
        <v>3425</v>
      </c>
      <c r="FM1076" s="33" t="s">
        <v>321</v>
      </c>
    </row>
    <row r="1077" spans="1:194" ht="13" x14ac:dyDescent="0.15">
      <c r="A1077" s="47">
        <v>44663.058562557868</v>
      </c>
      <c r="B1077" s="33" t="s">
        <v>8</v>
      </c>
      <c r="C1077" s="33" t="s">
        <v>11</v>
      </c>
      <c r="AX1077" s="33" t="s">
        <v>3421</v>
      </c>
      <c r="AY1077" s="33" t="s">
        <v>3422</v>
      </c>
      <c r="AZ1077" s="33" t="s">
        <v>3431</v>
      </c>
      <c r="BA1077" s="33" t="s">
        <v>3432</v>
      </c>
      <c r="BB1077" s="33" t="s">
        <v>3428</v>
      </c>
      <c r="BC1077" s="34">
        <v>44603</v>
      </c>
      <c r="BD1077" s="34">
        <v>44662</v>
      </c>
      <c r="BE1077" s="34">
        <v>44652</v>
      </c>
      <c r="BF1077" s="33">
        <v>94</v>
      </c>
      <c r="BG1077" s="33" t="s">
        <v>3423</v>
      </c>
      <c r="BH1077" s="35" t="s">
        <v>3433</v>
      </c>
      <c r="FL1077" s="33" t="s">
        <v>3425</v>
      </c>
      <c r="FM1077" s="33" t="s">
        <v>321</v>
      </c>
    </row>
    <row r="1078" spans="1:194" ht="13" x14ac:dyDescent="0.15">
      <c r="A1078" s="47">
        <v>44663.347646493057</v>
      </c>
      <c r="B1078" s="33" t="s">
        <v>6</v>
      </c>
      <c r="C1078" s="17" t="s">
        <v>13</v>
      </c>
      <c r="BW1078" s="33" t="s">
        <v>3434</v>
      </c>
      <c r="BX1078" s="33" t="s">
        <v>3435</v>
      </c>
      <c r="BZ1078" s="33" t="s">
        <v>166</v>
      </c>
      <c r="CA1078" s="33" t="s">
        <v>453</v>
      </c>
      <c r="CB1078" s="33" t="s">
        <v>454</v>
      </c>
      <c r="CC1078" s="33" t="s">
        <v>473</v>
      </c>
      <c r="CD1078" s="34">
        <v>44075</v>
      </c>
      <c r="CE1078" s="34">
        <v>44191</v>
      </c>
      <c r="CF1078" s="33">
        <v>90</v>
      </c>
      <c r="CG1078" s="35" t="s">
        <v>3436</v>
      </c>
      <c r="FL1078" s="33" t="s">
        <v>3437</v>
      </c>
      <c r="FM1078" s="33" t="s">
        <v>339</v>
      </c>
    </row>
    <row r="1079" spans="1:194" ht="13" x14ac:dyDescent="0.15">
      <c r="A1079" s="47">
        <v>44663.419307465279</v>
      </c>
      <c r="B1079" s="33" t="s">
        <v>6</v>
      </c>
      <c r="C1079" s="33" t="s">
        <v>11</v>
      </c>
      <c r="AX1079" s="33" t="s">
        <v>3438</v>
      </c>
      <c r="AY1079" s="33" t="s">
        <v>3439</v>
      </c>
      <c r="AZ1079" s="33" t="s">
        <v>349</v>
      </c>
      <c r="BA1079" s="33" t="s">
        <v>375</v>
      </c>
      <c r="BB1079" s="33" t="s">
        <v>308</v>
      </c>
      <c r="BC1079" s="34">
        <v>43611</v>
      </c>
      <c r="BD1079" s="34">
        <v>43674</v>
      </c>
      <c r="BE1079" s="34">
        <v>43675</v>
      </c>
      <c r="BF1079" s="48">
        <v>0.74</v>
      </c>
      <c r="BG1079" s="33" t="s">
        <v>495</v>
      </c>
      <c r="BH1079" s="35" t="s">
        <v>3440</v>
      </c>
      <c r="FL1079" s="33" t="s">
        <v>3441</v>
      </c>
      <c r="FM1079" s="33" t="s">
        <v>552</v>
      </c>
    </row>
    <row r="1080" spans="1:194" ht="13" x14ac:dyDescent="0.15">
      <c r="A1080" s="47">
        <v>44663.422696030088</v>
      </c>
      <c r="B1080" s="33" t="s">
        <v>6</v>
      </c>
      <c r="C1080" s="33" t="s">
        <v>11</v>
      </c>
      <c r="AX1080" s="33" t="s">
        <v>3438</v>
      </c>
      <c r="AY1080" s="33" t="s">
        <v>3439</v>
      </c>
      <c r="AZ1080" s="33" t="s">
        <v>3442</v>
      </c>
      <c r="BA1080" s="33" t="s">
        <v>375</v>
      </c>
      <c r="BB1080" s="33" t="s">
        <v>493</v>
      </c>
      <c r="BC1080" s="34">
        <v>43910</v>
      </c>
      <c r="BD1080" s="34">
        <v>43942</v>
      </c>
      <c r="BE1080" s="34">
        <v>43943</v>
      </c>
      <c r="BF1080" s="48">
        <v>0.87</v>
      </c>
      <c r="BG1080" s="33" t="s">
        <v>337</v>
      </c>
      <c r="BH1080" s="35" t="s">
        <v>3443</v>
      </c>
      <c r="FL1080" s="33" t="s">
        <v>3441</v>
      </c>
      <c r="FM1080" s="33" t="s">
        <v>321</v>
      </c>
    </row>
    <row r="1081" spans="1:194" ht="13" x14ac:dyDescent="0.15">
      <c r="A1081" s="47">
        <v>44663.427722523149</v>
      </c>
      <c r="B1081" s="33" t="s">
        <v>6</v>
      </c>
      <c r="C1081" s="33" t="s">
        <v>11</v>
      </c>
      <c r="AX1081" s="33" t="s">
        <v>3438</v>
      </c>
      <c r="AY1081" s="33" t="s">
        <v>3439</v>
      </c>
      <c r="AZ1081" s="33" t="s">
        <v>783</v>
      </c>
      <c r="BA1081" s="33" t="s">
        <v>375</v>
      </c>
      <c r="BB1081" s="33" t="s">
        <v>493</v>
      </c>
      <c r="BC1081" s="34">
        <v>43917</v>
      </c>
      <c r="BD1081" s="34">
        <v>43949</v>
      </c>
      <c r="BE1081" s="34">
        <v>43950</v>
      </c>
      <c r="BF1081" s="48">
        <v>0.93</v>
      </c>
      <c r="BG1081" s="33" t="s">
        <v>495</v>
      </c>
      <c r="BH1081" s="35" t="s">
        <v>3444</v>
      </c>
      <c r="FL1081" s="33" t="s">
        <v>3441</v>
      </c>
      <c r="FM1081" s="33" t="s">
        <v>321</v>
      </c>
    </row>
    <row r="1082" spans="1:194" ht="13" x14ac:dyDescent="0.15">
      <c r="A1082" s="47">
        <v>44663.432966458335</v>
      </c>
      <c r="B1082" s="33" t="s">
        <v>6</v>
      </c>
      <c r="C1082" s="33" t="s">
        <v>11</v>
      </c>
      <c r="AX1082" s="33" t="s">
        <v>3438</v>
      </c>
      <c r="AY1082" s="33" t="s">
        <v>3439</v>
      </c>
      <c r="AZ1082" s="33" t="s">
        <v>500</v>
      </c>
      <c r="BA1082" s="33" t="s">
        <v>375</v>
      </c>
      <c r="BB1082" s="33" t="s">
        <v>493</v>
      </c>
      <c r="BC1082" s="34">
        <v>44289</v>
      </c>
      <c r="BD1082" s="34">
        <v>44320</v>
      </c>
      <c r="BE1082" s="34">
        <v>44321</v>
      </c>
      <c r="BF1082" s="48">
        <v>0.93</v>
      </c>
      <c r="BG1082" s="33" t="s">
        <v>337</v>
      </c>
      <c r="BH1082" s="35" t="s">
        <v>3445</v>
      </c>
      <c r="FL1082" s="33" t="s">
        <v>3441</v>
      </c>
      <c r="FM1082" s="33" t="s">
        <v>339</v>
      </c>
    </row>
    <row r="1083" spans="1:194" ht="13" x14ac:dyDescent="0.15">
      <c r="A1083" s="47">
        <v>44663.441005243054</v>
      </c>
      <c r="B1083" s="33" t="s">
        <v>6</v>
      </c>
      <c r="C1083" s="33" t="s">
        <v>11</v>
      </c>
      <c r="AX1083" s="33" t="s">
        <v>3438</v>
      </c>
      <c r="AY1083" s="33" t="s">
        <v>3439</v>
      </c>
      <c r="AZ1083" s="33" t="s">
        <v>354</v>
      </c>
      <c r="BA1083" s="33" t="s">
        <v>375</v>
      </c>
      <c r="BB1083" s="33" t="s">
        <v>1808</v>
      </c>
      <c r="BC1083" s="34">
        <v>44299</v>
      </c>
      <c r="BD1083" s="34">
        <v>44322</v>
      </c>
      <c r="BE1083" s="34">
        <v>44323</v>
      </c>
      <c r="BF1083" s="48">
        <v>1</v>
      </c>
      <c r="BG1083" s="33" t="s">
        <v>495</v>
      </c>
      <c r="BH1083" s="35" t="s">
        <v>3446</v>
      </c>
      <c r="FL1083" s="33" t="s">
        <v>3441</v>
      </c>
      <c r="FM1083" s="33" t="s">
        <v>339</v>
      </c>
    </row>
    <row r="1084" spans="1:194" ht="13" x14ac:dyDescent="0.15">
      <c r="A1084" s="47">
        <v>44663.444069652774</v>
      </c>
      <c r="B1084" s="33" t="s">
        <v>6</v>
      </c>
      <c r="C1084" s="33" t="s">
        <v>11</v>
      </c>
      <c r="AX1084" s="33" t="s">
        <v>3438</v>
      </c>
      <c r="AY1084" s="33" t="s">
        <v>3439</v>
      </c>
      <c r="AZ1084" s="33" t="s">
        <v>3447</v>
      </c>
      <c r="BA1084" s="33" t="s">
        <v>375</v>
      </c>
      <c r="BB1084" s="33" t="s">
        <v>493</v>
      </c>
      <c r="BC1084" s="34">
        <v>44348</v>
      </c>
      <c r="BD1084" s="34">
        <v>44380</v>
      </c>
      <c r="BE1084" s="34">
        <v>44381</v>
      </c>
      <c r="BF1084" s="48">
        <v>0.82</v>
      </c>
      <c r="BG1084" s="33" t="s">
        <v>495</v>
      </c>
      <c r="BH1084" s="35" t="s">
        <v>3448</v>
      </c>
      <c r="FL1084" s="33" t="s">
        <v>3441</v>
      </c>
      <c r="FM1084" s="33" t="s">
        <v>278</v>
      </c>
    </row>
    <row r="1085" spans="1:194" ht="13" x14ac:dyDescent="0.15">
      <c r="A1085" s="47">
        <v>44663.447286446761</v>
      </c>
      <c r="B1085" s="33" t="s">
        <v>6</v>
      </c>
      <c r="C1085" s="33" t="s">
        <v>11</v>
      </c>
      <c r="AX1085" s="33" t="s">
        <v>3438</v>
      </c>
      <c r="AY1085" s="33" t="s">
        <v>3439</v>
      </c>
      <c r="AZ1085" s="33" t="s">
        <v>3449</v>
      </c>
      <c r="BA1085" s="33" t="s">
        <v>375</v>
      </c>
      <c r="BB1085" s="33" t="s">
        <v>493</v>
      </c>
      <c r="BC1085" s="34">
        <v>44352</v>
      </c>
      <c r="BD1085" s="34">
        <v>44385</v>
      </c>
      <c r="BE1085" s="34">
        <v>44386</v>
      </c>
      <c r="BF1085" s="48">
        <v>0.9</v>
      </c>
      <c r="BG1085" s="33" t="s">
        <v>495</v>
      </c>
      <c r="BH1085" s="35" t="s">
        <v>3450</v>
      </c>
      <c r="FL1085" s="33" t="s">
        <v>3441</v>
      </c>
      <c r="FM1085" s="33" t="s">
        <v>278</v>
      </c>
    </row>
    <row r="1086" spans="1:194" ht="13" x14ac:dyDescent="0.15">
      <c r="A1086" s="47">
        <v>44663.450585023151</v>
      </c>
      <c r="B1086" s="33" t="s">
        <v>6</v>
      </c>
      <c r="C1086" s="33" t="s">
        <v>11</v>
      </c>
      <c r="AX1086" s="33" t="s">
        <v>3438</v>
      </c>
      <c r="AY1086" s="33" t="s">
        <v>3439</v>
      </c>
      <c r="AZ1086" s="33" t="s">
        <v>3451</v>
      </c>
      <c r="BA1086" s="33" t="s">
        <v>3452</v>
      </c>
      <c r="BB1086" s="33" t="s">
        <v>970</v>
      </c>
      <c r="BC1086" s="34">
        <v>44291</v>
      </c>
      <c r="BD1086" s="34">
        <v>44335</v>
      </c>
      <c r="BE1086" s="34">
        <v>44336</v>
      </c>
      <c r="BF1086" s="48">
        <v>0.54</v>
      </c>
      <c r="BG1086" s="33" t="s">
        <v>3453</v>
      </c>
      <c r="BH1086" s="35" t="s">
        <v>3454</v>
      </c>
      <c r="FL1086" s="33" t="s">
        <v>3441</v>
      </c>
      <c r="FM1086" s="33" t="s">
        <v>278</v>
      </c>
    </row>
    <row r="1087" spans="1:194" ht="13" x14ac:dyDescent="0.15">
      <c r="A1087" s="47">
        <v>44663.455090474541</v>
      </c>
      <c r="B1087" s="33" t="s">
        <v>6</v>
      </c>
      <c r="C1087" s="33" t="s">
        <v>22</v>
      </c>
      <c r="FL1087" s="33" t="s">
        <v>3441</v>
      </c>
      <c r="FM1087" s="33" t="s">
        <v>255</v>
      </c>
      <c r="GF1087" s="33" t="s">
        <v>3438</v>
      </c>
      <c r="GG1087" s="33" t="s">
        <v>3439</v>
      </c>
      <c r="GH1087" s="33" t="s">
        <v>634</v>
      </c>
      <c r="GI1087" s="34">
        <v>44580</v>
      </c>
      <c r="GJ1087" s="35" t="s">
        <v>3455</v>
      </c>
      <c r="GK1087" s="33" t="s">
        <v>1687</v>
      </c>
      <c r="GL1087" s="33">
        <v>3.5</v>
      </c>
    </row>
    <row r="1088" spans="1:194" ht="13" x14ac:dyDescent="0.15">
      <c r="A1088" s="47">
        <v>44663.460297604164</v>
      </c>
      <c r="B1088" s="33" t="s">
        <v>6</v>
      </c>
      <c r="C1088" s="33" t="s">
        <v>12</v>
      </c>
      <c r="BI1088" s="33" t="s">
        <v>3456</v>
      </c>
      <c r="BJ1088" s="33" t="s">
        <v>3457</v>
      </c>
      <c r="BK1088" s="33" t="s">
        <v>166</v>
      </c>
      <c r="BL1088" s="33" t="s">
        <v>1285</v>
      </c>
      <c r="BM1088" s="33" t="s">
        <v>2298</v>
      </c>
      <c r="BN1088" s="33">
        <v>7</v>
      </c>
      <c r="BO1088" s="34">
        <v>44090</v>
      </c>
      <c r="BP1088" s="34">
        <v>44097</v>
      </c>
      <c r="BQ1088" s="33" t="s">
        <v>2299</v>
      </c>
      <c r="BR1088" s="33" t="s">
        <v>2299</v>
      </c>
      <c r="BS1088" s="33" t="s">
        <v>171</v>
      </c>
      <c r="BT1088" s="33" t="s">
        <v>151</v>
      </c>
      <c r="BV1088" s="35" t="s">
        <v>3458</v>
      </c>
      <c r="FL1088" s="33" t="s">
        <v>3459</v>
      </c>
      <c r="FM1088" s="33" t="s">
        <v>255</v>
      </c>
    </row>
    <row r="1089" spans="1:194" ht="13" x14ac:dyDescent="0.15">
      <c r="A1089" s="47">
        <v>44663.472630798613</v>
      </c>
      <c r="B1089" s="33" t="s">
        <v>6</v>
      </c>
      <c r="C1089" s="33" t="s">
        <v>11</v>
      </c>
      <c r="AX1089" s="33" t="s">
        <v>3456</v>
      </c>
      <c r="AY1089" s="33" t="s">
        <v>3457</v>
      </c>
      <c r="AZ1089" s="33" t="s">
        <v>349</v>
      </c>
      <c r="BA1089" s="33" t="s">
        <v>375</v>
      </c>
      <c r="BB1089" s="33" t="s">
        <v>3460</v>
      </c>
      <c r="BC1089" s="34">
        <v>43581</v>
      </c>
      <c r="BD1089" s="34">
        <v>43672</v>
      </c>
      <c r="BE1089" s="34">
        <v>43672</v>
      </c>
      <c r="BF1089" s="33">
        <v>100</v>
      </c>
      <c r="BG1089" s="33" t="s">
        <v>443</v>
      </c>
      <c r="BH1089" s="35" t="s">
        <v>3461</v>
      </c>
      <c r="FL1089" s="33" t="s">
        <v>3459</v>
      </c>
      <c r="FM1089" s="33" t="s">
        <v>255</v>
      </c>
    </row>
    <row r="1090" spans="1:194" ht="13" x14ac:dyDescent="0.15">
      <c r="A1090" s="47">
        <v>44663.478849328705</v>
      </c>
      <c r="B1090" s="33" t="s">
        <v>6</v>
      </c>
      <c r="C1090" s="33" t="s">
        <v>21</v>
      </c>
      <c r="FL1090" s="33" t="s">
        <v>3459</v>
      </c>
      <c r="FM1090" s="33" t="s">
        <v>255</v>
      </c>
      <c r="FZ1090" s="33" t="s">
        <v>3456</v>
      </c>
      <c r="GA1090" s="33" t="s">
        <v>3457</v>
      </c>
      <c r="GB1090" s="33" t="s">
        <v>802</v>
      </c>
      <c r="GC1090" s="34">
        <v>43696</v>
      </c>
      <c r="GD1090" s="35" t="s">
        <v>3462</v>
      </c>
      <c r="GE1090" s="34">
        <v>43696</v>
      </c>
    </row>
    <row r="1091" spans="1:194" ht="13" x14ac:dyDescent="0.15">
      <c r="A1091" s="47">
        <v>44663.485998356482</v>
      </c>
      <c r="B1091" s="33" t="s">
        <v>7</v>
      </c>
      <c r="C1091" s="33" t="s">
        <v>10</v>
      </c>
      <c r="AN1091" s="33" t="s">
        <v>3463</v>
      </c>
      <c r="AO1091" s="33" t="s">
        <v>3464</v>
      </c>
      <c r="AP1091" s="33" t="s">
        <v>3465</v>
      </c>
      <c r="AQ1091" s="33" t="s">
        <v>308</v>
      </c>
      <c r="AR1091" s="34">
        <v>44470</v>
      </c>
      <c r="AS1091" s="34">
        <v>44539</v>
      </c>
      <c r="AT1091" s="33" t="s">
        <v>252</v>
      </c>
      <c r="AU1091" s="33" t="s">
        <v>252</v>
      </c>
      <c r="AV1091" s="33">
        <v>0</v>
      </c>
      <c r="AW1091" s="35" t="s">
        <v>3466</v>
      </c>
      <c r="FL1091" s="33" t="s">
        <v>3467</v>
      </c>
      <c r="FM1091" s="33" t="s">
        <v>278</v>
      </c>
    </row>
    <row r="1092" spans="1:194" ht="13" x14ac:dyDescent="0.15">
      <c r="A1092" s="47">
        <v>44663.487156527779</v>
      </c>
      <c r="B1092" s="33" t="s">
        <v>7</v>
      </c>
      <c r="C1092" s="33" t="s">
        <v>10</v>
      </c>
      <c r="AN1092" s="33" t="s">
        <v>3468</v>
      </c>
      <c r="AO1092" s="33" t="s">
        <v>3469</v>
      </c>
      <c r="AP1092" s="33" t="s">
        <v>3470</v>
      </c>
      <c r="AQ1092" s="33" t="s">
        <v>308</v>
      </c>
      <c r="AR1092" s="34">
        <v>44470</v>
      </c>
      <c r="AS1092" s="34">
        <v>44539</v>
      </c>
      <c r="AT1092" s="33" t="s">
        <v>252</v>
      </c>
      <c r="AU1092" s="33" t="s">
        <v>252</v>
      </c>
      <c r="AV1092" s="33">
        <v>0</v>
      </c>
      <c r="AW1092" s="35" t="s">
        <v>3471</v>
      </c>
      <c r="FL1092" s="33" t="s">
        <v>3472</v>
      </c>
      <c r="FM1092" s="33" t="s">
        <v>278</v>
      </c>
    </row>
    <row r="1093" spans="1:194" ht="13" x14ac:dyDescent="0.15">
      <c r="A1093" s="47">
        <v>44663.497590775463</v>
      </c>
      <c r="B1093" s="33" t="s">
        <v>6</v>
      </c>
      <c r="C1093" s="33" t="s">
        <v>10</v>
      </c>
      <c r="AN1093" s="33" t="s">
        <v>3456</v>
      </c>
      <c r="AO1093" s="33" t="s">
        <v>3457</v>
      </c>
      <c r="AP1093" s="33" t="s">
        <v>249</v>
      </c>
      <c r="AQ1093" s="33" t="s">
        <v>442</v>
      </c>
      <c r="AR1093" s="34">
        <v>44622</v>
      </c>
      <c r="AS1093" s="34">
        <v>44708</v>
      </c>
      <c r="AT1093" s="33" t="s">
        <v>252</v>
      </c>
      <c r="AU1093" s="33" t="s">
        <v>252</v>
      </c>
      <c r="AV1093" s="33">
        <v>0</v>
      </c>
      <c r="AW1093" s="35" t="s">
        <v>3473</v>
      </c>
      <c r="FL1093" s="33" t="s">
        <v>3459</v>
      </c>
      <c r="FM1093" s="33" t="s">
        <v>255</v>
      </c>
    </row>
    <row r="1094" spans="1:194" ht="13" x14ac:dyDescent="0.15">
      <c r="A1094" s="47">
        <v>44663.499010729167</v>
      </c>
      <c r="B1094" s="33" t="s">
        <v>7</v>
      </c>
      <c r="C1094" s="33" t="s">
        <v>10</v>
      </c>
      <c r="AN1094" s="33" t="s">
        <v>3474</v>
      </c>
      <c r="AO1094" s="33" t="s">
        <v>3475</v>
      </c>
      <c r="AP1094" s="33" t="s">
        <v>307</v>
      </c>
      <c r="AQ1094" s="33" t="s">
        <v>308</v>
      </c>
      <c r="AR1094" s="34">
        <v>44470</v>
      </c>
      <c r="AS1094" s="34">
        <v>44561</v>
      </c>
      <c r="AT1094" s="33" t="s">
        <v>252</v>
      </c>
      <c r="AU1094" s="33" t="s">
        <v>252</v>
      </c>
      <c r="AV1094" s="33">
        <v>0</v>
      </c>
      <c r="AW1094" s="35" t="s">
        <v>3476</v>
      </c>
      <c r="FL1094" s="33" t="s">
        <v>3477</v>
      </c>
      <c r="FM1094" s="33" t="s">
        <v>339</v>
      </c>
    </row>
    <row r="1095" spans="1:194" ht="13" x14ac:dyDescent="0.15">
      <c r="A1095" s="47">
        <v>44663.509335300929</v>
      </c>
      <c r="B1095" s="33" t="s">
        <v>6</v>
      </c>
      <c r="C1095" s="33" t="s">
        <v>22</v>
      </c>
      <c r="FL1095" s="33" t="s">
        <v>3459</v>
      </c>
      <c r="FM1095" s="33" t="s">
        <v>255</v>
      </c>
      <c r="GF1095" s="33" t="s">
        <v>3456</v>
      </c>
      <c r="GG1095" s="33" t="s">
        <v>3457</v>
      </c>
      <c r="GH1095" s="33" t="s">
        <v>249</v>
      </c>
      <c r="GI1095" s="34">
        <v>44622</v>
      </c>
      <c r="GJ1095" s="35" t="s">
        <v>3478</v>
      </c>
      <c r="GK1095" s="33" t="s">
        <v>3479</v>
      </c>
      <c r="GL1095" s="33" t="s">
        <v>2685</v>
      </c>
    </row>
    <row r="1096" spans="1:194" ht="13" x14ac:dyDescent="0.15">
      <c r="A1096" s="47">
        <v>44663.516030578699</v>
      </c>
      <c r="B1096" s="33" t="s">
        <v>6</v>
      </c>
      <c r="C1096" s="33" t="s">
        <v>22</v>
      </c>
      <c r="FL1096" s="33" t="s">
        <v>3459</v>
      </c>
      <c r="FM1096" s="33" t="s">
        <v>255</v>
      </c>
      <c r="GF1096" s="33" t="s">
        <v>3456</v>
      </c>
      <c r="GG1096" s="33" t="s">
        <v>3457</v>
      </c>
      <c r="GH1096" s="33" t="s">
        <v>634</v>
      </c>
      <c r="GI1096" s="34">
        <v>44641</v>
      </c>
      <c r="GJ1096" s="35" t="s">
        <v>3480</v>
      </c>
      <c r="GK1096" s="33" t="s">
        <v>3481</v>
      </c>
      <c r="GL1096" s="33" t="s">
        <v>654</v>
      </c>
    </row>
    <row r="1097" spans="1:194" ht="13" x14ac:dyDescent="0.15">
      <c r="A1097" s="47">
        <v>44663.517547256939</v>
      </c>
      <c r="B1097" s="33" t="s">
        <v>7</v>
      </c>
      <c r="C1097" s="33" t="s">
        <v>10</v>
      </c>
      <c r="AN1097" s="33" t="s">
        <v>3482</v>
      </c>
      <c r="AO1097" s="33" t="s">
        <v>3483</v>
      </c>
      <c r="AP1097" s="33" t="s">
        <v>307</v>
      </c>
      <c r="AQ1097" s="33" t="s">
        <v>308</v>
      </c>
      <c r="AR1097" s="34">
        <v>44470</v>
      </c>
      <c r="AS1097" s="34">
        <v>44550</v>
      </c>
      <c r="AT1097" s="33" t="s">
        <v>252</v>
      </c>
      <c r="AU1097" s="33" t="s">
        <v>252</v>
      </c>
      <c r="AV1097" s="33">
        <v>0</v>
      </c>
      <c r="AW1097" s="35" t="s">
        <v>3484</v>
      </c>
      <c r="FL1097" s="33" t="s">
        <v>3485</v>
      </c>
      <c r="FM1097" s="33" t="s">
        <v>278</v>
      </c>
    </row>
    <row r="1098" spans="1:194" ht="13" x14ac:dyDescent="0.15">
      <c r="A1098" s="47">
        <v>44663.52013128472</v>
      </c>
      <c r="B1098" s="33" t="s">
        <v>6</v>
      </c>
      <c r="C1098" s="33" t="s">
        <v>22</v>
      </c>
      <c r="FL1098" s="33" t="s">
        <v>3459</v>
      </c>
      <c r="FM1098" s="33" t="s">
        <v>255</v>
      </c>
      <c r="GF1098" s="33" t="s">
        <v>3456</v>
      </c>
      <c r="GG1098" s="33" t="s">
        <v>3457</v>
      </c>
      <c r="GH1098" s="33" t="s">
        <v>3144</v>
      </c>
      <c r="GI1098" s="34">
        <v>44608</v>
      </c>
      <c r="GJ1098" s="35" t="s">
        <v>3486</v>
      </c>
      <c r="GK1098" s="33" t="s">
        <v>3481</v>
      </c>
      <c r="GL1098" s="33" t="s">
        <v>3487</v>
      </c>
    </row>
    <row r="1099" spans="1:194" ht="13" x14ac:dyDescent="0.15">
      <c r="A1099" s="47">
        <v>44663.567037002314</v>
      </c>
      <c r="B1099" s="33" t="s">
        <v>8</v>
      </c>
      <c r="C1099" s="33" t="s">
        <v>11</v>
      </c>
      <c r="AX1099" s="33" t="s">
        <v>3488</v>
      </c>
      <c r="AY1099" s="33" t="s">
        <v>3489</v>
      </c>
      <c r="AZ1099" s="33" t="s">
        <v>2713</v>
      </c>
      <c r="BA1099" s="33" t="s">
        <v>375</v>
      </c>
      <c r="BB1099" s="33" t="s">
        <v>448</v>
      </c>
      <c r="BC1099" s="34">
        <v>44265</v>
      </c>
      <c r="BD1099" s="34">
        <v>44387</v>
      </c>
      <c r="BE1099" s="34">
        <v>44387</v>
      </c>
      <c r="BF1099" s="33">
        <v>90</v>
      </c>
      <c r="BG1099" s="33" t="s">
        <v>3490</v>
      </c>
      <c r="BH1099" s="35" t="s">
        <v>3491</v>
      </c>
      <c r="FL1099" s="33" t="s">
        <v>3492</v>
      </c>
      <c r="FM1099" s="33" t="s">
        <v>412</v>
      </c>
    </row>
    <row r="1100" spans="1:194" ht="13" x14ac:dyDescent="0.15">
      <c r="A1100" s="47">
        <v>44663.59251076389</v>
      </c>
      <c r="B1100" s="33" t="s">
        <v>6</v>
      </c>
      <c r="C1100" s="33" t="s">
        <v>11</v>
      </c>
      <c r="AX1100" s="33" t="s">
        <v>3493</v>
      </c>
      <c r="AY1100" s="33" t="s">
        <v>3494</v>
      </c>
      <c r="AZ1100" s="33" t="s">
        <v>3495</v>
      </c>
      <c r="BA1100" s="33" t="s">
        <v>375</v>
      </c>
      <c r="BB1100" s="33" t="s">
        <v>3496</v>
      </c>
      <c r="BC1100" s="34">
        <v>43642</v>
      </c>
      <c r="BD1100" s="34">
        <v>43672</v>
      </c>
      <c r="BE1100" s="34">
        <v>43672</v>
      </c>
      <c r="BF1100" s="33">
        <v>90</v>
      </c>
      <c r="BG1100" s="33" t="s">
        <v>3497</v>
      </c>
      <c r="BH1100" s="35" t="s">
        <v>3498</v>
      </c>
      <c r="FL1100" s="33" t="s">
        <v>3499</v>
      </c>
      <c r="FM1100" s="33" t="s">
        <v>552</v>
      </c>
    </row>
    <row r="1101" spans="1:194" ht="13" x14ac:dyDescent="0.15">
      <c r="A1101" s="47">
        <v>44663.592514166667</v>
      </c>
      <c r="B1101" s="33" t="s">
        <v>7</v>
      </c>
      <c r="C1101" s="33" t="s">
        <v>10</v>
      </c>
      <c r="AN1101" s="33" t="s">
        <v>3500</v>
      </c>
      <c r="AO1101" s="33" t="s">
        <v>3501</v>
      </c>
      <c r="AP1101" s="33" t="s">
        <v>307</v>
      </c>
      <c r="AQ1101" s="33" t="s">
        <v>1332</v>
      </c>
      <c r="AR1101" s="34">
        <v>44470</v>
      </c>
      <c r="AS1101" s="34">
        <v>44561</v>
      </c>
      <c r="AT1101" s="33" t="s">
        <v>252</v>
      </c>
      <c r="AU1101" s="33" t="s">
        <v>252</v>
      </c>
      <c r="AV1101" s="33">
        <v>0</v>
      </c>
      <c r="AW1101" s="35" t="s">
        <v>3502</v>
      </c>
      <c r="FL1101" s="33" t="s">
        <v>3503</v>
      </c>
      <c r="FM1101" s="33" t="s">
        <v>278</v>
      </c>
    </row>
    <row r="1102" spans="1:194" ht="13" x14ac:dyDescent="0.15">
      <c r="A1102" s="47">
        <v>44663.594109166668</v>
      </c>
      <c r="B1102" s="33" t="s">
        <v>6</v>
      </c>
      <c r="C1102" s="33" t="s">
        <v>11</v>
      </c>
      <c r="AX1102" s="33" t="s">
        <v>3504</v>
      </c>
      <c r="AY1102" s="33" t="s">
        <v>3505</v>
      </c>
      <c r="AZ1102" s="33" t="s">
        <v>2545</v>
      </c>
      <c r="BA1102" s="33" t="s">
        <v>375</v>
      </c>
      <c r="BB1102" s="33" t="s">
        <v>2423</v>
      </c>
      <c r="BC1102" s="34">
        <v>43656</v>
      </c>
      <c r="BD1102" s="34">
        <v>43672</v>
      </c>
      <c r="BE1102" s="34">
        <v>43672</v>
      </c>
      <c r="BF1102" s="48">
        <v>0.78</v>
      </c>
      <c r="BG1102" s="33" t="s">
        <v>443</v>
      </c>
      <c r="BH1102" s="35" t="s">
        <v>3506</v>
      </c>
      <c r="FL1102" s="33" t="s">
        <v>3507</v>
      </c>
      <c r="FM1102" s="33" t="s">
        <v>380</v>
      </c>
    </row>
    <row r="1103" spans="1:194" ht="13" x14ac:dyDescent="0.15">
      <c r="A1103" s="47">
        <v>44663.594712465274</v>
      </c>
      <c r="B1103" s="33" t="s">
        <v>6</v>
      </c>
      <c r="C1103" s="33" t="s">
        <v>11</v>
      </c>
      <c r="AX1103" s="33" t="s">
        <v>3508</v>
      </c>
      <c r="AY1103" s="33" t="s">
        <v>3509</v>
      </c>
      <c r="AZ1103" s="33" t="s">
        <v>3510</v>
      </c>
      <c r="BA1103" s="33" t="s">
        <v>335</v>
      </c>
      <c r="BB1103" s="33" t="s">
        <v>3400</v>
      </c>
      <c r="BC1103" s="34">
        <v>43641</v>
      </c>
      <c r="BD1103" s="34">
        <v>43671</v>
      </c>
      <c r="BE1103" s="34">
        <v>43672</v>
      </c>
      <c r="BF1103" s="48">
        <v>0.85</v>
      </c>
      <c r="BG1103" s="33" t="s">
        <v>3511</v>
      </c>
      <c r="BH1103" s="35" t="s">
        <v>3512</v>
      </c>
      <c r="FL1103" s="33" t="s">
        <v>3513</v>
      </c>
      <c r="FM1103" s="33" t="s">
        <v>552</v>
      </c>
    </row>
    <row r="1104" spans="1:194" ht="13" x14ac:dyDescent="0.15">
      <c r="A1104" s="47">
        <v>44663.595120370373</v>
      </c>
      <c r="B1104" s="33" t="s">
        <v>6</v>
      </c>
      <c r="C1104" s="33" t="s">
        <v>11</v>
      </c>
      <c r="AX1104" s="33" t="s">
        <v>3514</v>
      </c>
      <c r="AY1104" s="33" t="s">
        <v>3515</v>
      </c>
      <c r="AZ1104" s="33" t="s">
        <v>3516</v>
      </c>
      <c r="BA1104" s="33" t="s">
        <v>375</v>
      </c>
      <c r="BB1104" s="33" t="s">
        <v>3400</v>
      </c>
      <c r="BC1104" s="34">
        <v>43636</v>
      </c>
      <c r="BD1104" s="34">
        <v>43676</v>
      </c>
      <c r="BE1104" s="34">
        <v>43675</v>
      </c>
      <c r="BF1104" s="33">
        <v>85</v>
      </c>
      <c r="BG1104" s="33" t="s">
        <v>3517</v>
      </c>
      <c r="BH1104" s="35" t="s">
        <v>3518</v>
      </c>
      <c r="FL1104" s="33" t="s">
        <v>3519</v>
      </c>
      <c r="FM1104" s="33" t="s">
        <v>552</v>
      </c>
    </row>
    <row r="1105" spans="1:169" ht="13" x14ac:dyDescent="0.15">
      <c r="A1105" s="47">
        <v>44663.59709278935</v>
      </c>
      <c r="B1105" s="33" t="s">
        <v>7</v>
      </c>
      <c r="C1105" s="33" t="s">
        <v>10</v>
      </c>
      <c r="AN1105" s="33" t="s">
        <v>3520</v>
      </c>
      <c r="AO1105" s="33" t="s">
        <v>3521</v>
      </c>
      <c r="AP1105" s="33" t="s">
        <v>307</v>
      </c>
      <c r="AQ1105" s="33" t="s">
        <v>389</v>
      </c>
      <c r="AR1105" s="34">
        <v>44470</v>
      </c>
      <c r="AS1105" s="34">
        <v>44561</v>
      </c>
      <c r="AT1105" s="33" t="s">
        <v>252</v>
      </c>
      <c r="AU1105" s="33" t="s">
        <v>252</v>
      </c>
      <c r="AV1105" s="33">
        <v>0</v>
      </c>
      <c r="AW1105" s="35" t="s">
        <v>3522</v>
      </c>
      <c r="FL1105" s="33" t="s">
        <v>3523</v>
      </c>
      <c r="FM1105" s="33" t="s">
        <v>278</v>
      </c>
    </row>
    <row r="1106" spans="1:169" ht="13" x14ac:dyDescent="0.15">
      <c r="A1106" s="47">
        <v>44663.597227592589</v>
      </c>
      <c r="B1106" s="33" t="s">
        <v>6</v>
      </c>
      <c r="C1106" s="33" t="s">
        <v>11</v>
      </c>
      <c r="AX1106" s="33" t="s">
        <v>3524</v>
      </c>
      <c r="AY1106" s="33" t="s">
        <v>3525</v>
      </c>
      <c r="AZ1106" s="33" t="s">
        <v>716</v>
      </c>
      <c r="BA1106" s="33" t="s">
        <v>375</v>
      </c>
      <c r="BB1106" s="33" t="s">
        <v>3526</v>
      </c>
      <c r="BC1106" s="34">
        <v>43636</v>
      </c>
      <c r="BD1106" s="34">
        <v>43675</v>
      </c>
      <c r="BE1106" s="34">
        <v>43675</v>
      </c>
      <c r="BF1106" s="33">
        <v>75</v>
      </c>
      <c r="BG1106" s="33" t="s">
        <v>337</v>
      </c>
      <c r="BH1106" s="35" t="s">
        <v>3527</v>
      </c>
      <c r="FL1106" s="33" t="s">
        <v>3528</v>
      </c>
      <c r="FM1106" s="33" t="s">
        <v>552</v>
      </c>
    </row>
    <row r="1107" spans="1:169" ht="13" x14ac:dyDescent="0.15">
      <c r="A1107" s="47">
        <v>44663.597399039354</v>
      </c>
      <c r="B1107" s="33" t="s">
        <v>6</v>
      </c>
      <c r="C1107" s="33" t="s">
        <v>11</v>
      </c>
      <c r="AX1107" s="33" t="s">
        <v>3529</v>
      </c>
      <c r="AY1107" s="33" t="s">
        <v>3530</v>
      </c>
      <c r="AZ1107" s="33" t="s">
        <v>716</v>
      </c>
      <c r="BA1107" s="33" t="s">
        <v>375</v>
      </c>
      <c r="BB1107" s="33" t="s">
        <v>3400</v>
      </c>
      <c r="BC1107" s="34">
        <v>43636</v>
      </c>
      <c r="BD1107" s="34">
        <v>43675</v>
      </c>
      <c r="BE1107" s="34">
        <v>43676</v>
      </c>
      <c r="BF1107" s="33">
        <v>70</v>
      </c>
      <c r="BG1107" s="33" t="s">
        <v>337</v>
      </c>
      <c r="BH1107" s="35" t="s">
        <v>3531</v>
      </c>
      <c r="FL1107" s="33" t="s">
        <v>3532</v>
      </c>
      <c r="FM1107" s="33" t="s">
        <v>552</v>
      </c>
    </row>
    <row r="1108" spans="1:169" ht="13" x14ac:dyDescent="0.15">
      <c r="A1108" s="47">
        <v>44663.597432256945</v>
      </c>
      <c r="B1108" s="33" t="s">
        <v>6</v>
      </c>
      <c r="C1108" s="33" t="s">
        <v>11</v>
      </c>
      <c r="AX1108" s="33" t="s">
        <v>3533</v>
      </c>
      <c r="AY1108" s="33" t="s">
        <v>3505</v>
      </c>
      <c r="AZ1108" s="33" t="s">
        <v>3534</v>
      </c>
      <c r="BA1108" s="33" t="s">
        <v>3535</v>
      </c>
      <c r="BB1108" s="33" t="s">
        <v>2406</v>
      </c>
      <c r="BC1108" s="34">
        <v>43979</v>
      </c>
      <c r="BD1108" s="34">
        <v>43979</v>
      </c>
      <c r="BE1108" s="34">
        <v>43979</v>
      </c>
      <c r="BF1108" s="48">
        <v>0.84</v>
      </c>
      <c r="BG1108" s="33" t="s">
        <v>3536</v>
      </c>
      <c r="BH1108" s="35" t="s">
        <v>3537</v>
      </c>
      <c r="FL1108" s="33" t="s">
        <v>3507</v>
      </c>
      <c r="FM1108" s="33" t="s">
        <v>321</v>
      </c>
    </row>
    <row r="1109" spans="1:169" ht="13" x14ac:dyDescent="0.15">
      <c r="A1109" s="47">
        <v>44663.597659409723</v>
      </c>
      <c r="B1109" s="33" t="s">
        <v>7</v>
      </c>
      <c r="C1109" s="33" t="s">
        <v>10</v>
      </c>
      <c r="AN1109" s="33" t="s">
        <v>3538</v>
      </c>
      <c r="AO1109" s="33" t="s">
        <v>3539</v>
      </c>
      <c r="AP1109" s="33" t="s">
        <v>307</v>
      </c>
      <c r="AQ1109" s="33" t="s">
        <v>308</v>
      </c>
      <c r="AR1109" s="34">
        <v>44470</v>
      </c>
      <c r="AS1109" s="34">
        <v>44550</v>
      </c>
      <c r="AT1109" s="33" t="s">
        <v>252</v>
      </c>
      <c r="AU1109" s="33" t="s">
        <v>252</v>
      </c>
      <c r="AV1109" s="33">
        <v>0</v>
      </c>
      <c r="AW1109" s="35" t="s">
        <v>3540</v>
      </c>
      <c r="FL1109" s="33" t="s">
        <v>3541</v>
      </c>
      <c r="FM1109" s="33" t="s">
        <v>278</v>
      </c>
    </row>
    <row r="1110" spans="1:169" ht="13" x14ac:dyDescent="0.15">
      <c r="A1110" s="47">
        <v>44663.598423634263</v>
      </c>
      <c r="B1110" s="33" t="s">
        <v>6</v>
      </c>
      <c r="C1110" s="33" t="s">
        <v>11</v>
      </c>
      <c r="AX1110" s="33" t="s">
        <v>3542</v>
      </c>
      <c r="AY1110" s="33" t="s">
        <v>3515</v>
      </c>
      <c r="AZ1110" s="33" t="s">
        <v>349</v>
      </c>
      <c r="BA1110" s="33" t="s">
        <v>375</v>
      </c>
      <c r="BB1110" s="33" t="s">
        <v>3543</v>
      </c>
      <c r="BC1110" s="34">
        <v>43647</v>
      </c>
      <c r="BD1110" s="34">
        <v>43672</v>
      </c>
      <c r="BE1110" s="34">
        <v>43672</v>
      </c>
      <c r="BF1110" s="33">
        <v>85</v>
      </c>
      <c r="BG1110" s="33" t="s">
        <v>3544</v>
      </c>
      <c r="BH1110" s="35" t="s">
        <v>3545</v>
      </c>
      <c r="FL1110" s="33" t="s">
        <v>3519</v>
      </c>
      <c r="FM1110" s="33" t="s">
        <v>552</v>
      </c>
    </row>
    <row r="1111" spans="1:169" ht="13" x14ac:dyDescent="0.15">
      <c r="A1111" s="47">
        <v>44663.599000995368</v>
      </c>
      <c r="B1111" s="33" t="s">
        <v>6</v>
      </c>
      <c r="C1111" s="33" t="s">
        <v>10</v>
      </c>
      <c r="AN1111" s="33" t="s">
        <v>3524</v>
      </c>
      <c r="AO1111" s="33" t="s">
        <v>3525</v>
      </c>
      <c r="AP1111" s="33" t="s">
        <v>634</v>
      </c>
      <c r="AQ1111" s="33" t="s">
        <v>448</v>
      </c>
      <c r="AR1111" s="34">
        <v>44642</v>
      </c>
      <c r="AS1111" s="34">
        <v>44735</v>
      </c>
      <c r="AT1111" s="33" t="s">
        <v>252</v>
      </c>
      <c r="AU1111" s="33" t="s">
        <v>252</v>
      </c>
      <c r="AV1111" s="33">
        <v>0</v>
      </c>
      <c r="AW1111" s="35" t="s">
        <v>3546</v>
      </c>
      <c r="FL1111" s="33" t="s">
        <v>3528</v>
      </c>
      <c r="FM1111" s="33" t="s">
        <v>255</v>
      </c>
    </row>
    <row r="1112" spans="1:169" ht="13" x14ac:dyDescent="0.15">
      <c r="A1112" s="47">
        <v>44663.599987789348</v>
      </c>
      <c r="B1112" s="33" t="s">
        <v>6</v>
      </c>
      <c r="C1112" s="33" t="s">
        <v>12</v>
      </c>
      <c r="BI1112" s="33" t="s">
        <v>3510</v>
      </c>
      <c r="BJ1112" s="33" t="s">
        <v>3509</v>
      </c>
      <c r="BK1112" s="33" t="s">
        <v>154</v>
      </c>
      <c r="BL1112" s="33" t="s">
        <v>1285</v>
      </c>
      <c r="BM1112" s="33" t="s">
        <v>3547</v>
      </c>
      <c r="BN1112" s="33">
        <v>2</v>
      </c>
      <c r="BO1112" s="34">
        <v>43694</v>
      </c>
      <c r="BP1112" s="34">
        <v>43695</v>
      </c>
      <c r="BQ1112" s="33" t="s">
        <v>3548</v>
      </c>
      <c r="BR1112" s="33" t="s">
        <v>3549</v>
      </c>
      <c r="BS1112" s="33" t="s">
        <v>171</v>
      </c>
      <c r="BT1112" s="33" t="s">
        <v>629</v>
      </c>
      <c r="BU1112" s="33">
        <v>1250</v>
      </c>
      <c r="BV1112" s="35" t="s">
        <v>3550</v>
      </c>
      <c r="FL1112" s="33" t="s">
        <v>3513</v>
      </c>
      <c r="FM1112" s="33" t="s">
        <v>552</v>
      </c>
    </row>
    <row r="1113" spans="1:169" ht="13" x14ac:dyDescent="0.15">
      <c r="A1113" s="47">
        <v>44663.601084131944</v>
      </c>
      <c r="B1113" s="33" t="s">
        <v>6</v>
      </c>
      <c r="C1113" s="33" t="s">
        <v>11</v>
      </c>
      <c r="AX1113" s="33" t="s">
        <v>3524</v>
      </c>
      <c r="AY1113" s="33" t="s">
        <v>3525</v>
      </c>
      <c r="AZ1113" s="33" t="s">
        <v>349</v>
      </c>
      <c r="BA1113" s="33" t="s">
        <v>375</v>
      </c>
      <c r="BB1113" s="33" t="s">
        <v>3543</v>
      </c>
      <c r="BC1113" s="34">
        <v>43647</v>
      </c>
      <c r="BD1113" s="34">
        <v>43672</v>
      </c>
      <c r="BE1113" s="34">
        <v>43672</v>
      </c>
      <c r="BF1113" s="33">
        <v>85</v>
      </c>
      <c r="BG1113" s="33" t="s">
        <v>3544</v>
      </c>
      <c r="BH1113" s="35" t="s">
        <v>3551</v>
      </c>
      <c r="FL1113" s="33" t="s">
        <v>3528</v>
      </c>
      <c r="FM1113" s="33" t="s">
        <v>552</v>
      </c>
    </row>
    <row r="1114" spans="1:169" ht="13" x14ac:dyDescent="0.15">
      <c r="A1114" s="47">
        <v>44663.601113124998</v>
      </c>
      <c r="B1114" s="33" t="s">
        <v>6</v>
      </c>
      <c r="C1114" s="33" t="s">
        <v>12</v>
      </c>
      <c r="BI1114" s="33" t="s">
        <v>3493</v>
      </c>
      <c r="BJ1114" s="33" t="s">
        <v>3494</v>
      </c>
      <c r="BK1114" s="33" t="s">
        <v>154</v>
      </c>
      <c r="BL1114" s="33" t="s">
        <v>1285</v>
      </c>
      <c r="BM1114" s="33" t="s">
        <v>2173</v>
      </c>
      <c r="BN1114" s="33">
        <v>2</v>
      </c>
      <c r="BO1114" s="34">
        <v>43694</v>
      </c>
      <c r="BP1114" s="34">
        <v>43695</v>
      </c>
      <c r="BQ1114" s="33" t="s">
        <v>3552</v>
      </c>
      <c r="BR1114" s="33" t="s">
        <v>1765</v>
      </c>
      <c r="BS1114" s="33" t="s">
        <v>171</v>
      </c>
      <c r="BT1114" s="33" t="s">
        <v>629</v>
      </c>
      <c r="BU1114" s="33">
        <v>1250</v>
      </c>
      <c r="BV1114" s="35" t="s">
        <v>3553</v>
      </c>
      <c r="FL1114" s="33" t="s">
        <v>3499</v>
      </c>
      <c r="FM1114" s="33" t="s">
        <v>552</v>
      </c>
    </row>
    <row r="1115" spans="1:169" ht="13" x14ac:dyDescent="0.15">
      <c r="A1115" s="47">
        <v>44663.601452233794</v>
      </c>
      <c r="B1115" s="33" t="s">
        <v>6</v>
      </c>
      <c r="C1115" s="33" t="s">
        <v>11</v>
      </c>
      <c r="AX1115" s="33" t="s">
        <v>3554</v>
      </c>
      <c r="AY1115" s="33" t="s">
        <v>3530</v>
      </c>
      <c r="AZ1115" s="33" t="s">
        <v>1190</v>
      </c>
      <c r="BA1115" s="33" t="s">
        <v>375</v>
      </c>
      <c r="BB1115" s="33" t="s">
        <v>3543</v>
      </c>
      <c r="BC1115" s="34">
        <v>43647</v>
      </c>
      <c r="BD1115" s="34">
        <v>43671</v>
      </c>
      <c r="BE1115" s="34">
        <v>43672</v>
      </c>
      <c r="BF1115" s="33">
        <v>70</v>
      </c>
      <c r="BG1115" s="33" t="s">
        <v>337</v>
      </c>
      <c r="BH1115" s="35" t="s">
        <v>3555</v>
      </c>
      <c r="FL1115" s="33" t="s">
        <v>3532</v>
      </c>
      <c r="FM1115" s="33" t="s">
        <v>552</v>
      </c>
    </row>
    <row r="1116" spans="1:169" ht="13" x14ac:dyDescent="0.15">
      <c r="A1116" s="47">
        <v>44663.601507604166</v>
      </c>
      <c r="B1116" s="33" t="s">
        <v>7</v>
      </c>
      <c r="C1116" s="33" t="s">
        <v>10</v>
      </c>
      <c r="AN1116" s="33" t="s">
        <v>3556</v>
      </c>
      <c r="AO1116" s="33" t="s">
        <v>3557</v>
      </c>
      <c r="AP1116" s="33" t="s">
        <v>307</v>
      </c>
      <c r="AQ1116" s="33" t="s">
        <v>308</v>
      </c>
      <c r="AR1116" s="34">
        <v>44470</v>
      </c>
      <c r="AS1116" s="34">
        <v>44550</v>
      </c>
      <c r="AT1116" s="33" t="s">
        <v>252</v>
      </c>
      <c r="AU1116" s="33" t="s">
        <v>252</v>
      </c>
      <c r="AV1116" s="33">
        <v>0</v>
      </c>
      <c r="AW1116" s="35" t="s">
        <v>3558</v>
      </c>
      <c r="FL1116" s="33" t="s">
        <v>3559</v>
      </c>
      <c r="FM1116" s="33" t="s">
        <v>278</v>
      </c>
    </row>
    <row r="1117" spans="1:169" ht="13" x14ac:dyDescent="0.15">
      <c r="A1117" s="47">
        <v>44663.601679189815</v>
      </c>
      <c r="B1117" s="33" t="s">
        <v>7</v>
      </c>
      <c r="C1117" s="33" t="s">
        <v>10</v>
      </c>
      <c r="AN1117" s="33" t="s">
        <v>3560</v>
      </c>
      <c r="AO1117" s="33" t="s">
        <v>3561</v>
      </c>
      <c r="AP1117" s="33" t="s">
        <v>307</v>
      </c>
      <c r="AQ1117" s="33" t="s">
        <v>308</v>
      </c>
      <c r="AR1117" s="34">
        <v>44470</v>
      </c>
      <c r="AS1117" s="34">
        <v>44550</v>
      </c>
      <c r="AT1117" s="33" t="s">
        <v>252</v>
      </c>
      <c r="AU1117" s="33" t="s">
        <v>252</v>
      </c>
      <c r="AV1117" s="33">
        <v>0</v>
      </c>
      <c r="AW1117" s="35" t="s">
        <v>3562</v>
      </c>
      <c r="FL1117" s="33" t="s">
        <v>3563</v>
      </c>
      <c r="FM1117" s="33" t="s">
        <v>278</v>
      </c>
    </row>
    <row r="1118" spans="1:169" ht="13" x14ac:dyDescent="0.15">
      <c r="A1118" s="47">
        <v>44663.602150590275</v>
      </c>
      <c r="B1118" s="33" t="s">
        <v>6</v>
      </c>
      <c r="C1118" s="33" t="s">
        <v>11</v>
      </c>
      <c r="AX1118" s="33" t="s">
        <v>3542</v>
      </c>
      <c r="AY1118" s="33" t="s">
        <v>3515</v>
      </c>
      <c r="AZ1118" s="33" t="s">
        <v>3564</v>
      </c>
      <c r="BA1118" s="33" t="s">
        <v>957</v>
      </c>
      <c r="BB1118" s="33" t="s">
        <v>3565</v>
      </c>
      <c r="BC1118" s="34">
        <v>43979</v>
      </c>
      <c r="BD1118" s="34">
        <v>43979</v>
      </c>
      <c r="BE1118" s="34">
        <v>43979</v>
      </c>
      <c r="BF1118" s="48">
        <v>0.8</v>
      </c>
      <c r="BG1118" s="33" t="s">
        <v>1815</v>
      </c>
      <c r="BH1118" s="35" t="s">
        <v>3566</v>
      </c>
      <c r="FL1118" s="33" t="s">
        <v>3519</v>
      </c>
      <c r="FM1118" s="33" t="s">
        <v>321</v>
      </c>
    </row>
    <row r="1119" spans="1:169" ht="13" x14ac:dyDescent="0.15">
      <c r="A1119" s="47">
        <v>44663.602702291668</v>
      </c>
      <c r="B1119" s="33" t="s">
        <v>6</v>
      </c>
      <c r="C1119" s="33" t="s">
        <v>11</v>
      </c>
      <c r="AX1119" s="33" t="s">
        <v>3567</v>
      </c>
      <c r="AY1119" s="33" t="s">
        <v>3568</v>
      </c>
      <c r="AZ1119" s="33" t="s">
        <v>3569</v>
      </c>
      <c r="BA1119" s="33" t="s">
        <v>407</v>
      </c>
      <c r="BB1119" s="33" t="s">
        <v>3543</v>
      </c>
      <c r="BC1119" s="34">
        <v>43647</v>
      </c>
      <c r="BD1119" s="34">
        <v>43672</v>
      </c>
      <c r="BE1119" s="34">
        <v>43675</v>
      </c>
      <c r="BF1119" s="33">
        <v>70</v>
      </c>
      <c r="BG1119" s="33" t="s">
        <v>3570</v>
      </c>
      <c r="BH1119" s="35" t="s">
        <v>3571</v>
      </c>
      <c r="FL1119" s="33" t="s">
        <v>3572</v>
      </c>
      <c r="FM1119" s="33" t="s">
        <v>255</v>
      </c>
    </row>
    <row r="1120" spans="1:169" ht="13" x14ac:dyDescent="0.15">
      <c r="A1120" s="47">
        <v>44663.603264618054</v>
      </c>
      <c r="B1120" s="33" t="s">
        <v>6</v>
      </c>
      <c r="C1120" s="33" t="s">
        <v>17</v>
      </c>
      <c r="DX1120" s="33" t="s">
        <v>3533</v>
      </c>
      <c r="DY1120" s="33" t="s">
        <v>3505</v>
      </c>
      <c r="DZ1120" s="33" t="s">
        <v>166</v>
      </c>
      <c r="EA1120" s="33" t="s">
        <v>3573</v>
      </c>
      <c r="EB1120" s="34">
        <v>44045</v>
      </c>
      <c r="EC1120" s="33" t="s">
        <v>3574</v>
      </c>
      <c r="ED1120" s="35" t="s">
        <v>3575</v>
      </c>
      <c r="FL1120" s="33" t="s">
        <v>3507</v>
      </c>
      <c r="FM1120" s="33" t="s">
        <v>339</v>
      </c>
    </row>
    <row r="1121" spans="1:187" ht="13" x14ac:dyDescent="0.15">
      <c r="A1121" s="47">
        <v>44663.604304247681</v>
      </c>
      <c r="B1121" s="33" t="s">
        <v>6</v>
      </c>
      <c r="C1121" s="33" t="s">
        <v>11</v>
      </c>
      <c r="AX1121" s="33" t="s">
        <v>3493</v>
      </c>
      <c r="AY1121" s="33" t="s">
        <v>3494</v>
      </c>
      <c r="AZ1121" s="33" t="s">
        <v>2523</v>
      </c>
      <c r="BA1121" s="33" t="s">
        <v>3576</v>
      </c>
      <c r="BB1121" s="33" t="s">
        <v>2037</v>
      </c>
      <c r="BC1121" s="34">
        <v>43979</v>
      </c>
      <c r="BD1121" s="34">
        <v>43979</v>
      </c>
      <c r="BE1121" s="34">
        <v>43979</v>
      </c>
      <c r="BF1121" s="48">
        <v>0.84</v>
      </c>
      <c r="BG1121" s="33" t="s">
        <v>3577</v>
      </c>
      <c r="BH1121" s="35" t="s">
        <v>3578</v>
      </c>
      <c r="FL1121" s="33" t="s">
        <v>3499</v>
      </c>
      <c r="FM1121" s="33" t="s">
        <v>321</v>
      </c>
    </row>
    <row r="1122" spans="1:187" ht="13" x14ac:dyDescent="0.15">
      <c r="A1122" s="47">
        <v>44663.604474293985</v>
      </c>
      <c r="B1122" s="33" t="s">
        <v>6</v>
      </c>
      <c r="C1122" s="33" t="s">
        <v>11</v>
      </c>
      <c r="AX1122" s="33" t="s">
        <v>3579</v>
      </c>
      <c r="AY1122" s="33" t="s">
        <v>3509</v>
      </c>
      <c r="AZ1122" s="33" t="s">
        <v>3510</v>
      </c>
      <c r="BA1122" s="33" t="s">
        <v>3580</v>
      </c>
      <c r="BB1122" s="33" t="s">
        <v>3581</v>
      </c>
      <c r="BC1122" s="34">
        <v>43979</v>
      </c>
      <c r="BD1122" s="34">
        <v>43979</v>
      </c>
      <c r="BE1122" s="34">
        <v>43979</v>
      </c>
      <c r="BF1122" s="48">
        <v>0.96</v>
      </c>
      <c r="BG1122" s="33" t="s">
        <v>3582</v>
      </c>
      <c r="BH1122" s="35" t="s">
        <v>3583</v>
      </c>
      <c r="FL1122" s="33" t="s">
        <v>3513</v>
      </c>
      <c r="FM1122" s="33" t="s">
        <v>321</v>
      </c>
    </row>
    <row r="1123" spans="1:187" ht="13" x14ac:dyDescent="0.15">
      <c r="A1123" s="47">
        <v>44663.604916712968</v>
      </c>
      <c r="B1123" s="33" t="s">
        <v>6</v>
      </c>
      <c r="C1123" s="33" t="s">
        <v>11</v>
      </c>
      <c r="AX1123" s="33" t="s">
        <v>3524</v>
      </c>
      <c r="AY1123" s="33" t="s">
        <v>3525</v>
      </c>
      <c r="AZ1123" s="33" t="s">
        <v>3584</v>
      </c>
      <c r="BA1123" s="33" t="s">
        <v>1383</v>
      </c>
      <c r="BB1123" s="33" t="s">
        <v>415</v>
      </c>
      <c r="BC1123" s="34">
        <v>43891</v>
      </c>
      <c r="BD1123" s="34">
        <v>43981</v>
      </c>
      <c r="BE1123" s="34">
        <v>43981</v>
      </c>
      <c r="BF1123" s="33">
        <v>95.33</v>
      </c>
      <c r="BG1123" s="33" t="s">
        <v>328</v>
      </c>
      <c r="BH1123" s="35" t="s">
        <v>3585</v>
      </c>
      <c r="FL1123" s="33" t="s">
        <v>3528</v>
      </c>
      <c r="FM1123" s="33" t="s">
        <v>321</v>
      </c>
    </row>
    <row r="1124" spans="1:187" ht="13" x14ac:dyDescent="0.15">
      <c r="A1124" s="47">
        <v>44663.605150393516</v>
      </c>
      <c r="B1124" s="33" t="s">
        <v>6</v>
      </c>
      <c r="C1124" s="33" t="s">
        <v>20</v>
      </c>
      <c r="FL1124" s="33" t="s">
        <v>3572</v>
      </c>
      <c r="FM1124" s="33" t="s">
        <v>380</v>
      </c>
      <c r="FT1124" s="33" t="s">
        <v>3586</v>
      </c>
      <c r="FU1124" s="33" t="s">
        <v>3568</v>
      </c>
      <c r="FV1124" s="33" t="s">
        <v>3587</v>
      </c>
      <c r="FW1124" s="34">
        <v>43467</v>
      </c>
      <c r="FX1124" s="33" t="s">
        <v>3588</v>
      </c>
      <c r="FY1124" s="35" t="s">
        <v>3589</v>
      </c>
    </row>
    <row r="1125" spans="1:187" ht="13" x14ac:dyDescent="0.15">
      <c r="A1125" s="47">
        <v>44663.605715173609</v>
      </c>
      <c r="B1125" s="33" t="s">
        <v>6</v>
      </c>
      <c r="C1125" s="33" t="s">
        <v>10</v>
      </c>
      <c r="AN1125" s="33" t="s">
        <v>3529</v>
      </c>
      <c r="AO1125" s="33" t="s">
        <v>3530</v>
      </c>
      <c r="AP1125" s="33" t="s">
        <v>307</v>
      </c>
      <c r="AQ1125" s="33" t="s">
        <v>300</v>
      </c>
      <c r="AR1125" s="34">
        <v>44470</v>
      </c>
      <c r="AS1125" s="34">
        <v>44561</v>
      </c>
      <c r="AT1125" s="33" t="s">
        <v>252</v>
      </c>
      <c r="AU1125" s="33" t="s">
        <v>252</v>
      </c>
      <c r="AV1125" s="33">
        <v>0</v>
      </c>
      <c r="AW1125" s="35" t="s">
        <v>3590</v>
      </c>
      <c r="FL1125" s="33" t="s">
        <v>3532</v>
      </c>
      <c r="FM1125" s="33" t="s">
        <v>273</v>
      </c>
    </row>
    <row r="1126" spans="1:187" ht="13" x14ac:dyDescent="0.15">
      <c r="A1126" s="47">
        <v>44663.605782743056</v>
      </c>
      <c r="B1126" s="33" t="s">
        <v>6</v>
      </c>
      <c r="C1126" s="33" t="s">
        <v>17</v>
      </c>
      <c r="DX1126" s="33" t="s">
        <v>3533</v>
      </c>
      <c r="DY1126" s="33" t="s">
        <v>3505</v>
      </c>
      <c r="DZ1126" s="33" t="s">
        <v>145</v>
      </c>
      <c r="EA1126" s="33" t="s">
        <v>3591</v>
      </c>
      <c r="EB1126" s="34">
        <v>43372</v>
      </c>
      <c r="EC1126" s="33" t="s">
        <v>3592</v>
      </c>
      <c r="ED1126" s="35" t="s">
        <v>3593</v>
      </c>
      <c r="FL1126" s="33" t="s">
        <v>3507</v>
      </c>
      <c r="FM1126" s="33" t="s">
        <v>412</v>
      </c>
    </row>
    <row r="1127" spans="1:187" ht="13" x14ac:dyDescent="0.15">
      <c r="A1127" s="47">
        <v>44663.607269710643</v>
      </c>
      <c r="B1127" s="33" t="s">
        <v>7</v>
      </c>
      <c r="C1127" s="33" t="s">
        <v>10</v>
      </c>
      <c r="AN1127" s="33" t="s">
        <v>3594</v>
      </c>
      <c r="AO1127" s="33" t="s">
        <v>3595</v>
      </c>
      <c r="AP1127" s="33" t="s">
        <v>2828</v>
      </c>
      <c r="AQ1127" s="33" t="s">
        <v>308</v>
      </c>
      <c r="AR1127" s="34">
        <v>44470</v>
      </c>
      <c r="AS1127" s="34">
        <v>44550</v>
      </c>
      <c r="AT1127" s="33" t="s">
        <v>252</v>
      </c>
      <c r="AU1127" s="33" t="s">
        <v>252</v>
      </c>
      <c r="AV1127" s="33">
        <v>0</v>
      </c>
      <c r="AW1127" s="35" t="s">
        <v>3596</v>
      </c>
      <c r="FL1127" s="33" t="s">
        <v>3597</v>
      </c>
      <c r="FM1127" s="33" t="s">
        <v>278</v>
      </c>
    </row>
    <row r="1128" spans="1:187" ht="13" x14ac:dyDescent="0.15">
      <c r="A1128" s="47">
        <v>44663.607540648147</v>
      </c>
      <c r="B1128" s="33" t="s">
        <v>6</v>
      </c>
      <c r="C1128" s="33" t="s">
        <v>11</v>
      </c>
      <c r="AX1128" s="33" t="s">
        <v>3524</v>
      </c>
      <c r="AY1128" s="33" t="s">
        <v>3525</v>
      </c>
      <c r="AZ1128" s="33" t="s">
        <v>1348</v>
      </c>
      <c r="BA1128" s="33" t="s">
        <v>375</v>
      </c>
      <c r="BB1128" s="33" t="s">
        <v>415</v>
      </c>
      <c r="BC1128" s="34">
        <v>43922</v>
      </c>
      <c r="BD1128" s="34">
        <v>44012</v>
      </c>
      <c r="BE1128" s="34">
        <v>44012</v>
      </c>
      <c r="BF1128" s="33">
        <v>92.5</v>
      </c>
      <c r="BG1128" s="33" t="s">
        <v>328</v>
      </c>
      <c r="BH1128" s="35" t="s">
        <v>3598</v>
      </c>
      <c r="FL1128" s="33" t="s">
        <v>3528</v>
      </c>
      <c r="FM1128" s="33" t="s">
        <v>321</v>
      </c>
    </row>
    <row r="1129" spans="1:187" ht="13" x14ac:dyDescent="0.15">
      <c r="A1129" s="47">
        <v>44663.608086736116</v>
      </c>
      <c r="B1129" s="33" t="s">
        <v>6</v>
      </c>
      <c r="C1129" s="33" t="s">
        <v>11</v>
      </c>
      <c r="AX1129" s="33" t="s">
        <v>3542</v>
      </c>
      <c r="AY1129" s="33" t="s">
        <v>3515</v>
      </c>
      <c r="AZ1129" s="33" t="s">
        <v>497</v>
      </c>
      <c r="BA1129" s="33" t="s">
        <v>330</v>
      </c>
      <c r="BB1129" s="33" t="s">
        <v>667</v>
      </c>
      <c r="BC1129" s="34">
        <v>44512</v>
      </c>
      <c r="BD1129" s="34">
        <v>44541</v>
      </c>
      <c r="BE1129" s="34">
        <v>44542</v>
      </c>
      <c r="BF1129" s="33">
        <v>80</v>
      </c>
      <c r="BG1129" s="33" t="s">
        <v>3599</v>
      </c>
      <c r="BH1129" s="35" t="s">
        <v>3600</v>
      </c>
      <c r="FL1129" s="33" t="s">
        <v>3519</v>
      </c>
      <c r="FM1129" s="33" t="s">
        <v>273</v>
      </c>
    </row>
    <row r="1130" spans="1:187" ht="13" x14ac:dyDescent="0.15">
      <c r="A1130" s="47">
        <v>44663.608788321755</v>
      </c>
      <c r="B1130" s="33" t="s">
        <v>6</v>
      </c>
      <c r="C1130" s="33" t="s">
        <v>11</v>
      </c>
      <c r="AX1130" s="33" t="s">
        <v>3567</v>
      </c>
      <c r="AY1130" s="33" t="s">
        <v>3568</v>
      </c>
      <c r="AZ1130" s="33" t="s">
        <v>2523</v>
      </c>
      <c r="BA1130" s="33" t="s">
        <v>3601</v>
      </c>
      <c r="BB1130" s="33" t="s">
        <v>3565</v>
      </c>
      <c r="BC1130" s="34">
        <v>43977</v>
      </c>
      <c r="BD1130" s="34">
        <v>43979</v>
      </c>
      <c r="BE1130" s="34">
        <v>43979</v>
      </c>
      <c r="BF1130" s="33">
        <v>76</v>
      </c>
      <c r="BG1130" s="33" t="s">
        <v>3602</v>
      </c>
      <c r="BH1130" s="35" t="s">
        <v>3603</v>
      </c>
      <c r="FL1130" s="33" t="s">
        <v>3572</v>
      </c>
      <c r="FM1130" s="33" t="s">
        <v>321</v>
      </c>
    </row>
    <row r="1131" spans="1:187" ht="13" x14ac:dyDescent="0.15">
      <c r="A1131" s="47">
        <v>44663.608979699071</v>
      </c>
      <c r="B1131" s="33" t="s">
        <v>6</v>
      </c>
      <c r="C1131" s="33" t="s">
        <v>11</v>
      </c>
      <c r="AX1131" s="33" t="s">
        <v>3529</v>
      </c>
      <c r="AY1131" s="33" t="s">
        <v>3530</v>
      </c>
      <c r="AZ1131" s="33" t="s">
        <v>2523</v>
      </c>
      <c r="BA1131" s="33" t="s">
        <v>3604</v>
      </c>
      <c r="BB1131" s="33" t="s">
        <v>3605</v>
      </c>
      <c r="BC1131" s="34">
        <v>43979</v>
      </c>
      <c r="BD1131" s="34">
        <v>43979</v>
      </c>
      <c r="BE1131" s="34">
        <v>43979</v>
      </c>
      <c r="BF1131" s="33">
        <v>52</v>
      </c>
      <c r="BG1131" s="33" t="s">
        <v>3606</v>
      </c>
      <c r="BH1131" s="35" t="s">
        <v>3607</v>
      </c>
      <c r="FL1131" s="33" t="s">
        <v>3532</v>
      </c>
      <c r="FM1131" s="33" t="s">
        <v>321</v>
      </c>
    </row>
    <row r="1132" spans="1:187" ht="13" x14ac:dyDescent="0.15">
      <c r="A1132" s="47">
        <v>44663.610574444443</v>
      </c>
      <c r="B1132" s="33" t="s">
        <v>6</v>
      </c>
      <c r="C1132" s="33" t="s">
        <v>11</v>
      </c>
      <c r="AX1132" s="33" t="s">
        <v>3608</v>
      </c>
      <c r="AY1132" s="33" t="s">
        <v>3525</v>
      </c>
      <c r="AZ1132" s="33" t="s">
        <v>2523</v>
      </c>
      <c r="BA1132" s="33" t="s">
        <v>3609</v>
      </c>
      <c r="BB1132" s="33" t="s">
        <v>3610</v>
      </c>
      <c r="BC1132" s="34">
        <v>43979</v>
      </c>
      <c r="BD1132" s="34">
        <v>43979</v>
      </c>
      <c r="BE1132" s="34">
        <v>43979</v>
      </c>
      <c r="BF1132" s="33">
        <v>92</v>
      </c>
      <c r="BG1132" s="33" t="s">
        <v>3611</v>
      </c>
      <c r="BH1132" s="35" t="s">
        <v>3612</v>
      </c>
      <c r="FL1132" s="33" t="s">
        <v>3528</v>
      </c>
      <c r="FM1132" s="33" t="s">
        <v>321</v>
      </c>
    </row>
    <row r="1133" spans="1:187" ht="13" x14ac:dyDescent="0.15">
      <c r="A1133" s="47">
        <v>44663.610956770834</v>
      </c>
      <c r="B1133" s="33" t="s">
        <v>6</v>
      </c>
      <c r="C1133" s="33" t="s">
        <v>12</v>
      </c>
      <c r="BI1133" s="33" t="s">
        <v>3510</v>
      </c>
      <c r="BJ1133" s="33" t="s">
        <v>3509</v>
      </c>
      <c r="BK1133" s="33" t="s">
        <v>311</v>
      </c>
      <c r="BL1133" s="33" t="s">
        <v>167</v>
      </c>
      <c r="BM1133" s="33" t="s">
        <v>2898</v>
      </c>
      <c r="BN1133" s="33">
        <v>1</v>
      </c>
      <c r="BO1133" s="34">
        <v>44567</v>
      </c>
      <c r="BP1133" s="34">
        <v>44567</v>
      </c>
      <c r="BQ1133" s="33" t="s">
        <v>3613</v>
      </c>
      <c r="BR1133" s="33" t="s">
        <v>3614</v>
      </c>
      <c r="BS1133" s="33" t="s">
        <v>171</v>
      </c>
      <c r="BT1133" s="33" t="s">
        <v>151</v>
      </c>
      <c r="BV1133" s="35" t="s">
        <v>3615</v>
      </c>
      <c r="FL1133" s="33" t="s">
        <v>3513</v>
      </c>
      <c r="FM1133" s="33" t="s">
        <v>273</v>
      </c>
    </row>
    <row r="1134" spans="1:187" ht="13" x14ac:dyDescent="0.15">
      <c r="A1134" s="47">
        <v>44663.612313622682</v>
      </c>
      <c r="B1134" s="33" t="s">
        <v>6</v>
      </c>
      <c r="C1134" s="33" t="s">
        <v>21</v>
      </c>
      <c r="FL1134" s="33" t="s">
        <v>3513</v>
      </c>
      <c r="FM1134" s="33" t="s">
        <v>255</v>
      </c>
      <c r="FZ1134" s="33" t="s">
        <v>3510</v>
      </c>
      <c r="GA1134" s="33" t="s">
        <v>3509</v>
      </c>
      <c r="GB1134" s="33" t="s">
        <v>3308</v>
      </c>
      <c r="GC1134" s="34">
        <v>43313</v>
      </c>
      <c r="GE1134" s="34">
        <v>44714</v>
      </c>
    </row>
    <row r="1135" spans="1:187" ht="13" x14ac:dyDescent="0.15">
      <c r="A1135" s="47">
        <v>44663.613448715274</v>
      </c>
      <c r="B1135" s="33" t="s">
        <v>6</v>
      </c>
      <c r="C1135" s="33" t="s">
        <v>12</v>
      </c>
      <c r="BI1135" s="33" t="s">
        <v>3493</v>
      </c>
      <c r="BJ1135" s="33" t="s">
        <v>3494</v>
      </c>
      <c r="BK1135" s="33" t="s">
        <v>311</v>
      </c>
      <c r="BL1135" s="33" t="s">
        <v>167</v>
      </c>
      <c r="BM1135" s="33" t="s">
        <v>435</v>
      </c>
      <c r="BN1135" s="33">
        <v>1</v>
      </c>
      <c r="BO1135" s="34">
        <v>44567</v>
      </c>
      <c r="BP1135" s="34">
        <v>44567</v>
      </c>
      <c r="BQ1135" s="33" t="s">
        <v>3616</v>
      </c>
      <c r="BR1135" s="33" t="s">
        <v>3617</v>
      </c>
      <c r="BS1135" s="33" t="s">
        <v>171</v>
      </c>
      <c r="BT1135" s="33" t="s">
        <v>151</v>
      </c>
      <c r="BV1135" s="35" t="s">
        <v>3618</v>
      </c>
      <c r="FL1135" s="33" t="s">
        <v>3499</v>
      </c>
      <c r="FM1135" s="33" t="s">
        <v>273</v>
      </c>
    </row>
    <row r="1136" spans="1:187" ht="13" x14ac:dyDescent="0.15">
      <c r="A1136" s="47">
        <v>44663.614140914353</v>
      </c>
      <c r="B1136" s="33" t="s">
        <v>6</v>
      </c>
      <c r="C1136" s="33" t="s">
        <v>12</v>
      </c>
      <c r="BI1136" s="33" t="s">
        <v>3619</v>
      </c>
      <c r="BJ1136" s="33" t="s">
        <v>3568</v>
      </c>
      <c r="BK1136" s="33" t="s">
        <v>311</v>
      </c>
      <c r="BL1136" s="33" t="s">
        <v>167</v>
      </c>
      <c r="BM1136" s="33" t="s">
        <v>3620</v>
      </c>
      <c r="BN1136" s="33">
        <v>1</v>
      </c>
      <c r="BO1136" s="34">
        <v>44567</v>
      </c>
      <c r="BP1136" s="34">
        <v>44567</v>
      </c>
      <c r="BQ1136" s="33" t="s">
        <v>2548</v>
      </c>
      <c r="BR1136" s="33" t="s">
        <v>3621</v>
      </c>
      <c r="BS1136" s="33" t="s">
        <v>171</v>
      </c>
      <c r="BT1136" s="33" t="s">
        <v>151</v>
      </c>
      <c r="BV1136" s="35" t="s">
        <v>3622</v>
      </c>
      <c r="FL1136" s="33" t="s">
        <v>3572</v>
      </c>
      <c r="FM1136" s="33" t="s">
        <v>273</v>
      </c>
    </row>
    <row r="1137" spans="1:181" ht="13" x14ac:dyDescent="0.15">
      <c r="A1137" s="47">
        <v>44663.614444895837</v>
      </c>
      <c r="B1137" s="33" t="s">
        <v>6</v>
      </c>
      <c r="C1137" s="33" t="s">
        <v>12</v>
      </c>
      <c r="BI1137" s="33" t="s">
        <v>3623</v>
      </c>
      <c r="BJ1137" s="33" t="s">
        <v>3525</v>
      </c>
      <c r="BK1137" s="33" t="s">
        <v>311</v>
      </c>
      <c r="BL1137" s="33" t="s">
        <v>167</v>
      </c>
      <c r="BM1137" s="33" t="s">
        <v>3624</v>
      </c>
      <c r="BN1137" s="33">
        <v>1</v>
      </c>
      <c r="BO1137" s="34">
        <v>44567</v>
      </c>
      <c r="BP1137" s="34">
        <v>44567</v>
      </c>
      <c r="BQ1137" s="33" t="s">
        <v>3625</v>
      </c>
      <c r="BR1137" s="33" t="s">
        <v>3626</v>
      </c>
      <c r="BS1137" s="33" t="s">
        <v>171</v>
      </c>
      <c r="BT1137" s="33" t="s">
        <v>151</v>
      </c>
      <c r="BU1137" s="33">
        <v>0</v>
      </c>
      <c r="BV1137" s="35" t="s">
        <v>3627</v>
      </c>
      <c r="FL1137" s="33" t="s">
        <v>3528</v>
      </c>
      <c r="FM1137" s="33" t="s">
        <v>273</v>
      </c>
    </row>
    <row r="1138" spans="1:181" ht="13" x14ac:dyDescent="0.15">
      <c r="A1138" s="47">
        <v>44663.614715625001</v>
      </c>
      <c r="B1138" s="33" t="s">
        <v>6</v>
      </c>
      <c r="C1138" s="33" t="s">
        <v>12</v>
      </c>
      <c r="BI1138" s="33" t="s">
        <v>3529</v>
      </c>
      <c r="BJ1138" s="33" t="s">
        <v>3530</v>
      </c>
      <c r="BK1138" s="33" t="s">
        <v>311</v>
      </c>
      <c r="BL1138" s="33" t="s">
        <v>167</v>
      </c>
      <c r="BM1138" s="33" t="s">
        <v>3628</v>
      </c>
      <c r="BN1138" s="33">
        <v>1</v>
      </c>
      <c r="BO1138" s="34">
        <v>44567</v>
      </c>
      <c r="BP1138" s="34">
        <v>44567</v>
      </c>
      <c r="BQ1138" s="33" t="s">
        <v>816</v>
      </c>
      <c r="BR1138" s="33" t="s">
        <v>3629</v>
      </c>
      <c r="BS1138" s="33" t="s">
        <v>171</v>
      </c>
      <c r="BT1138" s="33" t="s">
        <v>151</v>
      </c>
      <c r="BV1138" s="35" t="s">
        <v>3630</v>
      </c>
      <c r="FL1138" s="33" t="s">
        <v>3532</v>
      </c>
      <c r="FM1138" s="33" t="s">
        <v>273</v>
      </c>
    </row>
    <row r="1139" spans="1:181" ht="13" x14ac:dyDescent="0.15">
      <c r="A1139" s="47">
        <v>44663.616152129631</v>
      </c>
      <c r="B1139" s="33" t="s">
        <v>6</v>
      </c>
      <c r="C1139" s="33" t="s">
        <v>11</v>
      </c>
      <c r="AX1139" s="33" t="s">
        <v>3524</v>
      </c>
      <c r="AY1139" s="33" t="s">
        <v>3525</v>
      </c>
      <c r="AZ1139" s="33" t="s">
        <v>3631</v>
      </c>
      <c r="BA1139" s="33" t="s">
        <v>1383</v>
      </c>
      <c r="BB1139" s="33" t="s">
        <v>415</v>
      </c>
      <c r="BC1139" s="34">
        <v>43956</v>
      </c>
      <c r="BD1139" s="34">
        <v>44016</v>
      </c>
      <c r="BE1139" s="34">
        <v>44018</v>
      </c>
      <c r="BF1139" s="33">
        <v>86.5</v>
      </c>
      <c r="BG1139" s="33" t="s">
        <v>328</v>
      </c>
      <c r="BH1139" s="35" t="s">
        <v>3632</v>
      </c>
      <c r="FL1139" s="33" t="s">
        <v>3528</v>
      </c>
      <c r="FM1139" s="33" t="s">
        <v>321</v>
      </c>
    </row>
    <row r="1140" spans="1:181" ht="13" x14ac:dyDescent="0.15">
      <c r="A1140" s="47">
        <v>44663.6190775</v>
      </c>
      <c r="B1140" s="33" t="s">
        <v>8</v>
      </c>
      <c r="C1140" s="33" t="s">
        <v>11</v>
      </c>
      <c r="AX1140" s="33" t="s">
        <v>3633</v>
      </c>
      <c r="AY1140" s="33" t="s">
        <v>3634</v>
      </c>
      <c r="AZ1140" s="33" t="s">
        <v>853</v>
      </c>
      <c r="BA1140" s="33" t="s">
        <v>375</v>
      </c>
      <c r="BB1140" s="33" t="s">
        <v>300</v>
      </c>
      <c r="BC1140" s="34">
        <v>44321</v>
      </c>
      <c r="BD1140" s="34">
        <v>44394</v>
      </c>
      <c r="BE1140" s="34">
        <v>44561</v>
      </c>
      <c r="BF1140" s="33">
        <v>90</v>
      </c>
      <c r="BG1140" s="33" t="s">
        <v>2050</v>
      </c>
      <c r="BH1140" s="35" t="s">
        <v>3635</v>
      </c>
      <c r="FL1140" s="33" t="s">
        <v>3636</v>
      </c>
      <c r="FM1140" s="33" t="s">
        <v>321</v>
      </c>
    </row>
    <row r="1141" spans="1:181" ht="13" x14ac:dyDescent="0.15">
      <c r="A1141" s="47">
        <v>44663.621809178236</v>
      </c>
      <c r="B1141" s="33" t="s">
        <v>8</v>
      </c>
      <c r="C1141" s="33" t="s">
        <v>10</v>
      </c>
      <c r="AN1141" s="33" t="s">
        <v>3633</v>
      </c>
      <c r="AO1141" s="33" t="s">
        <v>3634</v>
      </c>
      <c r="AP1141" s="33" t="s">
        <v>3011</v>
      </c>
      <c r="AQ1141" s="33" t="s">
        <v>300</v>
      </c>
      <c r="AR1141" s="34">
        <v>44604</v>
      </c>
      <c r="AS1141" s="34">
        <v>44662</v>
      </c>
      <c r="AT1141" s="33" t="s">
        <v>252</v>
      </c>
      <c r="AU1141" s="33" t="s">
        <v>252</v>
      </c>
      <c r="AV1141" s="33">
        <v>0</v>
      </c>
      <c r="AW1141" s="35" t="s">
        <v>3637</v>
      </c>
      <c r="FL1141" s="33" t="s">
        <v>3636</v>
      </c>
      <c r="FM1141" s="33" t="s">
        <v>321</v>
      </c>
    </row>
    <row r="1142" spans="1:181" ht="13" x14ac:dyDescent="0.15">
      <c r="A1142" s="47">
        <v>44663.622168912036</v>
      </c>
      <c r="B1142" s="33" t="s">
        <v>7</v>
      </c>
      <c r="C1142" s="33" t="s">
        <v>10</v>
      </c>
      <c r="AN1142" s="33" t="s">
        <v>3638</v>
      </c>
      <c r="AO1142" s="33" t="s">
        <v>3639</v>
      </c>
      <c r="AP1142" s="33" t="s">
        <v>3340</v>
      </c>
      <c r="AQ1142" s="33" t="s">
        <v>1417</v>
      </c>
      <c r="AR1142" s="34">
        <v>44492</v>
      </c>
      <c r="AS1142" s="34">
        <v>44548</v>
      </c>
      <c r="AT1142" s="33" t="s">
        <v>252</v>
      </c>
      <c r="AU1142" s="33" t="s">
        <v>252</v>
      </c>
      <c r="AV1142" s="33">
        <v>0</v>
      </c>
      <c r="AW1142" s="35" t="s">
        <v>3640</v>
      </c>
      <c r="FL1142" s="33" t="s">
        <v>3641</v>
      </c>
      <c r="FM1142" s="33" t="s">
        <v>278</v>
      </c>
    </row>
    <row r="1143" spans="1:181" ht="13" x14ac:dyDescent="0.15">
      <c r="A1143" s="47">
        <v>44663.623237118052</v>
      </c>
      <c r="B1143" s="33" t="s">
        <v>8</v>
      </c>
      <c r="C1143" s="33" t="s">
        <v>10</v>
      </c>
      <c r="AN1143" s="33" t="s">
        <v>3633</v>
      </c>
      <c r="AO1143" s="33" t="s">
        <v>3634</v>
      </c>
      <c r="AP1143" s="33" t="s">
        <v>3011</v>
      </c>
      <c r="AQ1143" s="33" t="s">
        <v>300</v>
      </c>
      <c r="AR1143" s="34">
        <v>44604</v>
      </c>
      <c r="AS1143" s="34">
        <v>44662</v>
      </c>
      <c r="AT1143" s="33" t="s">
        <v>252</v>
      </c>
      <c r="AU1143" s="33" t="s">
        <v>252</v>
      </c>
      <c r="AV1143" s="33">
        <v>0</v>
      </c>
      <c r="AW1143" s="35" t="s">
        <v>3642</v>
      </c>
      <c r="FL1143" s="33" t="s">
        <v>3636</v>
      </c>
      <c r="FM1143" s="33" t="s">
        <v>321</v>
      </c>
    </row>
    <row r="1144" spans="1:181" ht="13" x14ac:dyDescent="0.15">
      <c r="A1144" s="47">
        <v>44663.625535775464</v>
      </c>
      <c r="B1144" s="33" t="s">
        <v>8</v>
      </c>
      <c r="C1144" s="33" t="s">
        <v>10</v>
      </c>
      <c r="AN1144" s="33" t="s">
        <v>3643</v>
      </c>
      <c r="AO1144" s="33" t="s">
        <v>3644</v>
      </c>
      <c r="AP1144" s="33" t="s">
        <v>2812</v>
      </c>
      <c r="AQ1144" s="33" t="s">
        <v>308</v>
      </c>
      <c r="AR1144" s="34">
        <v>44594</v>
      </c>
      <c r="AS1144" s="34">
        <v>44654</v>
      </c>
      <c r="AT1144" s="33" t="s">
        <v>252</v>
      </c>
      <c r="AU1144" s="33" t="s">
        <v>252</v>
      </c>
      <c r="AV1144" s="33">
        <v>0</v>
      </c>
      <c r="AW1144" s="35" t="s">
        <v>3645</v>
      </c>
      <c r="FL1144" s="33" t="s">
        <v>3646</v>
      </c>
      <c r="FM1144" s="33" t="s">
        <v>321</v>
      </c>
    </row>
    <row r="1145" spans="1:181" ht="13" x14ac:dyDescent="0.15">
      <c r="A1145" s="47">
        <v>44663.626995798608</v>
      </c>
      <c r="B1145" s="33" t="s">
        <v>8</v>
      </c>
      <c r="C1145" s="33" t="s">
        <v>10</v>
      </c>
      <c r="AN1145" s="33" t="s">
        <v>3643</v>
      </c>
      <c r="AO1145" s="33" t="s">
        <v>3644</v>
      </c>
      <c r="AP1145" s="33" t="s">
        <v>375</v>
      </c>
      <c r="AQ1145" s="33" t="s">
        <v>308</v>
      </c>
      <c r="AR1145" s="34">
        <v>44378</v>
      </c>
      <c r="AS1145" s="34">
        <v>44440</v>
      </c>
      <c r="AT1145" s="33" t="s">
        <v>252</v>
      </c>
      <c r="AU1145" s="33" t="s">
        <v>252</v>
      </c>
      <c r="AV1145" s="33">
        <v>0</v>
      </c>
      <c r="AW1145" s="35" t="s">
        <v>3647</v>
      </c>
      <c r="FL1145" s="33" t="s">
        <v>3646</v>
      </c>
      <c r="FM1145" s="33" t="s">
        <v>321</v>
      </c>
    </row>
    <row r="1146" spans="1:181" ht="13" x14ac:dyDescent="0.15">
      <c r="A1146" s="47">
        <v>44663.628378148147</v>
      </c>
      <c r="B1146" s="33" t="s">
        <v>8</v>
      </c>
      <c r="C1146" s="33" t="s">
        <v>10</v>
      </c>
      <c r="AN1146" s="33" t="s">
        <v>3648</v>
      </c>
      <c r="AO1146" s="33" t="s">
        <v>3649</v>
      </c>
      <c r="AP1146" s="33" t="s">
        <v>1436</v>
      </c>
      <c r="AQ1146" s="33" t="s">
        <v>448</v>
      </c>
      <c r="AR1146" s="34">
        <v>44470</v>
      </c>
      <c r="AS1146" s="34">
        <v>44561</v>
      </c>
      <c r="AT1146" s="33" t="s">
        <v>252</v>
      </c>
      <c r="AU1146" s="33" t="s">
        <v>252</v>
      </c>
      <c r="AV1146" s="33">
        <v>0</v>
      </c>
      <c r="AW1146" s="35" t="s">
        <v>3650</v>
      </c>
      <c r="FL1146" s="33" t="s">
        <v>3651</v>
      </c>
      <c r="FM1146" s="33" t="s">
        <v>321</v>
      </c>
    </row>
    <row r="1147" spans="1:181" ht="13" x14ac:dyDescent="0.15">
      <c r="A1147" s="47">
        <v>44663.629981712962</v>
      </c>
      <c r="B1147" s="33" t="s">
        <v>8</v>
      </c>
      <c r="C1147" s="33" t="s">
        <v>10</v>
      </c>
      <c r="AN1147" s="33" t="s">
        <v>3648</v>
      </c>
      <c r="AO1147" s="33" t="s">
        <v>3649</v>
      </c>
      <c r="AP1147" s="33" t="s">
        <v>375</v>
      </c>
      <c r="AQ1147" s="33" t="s">
        <v>308</v>
      </c>
      <c r="AR1147" s="34">
        <v>44378</v>
      </c>
      <c r="AS1147" s="34">
        <v>44469</v>
      </c>
      <c r="AT1147" s="33" t="s">
        <v>252</v>
      </c>
      <c r="AU1147" s="33" t="s">
        <v>252</v>
      </c>
      <c r="AV1147" s="33">
        <v>0</v>
      </c>
      <c r="AW1147" s="35" t="s">
        <v>3652</v>
      </c>
      <c r="FL1147" s="33" t="s">
        <v>3651</v>
      </c>
      <c r="FM1147" s="33" t="s">
        <v>321</v>
      </c>
    </row>
    <row r="1148" spans="1:181" ht="13" x14ac:dyDescent="0.15">
      <c r="A1148" s="47">
        <v>44663.631072673612</v>
      </c>
      <c r="B1148" s="33" t="s">
        <v>6</v>
      </c>
      <c r="C1148" s="33" t="s">
        <v>20</v>
      </c>
      <c r="FL1148" s="33" t="s">
        <v>3653</v>
      </c>
      <c r="FM1148" s="33" t="s">
        <v>380</v>
      </c>
      <c r="FT1148" s="33" t="s">
        <v>3654</v>
      </c>
      <c r="FU1148" s="33" t="s">
        <v>3655</v>
      </c>
      <c r="FV1148" s="33" t="s">
        <v>3656</v>
      </c>
      <c r="FW1148" s="34">
        <v>43467</v>
      </c>
      <c r="FX1148" s="33" t="s">
        <v>3657</v>
      </c>
      <c r="FY1148" s="35" t="s">
        <v>3658</v>
      </c>
    </row>
    <row r="1149" spans="1:181" ht="13" x14ac:dyDescent="0.15">
      <c r="A1149" s="47">
        <v>44663.647852592592</v>
      </c>
      <c r="B1149" s="33" t="s">
        <v>6</v>
      </c>
      <c r="C1149" s="33" t="s">
        <v>11</v>
      </c>
      <c r="AX1149" s="33" t="s">
        <v>3654</v>
      </c>
      <c r="AY1149" s="33" t="s">
        <v>3655</v>
      </c>
      <c r="AZ1149" s="33" t="s">
        <v>2523</v>
      </c>
      <c r="BA1149" s="33" t="s">
        <v>3659</v>
      </c>
      <c r="BB1149" s="33" t="s">
        <v>3660</v>
      </c>
      <c r="BC1149" s="34">
        <v>43977</v>
      </c>
      <c r="BD1149" s="34">
        <v>43979</v>
      </c>
      <c r="BE1149" s="34">
        <v>43979</v>
      </c>
      <c r="BF1149" s="33">
        <v>56</v>
      </c>
      <c r="BG1149" s="33" t="s">
        <v>3536</v>
      </c>
      <c r="BH1149" s="35" t="s">
        <v>3661</v>
      </c>
      <c r="FL1149" s="33" t="s">
        <v>3653</v>
      </c>
      <c r="FM1149" s="33" t="s">
        <v>321</v>
      </c>
    </row>
    <row r="1150" spans="1:181" ht="13" x14ac:dyDescent="0.15">
      <c r="A1150" s="47">
        <v>44670.472453599534</v>
      </c>
      <c r="B1150" s="33" t="s">
        <v>6</v>
      </c>
      <c r="C1150" s="33" t="s">
        <v>12</v>
      </c>
      <c r="BI1150" s="33" t="s">
        <v>3662</v>
      </c>
      <c r="BJ1150" s="33" t="s">
        <v>3663</v>
      </c>
      <c r="BK1150" s="33" t="s">
        <v>154</v>
      </c>
      <c r="BL1150" s="33" t="s">
        <v>1285</v>
      </c>
      <c r="BM1150" s="33" t="s">
        <v>3664</v>
      </c>
      <c r="BN1150" s="33">
        <v>17</v>
      </c>
      <c r="BO1150" s="34">
        <v>44025</v>
      </c>
      <c r="BP1150" s="34">
        <v>44044</v>
      </c>
      <c r="BQ1150" s="33" t="s">
        <v>3665</v>
      </c>
      <c r="BR1150" s="33" t="s">
        <v>3666</v>
      </c>
      <c r="BS1150" s="33" t="s">
        <v>271</v>
      </c>
      <c r="BT1150" s="33" t="s">
        <v>151</v>
      </c>
      <c r="BV1150" s="35" t="s">
        <v>3667</v>
      </c>
      <c r="FL1150" s="33" t="s">
        <v>3668</v>
      </c>
      <c r="FM1150" s="33" t="s">
        <v>255</v>
      </c>
    </row>
    <row r="1151" spans="1:181" ht="13" x14ac:dyDescent="0.15">
      <c r="A1151" s="47">
        <v>44670.475082974532</v>
      </c>
      <c r="B1151" s="33" t="s">
        <v>6</v>
      </c>
      <c r="C1151" s="33" t="s">
        <v>12</v>
      </c>
      <c r="BI1151" s="33" t="s">
        <v>3662</v>
      </c>
      <c r="BJ1151" s="33" t="s">
        <v>3663</v>
      </c>
      <c r="BK1151" s="33" t="s">
        <v>166</v>
      </c>
      <c r="BL1151" s="33" t="s">
        <v>1285</v>
      </c>
      <c r="BM1151" s="33" t="s">
        <v>3669</v>
      </c>
      <c r="BN1151" s="33">
        <v>15</v>
      </c>
      <c r="BO1151" s="34">
        <v>44067</v>
      </c>
      <c r="BP1151" s="34">
        <v>44079</v>
      </c>
      <c r="BQ1151" s="33" t="s">
        <v>3670</v>
      </c>
      <c r="BR1151" s="33" t="s">
        <v>3671</v>
      </c>
      <c r="BS1151" s="33" t="s">
        <v>271</v>
      </c>
      <c r="BT1151" s="33" t="s">
        <v>151</v>
      </c>
      <c r="BV1151" s="35" t="s">
        <v>3672</v>
      </c>
      <c r="FL1151" s="33" t="s">
        <v>3668</v>
      </c>
      <c r="FM1151" s="33" t="s">
        <v>255</v>
      </c>
    </row>
    <row r="1152" spans="1:181" ht="13" x14ac:dyDescent="0.15">
      <c r="A1152" s="47">
        <v>44670.476522893514</v>
      </c>
      <c r="B1152" s="33" t="s">
        <v>6</v>
      </c>
      <c r="C1152" s="33" t="s">
        <v>10</v>
      </c>
      <c r="AN1152" s="33" t="s">
        <v>3662</v>
      </c>
      <c r="AO1152" s="33" t="s">
        <v>3663</v>
      </c>
      <c r="AP1152" s="33" t="s">
        <v>2129</v>
      </c>
      <c r="AQ1152" s="33" t="s">
        <v>448</v>
      </c>
      <c r="AR1152" s="34">
        <v>44476</v>
      </c>
      <c r="AS1152" s="34">
        <v>44557</v>
      </c>
      <c r="AT1152" s="33" t="s">
        <v>252</v>
      </c>
      <c r="AU1152" s="33" t="s">
        <v>252</v>
      </c>
      <c r="AV1152" s="33">
        <v>0</v>
      </c>
      <c r="AW1152" s="35" t="s">
        <v>3673</v>
      </c>
      <c r="FL1152" s="33" t="s">
        <v>3668</v>
      </c>
      <c r="FM1152" s="33" t="s">
        <v>255</v>
      </c>
    </row>
    <row r="1153" spans="1:209" ht="13" x14ac:dyDescent="0.15">
      <c r="A1153" s="47">
        <v>44670.479033900461</v>
      </c>
      <c r="B1153" s="33" t="s">
        <v>6</v>
      </c>
      <c r="C1153" s="33" t="s">
        <v>11</v>
      </c>
      <c r="AX1153" s="33" t="s">
        <v>3662</v>
      </c>
      <c r="AY1153" s="33" t="s">
        <v>3663</v>
      </c>
      <c r="AZ1153" s="33" t="s">
        <v>3674</v>
      </c>
      <c r="BA1153" s="33" t="s">
        <v>375</v>
      </c>
      <c r="BB1153" s="33" t="s">
        <v>308</v>
      </c>
      <c r="BC1153" s="34">
        <v>43619</v>
      </c>
      <c r="BD1153" s="34">
        <v>43672</v>
      </c>
      <c r="BE1153" s="34">
        <v>43672</v>
      </c>
      <c r="BF1153" s="33" t="s">
        <v>3675</v>
      </c>
      <c r="BG1153" s="33" t="s">
        <v>495</v>
      </c>
      <c r="BH1153" s="35" t="s">
        <v>3676</v>
      </c>
      <c r="FL1153" s="33" t="s">
        <v>3668</v>
      </c>
      <c r="FM1153" s="33" t="s">
        <v>255</v>
      </c>
    </row>
    <row r="1154" spans="1:209" ht="13" x14ac:dyDescent="0.15">
      <c r="A1154" s="47">
        <v>44670.481022708336</v>
      </c>
      <c r="B1154" s="33" t="s">
        <v>6</v>
      </c>
      <c r="C1154" s="33" t="s">
        <v>11</v>
      </c>
      <c r="AX1154" s="33" t="s">
        <v>3677</v>
      </c>
      <c r="AY1154" s="33" t="s">
        <v>3663</v>
      </c>
      <c r="AZ1154" s="33" t="s">
        <v>3678</v>
      </c>
      <c r="BA1154" s="33" t="s">
        <v>375</v>
      </c>
      <c r="BB1154" s="33" t="s">
        <v>448</v>
      </c>
      <c r="BC1154" s="34">
        <v>44287</v>
      </c>
      <c r="BD1154" s="34">
        <v>44378</v>
      </c>
      <c r="BE1154" s="34">
        <v>44378</v>
      </c>
      <c r="BF1154" s="33" t="s">
        <v>3675</v>
      </c>
      <c r="BG1154" s="33" t="s">
        <v>3679</v>
      </c>
      <c r="BH1154" s="35" t="s">
        <v>3680</v>
      </c>
      <c r="FL1154" s="33" t="s">
        <v>3668</v>
      </c>
      <c r="FM1154" s="33" t="s">
        <v>255</v>
      </c>
    </row>
    <row r="1155" spans="1:209" ht="13" x14ac:dyDescent="0.15">
      <c r="A1155" s="47">
        <v>44670.482762060186</v>
      </c>
      <c r="B1155" s="33" t="s">
        <v>6</v>
      </c>
      <c r="C1155" s="33" t="s">
        <v>11</v>
      </c>
      <c r="AX1155" s="33" t="s">
        <v>3662</v>
      </c>
      <c r="AY1155" s="33" t="s">
        <v>3663</v>
      </c>
      <c r="AZ1155" s="33" t="s">
        <v>3681</v>
      </c>
      <c r="BA1155" s="33" t="s">
        <v>375</v>
      </c>
      <c r="BB1155" s="33" t="s">
        <v>308</v>
      </c>
      <c r="BC1155" s="34">
        <v>43642</v>
      </c>
      <c r="BD1155" s="34">
        <v>43678</v>
      </c>
      <c r="BE1155" s="34">
        <v>43678</v>
      </c>
      <c r="BF1155" s="33" t="s">
        <v>3675</v>
      </c>
      <c r="BG1155" s="33" t="s">
        <v>337</v>
      </c>
      <c r="BH1155" s="35" t="s">
        <v>3682</v>
      </c>
      <c r="FL1155" s="33" t="s">
        <v>3668</v>
      </c>
      <c r="FM1155" s="33" t="s">
        <v>255</v>
      </c>
    </row>
    <row r="1156" spans="1:209" ht="13" x14ac:dyDescent="0.15">
      <c r="A1156" s="47">
        <v>44670.484406192132</v>
      </c>
      <c r="B1156" s="33" t="s">
        <v>6</v>
      </c>
      <c r="C1156" s="33" t="s">
        <v>11</v>
      </c>
      <c r="AX1156" s="33" t="s">
        <v>3683</v>
      </c>
      <c r="AY1156" s="33" t="s">
        <v>3663</v>
      </c>
      <c r="AZ1156" s="33" t="s">
        <v>2067</v>
      </c>
      <c r="BA1156" s="33" t="s">
        <v>375</v>
      </c>
      <c r="BB1156" s="33" t="s">
        <v>448</v>
      </c>
      <c r="BC1156" s="34">
        <v>44295</v>
      </c>
      <c r="BD1156" s="34">
        <v>44386</v>
      </c>
      <c r="BE1156" s="34">
        <v>44386</v>
      </c>
      <c r="BF1156" s="33" t="s">
        <v>3675</v>
      </c>
      <c r="BG1156" s="33" t="s">
        <v>3684</v>
      </c>
      <c r="BH1156" s="35" t="s">
        <v>3685</v>
      </c>
      <c r="FL1156" s="33" t="s">
        <v>3668</v>
      </c>
      <c r="FM1156" s="33" t="s">
        <v>255</v>
      </c>
    </row>
    <row r="1157" spans="1:209" ht="13" x14ac:dyDescent="0.15">
      <c r="A1157" s="47"/>
      <c r="B1157" s="33"/>
      <c r="C1157" s="33" t="s">
        <v>11</v>
      </c>
      <c r="AX1157" s="33" t="s">
        <v>954</v>
      </c>
      <c r="AY1157" s="33" t="s">
        <v>955</v>
      </c>
      <c r="AZ1157" s="33" t="s">
        <v>3686</v>
      </c>
      <c r="BA1157" s="33" t="s">
        <v>3687</v>
      </c>
      <c r="BB1157" s="33" t="s">
        <v>970</v>
      </c>
      <c r="BC1157" s="34">
        <v>43940</v>
      </c>
      <c r="BD1157" s="34">
        <v>43990</v>
      </c>
      <c r="BE1157" s="34"/>
      <c r="BF1157" s="49">
        <v>93.263999999999996</v>
      </c>
      <c r="BG1157" s="33"/>
      <c r="BH1157" s="35" t="s">
        <v>3688</v>
      </c>
      <c r="FL1157" s="33" t="s">
        <v>3689</v>
      </c>
      <c r="FM1157" s="33"/>
    </row>
    <row r="1158" spans="1:209" ht="23.25" customHeight="1" x14ac:dyDescent="0.15">
      <c r="A1158" s="50"/>
      <c r="B1158" s="19"/>
      <c r="C1158" s="19"/>
      <c r="D1158" s="19"/>
      <c r="E1158" s="19"/>
      <c r="F1158" s="19"/>
      <c r="G1158" s="19"/>
      <c r="H1158" s="19"/>
      <c r="I1158" s="19"/>
      <c r="J1158" s="19"/>
      <c r="K1158" s="19"/>
      <c r="L1158" s="19"/>
      <c r="M1158" s="19"/>
      <c r="N1158" s="19"/>
      <c r="O1158" s="19"/>
      <c r="P1158" s="19"/>
      <c r="Q1158" s="19"/>
      <c r="R1158" s="19"/>
      <c r="S1158" s="19"/>
      <c r="T1158" s="19"/>
      <c r="U1158" s="19"/>
      <c r="V1158" s="19"/>
      <c r="W1158" s="19"/>
      <c r="X1158" s="19"/>
      <c r="Y1158" s="19"/>
      <c r="Z1158" s="19"/>
      <c r="AA1158" s="19"/>
      <c r="AB1158" s="19"/>
      <c r="AC1158" s="19"/>
      <c r="AD1158" s="19"/>
      <c r="AE1158" s="19"/>
      <c r="AF1158" s="19"/>
      <c r="AG1158" s="19"/>
      <c r="AH1158" s="19"/>
      <c r="AI1158" s="19"/>
      <c r="AJ1158" s="19"/>
      <c r="AK1158" s="19"/>
      <c r="AL1158" s="19"/>
      <c r="AM1158" s="19"/>
      <c r="AN1158" s="19"/>
      <c r="AO1158" s="19"/>
      <c r="AP1158" s="19"/>
      <c r="AQ1158" s="19"/>
      <c r="AR1158" s="21"/>
      <c r="AS1158" s="21"/>
      <c r="AT1158" s="19"/>
      <c r="AU1158" s="19"/>
      <c r="AV1158" s="19"/>
      <c r="AW1158" s="19"/>
      <c r="AX1158" s="19"/>
      <c r="AY1158" s="19"/>
      <c r="AZ1158" s="19"/>
      <c r="BA1158" s="19"/>
      <c r="BB1158" s="19"/>
      <c r="BC1158" s="19"/>
      <c r="BD1158" s="19"/>
      <c r="BE1158" s="19"/>
      <c r="BF1158" s="19"/>
      <c r="BG1158" s="19"/>
      <c r="BH1158" s="19"/>
      <c r="BI1158" s="19"/>
      <c r="BJ1158" s="19"/>
      <c r="BK1158" s="19"/>
      <c r="BL1158" s="19"/>
      <c r="BM1158" s="19"/>
      <c r="BN1158" s="19"/>
      <c r="BO1158" s="19"/>
      <c r="BP1158" s="19"/>
      <c r="BQ1158" s="19"/>
      <c r="BR1158" s="19"/>
      <c r="BS1158" s="19"/>
      <c r="BT1158" s="19"/>
      <c r="BU1158" s="19"/>
      <c r="BV1158" s="19"/>
      <c r="BW1158" s="20" t="s">
        <v>954</v>
      </c>
      <c r="BX1158" s="20" t="s">
        <v>955</v>
      </c>
      <c r="BY1158" s="19"/>
      <c r="BZ1158" s="20" t="s">
        <v>166</v>
      </c>
      <c r="CA1158" s="20" t="s">
        <v>3686</v>
      </c>
      <c r="CB1158" s="20" t="s">
        <v>3687</v>
      </c>
      <c r="CC1158" s="20" t="s">
        <v>970</v>
      </c>
      <c r="CD1158" s="51">
        <v>43940</v>
      </c>
      <c r="CE1158" s="51">
        <v>43990</v>
      </c>
      <c r="CF1158" s="20">
        <v>93.263999999999996</v>
      </c>
      <c r="CG1158" s="22" t="s">
        <v>3688</v>
      </c>
      <c r="CH1158" s="19"/>
      <c r="CI1158" s="19"/>
      <c r="CJ1158" s="19"/>
      <c r="CK1158" s="19"/>
      <c r="CL1158" s="19"/>
      <c r="CM1158" s="19"/>
      <c r="CN1158" s="19"/>
      <c r="CO1158" s="19"/>
      <c r="CP1158" s="19"/>
      <c r="CQ1158" s="19"/>
      <c r="CR1158" s="19"/>
      <c r="CS1158" s="19"/>
      <c r="CT1158" s="19"/>
      <c r="CU1158" s="19"/>
      <c r="CV1158" s="19"/>
      <c r="CW1158" s="19"/>
      <c r="CX1158" s="19"/>
      <c r="CY1158" s="19"/>
      <c r="CZ1158" s="19"/>
      <c r="DA1158" s="19"/>
      <c r="DB1158" s="19"/>
      <c r="DC1158" s="19"/>
      <c r="DD1158" s="19"/>
      <c r="DE1158" s="19"/>
      <c r="DF1158" s="19"/>
      <c r="DG1158" s="19"/>
      <c r="DH1158" s="19"/>
      <c r="DI1158" s="19"/>
      <c r="DJ1158" s="19"/>
      <c r="DK1158" s="19"/>
      <c r="DL1158" s="19"/>
      <c r="DM1158" s="19"/>
      <c r="DN1158" s="19"/>
      <c r="DO1158" s="19"/>
      <c r="DP1158" s="19"/>
      <c r="DQ1158" s="19"/>
      <c r="DR1158" s="19"/>
      <c r="DS1158" s="19"/>
      <c r="DT1158" s="19"/>
      <c r="DU1158" s="19"/>
      <c r="DV1158" s="19"/>
      <c r="DW1158" s="19"/>
      <c r="DX1158" s="19"/>
      <c r="DY1158" s="19"/>
      <c r="DZ1158" s="19"/>
      <c r="EA1158" s="19"/>
      <c r="EB1158" s="19"/>
      <c r="EC1158" s="19"/>
      <c r="ED1158" s="19"/>
      <c r="EE1158" s="19"/>
      <c r="EF1158" s="19"/>
      <c r="EG1158" s="19"/>
      <c r="EH1158" s="19"/>
      <c r="EI1158" s="19"/>
      <c r="EJ1158" s="19"/>
      <c r="EK1158" s="19"/>
      <c r="EL1158" s="19"/>
      <c r="EM1158" s="19"/>
      <c r="EN1158" s="19"/>
      <c r="EO1158" s="19"/>
      <c r="EP1158" s="19"/>
      <c r="EQ1158" s="19"/>
      <c r="ER1158" s="19"/>
      <c r="ES1158" s="19"/>
      <c r="ET1158" s="19"/>
      <c r="EU1158" s="19"/>
      <c r="EV1158" s="19"/>
      <c r="EW1158" s="19"/>
      <c r="EX1158" s="19"/>
      <c r="EY1158" s="19"/>
      <c r="EZ1158" s="19"/>
      <c r="FA1158" s="19"/>
      <c r="FB1158" s="19"/>
      <c r="FC1158" s="19"/>
      <c r="FD1158" s="19"/>
      <c r="FE1158" s="19"/>
      <c r="FF1158" s="19"/>
      <c r="FG1158" s="19"/>
      <c r="FH1158" s="19"/>
      <c r="FI1158" s="19"/>
      <c r="FJ1158" s="19"/>
      <c r="FK1158" s="19"/>
      <c r="FL1158" s="19"/>
      <c r="FM1158" s="19"/>
      <c r="FN1158" s="19"/>
      <c r="FO1158" s="19"/>
      <c r="FP1158" s="19"/>
      <c r="FQ1158" s="19"/>
      <c r="FR1158" s="19"/>
      <c r="FS1158" s="19"/>
      <c r="FT1158" s="19"/>
      <c r="FU1158" s="19"/>
      <c r="FV1158" s="19"/>
      <c r="FW1158" s="19"/>
      <c r="FX1158" s="19"/>
      <c r="FY1158" s="19"/>
      <c r="FZ1158" s="19"/>
      <c r="GA1158" s="19"/>
      <c r="GB1158" s="19"/>
      <c r="GC1158" s="19"/>
      <c r="GD1158" s="19"/>
      <c r="GE1158" s="19"/>
      <c r="GF1158" s="19"/>
      <c r="GG1158" s="19"/>
      <c r="GH1158" s="19"/>
      <c r="GI1158" s="19"/>
      <c r="GJ1158" s="19"/>
      <c r="GK1158" s="19"/>
      <c r="GL1158" s="19"/>
      <c r="GM1158" s="19"/>
      <c r="GN1158" s="19"/>
      <c r="GO1158" s="19"/>
      <c r="GP1158" s="19"/>
      <c r="GQ1158" s="19"/>
      <c r="GR1158" s="19"/>
      <c r="GS1158" s="19"/>
      <c r="GT1158" s="19"/>
      <c r="GU1158" s="19"/>
      <c r="GV1158" s="19"/>
      <c r="GW1158" s="19"/>
      <c r="GX1158" s="19"/>
      <c r="GY1158" s="19"/>
      <c r="GZ1158" s="19"/>
      <c r="HA1158" s="19"/>
    </row>
    <row r="1159" spans="1:209" ht="23.25" customHeight="1" x14ac:dyDescent="0.15">
      <c r="A1159" s="50"/>
      <c r="B1159" s="19"/>
      <c r="C1159" s="19"/>
      <c r="D1159" s="19"/>
      <c r="E1159" s="19"/>
      <c r="F1159" s="19"/>
      <c r="G1159" s="19"/>
      <c r="H1159" s="19"/>
      <c r="I1159" s="19"/>
      <c r="J1159" s="19"/>
      <c r="K1159" s="19"/>
      <c r="L1159" s="21"/>
      <c r="M1159" s="19"/>
      <c r="N1159" s="19"/>
      <c r="O1159" s="19"/>
      <c r="P1159" s="19"/>
      <c r="Q1159" s="19"/>
      <c r="R1159" s="19"/>
      <c r="S1159" s="19"/>
      <c r="T1159" s="19"/>
      <c r="U1159" s="19"/>
      <c r="V1159" s="19"/>
      <c r="W1159" s="19"/>
      <c r="X1159" s="19"/>
      <c r="Y1159" s="19"/>
      <c r="Z1159" s="19"/>
      <c r="AA1159" s="19"/>
      <c r="AB1159" s="19"/>
      <c r="AC1159" s="19"/>
      <c r="AD1159" s="19"/>
      <c r="AE1159" s="19"/>
      <c r="AF1159" s="19"/>
      <c r="AG1159" s="19"/>
      <c r="AH1159" s="19"/>
      <c r="AI1159" s="19"/>
      <c r="AJ1159" s="19"/>
      <c r="AK1159" s="19"/>
      <c r="AL1159" s="19"/>
      <c r="AM1159" s="19"/>
      <c r="AN1159" s="19"/>
      <c r="AO1159" s="19"/>
      <c r="AP1159" s="19"/>
      <c r="AQ1159" s="19"/>
      <c r="AR1159" s="19"/>
      <c r="AS1159" s="19"/>
      <c r="AT1159" s="19"/>
      <c r="AU1159" s="19"/>
      <c r="AV1159" s="19"/>
      <c r="AW1159" s="19"/>
      <c r="AX1159" s="19"/>
      <c r="AY1159" s="19"/>
      <c r="AZ1159" s="19"/>
      <c r="BA1159" s="19"/>
      <c r="BB1159" s="19"/>
      <c r="BC1159" s="19"/>
      <c r="BD1159" s="19"/>
      <c r="BE1159" s="19"/>
      <c r="BF1159" s="19"/>
      <c r="BG1159" s="19"/>
      <c r="BH1159" s="19"/>
      <c r="BI1159" s="19"/>
      <c r="BJ1159" s="19"/>
      <c r="BK1159" s="19"/>
      <c r="BL1159" s="19"/>
      <c r="BM1159" s="19"/>
      <c r="BN1159" s="19"/>
      <c r="BO1159" s="19"/>
      <c r="BP1159" s="19"/>
      <c r="BQ1159" s="19"/>
      <c r="BR1159" s="19"/>
      <c r="BS1159" s="19"/>
      <c r="BT1159" s="19"/>
      <c r="BU1159" s="19"/>
      <c r="BV1159" s="19"/>
      <c r="BW1159" s="20" t="s">
        <v>439</v>
      </c>
      <c r="BX1159" s="20" t="s">
        <v>144</v>
      </c>
      <c r="BY1159" s="19"/>
      <c r="BZ1159" s="20" t="s">
        <v>166</v>
      </c>
      <c r="CA1159" s="20" t="s">
        <v>3690</v>
      </c>
      <c r="CB1159" s="20" t="s">
        <v>343</v>
      </c>
      <c r="CC1159" s="20" t="s">
        <v>3691</v>
      </c>
      <c r="CD1159" s="51">
        <v>43971</v>
      </c>
      <c r="CE1159" s="51">
        <v>44102</v>
      </c>
      <c r="CF1159" s="20">
        <v>100</v>
      </c>
      <c r="CG1159" s="22" t="s">
        <v>3692</v>
      </c>
      <c r="CH1159" s="19"/>
      <c r="CI1159" s="19"/>
      <c r="CJ1159" s="19"/>
      <c r="CK1159" s="19"/>
      <c r="CL1159" s="19"/>
      <c r="CM1159" s="19"/>
      <c r="CN1159" s="19"/>
      <c r="CO1159" s="19"/>
      <c r="CP1159" s="19"/>
      <c r="CQ1159" s="19"/>
      <c r="CR1159" s="19"/>
      <c r="CS1159" s="19"/>
      <c r="CT1159" s="19"/>
      <c r="CU1159" s="19"/>
      <c r="CV1159" s="19"/>
      <c r="CW1159" s="19"/>
      <c r="CX1159" s="19"/>
      <c r="CY1159" s="19"/>
      <c r="CZ1159" s="19"/>
      <c r="DA1159" s="19"/>
      <c r="DB1159" s="19"/>
      <c r="DC1159" s="19"/>
      <c r="DD1159" s="19"/>
      <c r="DE1159" s="19"/>
      <c r="DF1159" s="19"/>
      <c r="DG1159" s="19"/>
      <c r="DH1159" s="19"/>
      <c r="DI1159" s="19"/>
      <c r="DJ1159" s="19"/>
      <c r="DK1159" s="19"/>
      <c r="DL1159" s="19"/>
      <c r="DM1159" s="19"/>
      <c r="DN1159" s="19"/>
      <c r="DO1159" s="19"/>
      <c r="DP1159" s="19"/>
      <c r="DQ1159" s="19"/>
      <c r="DR1159" s="19"/>
      <c r="DS1159" s="19"/>
      <c r="DT1159" s="19"/>
      <c r="DU1159" s="19"/>
      <c r="DV1159" s="19"/>
      <c r="DW1159" s="19"/>
      <c r="DX1159" s="19"/>
      <c r="DY1159" s="19"/>
      <c r="DZ1159" s="19"/>
      <c r="EA1159" s="19"/>
      <c r="EB1159" s="19"/>
      <c r="EC1159" s="19"/>
      <c r="ED1159" s="19"/>
      <c r="EE1159" s="19"/>
      <c r="EF1159" s="19"/>
      <c r="EG1159" s="19"/>
      <c r="EH1159" s="19"/>
      <c r="EI1159" s="19"/>
      <c r="EJ1159" s="19"/>
      <c r="EK1159" s="19"/>
      <c r="EL1159" s="19"/>
      <c r="EM1159" s="19"/>
      <c r="EN1159" s="19"/>
      <c r="EO1159" s="19"/>
      <c r="EP1159" s="19"/>
      <c r="EQ1159" s="19"/>
      <c r="ER1159" s="19"/>
      <c r="ES1159" s="19"/>
      <c r="ET1159" s="19"/>
      <c r="EU1159" s="19"/>
      <c r="EV1159" s="19"/>
      <c r="EW1159" s="19"/>
      <c r="EX1159" s="19"/>
      <c r="EY1159" s="19"/>
      <c r="EZ1159" s="19"/>
      <c r="FA1159" s="19"/>
      <c r="FB1159" s="19"/>
      <c r="FC1159" s="19"/>
      <c r="FD1159" s="19"/>
      <c r="FE1159" s="19"/>
      <c r="FF1159" s="19"/>
      <c r="FG1159" s="19"/>
      <c r="FH1159" s="19"/>
      <c r="FI1159" s="19"/>
      <c r="FJ1159" s="19"/>
      <c r="FK1159" s="19"/>
      <c r="FL1159" s="19"/>
      <c r="FM1159" s="19"/>
      <c r="FN1159" s="19"/>
      <c r="FO1159" s="19"/>
      <c r="FP1159" s="19"/>
      <c r="FQ1159" s="19"/>
      <c r="FR1159" s="19"/>
      <c r="FS1159" s="19"/>
      <c r="FT1159" s="19"/>
      <c r="FU1159" s="19"/>
      <c r="FV1159" s="19"/>
      <c r="FW1159" s="19"/>
      <c r="FX1159" s="19"/>
      <c r="FY1159" s="19"/>
      <c r="FZ1159" s="19"/>
      <c r="GA1159" s="19"/>
      <c r="GB1159" s="19"/>
      <c r="GC1159" s="19"/>
      <c r="GD1159" s="19"/>
      <c r="GE1159" s="19"/>
      <c r="GF1159" s="19"/>
      <c r="GG1159" s="19"/>
      <c r="GH1159" s="19"/>
      <c r="GI1159" s="19"/>
      <c r="GJ1159" s="19"/>
      <c r="GK1159" s="19"/>
      <c r="GL1159" s="19"/>
      <c r="GM1159" s="19"/>
      <c r="GN1159" s="19"/>
      <c r="GO1159" s="19"/>
      <c r="GP1159" s="19"/>
      <c r="GQ1159" s="19"/>
      <c r="GR1159" s="19"/>
      <c r="GS1159" s="19"/>
      <c r="GT1159" s="19"/>
      <c r="GU1159" s="19"/>
      <c r="GV1159" s="19"/>
      <c r="GW1159" s="19"/>
      <c r="GX1159" s="19"/>
      <c r="GY1159" s="19"/>
      <c r="GZ1159" s="19"/>
      <c r="HA1159" s="19"/>
    </row>
    <row r="1160" spans="1:209" ht="23.25" customHeight="1" x14ac:dyDescent="0.15">
      <c r="A1160" s="50"/>
      <c r="B1160" s="19"/>
      <c r="C1160" s="19"/>
      <c r="D1160" s="19"/>
      <c r="E1160" s="19"/>
      <c r="F1160" s="19"/>
      <c r="G1160" s="19"/>
      <c r="H1160" s="19"/>
      <c r="I1160" s="19"/>
      <c r="J1160" s="19"/>
      <c r="K1160" s="19"/>
      <c r="L1160" s="21"/>
      <c r="M1160" s="19"/>
      <c r="N1160" s="19"/>
      <c r="O1160" s="19"/>
      <c r="P1160" s="19"/>
      <c r="Q1160" s="19"/>
      <c r="R1160" s="19"/>
      <c r="S1160" s="19"/>
      <c r="T1160" s="19"/>
      <c r="U1160" s="19"/>
      <c r="V1160" s="19"/>
      <c r="W1160" s="19"/>
      <c r="X1160" s="19"/>
      <c r="Y1160" s="19"/>
      <c r="Z1160" s="19"/>
      <c r="AA1160" s="19"/>
      <c r="AB1160" s="19"/>
      <c r="AC1160" s="19"/>
      <c r="AD1160" s="19"/>
      <c r="AE1160" s="19"/>
      <c r="AF1160" s="19"/>
      <c r="AG1160" s="19"/>
      <c r="AH1160" s="19"/>
      <c r="AI1160" s="19"/>
      <c r="AJ1160" s="19"/>
      <c r="AK1160" s="19"/>
      <c r="AL1160" s="19"/>
      <c r="AM1160" s="19"/>
      <c r="AN1160" s="19"/>
      <c r="AO1160" s="19"/>
      <c r="AP1160" s="19"/>
      <c r="AQ1160" s="19"/>
      <c r="AR1160" s="19"/>
      <c r="AS1160" s="19"/>
      <c r="AT1160" s="19"/>
      <c r="AU1160" s="19"/>
      <c r="AV1160" s="19"/>
      <c r="AW1160" s="19"/>
      <c r="AX1160" s="19"/>
      <c r="AY1160" s="19"/>
      <c r="AZ1160" s="19"/>
      <c r="BA1160" s="19"/>
      <c r="BB1160" s="19"/>
      <c r="BC1160" s="19"/>
      <c r="BD1160" s="19"/>
      <c r="BE1160" s="19"/>
      <c r="BF1160" s="19"/>
      <c r="BG1160" s="19"/>
      <c r="BH1160" s="19"/>
      <c r="BI1160" s="19"/>
      <c r="BJ1160" s="19"/>
      <c r="BK1160" s="19"/>
      <c r="BL1160" s="19"/>
      <c r="BM1160" s="19"/>
      <c r="BN1160" s="19"/>
      <c r="BO1160" s="19"/>
      <c r="BP1160" s="19"/>
      <c r="BQ1160" s="19"/>
      <c r="BR1160" s="19"/>
      <c r="BS1160" s="19"/>
      <c r="BT1160" s="19"/>
      <c r="BU1160" s="19"/>
      <c r="BV1160" s="19"/>
      <c r="BW1160" s="20" t="s">
        <v>446</v>
      </c>
      <c r="BX1160" s="20" t="s">
        <v>447</v>
      </c>
      <c r="BY1160" s="19"/>
      <c r="BZ1160" s="20" t="s">
        <v>166</v>
      </c>
      <c r="CA1160" s="20" t="s">
        <v>3693</v>
      </c>
      <c r="CB1160" s="20" t="s">
        <v>343</v>
      </c>
      <c r="CC1160" s="20" t="s">
        <v>493</v>
      </c>
      <c r="CD1160" s="51">
        <v>43953</v>
      </c>
      <c r="CE1160" s="51">
        <v>43984</v>
      </c>
      <c r="CF1160" s="20">
        <v>100</v>
      </c>
      <c r="CG1160" s="22" t="s">
        <v>3694</v>
      </c>
      <c r="CH1160" s="19"/>
      <c r="CI1160" s="19"/>
      <c r="CJ1160" s="19"/>
      <c r="CK1160" s="19"/>
      <c r="CL1160" s="19"/>
      <c r="CM1160" s="19"/>
      <c r="CN1160" s="19"/>
      <c r="CO1160" s="19"/>
      <c r="CP1160" s="19"/>
      <c r="CQ1160" s="19"/>
      <c r="CR1160" s="19"/>
      <c r="CS1160" s="19"/>
      <c r="CT1160" s="19"/>
      <c r="CU1160" s="19"/>
      <c r="CV1160" s="19"/>
      <c r="CW1160" s="19"/>
      <c r="CX1160" s="19"/>
      <c r="CY1160" s="19"/>
      <c r="CZ1160" s="19"/>
      <c r="DA1160" s="19"/>
      <c r="DB1160" s="19"/>
      <c r="DC1160" s="19"/>
      <c r="DD1160" s="19"/>
      <c r="DE1160" s="19"/>
      <c r="DF1160" s="19"/>
      <c r="DG1160" s="19"/>
      <c r="DH1160" s="19"/>
      <c r="DI1160" s="19"/>
      <c r="DJ1160" s="19"/>
      <c r="DK1160" s="19"/>
      <c r="DL1160" s="19"/>
      <c r="DM1160" s="19"/>
      <c r="DN1160" s="19"/>
      <c r="DO1160" s="19"/>
      <c r="DP1160" s="19"/>
      <c r="DQ1160" s="19"/>
      <c r="DR1160" s="19"/>
      <c r="DS1160" s="19"/>
      <c r="DT1160" s="19"/>
      <c r="DU1160" s="19"/>
      <c r="DV1160" s="19"/>
      <c r="DW1160" s="19"/>
      <c r="DX1160" s="19"/>
      <c r="DY1160" s="19"/>
      <c r="DZ1160" s="19"/>
      <c r="EA1160" s="19"/>
      <c r="EB1160" s="19"/>
      <c r="EC1160" s="19"/>
      <c r="ED1160" s="19"/>
      <c r="EE1160" s="19"/>
      <c r="EF1160" s="19"/>
      <c r="EG1160" s="19"/>
      <c r="EH1160" s="19"/>
      <c r="EI1160" s="19"/>
      <c r="EJ1160" s="19"/>
      <c r="EK1160" s="19"/>
      <c r="EL1160" s="19"/>
      <c r="EM1160" s="19"/>
      <c r="EN1160" s="19"/>
      <c r="EO1160" s="19"/>
      <c r="EP1160" s="19"/>
      <c r="EQ1160" s="19"/>
      <c r="ER1160" s="19"/>
      <c r="ES1160" s="19"/>
      <c r="ET1160" s="19"/>
      <c r="EU1160" s="19"/>
      <c r="EV1160" s="19"/>
      <c r="EW1160" s="19"/>
      <c r="EX1160" s="19"/>
      <c r="EY1160" s="19"/>
      <c r="EZ1160" s="19"/>
      <c r="FA1160" s="19"/>
      <c r="FB1160" s="19"/>
      <c r="FC1160" s="19"/>
      <c r="FD1160" s="19"/>
      <c r="FE1160" s="19"/>
      <c r="FF1160" s="19"/>
      <c r="FG1160" s="19"/>
      <c r="FH1160" s="19"/>
      <c r="FI1160" s="19"/>
      <c r="FJ1160" s="19"/>
      <c r="FK1160" s="19"/>
      <c r="FL1160" s="19"/>
      <c r="FM1160" s="19"/>
      <c r="FN1160" s="19"/>
      <c r="FO1160" s="19"/>
      <c r="FP1160" s="19"/>
      <c r="FQ1160" s="19"/>
      <c r="FR1160" s="19"/>
      <c r="FS1160" s="19"/>
      <c r="FT1160" s="19"/>
      <c r="FU1160" s="19"/>
      <c r="FV1160" s="19"/>
      <c r="FW1160" s="19"/>
      <c r="FX1160" s="19"/>
      <c r="FY1160" s="19"/>
      <c r="FZ1160" s="19"/>
      <c r="GA1160" s="19"/>
      <c r="GB1160" s="19"/>
      <c r="GC1160" s="19"/>
      <c r="GD1160" s="19"/>
      <c r="GE1160" s="19"/>
      <c r="GF1160" s="19"/>
      <c r="GG1160" s="19"/>
      <c r="GH1160" s="19"/>
      <c r="GI1160" s="19"/>
      <c r="GJ1160" s="19"/>
      <c r="GK1160" s="19"/>
      <c r="GL1160" s="19"/>
      <c r="GM1160" s="19"/>
      <c r="GN1160" s="19"/>
      <c r="GO1160" s="19"/>
      <c r="GP1160" s="19"/>
      <c r="GQ1160" s="19"/>
      <c r="GR1160" s="19"/>
      <c r="GS1160" s="19"/>
      <c r="GT1160" s="19"/>
      <c r="GU1160" s="19"/>
      <c r="GV1160" s="19"/>
      <c r="GW1160" s="19"/>
      <c r="GX1160" s="19"/>
      <c r="GY1160" s="19"/>
      <c r="GZ1160" s="19"/>
      <c r="HA1160" s="19"/>
    </row>
    <row r="1161" spans="1:209" ht="23.25" customHeight="1" x14ac:dyDescent="0.15">
      <c r="A1161" s="11"/>
      <c r="B1161" s="11"/>
      <c r="C1161" s="1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/>
      <c r="O1161" s="11"/>
      <c r="P1161" s="11"/>
      <c r="Q1161" s="11"/>
      <c r="R1161" s="11"/>
      <c r="S1161" s="11"/>
      <c r="T1161" s="11"/>
      <c r="U1161" s="11"/>
      <c r="V1161" s="11"/>
      <c r="W1161" s="11"/>
      <c r="X1161" s="11"/>
      <c r="Y1161" s="11"/>
      <c r="Z1161" s="11"/>
      <c r="AA1161" s="11"/>
      <c r="AB1161" s="11"/>
      <c r="AC1161" s="11"/>
      <c r="AD1161" s="11"/>
      <c r="AE1161" s="11"/>
      <c r="AF1161" s="11"/>
      <c r="AG1161" s="11"/>
      <c r="AH1161" s="11"/>
      <c r="AI1161" s="11"/>
      <c r="AJ1161" s="11"/>
      <c r="AK1161" s="11"/>
      <c r="AL1161" s="11"/>
      <c r="AM1161" s="11"/>
      <c r="AN1161" s="11"/>
      <c r="AO1161" s="11"/>
      <c r="AP1161" s="11"/>
      <c r="AQ1161" s="11"/>
      <c r="AR1161" s="11"/>
      <c r="AS1161" s="11"/>
      <c r="AT1161" s="11"/>
      <c r="AU1161" s="11"/>
      <c r="AV1161" s="11"/>
      <c r="AW1161" s="11"/>
      <c r="AX1161" s="11"/>
      <c r="AY1161" s="11"/>
      <c r="AZ1161" s="11"/>
      <c r="BA1161" s="11"/>
      <c r="BB1161" s="11"/>
      <c r="BC1161" s="11"/>
      <c r="BD1161" s="11"/>
      <c r="BE1161" s="11"/>
      <c r="BF1161" s="11"/>
      <c r="BG1161" s="11"/>
      <c r="BH1161" s="11"/>
      <c r="BI1161" s="11"/>
      <c r="BJ1161" s="11"/>
      <c r="BK1161" s="11"/>
      <c r="BL1161" s="11"/>
      <c r="BM1161" s="11"/>
      <c r="BN1161" s="11"/>
      <c r="BO1161" s="11"/>
      <c r="BP1161" s="11"/>
      <c r="BQ1161" s="11"/>
      <c r="BR1161" s="11"/>
      <c r="BS1161" s="11"/>
      <c r="BT1161" s="11"/>
      <c r="BU1161" s="11"/>
      <c r="BV1161" s="11"/>
      <c r="BW1161" s="52" t="s">
        <v>439</v>
      </c>
      <c r="BX1161" s="52" t="s">
        <v>144</v>
      </c>
      <c r="BY1161" s="11"/>
      <c r="BZ1161" s="52" t="s">
        <v>154</v>
      </c>
      <c r="CA1161" s="52" t="s">
        <v>3695</v>
      </c>
      <c r="CB1161" s="52" t="s">
        <v>343</v>
      </c>
      <c r="CC1161" s="52" t="s">
        <v>3696</v>
      </c>
      <c r="CD1161" s="53">
        <v>43983</v>
      </c>
      <c r="CE1161" s="53">
        <v>44068</v>
      </c>
      <c r="CF1161" s="52">
        <v>100</v>
      </c>
      <c r="CG1161" s="54" t="s">
        <v>3697</v>
      </c>
      <c r="CH1161" s="11"/>
      <c r="CI1161" s="11"/>
      <c r="CJ1161" s="11"/>
      <c r="CK1161" s="11"/>
      <c r="CL1161" s="11"/>
      <c r="CM1161" s="11"/>
      <c r="CN1161" s="11"/>
      <c r="CO1161" s="11"/>
      <c r="CP1161" s="11"/>
      <c r="CQ1161" s="11"/>
      <c r="CR1161" s="11"/>
      <c r="CS1161" s="11"/>
      <c r="CT1161" s="11"/>
      <c r="CU1161" s="11"/>
      <c r="CV1161" s="11"/>
      <c r="CW1161" s="11"/>
      <c r="CX1161" s="11"/>
      <c r="CY1161" s="11"/>
      <c r="CZ1161" s="11"/>
      <c r="DA1161" s="11"/>
      <c r="DB1161" s="11"/>
      <c r="DC1161" s="11"/>
      <c r="DD1161" s="11"/>
      <c r="DE1161" s="11"/>
      <c r="DF1161" s="11"/>
      <c r="DG1161" s="11"/>
      <c r="DH1161" s="11"/>
      <c r="DI1161" s="11"/>
      <c r="DJ1161" s="11"/>
      <c r="DK1161" s="11"/>
      <c r="DL1161" s="11"/>
      <c r="DM1161" s="11"/>
      <c r="DN1161" s="11"/>
      <c r="DO1161" s="11"/>
      <c r="DP1161" s="11"/>
      <c r="DQ1161" s="11"/>
      <c r="DR1161" s="11"/>
      <c r="DS1161" s="11"/>
      <c r="DT1161" s="11"/>
      <c r="DU1161" s="11"/>
      <c r="DV1161" s="11"/>
      <c r="DW1161" s="11"/>
      <c r="DX1161" s="11"/>
      <c r="DY1161" s="11"/>
      <c r="DZ1161" s="11"/>
      <c r="EA1161" s="11"/>
      <c r="EB1161" s="11"/>
      <c r="EC1161" s="11"/>
      <c r="ED1161" s="11"/>
      <c r="EE1161" s="11"/>
      <c r="EF1161" s="11"/>
      <c r="EG1161" s="11"/>
      <c r="EH1161" s="11"/>
      <c r="EI1161" s="11"/>
      <c r="EJ1161" s="11"/>
      <c r="EK1161" s="11"/>
      <c r="EL1161" s="11"/>
      <c r="EM1161" s="11"/>
      <c r="EN1161" s="11"/>
      <c r="EO1161" s="11"/>
      <c r="EP1161" s="11"/>
      <c r="EQ1161" s="11"/>
      <c r="ER1161" s="11"/>
      <c r="ES1161" s="11"/>
      <c r="ET1161" s="11"/>
      <c r="EU1161" s="11"/>
      <c r="EV1161" s="11"/>
      <c r="EW1161" s="11"/>
      <c r="EX1161" s="11"/>
      <c r="EY1161" s="11"/>
      <c r="EZ1161" s="11"/>
      <c r="FA1161" s="11"/>
      <c r="FB1161" s="11"/>
      <c r="FC1161" s="11"/>
      <c r="FD1161" s="11"/>
      <c r="FE1161" s="11"/>
      <c r="FF1161" s="11"/>
      <c r="FG1161" s="11"/>
      <c r="FH1161" s="11"/>
      <c r="FI1161" s="11"/>
      <c r="FJ1161" s="11"/>
      <c r="FK1161" s="11"/>
      <c r="FL1161" s="11"/>
      <c r="FM1161" s="11"/>
      <c r="FN1161" s="11"/>
      <c r="FO1161" s="11"/>
      <c r="FP1161" s="11"/>
      <c r="FQ1161" s="11"/>
      <c r="FR1161" s="11"/>
      <c r="FS1161" s="11"/>
      <c r="FT1161" s="11"/>
      <c r="FU1161" s="11"/>
      <c r="FV1161" s="11"/>
      <c r="FW1161" s="11"/>
      <c r="FX1161" s="11"/>
      <c r="FY1161" s="11"/>
      <c r="FZ1161" s="11"/>
      <c r="GA1161" s="11"/>
      <c r="GB1161" s="11"/>
      <c r="GC1161" s="11"/>
      <c r="GD1161" s="11"/>
      <c r="GE1161" s="11"/>
      <c r="GF1161" s="11"/>
      <c r="GG1161" s="11"/>
      <c r="GH1161" s="11"/>
      <c r="GI1161" s="11"/>
      <c r="GJ1161" s="11"/>
      <c r="GK1161" s="11"/>
      <c r="GL1161" s="11"/>
      <c r="GM1161" s="11"/>
      <c r="GN1161" s="11"/>
      <c r="GO1161" s="11"/>
      <c r="GP1161" s="11"/>
      <c r="GQ1161" s="11"/>
      <c r="GR1161" s="11"/>
      <c r="GS1161" s="11"/>
      <c r="GT1161" s="11"/>
      <c r="GU1161" s="11"/>
      <c r="GV1161" s="11"/>
      <c r="GW1161" s="11"/>
      <c r="GX1161" s="11"/>
      <c r="GY1161" s="11"/>
      <c r="GZ1161" s="11"/>
      <c r="HA1161" s="11"/>
    </row>
    <row r="1162" spans="1:209" ht="23.25" customHeight="1" x14ac:dyDescent="0.15">
      <c r="A1162" s="11"/>
      <c r="B1162" s="11"/>
      <c r="C1162" s="1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/>
      <c r="O1162" s="11"/>
      <c r="P1162" s="11"/>
      <c r="Q1162" s="11"/>
      <c r="R1162" s="11"/>
      <c r="S1162" s="11"/>
      <c r="T1162" s="11"/>
      <c r="U1162" s="11"/>
      <c r="V1162" s="11"/>
      <c r="W1162" s="11"/>
      <c r="X1162" s="11"/>
      <c r="Y1162" s="11"/>
      <c r="Z1162" s="11"/>
      <c r="AA1162" s="11"/>
      <c r="AB1162" s="11"/>
      <c r="AC1162" s="11"/>
      <c r="AD1162" s="11"/>
      <c r="AE1162" s="11"/>
      <c r="AF1162" s="11"/>
      <c r="AG1162" s="11"/>
      <c r="AH1162" s="11"/>
      <c r="AI1162" s="11"/>
      <c r="AJ1162" s="11"/>
      <c r="AK1162" s="11"/>
      <c r="AL1162" s="11"/>
      <c r="AM1162" s="11"/>
      <c r="AN1162" s="11"/>
      <c r="AO1162" s="11"/>
      <c r="AP1162" s="11"/>
      <c r="AQ1162" s="11"/>
      <c r="AR1162" s="11"/>
      <c r="AS1162" s="11"/>
      <c r="AT1162" s="11"/>
      <c r="AU1162" s="11"/>
      <c r="AV1162" s="11"/>
      <c r="AW1162" s="11"/>
      <c r="AX1162" s="11"/>
      <c r="AY1162" s="11"/>
      <c r="AZ1162" s="11"/>
      <c r="BA1162" s="11"/>
      <c r="BB1162" s="11"/>
      <c r="BC1162" s="11"/>
      <c r="BD1162" s="11"/>
      <c r="BE1162" s="11"/>
      <c r="BF1162" s="11"/>
      <c r="BG1162" s="11"/>
      <c r="BH1162" s="11"/>
      <c r="BI1162" s="11"/>
      <c r="BJ1162" s="11"/>
      <c r="BK1162" s="11"/>
      <c r="BL1162" s="11"/>
      <c r="BM1162" s="11"/>
      <c r="BN1162" s="11"/>
      <c r="BO1162" s="11"/>
      <c r="BP1162" s="11"/>
      <c r="BQ1162" s="11"/>
      <c r="BR1162" s="11"/>
      <c r="BS1162" s="11"/>
      <c r="BT1162" s="11"/>
      <c r="BU1162" s="11"/>
      <c r="BV1162" s="11"/>
      <c r="BW1162" s="52" t="s">
        <v>446</v>
      </c>
      <c r="BX1162" s="52" t="s">
        <v>447</v>
      </c>
      <c r="BY1162" s="11"/>
      <c r="BZ1162" s="52" t="s">
        <v>166</v>
      </c>
      <c r="CA1162" s="52" t="s">
        <v>1397</v>
      </c>
      <c r="CB1162" s="52" t="s">
        <v>343</v>
      </c>
      <c r="CC1162" s="52" t="s">
        <v>493</v>
      </c>
      <c r="CD1162" s="53">
        <v>43983</v>
      </c>
      <c r="CE1162" s="53">
        <v>44013</v>
      </c>
      <c r="CF1162" s="52">
        <v>100</v>
      </c>
      <c r="CG1162" s="54" t="s">
        <v>3698</v>
      </c>
      <c r="CH1162" s="11"/>
      <c r="CI1162" s="11"/>
      <c r="CJ1162" s="11"/>
      <c r="CK1162" s="11"/>
      <c r="CL1162" s="11"/>
      <c r="CM1162" s="11"/>
      <c r="CN1162" s="11"/>
      <c r="CO1162" s="11"/>
      <c r="CP1162" s="11"/>
      <c r="CQ1162" s="11"/>
      <c r="CR1162" s="11"/>
      <c r="CS1162" s="11"/>
      <c r="CT1162" s="11"/>
      <c r="CU1162" s="11"/>
      <c r="CV1162" s="11"/>
      <c r="CW1162" s="11"/>
      <c r="CX1162" s="11"/>
      <c r="CY1162" s="11"/>
      <c r="CZ1162" s="11"/>
      <c r="DA1162" s="11"/>
      <c r="DB1162" s="11"/>
      <c r="DC1162" s="11"/>
      <c r="DD1162" s="11"/>
      <c r="DE1162" s="11"/>
      <c r="DF1162" s="11"/>
      <c r="DG1162" s="11"/>
      <c r="DH1162" s="11"/>
      <c r="DI1162" s="11"/>
      <c r="DJ1162" s="11"/>
      <c r="DK1162" s="11"/>
      <c r="DL1162" s="11"/>
      <c r="DM1162" s="11"/>
      <c r="DN1162" s="11"/>
      <c r="DO1162" s="11"/>
      <c r="DP1162" s="11"/>
      <c r="DQ1162" s="11"/>
      <c r="DR1162" s="11"/>
      <c r="DS1162" s="11"/>
      <c r="DT1162" s="11"/>
      <c r="DU1162" s="11"/>
      <c r="DV1162" s="11"/>
      <c r="DW1162" s="11"/>
      <c r="DX1162" s="11"/>
      <c r="DY1162" s="11"/>
      <c r="DZ1162" s="11"/>
      <c r="EA1162" s="11"/>
      <c r="EB1162" s="11"/>
      <c r="EC1162" s="11"/>
      <c r="ED1162" s="11"/>
      <c r="EE1162" s="11"/>
      <c r="EF1162" s="11"/>
      <c r="EG1162" s="11"/>
      <c r="EH1162" s="11"/>
      <c r="EI1162" s="11"/>
      <c r="EJ1162" s="11"/>
      <c r="EK1162" s="11"/>
      <c r="EL1162" s="11"/>
      <c r="EM1162" s="11"/>
      <c r="EN1162" s="11"/>
      <c r="EO1162" s="11"/>
      <c r="EP1162" s="11"/>
      <c r="EQ1162" s="11"/>
      <c r="ER1162" s="11"/>
      <c r="ES1162" s="11"/>
      <c r="ET1162" s="11"/>
      <c r="EU1162" s="11"/>
      <c r="EV1162" s="11"/>
      <c r="EW1162" s="11"/>
      <c r="EX1162" s="11"/>
      <c r="EY1162" s="11"/>
      <c r="EZ1162" s="11"/>
      <c r="FA1162" s="11"/>
      <c r="FB1162" s="11"/>
      <c r="FC1162" s="11"/>
      <c r="FD1162" s="11"/>
      <c r="FE1162" s="11"/>
      <c r="FF1162" s="11"/>
      <c r="FG1162" s="11"/>
      <c r="FH1162" s="11"/>
      <c r="FI1162" s="11"/>
      <c r="FJ1162" s="11"/>
      <c r="FK1162" s="11"/>
      <c r="FL1162" s="11"/>
      <c r="FM1162" s="11"/>
      <c r="FN1162" s="11"/>
      <c r="FO1162" s="11"/>
      <c r="FP1162" s="11"/>
      <c r="FQ1162" s="11"/>
      <c r="FR1162" s="11"/>
      <c r="FS1162" s="11"/>
      <c r="FT1162" s="11"/>
      <c r="FU1162" s="11"/>
      <c r="FV1162" s="11"/>
      <c r="FW1162" s="11"/>
      <c r="FX1162" s="11"/>
      <c r="FY1162" s="11"/>
      <c r="FZ1162" s="11"/>
      <c r="GA1162" s="11"/>
      <c r="GB1162" s="11"/>
      <c r="GC1162" s="11"/>
      <c r="GD1162" s="11"/>
      <c r="GE1162" s="11"/>
      <c r="GF1162" s="11"/>
      <c r="GG1162" s="11"/>
      <c r="GH1162" s="11"/>
      <c r="GI1162" s="11"/>
      <c r="GJ1162" s="11"/>
      <c r="GK1162" s="11"/>
      <c r="GL1162" s="11"/>
      <c r="GM1162" s="11"/>
      <c r="GN1162" s="11"/>
      <c r="GO1162" s="11"/>
      <c r="GP1162" s="11"/>
      <c r="GQ1162" s="11"/>
      <c r="GR1162" s="11"/>
      <c r="GS1162" s="11"/>
      <c r="GT1162" s="11"/>
      <c r="GU1162" s="11"/>
      <c r="GV1162" s="11"/>
      <c r="GW1162" s="11"/>
      <c r="GX1162" s="11"/>
      <c r="GY1162" s="11"/>
      <c r="GZ1162" s="11"/>
      <c r="HA1162" s="11"/>
    </row>
    <row r="1163" spans="1:209" ht="23.25" customHeight="1" x14ac:dyDescent="0.15">
      <c r="A1163" s="11"/>
      <c r="B1163" s="11"/>
      <c r="C1163" s="1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/>
      <c r="O1163" s="11"/>
      <c r="P1163" s="11"/>
      <c r="Q1163" s="11"/>
      <c r="R1163" s="11"/>
      <c r="S1163" s="11"/>
      <c r="T1163" s="11"/>
      <c r="U1163" s="11"/>
      <c r="V1163" s="11"/>
      <c r="W1163" s="11"/>
      <c r="X1163" s="11"/>
      <c r="Y1163" s="11"/>
      <c r="Z1163" s="11"/>
      <c r="AA1163" s="11"/>
      <c r="AB1163" s="11"/>
      <c r="AC1163" s="11"/>
      <c r="AD1163" s="11"/>
      <c r="AE1163" s="11"/>
      <c r="AF1163" s="11"/>
      <c r="AG1163" s="11"/>
      <c r="AH1163" s="11"/>
      <c r="AI1163" s="11"/>
      <c r="AJ1163" s="11"/>
      <c r="AK1163" s="11"/>
      <c r="AL1163" s="11"/>
      <c r="AM1163" s="11"/>
      <c r="AN1163" s="11"/>
      <c r="AO1163" s="11"/>
      <c r="AP1163" s="11"/>
      <c r="AQ1163" s="11"/>
      <c r="AR1163" s="11"/>
      <c r="AS1163" s="11"/>
      <c r="AT1163" s="11"/>
      <c r="AU1163" s="11"/>
      <c r="AV1163" s="11"/>
      <c r="AW1163" s="11"/>
      <c r="AX1163" s="11"/>
      <c r="AY1163" s="11"/>
      <c r="AZ1163" s="11"/>
      <c r="BA1163" s="11"/>
      <c r="BB1163" s="11"/>
      <c r="BC1163" s="11"/>
      <c r="BD1163" s="11"/>
      <c r="BE1163" s="11"/>
      <c r="BF1163" s="11"/>
      <c r="BG1163" s="11"/>
      <c r="BH1163" s="11"/>
      <c r="BI1163" s="11"/>
      <c r="BJ1163" s="11"/>
      <c r="BK1163" s="11"/>
      <c r="BL1163" s="11"/>
      <c r="BM1163" s="11"/>
      <c r="BN1163" s="11"/>
      <c r="BO1163" s="11"/>
      <c r="BP1163" s="11"/>
      <c r="BQ1163" s="11"/>
      <c r="BR1163" s="11"/>
      <c r="BS1163" s="11"/>
      <c r="BT1163" s="11"/>
      <c r="BU1163" s="11"/>
      <c r="BV1163" s="11"/>
      <c r="BW1163" s="52" t="s">
        <v>439</v>
      </c>
      <c r="BX1163" s="52" t="s">
        <v>144</v>
      </c>
      <c r="BY1163" s="11"/>
      <c r="BZ1163" s="52" t="s">
        <v>166</v>
      </c>
      <c r="CA1163" s="52" t="s">
        <v>3699</v>
      </c>
      <c r="CB1163" s="52" t="s">
        <v>343</v>
      </c>
      <c r="CC1163" s="52" t="s">
        <v>3700</v>
      </c>
      <c r="CD1163" s="53">
        <v>43983</v>
      </c>
      <c r="CE1163" s="53">
        <v>44028</v>
      </c>
      <c r="CF1163" s="52">
        <v>100</v>
      </c>
      <c r="CG1163" s="54" t="s">
        <v>3701</v>
      </c>
      <c r="CH1163" s="11"/>
      <c r="CI1163" s="11"/>
      <c r="CJ1163" s="11"/>
      <c r="CK1163" s="11"/>
      <c r="CL1163" s="11"/>
      <c r="CM1163" s="11"/>
      <c r="CN1163" s="11"/>
      <c r="CO1163" s="11"/>
      <c r="CP1163" s="11"/>
      <c r="CQ1163" s="11"/>
      <c r="CR1163" s="11"/>
      <c r="CS1163" s="11"/>
      <c r="CT1163" s="11"/>
      <c r="CU1163" s="11"/>
      <c r="CV1163" s="11"/>
      <c r="CW1163" s="11"/>
      <c r="CX1163" s="11"/>
      <c r="CY1163" s="11"/>
      <c r="CZ1163" s="11"/>
      <c r="DA1163" s="11"/>
      <c r="DB1163" s="11"/>
      <c r="DC1163" s="11"/>
      <c r="DD1163" s="11"/>
      <c r="DE1163" s="11"/>
      <c r="DF1163" s="11"/>
      <c r="DG1163" s="11"/>
      <c r="DH1163" s="11"/>
      <c r="DI1163" s="11"/>
      <c r="DJ1163" s="11"/>
      <c r="DK1163" s="11"/>
      <c r="DL1163" s="11"/>
      <c r="DM1163" s="11"/>
      <c r="DN1163" s="11"/>
      <c r="DO1163" s="11"/>
      <c r="DP1163" s="11"/>
      <c r="DQ1163" s="11"/>
      <c r="DR1163" s="11"/>
      <c r="DS1163" s="11"/>
      <c r="DT1163" s="11"/>
      <c r="DU1163" s="11"/>
      <c r="DV1163" s="11"/>
      <c r="DW1163" s="11"/>
      <c r="DX1163" s="11"/>
      <c r="DY1163" s="11"/>
      <c r="DZ1163" s="11"/>
      <c r="EA1163" s="11"/>
      <c r="EB1163" s="11"/>
      <c r="EC1163" s="11"/>
      <c r="ED1163" s="11"/>
      <c r="EE1163" s="11"/>
      <c r="EF1163" s="11"/>
      <c r="EG1163" s="11"/>
      <c r="EH1163" s="11"/>
      <c r="EI1163" s="11"/>
      <c r="EJ1163" s="11"/>
      <c r="EK1163" s="11"/>
      <c r="EL1163" s="11"/>
      <c r="EM1163" s="11"/>
      <c r="EN1163" s="11"/>
      <c r="EO1163" s="11"/>
      <c r="EP1163" s="11"/>
      <c r="EQ1163" s="11"/>
      <c r="ER1163" s="11"/>
      <c r="ES1163" s="11"/>
      <c r="ET1163" s="11"/>
      <c r="EU1163" s="11"/>
      <c r="EV1163" s="11"/>
      <c r="EW1163" s="11"/>
      <c r="EX1163" s="11"/>
      <c r="EY1163" s="11"/>
      <c r="EZ1163" s="11"/>
      <c r="FA1163" s="11"/>
      <c r="FB1163" s="11"/>
      <c r="FC1163" s="11"/>
      <c r="FD1163" s="11"/>
      <c r="FE1163" s="11"/>
      <c r="FF1163" s="11"/>
      <c r="FG1163" s="11"/>
      <c r="FH1163" s="11"/>
      <c r="FI1163" s="11"/>
      <c r="FJ1163" s="11"/>
      <c r="FK1163" s="11"/>
      <c r="FL1163" s="11"/>
      <c r="FM1163" s="11"/>
      <c r="FN1163" s="11"/>
      <c r="FO1163" s="11"/>
      <c r="FP1163" s="11"/>
      <c r="FQ1163" s="11"/>
      <c r="FR1163" s="11"/>
      <c r="FS1163" s="11"/>
      <c r="FT1163" s="11"/>
      <c r="FU1163" s="11"/>
      <c r="FV1163" s="11"/>
      <c r="FW1163" s="11"/>
      <c r="FX1163" s="11"/>
      <c r="FY1163" s="11"/>
      <c r="FZ1163" s="11"/>
      <c r="GA1163" s="11"/>
      <c r="GB1163" s="11"/>
      <c r="GC1163" s="11"/>
      <c r="GD1163" s="11"/>
      <c r="GE1163" s="11"/>
      <c r="GF1163" s="11"/>
      <c r="GG1163" s="11"/>
      <c r="GH1163" s="11"/>
      <c r="GI1163" s="11"/>
      <c r="GJ1163" s="11"/>
      <c r="GK1163" s="11"/>
      <c r="GL1163" s="11"/>
      <c r="GM1163" s="11"/>
      <c r="GN1163" s="11"/>
      <c r="GO1163" s="11"/>
      <c r="GP1163" s="11"/>
      <c r="GQ1163" s="11"/>
      <c r="GR1163" s="11"/>
      <c r="GS1163" s="11"/>
      <c r="GT1163" s="11"/>
      <c r="GU1163" s="11"/>
      <c r="GV1163" s="11"/>
      <c r="GW1163" s="11"/>
      <c r="GX1163" s="11"/>
      <c r="GY1163" s="11"/>
      <c r="GZ1163" s="11"/>
      <c r="HA1163" s="11"/>
    </row>
    <row r="1164" spans="1:209" ht="23.25" customHeight="1" x14ac:dyDescent="0.15">
      <c r="A1164" s="11"/>
      <c r="B1164" s="11"/>
      <c r="C1164" s="1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/>
      <c r="O1164" s="11"/>
      <c r="P1164" s="11"/>
      <c r="Q1164" s="11"/>
      <c r="R1164" s="11"/>
      <c r="S1164" s="11"/>
      <c r="T1164" s="11"/>
      <c r="U1164" s="11"/>
      <c r="V1164" s="11"/>
      <c r="W1164" s="11"/>
      <c r="X1164" s="11"/>
      <c r="Y1164" s="11"/>
      <c r="Z1164" s="11"/>
      <c r="AA1164" s="11"/>
      <c r="AB1164" s="11"/>
      <c r="AC1164" s="11"/>
      <c r="AD1164" s="11"/>
      <c r="AE1164" s="11"/>
      <c r="AF1164" s="11"/>
      <c r="AG1164" s="11"/>
      <c r="AH1164" s="11"/>
      <c r="AI1164" s="11"/>
      <c r="AJ1164" s="11"/>
      <c r="AK1164" s="11"/>
      <c r="AL1164" s="11"/>
      <c r="AM1164" s="11"/>
      <c r="AN1164" s="11"/>
      <c r="AO1164" s="11"/>
      <c r="AP1164" s="11"/>
      <c r="AQ1164" s="11"/>
      <c r="AR1164" s="11"/>
      <c r="AS1164" s="11"/>
      <c r="AT1164" s="11"/>
      <c r="AU1164" s="11"/>
      <c r="AV1164" s="11"/>
      <c r="AW1164" s="11"/>
      <c r="AX1164" s="11"/>
      <c r="AY1164" s="11"/>
      <c r="AZ1164" s="11"/>
      <c r="BA1164" s="11"/>
      <c r="BB1164" s="11"/>
      <c r="BC1164" s="11"/>
      <c r="BD1164" s="11"/>
      <c r="BE1164" s="11"/>
      <c r="BF1164" s="11"/>
      <c r="BG1164" s="11"/>
      <c r="BH1164" s="11"/>
      <c r="BI1164" s="11"/>
      <c r="BJ1164" s="11"/>
      <c r="BK1164" s="11"/>
      <c r="BL1164" s="11"/>
      <c r="BM1164" s="11"/>
      <c r="BN1164" s="11"/>
      <c r="BO1164" s="11"/>
      <c r="BP1164" s="11"/>
      <c r="BQ1164" s="11"/>
      <c r="BR1164" s="11"/>
      <c r="BS1164" s="11"/>
      <c r="BT1164" s="11"/>
      <c r="BU1164" s="11"/>
      <c r="BV1164" s="11"/>
      <c r="BW1164" s="52" t="s">
        <v>439</v>
      </c>
      <c r="BX1164" s="52" t="s">
        <v>144</v>
      </c>
      <c r="BY1164" s="11"/>
      <c r="BZ1164" s="52" t="s">
        <v>166</v>
      </c>
      <c r="CA1164" s="52" t="s">
        <v>3702</v>
      </c>
      <c r="CB1164" s="52" t="s">
        <v>343</v>
      </c>
      <c r="CC1164" s="52" t="s">
        <v>3703</v>
      </c>
      <c r="CD1164" s="53">
        <v>43949</v>
      </c>
      <c r="CE1164" s="53">
        <v>44132</v>
      </c>
      <c r="CF1164" s="52">
        <v>100</v>
      </c>
      <c r="CG1164" s="54" t="s">
        <v>3704</v>
      </c>
      <c r="CH1164" s="11"/>
      <c r="CI1164" s="11"/>
      <c r="CJ1164" s="11"/>
      <c r="CK1164" s="11"/>
      <c r="CL1164" s="11"/>
      <c r="CM1164" s="11"/>
      <c r="CN1164" s="11"/>
      <c r="CO1164" s="11"/>
      <c r="CP1164" s="11"/>
      <c r="CQ1164" s="11"/>
      <c r="CR1164" s="11"/>
      <c r="CS1164" s="11"/>
      <c r="CT1164" s="11"/>
      <c r="CU1164" s="11"/>
      <c r="CV1164" s="11"/>
      <c r="CW1164" s="11"/>
      <c r="CX1164" s="11"/>
      <c r="CY1164" s="11"/>
      <c r="CZ1164" s="11"/>
      <c r="DA1164" s="11"/>
      <c r="DB1164" s="11"/>
      <c r="DC1164" s="11"/>
      <c r="DD1164" s="11"/>
      <c r="DE1164" s="11"/>
      <c r="DF1164" s="11"/>
      <c r="DG1164" s="11"/>
      <c r="DH1164" s="11"/>
      <c r="DI1164" s="11"/>
      <c r="DJ1164" s="11"/>
      <c r="DK1164" s="11"/>
      <c r="DL1164" s="11"/>
      <c r="DM1164" s="11"/>
      <c r="DN1164" s="11"/>
      <c r="DO1164" s="11"/>
      <c r="DP1164" s="11"/>
      <c r="DQ1164" s="11"/>
      <c r="DR1164" s="11"/>
      <c r="DS1164" s="11"/>
      <c r="DT1164" s="11"/>
      <c r="DU1164" s="11"/>
      <c r="DV1164" s="11"/>
      <c r="DW1164" s="11"/>
      <c r="DX1164" s="11"/>
      <c r="DY1164" s="11"/>
      <c r="DZ1164" s="11"/>
      <c r="EA1164" s="11"/>
      <c r="EB1164" s="11"/>
      <c r="EC1164" s="11"/>
      <c r="ED1164" s="11"/>
      <c r="EE1164" s="11"/>
      <c r="EF1164" s="11"/>
      <c r="EG1164" s="11"/>
      <c r="EH1164" s="11"/>
      <c r="EI1164" s="11"/>
      <c r="EJ1164" s="11"/>
      <c r="EK1164" s="11"/>
      <c r="EL1164" s="11"/>
      <c r="EM1164" s="11"/>
      <c r="EN1164" s="11"/>
      <c r="EO1164" s="11"/>
      <c r="EP1164" s="11"/>
      <c r="EQ1164" s="11"/>
      <c r="ER1164" s="11"/>
      <c r="ES1164" s="11"/>
      <c r="ET1164" s="11"/>
      <c r="EU1164" s="11"/>
      <c r="EV1164" s="11"/>
      <c r="EW1164" s="11"/>
      <c r="EX1164" s="11"/>
      <c r="EY1164" s="11"/>
      <c r="EZ1164" s="11"/>
      <c r="FA1164" s="11"/>
      <c r="FB1164" s="11"/>
      <c r="FC1164" s="11"/>
      <c r="FD1164" s="11"/>
      <c r="FE1164" s="11"/>
      <c r="FF1164" s="11"/>
      <c r="FG1164" s="11"/>
      <c r="FH1164" s="11"/>
      <c r="FI1164" s="11"/>
      <c r="FJ1164" s="11"/>
      <c r="FK1164" s="11"/>
      <c r="FL1164" s="11"/>
      <c r="FM1164" s="11"/>
      <c r="FN1164" s="11"/>
      <c r="FO1164" s="11"/>
      <c r="FP1164" s="11"/>
      <c r="FQ1164" s="11"/>
      <c r="FR1164" s="11"/>
      <c r="FS1164" s="11"/>
      <c r="FT1164" s="11"/>
      <c r="FU1164" s="11"/>
      <c r="FV1164" s="11"/>
      <c r="FW1164" s="11"/>
      <c r="FX1164" s="11"/>
      <c r="FY1164" s="11"/>
      <c r="FZ1164" s="11"/>
      <c r="GA1164" s="11"/>
      <c r="GB1164" s="11"/>
      <c r="GC1164" s="11"/>
      <c r="GD1164" s="11"/>
      <c r="GE1164" s="11"/>
      <c r="GF1164" s="11"/>
      <c r="GG1164" s="11"/>
      <c r="GH1164" s="11"/>
      <c r="GI1164" s="11"/>
      <c r="GJ1164" s="11"/>
      <c r="GK1164" s="11"/>
      <c r="GL1164" s="11"/>
      <c r="GM1164" s="11"/>
      <c r="GN1164" s="11"/>
      <c r="GO1164" s="11"/>
      <c r="GP1164" s="11"/>
      <c r="GQ1164" s="11"/>
      <c r="GR1164" s="11"/>
      <c r="GS1164" s="11"/>
      <c r="GT1164" s="11"/>
      <c r="GU1164" s="11"/>
      <c r="GV1164" s="11"/>
      <c r="GW1164" s="11"/>
      <c r="GX1164" s="11"/>
      <c r="GY1164" s="11"/>
      <c r="GZ1164" s="11"/>
      <c r="HA1164" s="11"/>
    </row>
    <row r="1165" spans="1:209" ht="23.25" customHeight="1" x14ac:dyDescent="0.15">
      <c r="A1165" s="11"/>
      <c r="B1165" s="11"/>
      <c r="C1165" s="1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/>
      <c r="O1165" s="11"/>
      <c r="P1165" s="11"/>
      <c r="Q1165" s="11"/>
      <c r="R1165" s="11"/>
      <c r="S1165" s="11"/>
      <c r="T1165" s="11"/>
      <c r="U1165" s="11"/>
      <c r="V1165" s="11"/>
      <c r="W1165" s="11"/>
      <c r="X1165" s="11"/>
      <c r="Y1165" s="11"/>
      <c r="Z1165" s="11"/>
      <c r="AA1165" s="11"/>
      <c r="AB1165" s="11"/>
      <c r="AC1165" s="11"/>
      <c r="AD1165" s="11"/>
      <c r="AE1165" s="11"/>
      <c r="AF1165" s="11"/>
      <c r="AG1165" s="11"/>
      <c r="AH1165" s="11"/>
      <c r="AI1165" s="11"/>
      <c r="AJ1165" s="11"/>
      <c r="AK1165" s="11"/>
      <c r="AL1165" s="11"/>
      <c r="AM1165" s="11"/>
      <c r="AN1165" s="11"/>
      <c r="AO1165" s="11"/>
      <c r="AP1165" s="11"/>
      <c r="AQ1165" s="11"/>
      <c r="AR1165" s="11"/>
      <c r="AS1165" s="11"/>
      <c r="AT1165" s="11"/>
      <c r="AU1165" s="11"/>
      <c r="AV1165" s="11"/>
      <c r="AW1165" s="11"/>
      <c r="AX1165" s="11"/>
      <c r="AY1165" s="11"/>
      <c r="AZ1165" s="11"/>
      <c r="BA1165" s="11"/>
      <c r="BB1165" s="11"/>
      <c r="BC1165" s="11"/>
      <c r="BD1165" s="11"/>
      <c r="BE1165" s="11"/>
      <c r="BF1165" s="11"/>
      <c r="BG1165" s="11"/>
      <c r="BH1165" s="11"/>
      <c r="BI1165" s="11"/>
      <c r="BJ1165" s="11"/>
      <c r="BK1165" s="11"/>
      <c r="BL1165" s="11"/>
      <c r="BM1165" s="11"/>
      <c r="BN1165" s="11"/>
      <c r="BO1165" s="11"/>
      <c r="BP1165" s="11"/>
      <c r="BQ1165" s="11"/>
      <c r="BR1165" s="11"/>
      <c r="BS1165" s="11"/>
      <c r="BT1165" s="11"/>
      <c r="BU1165" s="11"/>
      <c r="BV1165" s="11"/>
      <c r="BW1165" s="52" t="s">
        <v>247</v>
      </c>
      <c r="BX1165" s="52" t="s">
        <v>248</v>
      </c>
      <c r="BY1165" s="11"/>
      <c r="BZ1165" s="52" t="s">
        <v>166</v>
      </c>
      <c r="CA1165" s="52" t="s">
        <v>3705</v>
      </c>
      <c r="CB1165" s="52" t="s">
        <v>3706</v>
      </c>
      <c r="CC1165" s="52" t="s">
        <v>308</v>
      </c>
      <c r="CD1165" s="53">
        <v>44166</v>
      </c>
      <c r="CE1165" s="53">
        <v>44223</v>
      </c>
      <c r="CF1165" s="52">
        <v>100</v>
      </c>
      <c r="CG1165" s="54" t="s">
        <v>3707</v>
      </c>
      <c r="CH1165" s="11"/>
      <c r="CI1165" s="11"/>
      <c r="CJ1165" s="11"/>
      <c r="CK1165" s="11"/>
      <c r="CL1165" s="11"/>
      <c r="CM1165" s="11"/>
      <c r="CN1165" s="11"/>
      <c r="CO1165" s="11"/>
      <c r="CP1165" s="11"/>
      <c r="CQ1165" s="11"/>
      <c r="CR1165" s="11"/>
      <c r="CS1165" s="11"/>
      <c r="CT1165" s="11"/>
      <c r="CU1165" s="11"/>
      <c r="CV1165" s="11"/>
      <c r="CW1165" s="11"/>
      <c r="CX1165" s="11"/>
      <c r="CY1165" s="11"/>
      <c r="CZ1165" s="11"/>
      <c r="DA1165" s="11"/>
      <c r="DB1165" s="11"/>
      <c r="DC1165" s="11"/>
      <c r="DD1165" s="11"/>
      <c r="DE1165" s="11"/>
      <c r="DF1165" s="11"/>
      <c r="DG1165" s="11"/>
      <c r="DH1165" s="11"/>
      <c r="DI1165" s="11"/>
      <c r="DJ1165" s="11"/>
      <c r="DK1165" s="11"/>
      <c r="DL1165" s="11"/>
      <c r="DM1165" s="11"/>
      <c r="DN1165" s="11"/>
      <c r="DO1165" s="11"/>
      <c r="DP1165" s="11"/>
      <c r="DQ1165" s="11"/>
      <c r="DR1165" s="11"/>
      <c r="DS1165" s="11"/>
      <c r="DT1165" s="11"/>
      <c r="DU1165" s="11"/>
      <c r="DV1165" s="11"/>
      <c r="DW1165" s="11"/>
      <c r="DX1165" s="11"/>
      <c r="DY1165" s="11"/>
      <c r="DZ1165" s="11"/>
      <c r="EA1165" s="11"/>
      <c r="EB1165" s="11"/>
      <c r="EC1165" s="11"/>
      <c r="ED1165" s="11"/>
      <c r="EE1165" s="11"/>
      <c r="EF1165" s="11"/>
      <c r="EG1165" s="11"/>
      <c r="EH1165" s="11"/>
      <c r="EI1165" s="11"/>
      <c r="EJ1165" s="11"/>
      <c r="EK1165" s="11"/>
      <c r="EL1165" s="11"/>
      <c r="EM1165" s="11"/>
      <c r="EN1165" s="11"/>
      <c r="EO1165" s="11"/>
      <c r="EP1165" s="11"/>
      <c r="EQ1165" s="11"/>
      <c r="ER1165" s="11"/>
      <c r="ES1165" s="11"/>
      <c r="ET1165" s="11"/>
      <c r="EU1165" s="11"/>
      <c r="EV1165" s="11"/>
      <c r="EW1165" s="11"/>
      <c r="EX1165" s="11"/>
      <c r="EY1165" s="11"/>
      <c r="EZ1165" s="11"/>
      <c r="FA1165" s="11"/>
      <c r="FB1165" s="11"/>
      <c r="FC1165" s="11"/>
      <c r="FD1165" s="11"/>
      <c r="FE1165" s="11"/>
      <c r="FF1165" s="11"/>
      <c r="FG1165" s="11"/>
      <c r="FH1165" s="11"/>
      <c r="FI1165" s="11"/>
      <c r="FJ1165" s="11"/>
      <c r="FK1165" s="11"/>
      <c r="FL1165" s="11"/>
      <c r="FM1165" s="11"/>
      <c r="FN1165" s="11"/>
      <c r="FO1165" s="11"/>
      <c r="FP1165" s="11"/>
      <c r="FQ1165" s="11"/>
      <c r="FR1165" s="11"/>
      <c r="FS1165" s="11"/>
      <c r="FT1165" s="11"/>
      <c r="FU1165" s="11"/>
      <c r="FV1165" s="11"/>
      <c r="FW1165" s="11"/>
      <c r="FX1165" s="11"/>
      <c r="FY1165" s="11"/>
      <c r="FZ1165" s="11"/>
      <c r="GA1165" s="11"/>
      <c r="GB1165" s="11"/>
      <c r="GC1165" s="11"/>
      <c r="GD1165" s="11"/>
      <c r="GE1165" s="11"/>
      <c r="GF1165" s="11"/>
      <c r="GG1165" s="11"/>
      <c r="GH1165" s="11"/>
      <c r="GI1165" s="11"/>
      <c r="GJ1165" s="11"/>
      <c r="GK1165" s="11"/>
      <c r="GL1165" s="11"/>
      <c r="GM1165" s="11"/>
      <c r="GN1165" s="11"/>
      <c r="GO1165" s="11"/>
      <c r="GP1165" s="11"/>
      <c r="GQ1165" s="11"/>
      <c r="GR1165" s="11"/>
      <c r="GS1165" s="11"/>
      <c r="GT1165" s="11"/>
      <c r="GU1165" s="11"/>
      <c r="GV1165" s="11"/>
      <c r="GW1165" s="11"/>
      <c r="GX1165" s="11"/>
      <c r="GY1165" s="11"/>
      <c r="GZ1165" s="11"/>
      <c r="HA1165" s="11"/>
    </row>
    <row r="1166" spans="1:209" ht="23.25" customHeight="1" x14ac:dyDescent="0.15">
      <c r="A1166" s="11"/>
      <c r="B1166" s="11"/>
      <c r="C1166" s="1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/>
      <c r="O1166" s="11"/>
      <c r="P1166" s="11"/>
      <c r="Q1166" s="11"/>
      <c r="R1166" s="11"/>
      <c r="S1166" s="11"/>
      <c r="T1166" s="11"/>
      <c r="U1166" s="11"/>
      <c r="V1166" s="11"/>
      <c r="W1166" s="11"/>
      <c r="X1166" s="11"/>
      <c r="Y1166" s="11"/>
      <c r="Z1166" s="11"/>
      <c r="AA1166" s="11"/>
      <c r="AB1166" s="11"/>
      <c r="AC1166" s="11"/>
      <c r="AD1166" s="11"/>
      <c r="AE1166" s="11"/>
      <c r="AF1166" s="11"/>
      <c r="AG1166" s="11"/>
      <c r="AH1166" s="11"/>
      <c r="AI1166" s="11"/>
      <c r="AJ1166" s="11"/>
      <c r="AK1166" s="11"/>
      <c r="AL1166" s="11"/>
      <c r="AM1166" s="11"/>
      <c r="AN1166" s="11"/>
      <c r="AO1166" s="11"/>
      <c r="AP1166" s="11"/>
      <c r="AQ1166" s="11"/>
      <c r="AR1166" s="11"/>
      <c r="AS1166" s="11"/>
      <c r="AT1166" s="11"/>
      <c r="AU1166" s="11"/>
      <c r="AV1166" s="11"/>
      <c r="AW1166" s="11"/>
      <c r="AX1166" s="11"/>
      <c r="AY1166" s="11"/>
      <c r="AZ1166" s="11"/>
      <c r="BA1166" s="11"/>
      <c r="BB1166" s="11"/>
      <c r="BC1166" s="11"/>
      <c r="BD1166" s="11"/>
      <c r="BE1166" s="11"/>
      <c r="BF1166" s="11"/>
      <c r="BG1166" s="11"/>
      <c r="BH1166" s="11"/>
      <c r="BI1166" s="11"/>
      <c r="BJ1166" s="11"/>
      <c r="BK1166" s="11"/>
      <c r="BL1166" s="11"/>
      <c r="BM1166" s="11"/>
      <c r="BN1166" s="11"/>
      <c r="BO1166" s="11"/>
      <c r="BP1166" s="11"/>
      <c r="BQ1166" s="11"/>
      <c r="BR1166" s="11"/>
      <c r="BS1166" s="11"/>
      <c r="BT1166" s="11"/>
      <c r="BU1166" s="11"/>
      <c r="BV1166" s="11"/>
      <c r="BW1166" s="52" t="s">
        <v>247</v>
      </c>
      <c r="BX1166" s="52" t="s">
        <v>248</v>
      </c>
      <c r="BY1166" s="11"/>
      <c r="BZ1166" s="52" t="s">
        <v>166</v>
      </c>
      <c r="CA1166" s="52" t="s">
        <v>3708</v>
      </c>
      <c r="CB1166" s="52" t="s">
        <v>1383</v>
      </c>
      <c r="CC1166" s="52" t="s">
        <v>3709</v>
      </c>
      <c r="CD1166" s="53">
        <v>44317</v>
      </c>
      <c r="CE1166" s="53">
        <v>44404</v>
      </c>
      <c r="CF1166" s="52">
        <v>100</v>
      </c>
      <c r="CG1166" s="54" t="s">
        <v>3710</v>
      </c>
      <c r="CH1166" s="11"/>
      <c r="CI1166" s="11"/>
      <c r="CJ1166" s="11"/>
      <c r="CK1166" s="11"/>
      <c r="CL1166" s="11"/>
      <c r="CM1166" s="11"/>
      <c r="CN1166" s="11"/>
      <c r="CO1166" s="11"/>
      <c r="CP1166" s="11"/>
      <c r="CQ1166" s="11"/>
      <c r="CR1166" s="11"/>
      <c r="CS1166" s="11"/>
      <c r="CT1166" s="11"/>
      <c r="CU1166" s="11"/>
      <c r="CV1166" s="11"/>
      <c r="CW1166" s="11"/>
      <c r="CX1166" s="11"/>
      <c r="CY1166" s="11"/>
      <c r="CZ1166" s="11"/>
      <c r="DA1166" s="11"/>
      <c r="DB1166" s="11"/>
      <c r="DC1166" s="11"/>
      <c r="DD1166" s="11"/>
      <c r="DE1166" s="11"/>
      <c r="DF1166" s="11"/>
      <c r="DG1166" s="11"/>
      <c r="DH1166" s="11"/>
      <c r="DI1166" s="11"/>
      <c r="DJ1166" s="11"/>
      <c r="DK1166" s="11"/>
      <c r="DL1166" s="11"/>
      <c r="DM1166" s="11"/>
      <c r="DN1166" s="11"/>
      <c r="DO1166" s="11"/>
      <c r="DP1166" s="11"/>
      <c r="DQ1166" s="11"/>
      <c r="DR1166" s="11"/>
      <c r="DS1166" s="11"/>
      <c r="DT1166" s="11"/>
      <c r="DU1166" s="11"/>
      <c r="DV1166" s="11"/>
      <c r="DW1166" s="11"/>
      <c r="DX1166" s="11"/>
      <c r="DY1166" s="11"/>
      <c r="DZ1166" s="11"/>
      <c r="EA1166" s="11"/>
      <c r="EB1166" s="11"/>
      <c r="EC1166" s="11"/>
      <c r="ED1166" s="11"/>
      <c r="EE1166" s="11"/>
      <c r="EF1166" s="11"/>
      <c r="EG1166" s="11"/>
      <c r="EH1166" s="11"/>
      <c r="EI1166" s="11"/>
      <c r="EJ1166" s="11"/>
      <c r="EK1166" s="11"/>
      <c r="EL1166" s="11"/>
      <c r="EM1166" s="11"/>
      <c r="EN1166" s="11"/>
      <c r="EO1166" s="11"/>
      <c r="EP1166" s="11"/>
      <c r="EQ1166" s="11"/>
      <c r="ER1166" s="11"/>
      <c r="ES1166" s="11"/>
      <c r="ET1166" s="11"/>
      <c r="EU1166" s="11"/>
      <c r="EV1166" s="11"/>
      <c r="EW1166" s="11"/>
      <c r="EX1166" s="11"/>
      <c r="EY1166" s="11"/>
      <c r="EZ1166" s="11"/>
      <c r="FA1166" s="11"/>
      <c r="FB1166" s="11"/>
      <c r="FC1166" s="11"/>
      <c r="FD1166" s="11"/>
      <c r="FE1166" s="11"/>
      <c r="FF1166" s="11"/>
      <c r="FG1166" s="11"/>
      <c r="FH1166" s="11"/>
      <c r="FI1166" s="11"/>
      <c r="FJ1166" s="11"/>
      <c r="FK1166" s="11"/>
      <c r="FL1166" s="11"/>
      <c r="FM1166" s="11"/>
      <c r="FN1166" s="11"/>
      <c r="FO1166" s="11"/>
      <c r="FP1166" s="11"/>
      <c r="FQ1166" s="11"/>
      <c r="FR1166" s="11"/>
      <c r="FS1166" s="11"/>
      <c r="FT1166" s="11"/>
      <c r="FU1166" s="11"/>
      <c r="FV1166" s="11"/>
      <c r="FW1166" s="11"/>
      <c r="FX1166" s="11"/>
      <c r="FY1166" s="11"/>
      <c r="FZ1166" s="11"/>
      <c r="GA1166" s="11"/>
      <c r="GB1166" s="11"/>
      <c r="GC1166" s="11"/>
      <c r="GD1166" s="11"/>
      <c r="GE1166" s="11"/>
      <c r="GF1166" s="11"/>
      <c r="GG1166" s="11"/>
      <c r="GH1166" s="11"/>
      <c r="GI1166" s="11"/>
      <c r="GJ1166" s="11"/>
      <c r="GK1166" s="11"/>
      <c r="GL1166" s="11"/>
      <c r="GM1166" s="11"/>
      <c r="GN1166" s="11"/>
      <c r="GO1166" s="11"/>
      <c r="GP1166" s="11"/>
      <c r="GQ1166" s="11"/>
      <c r="GR1166" s="11"/>
      <c r="GS1166" s="11"/>
      <c r="GT1166" s="11"/>
      <c r="GU1166" s="11"/>
      <c r="GV1166" s="11"/>
      <c r="GW1166" s="11"/>
      <c r="GX1166" s="11"/>
      <c r="GY1166" s="11"/>
      <c r="GZ1166" s="11"/>
      <c r="HA1166" s="11"/>
    </row>
    <row r="1167" spans="1:209" ht="23.25" customHeight="1" x14ac:dyDescent="0.15">
      <c r="A1167" s="11"/>
      <c r="B1167" s="11"/>
      <c r="C1167" s="1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/>
      <c r="O1167" s="11"/>
      <c r="P1167" s="11"/>
      <c r="Q1167" s="11"/>
      <c r="R1167" s="11"/>
      <c r="S1167" s="11"/>
      <c r="T1167" s="11"/>
      <c r="U1167" s="11"/>
      <c r="V1167" s="11"/>
      <c r="W1167" s="11"/>
      <c r="X1167" s="11"/>
      <c r="Y1167" s="11"/>
      <c r="Z1167" s="11"/>
      <c r="AA1167" s="11"/>
      <c r="AB1167" s="11"/>
      <c r="AC1167" s="11"/>
      <c r="AD1167" s="11"/>
      <c r="AE1167" s="11"/>
      <c r="AF1167" s="11"/>
      <c r="AG1167" s="11"/>
      <c r="AH1167" s="11"/>
      <c r="AI1167" s="11"/>
      <c r="AJ1167" s="11"/>
      <c r="AK1167" s="11"/>
      <c r="AL1167" s="11"/>
      <c r="AM1167" s="11"/>
      <c r="AN1167" s="11"/>
      <c r="AO1167" s="11"/>
      <c r="AP1167" s="11"/>
      <c r="AQ1167" s="11"/>
      <c r="AR1167" s="11"/>
      <c r="AS1167" s="11"/>
      <c r="AT1167" s="11"/>
      <c r="AU1167" s="11"/>
      <c r="AV1167" s="11"/>
      <c r="AW1167" s="11"/>
      <c r="AX1167" s="11"/>
      <c r="AY1167" s="11"/>
      <c r="AZ1167" s="11"/>
      <c r="BA1167" s="11"/>
      <c r="BB1167" s="11"/>
      <c r="BC1167" s="11"/>
      <c r="BD1167" s="11"/>
      <c r="BE1167" s="11"/>
      <c r="BF1167" s="11"/>
      <c r="BG1167" s="11"/>
      <c r="BH1167" s="11"/>
      <c r="BI1167" s="11"/>
      <c r="BJ1167" s="11"/>
      <c r="BK1167" s="11"/>
      <c r="BL1167" s="11"/>
      <c r="BM1167" s="11"/>
      <c r="BN1167" s="11"/>
      <c r="BO1167" s="11"/>
      <c r="BP1167" s="11"/>
      <c r="BQ1167" s="11"/>
      <c r="BR1167" s="11"/>
      <c r="BS1167" s="11"/>
      <c r="BT1167" s="11"/>
      <c r="BU1167" s="11"/>
      <c r="BV1167" s="11"/>
      <c r="BW1167" s="52" t="s">
        <v>247</v>
      </c>
      <c r="BX1167" s="52" t="s">
        <v>248</v>
      </c>
      <c r="BY1167" s="11"/>
      <c r="BZ1167" s="52" t="s">
        <v>166</v>
      </c>
      <c r="CA1167" s="52" t="s">
        <v>3711</v>
      </c>
      <c r="CB1167" s="52" t="s">
        <v>1383</v>
      </c>
      <c r="CC1167" s="52" t="s">
        <v>970</v>
      </c>
      <c r="CD1167" s="53">
        <v>43983</v>
      </c>
      <c r="CE1167" s="53">
        <v>44025</v>
      </c>
      <c r="CF1167" s="52">
        <v>100</v>
      </c>
      <c r="CG1167" s="54" t="s">
        <v>3712</v>
      </c>
      <c r="CH1167" s="11"/>
      <c r="CI1167" s="11"/>
      <c r="CJ1167" s="11"/>
      <c r="CK1167" s="11"/>
      <c r="CL1167" s="11"/>
      <c r="CM1167" s="11"/>
      <c r="CN1167" s="11"/>
      <c r="CO1167" s="11"/>
      <c r="CP1167" s="11"/>
      <c r="CQ1167" s="11"/>
      <c r="CR1167" s="11"/>
      <c r="CS1167" s="11"/>
      <c r="CT1167" s="11"/>
      <c r="CU1167" s="11"/>
      <c r="CV1167" s="11"/>
      <c r="CW1167" s="11"/>
      <c r="CX1167" s="11"/>
      <c r="CY1167" s="11"/>
      <c r="CZ1167" s="11"/>
      <c r="DA1167" s="11"/>
      <c r="DB1167" s="11"/>
      <c r="DC1167" s="11"/>
      <c r="DD1167" s="11"/>
      <c r="DE1167" s="11"/>
      <c r="DF1167" s="11"/>
      <c r="DG1167" s="11"/>
      <c r="DH1167" s="11"/>
      <c r="DI1167" s="11"/>
      <c r="DJ1167" s="11"/>
      <c r="DK1167" s="11"/>
      <c r="DL1167" s="11"/>
      <c r="DM1167" s="11"/>
      <c r="DN1167" s="11"/>
      <c r="DO1167" s="11"/>
      <c r="DP1167" s="11"/>
      <c r="DQ1167" s="11"/>
      <c r="DR1167" s="11"/>
      <c r="DS1167" s="11"/>
      <c r="DT1167" s="11"/>
      <c r="DU1167" s="11"/>
      <c r="DV1167" s="11"/>
      <c r="DW1167" s="11"/>
      <c r="DX1167" s="11"/>
      <c r="DY1167" s="11"/>
      <c r="DZ1167" s="11"/>
      <c r="EA1167" s="11"/>
      <c r="EB1167" s="11"/>
      <c r="EC1167" s="11"/>
      <c r="ED1167" s="11"/>
      <c r="EE1167" s="11"/>
      <c r="EF1167" s="11"/>
      <c r="EG1167" s="11"/>
      <c r="EH1167" s="11"/>
      <c r="EI1167" s="11"/>
      <c r="EJ1167" s="11"/>
      <c r="EK1167" s="11"/>
      <c r="EL1167" s="11"/>
      <c r="EM1167" s="11"/>
      <c r="EN1167" s="11"/>
      <c r="EO1167" s="11"/>
      <c r="EP1167" s="11"/>
      <c r="EQ1167" s="11"/>
      <c r="ER1167" s="11"/>
      <c r="ES1167" s="11"/>
      <c r="ET1167" s="11"/>
      <c r="EU1167" s="11"/>
      <c r="EV1167" s="11"/>
      <c r="EW1167" s="11"/>
      <c r="EX1167" s="11"/>
      <c r="EY1167" s="11"/>
      <c r="EZ1167" s="11"/>
      <c r="FA1167" s="11"/>
      <c r="FB1167" s="11"/>
      <c r="FC1167" s="11"/>
      <c r="FD1167" s="11"/>
      <c r="FE1167" s="11"/>
      <c r="FF1167" s="11"/>
      <c r="FG1167" s="11"/>
      <c r="FH1167" s="11"/>
      <c r="FI1167" s="11"/>
      <c r="FJ1167" s="11"/>
      <c r="FK1167" s="11"/>
      <c r="FL1167" s="11"/>
      <c r="FM1167" s="11"/>
      <c r="FN1167" s="11"/>
      <c r="FO1167" s="11"/>
      <c r="FP1167" s="11"/>
      <c r="FQ1167" s="11"/>
      <c r="FR1167" s="11"/>
      <c r="FS1167" s="11"/>
      <c r="FT1167" s="11"/>
      <c r="FU1167" s="11"/>
      <c r="FV1167" s="11"/>
      <c r="FW1167" s="11"/>
      <c r="FX1167" s="11"/>
      <c r="FY1167" s="11"/>
      <c r="FZ1167" s="11"/>
      <c r="GA1167" s="11"/>
      <c r="GB1167" s="11"/>
      <c r="GC1167" s="11"/>
      <c r="GD1167" s="11"/>
      <c r="GE1167" s="11"/>
      <c r="GF1167" s="11"/>
      <c r="GG1167" s="11"/>
      <c r="GH1167" s="11"/>
      <c r="GI1167" s="11"/>
      <c r="GJ1167" s="11"/>
      <c r="GK1167" s="11"/>
      <c r="GL1167" s="11"/>
      <c r="GM1167" s="11"/>
      <c r="GN1167" s="11"/>
      <c r="GO1167" s="11"/>
      <c r="GP1167" s="11"/>
      <c r="GQ1167" s="11"/>
      <c r="GR1167" s="11"/>
      <c r="GS1167" s="11"/>
      <c r="GT1167" s="11"/>
      <c r="GU1167" s="11"/>
      <c r="GV1167" s="11"/>
      <c r="GW1167" s="11"/>
      <c r="GX1167" s="11"/>
      <c r="GY1167" s="11"/>
      <c r="GZ1167" s="11"/>
      <c r="HA1167" s="11"/>
    </row>
    <row r="1168" spans="1:209" ht="23.25" customHeight="1" x14ac:dyDescent="0.15">
      <c r="A1168" s="11"/>
      <c r="B1168" s="11"/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/>
      <c r="O1168" s="11"/>
      <c r="P1168" s="11"/>
      <c r="Q1168" s="11"/>
      <c r="R1168" s="11"/>
      <c r="S1168" s="11"/>
      <c r="T1168" s="11"/>
      <c r="U1168" s="11"/>
      <c r="V1168" s="11"/>
      <c r="W1168" s="11"/>
      <c r="X1168" s="11"/>
      <c r="Y1168" s="11"/>
      <c r="Z1168" s="11"/>
      <c r="AA1168" s="11"/>
      <c r="AB1168" s="11"/>
      <c r="AC1168" s="11"/>
      <c r="AD1168" s="11"/>
      <c r="AE1168" s="11"/>
      <c r="AF1168" s="11"/>
      <c r="AG1168" s="11"/>
      <c r="AH1168" s="11"/>
      <c r="AI1168" s="11"/>
      <c r="AJ1168" s="11"/>
      <c r="AK1168" s="11"/>
      <c r="AL1168" s="11"/>
      <c r="AM1168" s="11"/>
      <c r="AN1168" s="11"/>
      <c r="AO1168" s="11"/>
      <c r="AP1168" s="11"/>
      <c r="AQ1168" s="11"/>
      <c r="AR1168" s="11"/>
      <c r="AS1168" s="11"/>
      <c r="AT1168" s="11"/>
      <c r="AU1168" s="11"/>
      <c r="AV1168" s="11"/>
      <c r="AW1168" s="11"/>
      <c r="AX1168" s="11"/>
      <c r="AY1168" s="11"/>
      <c r="AZ1168" s="11"/>
      <c r="BA1168" s="11"/>
      <c r="BB1168" s="11"/>
      <c r="BC1168" s="11"/>
      <c r="BD1168" s="11"/>
      <c r="BE1168" s="11"/>
      <c r="BF1168" s="11"/>
      <c r="BG1168" s="11"/>
      <c r="BH1168" s="11"/>
      <c r="BI1168" s="11"/>
      <c r="BJ1168" s="11"/>
      <c r="BK1168" s="11"/>
      <c r="BL1168" s="11"/>
      <c r="BM1168" s="11"/>
      <c r="BN1168" s="11"/>
      <c r="BO1168" s="11"/>
      <c r="BP1168" s="11"/>
      <c r="BQ1168" s="11"/>
      <c r="BR1168" s="11"/>
      <c r="BS1168" s="11"/>
      <c r="BT1168" s="11"/>
      <c r="BU1168" s="11"/>
      <c r="BV1168" s="11"/>
      <c r="BW1168" s="52" t="s">
        <v>428</v>
      </c>
      <c r="BX1168" s="52" t="s">
        <v>429</v>
      </c>
      <c r="BY1168" s="11"/>
      <c r="BZ1168" s="52" t="s">
        <v>166</v>
      </c>
      <c r="CA1168" s="52" t="s">
        <v>3713</v>
      </c>
      <c r="CB1168" s="52" t="s">
        <v>1090</v>
      </c>
      <c r="CC1168" s="52" t="s">
        <v>624</v>
      </c>
      <c r="CD1168" s="53">
        <v>43956</v>
      </c>
      <c r="CE1168" s="53">
        <v>43987</v>
      </c>
      <c r="CF1168" s="52">
        <v>95</v>
      </c>
      <c r="CG1168" s="54" t="s">
        <v>3714</v>
      </c>
      <c r="CH1168" s="11"/>
      <c r="CI1168" s="11"/>
      <c r="CJ1168" s="11"/>
      <c r="CK1168" s="11"/>
      <c r="CL1168" s="11"/>
      <c r="CM1168" s="11"/>
      <c r="CN1168" s="11"/>
      <c r="CO1168" s="11"/>
      <c r="CP1168" s="11"/>
      <c r="CQ1168" s="11"/>
      <c r="CR1168" s="11"/>
      <c r="CS1168" s="11"/>
      <c r="CT1168" s="11"/>
      <c r="CU1168" s="11"/>
      <c r="CV1168" s="11"/>
      <c r="CW1168" s="11"/>
      <c r="CX1168" s="11"/>
      <c r="CY1168" s="11"/>
      <c r="CZ1168" s="11"/>
      <c r="DA1168" s="11"/>
      <c r="DB1168" s="11"/>
      <c r="DC1168" s="11"/>
      <c r="DD1168" s="11"/>
      <c r="DE1168" s="11"/>
      <c r="DF1168" s="11"/>
      <c r="DG1168" s="11"/>
      <c r="DH1168" s="11"/>
      <c r="DI1168" s="11"/>
      <c r="DJ1168" s="11"/>
      <c r="DK1168" s="11"/>
      <c r="DL1168" s="11"/>
      <c r="DM1168" s="11"/>
      <c r="DN1168" s="11"/>
      <c r="DO1168" s="11"/>
      <c r="DP1168" s="11"/>
      <c r="DQ1168" s="11"/>
      <c r="DR1168" s="11"/>
      <c r="DS1168" s="11"/>
      <c r="DT1168" s="11"/>
      <c r="DU1168" s="11"/>
      <c r="DV1168" s="11"/>
      <c r="DW1168" s="11"/>
      <c r="DX1168" s="11"/>
      <c r="DY1168" s="11"/>
      <c r="DZ1168" s="11"/>
      <c r="EA1168" s="11"/>
      <c r="EB1168" s="11"/>
      <c r="EC1168" s="11"/>
      <c r="ED1168" s="11"/>
      <c r="EE1168" s="11"/>
      <c r="EF1168" s="11"/>
      <c r="EG1168" s="11"/>
      <c r="EH1168" s="11"/>
      <c r="EI1168" s="11"/>
      <c r="EJ1168" s="11"/>
      <c r="EK1168" s="11"/>
      <c r="EL1168" s="11"/>
      <c r="EM1168" s="11"/>
      <c r="EN1168" s="11"/>
      <c r="EO1168" s="11"/>
      <c r="EP1168" s="11"/>
      <c r="EQ1168" s="11"/>
      <c r="ER1168" s="11"/>
      <c r="ES1168" s="11"/>
      <c r="ET1168" s="11"/>
      <c r="EU1168" s="11"/>
      <c r="EV1168" s="11"/>
      <c r="EW1168" s="11"/>
      <c r="EX1168" s="11"/>
      <c r="EY1168" s="11"/>
      <c r="EZ1168" s="11"/>
      <c r="FA1168" s="11"/>
      <c r="FB1168" s="11"/>
      <c r="FC1168" s="11"/>
      <c r="FD1168" s="11"/>
      <c r="FE1168" s="11"/>
      <c r="FF1168" s="11"/>
      <c r="FG1168" s="11"/>
      <c r="FH1168" s="11"/>
      <c r="FI1168" s="11"/>
      <c r="FJ1168" s="11"/>
      <c r="FK1168" s="11"/>
      <c r="FL1168" s="11"/>
      <c r="FM1168" s="11"/>
      <c r="FN1168" s="11"/>
      <c r="FO1168" s="11"/>
      <c r="FP1168" s="11"/>
      <c r="FQ1168" s="11"/>
      <c r="FR1168" s="11"/>
      <c r="FS1168" s="11"/>
      <c r="FT1168" s="11"/>
      <c r="FU1168" s="11"/>
      <c r="FV1168" s="11"/>
      <c r="FW1168" s="11"/>
      <c r="FX1168" s="11"/>
      <c r="FY1168" s="11"/>
      <c r="FZ1168" s="11"/>
      <c r="GA1168" s="11"/>
      <c r="GB1168" s="11"/>
      <c r="GC1168" s="11"/>
      <c r="GD1168" s="11"/>
      <c r="GE1168" s="11"/>
      <c r="GF1168" s="11"/>
      <c r="GG1168" s="11"/>
      <c r="GH1168" s="11"/>
      <c r="GI1168" s="11"/>
      <c r="GJ1168" s="11"/>
      <c r="GK1168" s="11"/>
      <c r="GL1168" s="11"/>
      <c r="GM1168" s="11"/>
      <c r="GN1168" s="11"/>
      <c r="GO1168" s="11"/>
      <c r="GP1168" s="11"/>
      <c r="GQ1168" s="11"/>
      <c r="GR1168" s="11"/>
      <c r="GS1168" s="11"/>
      <c r="GT1168" s="11"/>
      <c r="GU1168" s="11"/>
      <c r="GV1168" s="11"/>
      <c r="GW1168" s="11"/>
      <c r="GX1168" s="11"/>
      <c r="GY1168" s="11"/>
      <c r="GZ1168" s="11"/>
      <c r="HA1168" s="11"/>
    </row>
    <row r="1169" spans="1:209" ht="23.25" customHeight="1" x14ac:dyDescent="0.15">
      <c r="A1169" s="11"/>
      <c r="B1169" s="11"/>
      <c r="C1169" s="1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/>
      <c r="O1169" s="11"/>
      <c r="P1169" s="11"/>
      <c r="Q1169" s="11"/>
      <c r="R1169" s="11"/>
      <c r="S1169" s="11"/>
      <c r="T1169" s="11"/>
      <c r="U1169" s="11"/>
      <c r="V1169" s="11"/>
      <c r="W1169" s="11"/>
      <c r="X1169" s="11"/>
      <c r="Y1169" s="11"/>
      <c r="Z1169" s="11"/>
      <c r="AA1169" s="11"/>
      <c r="AB1169" s="11"/>
      <c r="AC1169" s="11"/>
      <c r="AD1169" s="11"/>
      <c r="AE1169" s="11"/>
      <c r="AF1169" s="11"/>
      <c r="AG1169" s="11"/>
      <c r="AH1169" s="11"/>
      <c r="AI1169" s="11"/>
      <c r="AJ1169" s="11"/>
      <c r="AK1169" s="11"/>
      <c r="AL1169" s="11"/>
      <c r="AM1169" s="11"/>
      <c r="AN1169" s="11"/>
      <c r="AO1169" s="11"/>
      <c r="AP1169" s="11"/>
      <c r="AQ1169" s="11"/>
      <c r="AR1169" s="11"/>
      <c r="AS1169" s="11"/>
      <c r="AT1169" s="11"/>
      <c r="AU1169" s="11"/>
      <c r="AV1169" s="11"/>
      <c r="AW1169" s="11"/>
      <c r="AX1169" s="11"/>
      <c r="AY1169" s="11"/>
      <c r="AZ1169" s="11"/>
      <c r="BA1169" s="11"/>
      <c r="BB1169" s="11"/>
      <c r="BC1169" s="11"/>
      <c r="BD1169" s="11"/>
      <c r="BE1169" s="11"/>
      <c r="BF1169" s="11"/>
      <c r="BG1169" s="11"/>
      <c r="BH1169" s="11"/>
      <c r="BI1169" s="11"/>
      <c r="BJ1169" s="11"/>
      <c r="BK1169" s="11"/>
      <c r="BL1169" s="11"/>
      <c r="BM1169" s="11"/>
      <c r="BN1169" s="11"/>
      <c r="BO1169" s="11"/>
      <c r="BP1169" s="11"/>
      <c r="BQ1169" s="11"/>
      <c r="BR1169" s="11"/>
      <c r="BS1169" s="11"/>
      <c r="BT1169" s="11"/>
      <c r="BU1169" s="11"/>
      <c r="BV1169" s="11"/>
      <c r="BW1169" s="52" t="s">
        <v>247</v>
      </c>
      <c r="BX1169" s="52" t="s">
        <v>248</v>
      </c>
      <c r="BY1169" s="11"/>
      <c r="BZ1169" s="52" t="s">
        <v>311</v>
      </c>
      <c r="CA1169" s="52" t="s">
        <v>3715</v>
      </c>
      <c r="CB1169" s="52" t="s">
        <v>3716</v>
      </c>
      <c r="CC1169" s="52" t="s">
        <v>493</v>
      </c>
      <c r="CD1169" s="53">
        <v>44624</v>
      </c>
      <c r="CE1169" s="53">
        <v>44651</v>
      </c>
      <c r="CF1169" s="52">
        <v>100</v>
      </c>
      <c r="CG1169" s="54" t="s">
        <v>3717</v>
      </c>
      <c r="CH1169" s="11"/>
      <c r="CI1169" s="11"/>
      <c r="CJ1169" s="11"/>
      <c r="CK1169" s="11"/>
      <c r="CL1169" s="11"/>
      <c r="CM1169" s="11"/>
      <c r="CN1169" s="11"/>
      <c r="CO1169" s="11"/>
      <c r="CP1169" s="11"/>
      <c r="CQ1169" s="11"/>
      <c r="CR1169" s="11"/>
      <c r="CS1169" s="11"/>
      <c r="CT1169" s="11"/>
      <c r="CU1169" s="11"/>
      <c r="CV1169" s="11"/>
      <c r="CW1169" s="11"/>
      <c r="CX1169" s="11"/>
      <c r="CY1169" s="11"/>
      <c r="CZ1169" s="11"/>
      <c r="DA1169" s="11"/>
      <c r="DB1169" s="11"/>
      <c r="DC1169" s="11"/>
      <c r="DD1169" s="11"/>
      <c r="DE1169" s="11"/>
      <c r="DF1169" s="11"/>
      <c r="DG1169" s="11"/>
      <c r="DH1169" s="11"/>
      <c r="DI1169" s="11"/>
      <c r="DJ1169" s="11"/>
      <c r="DK1169" s="11"/>
      <c r="DL1169" s="11"/>
      <c r="DM1169" s="11"/>
      <c r="DN1169" s="11"/>
      <c r="DO1169" s="11"/>
      <c r="DP1169" s="11"/>
      <c r="DQ1169" s="11"/>
      <c r="DR1169" s="11"/>
      <c r="DS1169" s="11"/>
      <c r="DT1169" s="11"/>
      <c r="DU1169" s="11"/>
      <c r="DV1169" s="11"/>
      <c r="DW1169" s="11"/>
      <c r="DX1169" s="11"/>
      <c r="DY1169" s="11"/>
      <c r="DZ1169" s="11"/>
      <c r="EA1169" s="11"/>
      <c r="EB1169" s="11"/>
      <c r="EC1169" s="11"/>
      <c r="ED1169" s="11"/>
      <c r="EE1169" s="11"/>
      <c r="EF1169" s="11"/>
      <c r="EG1169" s="11"/>
      <c r="EH1169" s="11"/>
      <c r="EI1169" s="11"/>
      <c r="EJ1169" s="11"/>
      <c r="EK1169" s="11"/>
      <c r="EL1169" s="11"/>
      <c r="EM1169" s="11"/>
      <c r="EN1169" s="11"/>
      <c r="EO1169" s="11"/>
      <c r="EP1169" s="11"/>
      <c r="EQ1169" s="11"/>
      <c r="ER1169" s="11"/>
      <c r="ES1169" s="11"/>
      <c r="ET1169" s="11"/>
      <c r="EU1169" s="11"/>
      <c r="EV1169" s="11"/>
      <c r="EW1169" s="11"/>
      <c r="EX1169" s="11"/>
      <c r="EY1169" s="11"/>
      <c r="EZ1169" s="11"/>
      <c r="FA1169" s="11"/>
      <c r="FB1169" s="11"/>
      <c r="FC1169" s="11"/>
      <c r="FD1169" s="11"/>
      <c r="FE1169" s="11"/>
      <c r="FF1169" s="11"/>
      <c r="FG1169" s="11"/>
      <c r="FH1169" s="11"/>
      <c r="FI1169" s="11"/>
      <c r="FJ1169" s="11"/>
      <c r="FK1169" s="11"/>
      <c r="FL1169" s="11"/>
      <c r="FM1169" s="11"/>
      <c r="FN1169" s="11"/>
      <c r="FO1169" s="11"/>
      <c r="FP1169" s="11"/>
      <c r="FQ1169" s="11"/>
      <c r="FR1169" s="11"/>
      <c r="FS1169" s="11"/>
      <c r="FT1169" s="11"/>
      <c r="FU1169" s="11"/>
      <c r="FV1169" s="11"/>
      <c r="FW1169" s="11"/>
      <c r="FX1169" s="11"/>
      <c r="FY1169" s="11"/>
      <c r="FZ1169" s="11"/>
      <c r="GA1169" s="11"/>
      <c r="GB1169" s="11"/>
      <c r="GC1169" s="11"/>
      <c r="GD1169" s="11"/>
      <c r="GE1169" s="11"/>
      <c r="GF1169" s="11"/>
      <c r="GG1169" s="11"/>
      <c r="GH1169" s="11"/>
      <c r="GI1169" s="11"/>
      <c r="GJ1169" s="11"/>
      <c r="GK1169" s="11"/>
      <c r="GL1169" s="11"/>
      <c r="GM1169" s="11"/>
      <c r="GN1169" s="11"/>
      <c r="GO1169" s="11"/>
      <c r="GP1169" s="11"/>
      <c r="GQ1169" s="11"/>
      <c r="GR1169" s="11"/>
      <c r="GS1169" s="11"/>
      <c r="GT1169" s="11"/>
      <c r="GU1169" s="11"/>
      <c r="GV1169" s="11"/>
      <c r="GW1169" s="11"/>
      <c r="GX1169" s="11"/>
      <c r="GY1169" s="11"/>
      <c r="GZ1169" s="11"/>
      <c r="HA1169" s="11"/>
    </row>
    <row r="1170" spans="1:209" ht="23.25" customHeight="1" x14ac:dyDescent="0.15">
      <c r="A1170" s="11"/>
      <c r="B1170" s="11"/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/>
      <c r="O1170" s="11"/>
      <c r="P1170" s="11"/>
      <c r="Q1170" s="11"/>
      <c r="R1170" s="11"/>
      <c r="S1170" s="11"/>
      <c r="T1170" s="11"/>
      <c r="U1170" s="11"/>
      <c r="V1170" s="11"/>
      <c r="W1170" s="11"/>
      <c r="X1170" s="11"/>
      <c r="Y1170" s="11"/>
      <c r="Z1170" s="11"/>
      <c r="AA1170" s="11"/>
      <c r="AB1170" s="11"/>
      <c r="AC1170" s="11"/>
      <c r="AD1170" s="11"/>
      <c r="AE1170" s="11"/>
      <c r="AF1170" s="11"/>
      <c r="AG1170" s="11"/>
      <c r="AH1170" s="11"/>
      <c r="AI1170" s="11"/>
      <c r="AJ1170" s="11"/>
      <c r="AK1170" s="11"/>
      <c r="AL1170" s="11"/>
      <c r="AM1170" s="11"/>
      <c r="AN1170" s="11"/>
      <c r="AO1170" s="11"/>
      <c r="AP1170" s="11"/>
      <c r="AQ1170" s="11"/>
      <c r="AR1170" s="11"/>
      <c r="AS1170" s="11"/>
      <c r="AT1170" s="11"/>
      <c r="AU1170" s="11"/>
      <c r="AV1170" s="11"/>
      <c r="AW1170" s="11"/>
      <c r="AX1170" s="11"/>
      <c r="AY1170" s="11"/>
      <c r="AZ1170" s="11"/>
      <c r="BA1170" s="11"/>
      <c r="BB1170" s="11"/>
      <c r="BC1170" s="11"/>
      <c r="BD1170" s="11"/>
      <c r="BE1170" s="11"/>
      <c r="BF1170" s="11"/>
      <c r="BG1170" s="11"/>
      <c r="BH1170" s="11"/>
      <c r="BI1170" s="11"/>
      <c r="BJ1170" s="11"/>
      <c r="BK1170" s="11"/>
      <c r="BL1170" s="11"/>
      <c r="BM1170" s="11"/>
      <c r="BN1170" s="11"/>
      <c r="BO1170" s="11"/>
      <c r="BP1170" s="11"/>
      <c r="BQ1170" s="11"/>
      <c r="BR1170" s="11"/>
      <c r="BS1170" s="11"/>
      <c r="BT1170" s="11"/>
      <c r="BU1170" s="11"/>
      <c r="BV1170" s="11"/>
      <c r="BW1170" s="52" t="s">
        <v>428</v>
      </c>
      <c r="BX1170" s="52" t="s">
        <v>429</v>
      </c>
      <c r="BY1170" s="11"/>
      <c r="BZ1170" s="52" t="s">
        <v>166</v>
      </c>
      <c r="CA1170" s="52" t="s">
        <v>3718</v>
      </c>
      <c r="CB1170" s="52" t="s">
        <v>3719</v>
      </c>
      <c r="CC1170" s="52" t="s">
        <v>624</v>
      </c>
      <c r="CD1170" s="53">
        <v>43947</v>
      </c>
      <c r="CE1170" s="53">
        <v>43977</v>
      </c>
      <c r="CF1170" s="52">
        <v>90</v>
      </c>
      <c r="CG1170" s="54" t="s">
        <v>3720</v>
      </c>
      <c r="CH1170" s="11"/>
      <c r="CI1170" s="11"/>
      <c r="CJ1170" s="11"/>
      <c r="CK1170" s="11"/>
      <c r="CL1170" s="11"/>
      <c r="CM1170" s="11"/>
      <c r="CN1170" s="11"/>
      <c r="CO1170" s="11"/>
      <c r="CP1170" s="11"/>
      <c r="CQ1170" s="11"/>
      <c r="CR1170" s="11"/>
      <c r="CS1170" s="11"/>
      <c r="CT1170" s="11"/>
      <c r="CU1170" s="11"/>
      <c r="CV1170" s="11"/>
      <c r="CW1170" s="11"/>
      <c r="CX1170" s="11"/>
      <c r="CY1170" s="11"/>
      <c r="CZ1170" s="11"/>
      <c r="DA1170" s="11"/>
      <c r="DB1170" s="11"/>
      <c r="DC1170" s="11"/>
      <c r="DD1170" s="11"/>
      <c r="DE1170" s="11"/>
      <c r="DF1170" s="11"/>
      <c r="DG1170" s="11"/>
      <c r="DH1170" s="11"/>
      <c r="DI1170" s="11"/>
      <c r="DJ1170" s="11"/>
      <c r="DK1170" s="11"/>
      <c r="DL1170" s="11"/>
      <c r="DM1170" s="11"/>
      <c r="DN1170" s="11"/>
      <c r="DO1170" s="11"/>
      <c r="DP1170" s="11"/>
      <c r="DQ1170" s="11"/>
      <c r="DR1170" s="11"/>
      <c r="DS1170" s="11"/>
      <c r="DT1170" s="11"/>
      <c r="DU1170" s="11"/>
      <c r="DV1170" s="11"/>
      <c r="DW1170" s="11"/>
      <c r="DX1170" s="11"/>
      <c r="DY1170" s="11"/>
      <c r="DZ1170" s="11"/>
      <c r="EA1170" s="11"/>
      <c r="EB1170" s="11"/>
      <c r="EC1170" s="11"/>
      <c r="ED1170" s="11"/>
      <c r="EE1170" s="11"/>
      <c r="EF1170" s="11"/>
      <c r="EG1170" s="11"/>
      <c r="EH1170" s="11"/>
      <c r="EI1170" s="11"/>
      <c r="EJ1170" s="11"/>
      <c r="EK1170" s="11"/>
      <c r="EL1170" s="11"/>
      <c r="EM1170" s="11"/>
      <c r="EN1170" s="11"/>
      <c r="EO1170" s="11"/>
      <c r="EP1170" s="11"/>
      <c r="EQ1170" s="11"/>
      <c r="ER1170" s="11"/>
      <c r="ES1170" s="11"/>
      <c r="ET1170" s="11"/>
      <c r="EU1170" s="11"/>
      <c r="EV1170" s="11"/>
      <c r="EW1170" s="11"/>
      <c r="EX1170" s="11"/>
      <c r="EY1170" s="11"/>
      <c r="EZ1170" s="11"/>
      <c r="FA1170" s="11"/>
      <c r="FB1170" s="11"/>
      <c r="FC1170" s="11"/>
      <c r="FD1170" s="11"/>
      <c r="FE1170" s="11"/>
      <c r="FF1170" s="11"/>
      <c r="FG1170" s="11"/>
      <c r="FH1170" s="11"/>
      <c r="FI1170" s="11"/>
      <c r="FJ1170" s="11"/>
      <c r="FK1170" s="11"/>
      <c r="FL1170" s="11"/>
      <c r="FM1170" s="11"/>
      <c r="FN1170" s="11"/>
      <c r="FO1170" s="11"/>
      <c r="FP1170" s="11"/>
      <c r="FQ1170" s="11"/>
      <c r="FR1170" s="11"/>
      <c r="FS1170" s="11"/>
      <c r="FT1170" s="11"/>
      <c r="FU1170" s="11"/>
      <c r="FV1170" s="11"/>
      <c r="FW1170" s="11"/>
      <c r="FX1170" s="11"/>
      <c r="FY1170" s="11"/>
      <c r="FZ1170" s="11"/>
      <c r="GA1170" s="11"/>
      <c r="GB1170" s="11"/>
      <c r="GC1170" s="11"/>
      <c r="GD1170" s="11"/>
      <c r="GE1170" s="11"/>
      <c r="GF1170" s="11"/>
      <c r="GG1170" s="11"/>
      <c r="GH1170" s="11"/>
      <c r="GI1170" s="11"/>
      <c r="GJ1170" s="11"/>
      <c r="GK1170" s="11"/>
      <c r="GL1170" s="11"/>
      <c r="GM1170" s="11"/>
      <c r="GN1170" s="11"/>
      <c r="GO1170" s="11"/>
      <c r="GP1170" s="11"/>
      <c r="GQ1170" s="11"/>
      <c r="GR1170" s="11"/>
      <c r="GS1170" s="11"/>
      <c r="GT1170" s="11"/>
      <c r="GU1170" s="11"/>
      <c r="GV1170" s="11"/>
      <c r="GW1170" s="11"/>
      <c r="GX1170" s="11"/>
      <c r="GY1170" s="11"/>
      <c r="GZ1170" s="11"/>
      <c r="HA1170" s="11"/>
    </row>
    <row r="1171" spans="1:209" ht="23.25" customHeight="1" x14ac:dyDescent="0.15">
      <c r="A1171" s="11"/>
      <c r="B1171" s="11"/>
      <c r="C1171" s="1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/>
      <c r="O1171" s="11"/>
      <c r="P1171" s="11"/>
      <c r="Q1171" s="11"/>
      <c r="R1171" s="11"/>
      <c r="S1171" s="11"/>
      <c r="T1171" s="11"/>
      <c r="U1171" s="11"/>
      <c r="V1171" s="11"/>
      <c r="W1171" s="11"/>
      <c r="X1171" s="11"/>
      <c r="Y1171" s="11"/>
      <c r="Z1171" s="11"/>
      <c r="AA1171" s="11"/>
      <c r="AB1171" s="11"/>
      <c r="AC1171" s="11"/>
      <c r="AD1171" s="11"/>
      <c r="AE1171" s="11"/>
      <c r="AF1171" s="11"/>
      <c r="AG1171" s="11"/>
      <c r="AH1171" s="11"/>
      <c r="AI1171" s="11"/>
      <c r="AJ1171" s="11"/>
      <c r="AK1171" s="11"/>
      <c r="AL1171" s="11"/>
      <c r="AM1171" s="11"/>
      <c r="AN1171" s="11"/>
      <c r="AO1171" s="11"/>
      <c r="AP1171" s="11"/>
      <c r="AQ1171" s="11"/>
      <c r="AR1171" s="11"/>
      <c r="AS1171" s="11"/>
      <c r="AT1171" s="11"/>
      <c r="AU1171" s="11"/>
      <c r="AV1171" s="11"/>
      <c r="AW1171" s="11"/>
      <c r="AX1171" s="11"/>
      <c r="AY1171" s="11"/>
      <c r="AZ1171" s="11"/>
      <c r="BA1171" s="11"/>
      <c r="BB1171" s="11"/>
      <c r="BC1171" s="11"/>
      <c r="BD1171" s="11"/>
      <c r="BE1171" s="11"/>
      <c r="BF1171" s="11"/>
      <c r="BG1171" s="11"/>
      <c r="BH1171" s="11"/>
      <c r="BI1171" s="11"/>
      <c r="BJ1171" s="11"/>
      <c r="BK1171" s="11"/>
      <c r="BL1171" s="11"/>
      <c r="BM1171" s="11"/>
      <c r="BN1171" s="11"/>
      <c r="BO1171" s="11"/>
      <c r="BP1171" s="11"/>
      <c r="BQ1171" s="11"/>
      <c r="BR1171" s="11"/>
      <c r="BS1171" s="11"/>
      <c r="BT1171" s="11"/>
      <c r="BU1171" s="11"/>
      <c r="BV1171" s="11"/>
      <c r="BW1171" s="52" t="s">
        <v>247</v>
      </c>
      <c r="BX1171" s="52" t="s">
        <v>248</v>
      </c>
      <c r="BY1171" s="11"/>
      <c r="BZ1171" s="52" t="s">
        <v>311</v>
      </c>
      <c r="CA1171" s="52" t="s">
        <v>3721</v>
      </c>
      <c r="CB1171" s="52" t="s">
        <v>3722</v>
      </c>
      <c r="CC1171" s="52" t="s">
        <v>493</v>
      </c>
      <c r="CD1171" s="53">
        <v>44625</v>
      </c>
      <c r="CE1171" s="53">
        <v>44651</v>
      </c>
      <c r="CF1171" s="52">
        <v>98</v>
      </c>
      <c r="CG1171" s="54" t="s">
        <v>3723</v>
      </c>
      <c r="CH1171" s="11"/>
      <c r="CI1171" s="11"/>
      <c r="CJ1171" s="11"/>
      <c r="CK1171" s="11"/>
      <c r="CL1171" s="11"/>
      <c r="CM1171" s="11"/>
      <c r="CN1171" s="11"/>
      <c r="CO1171" s="11"/>
      <c r="CP1171" s="11"/>
      <c r="CQ1171" s="11"/>
      <c r="CR1171" s="11"/>
      <c r="CS1171" s="11"/>
      <c r="CT1171" s="11"/>
      <c r="CU1171" s="11"/>
      <c r="CV1171" s="11"/>
      <c r="CW1171" s="11"/>
      <c r="CX1171" s="11"/>
      <c r="CY1171" s="11"/>
      <c r="CZ1171" s="11"/>
      <c r="DA1171" s="11"/>
      <c r="DB1171" s="11"/>
      <c r="DC1171" s="11"/>
      <c r="DD1171" s="11"/>
      <c r="DE1171" s="11"/>
      <c r="DF1171" s="11"/>
      <c r="DG1171" s="11"/>
      <c r="DH1171" s="11"/>
      <c r="DI1171" s="11"/>
      <c r="DJ1171" s="11"/>
      <c r="DK1171" s="11"/>
      <c r="DL1171" s="11"/>
      <c r="DM1171" s="11"/>
      <c r="DN1171" s="11"/>
      <c r="DO1171" s="11"/>
      <c r="DP1171" s="11"/>
      <c r="DQ1171" s="11"/>
      <c r="DR1171" s="11"/>
      <c r="DS1171" s="11"/>
      <c r="DT1171" s="11"/>
      <c r="DU1171" s="11"/>
      <c r="DV1171" s="11"/>
      <c r="DW1171" s="11"/>
      <c r="DX1171" s="11"/>
      <c r="DY1171" s="11"/>
      <c r="DZ1171" s="11"/>
      <c r="EA1171" s="11"/>
      <c r="EB1171" s="11"/>
      <c r="EC1171" s="11"/>
      <c r="ED1171" s="11"/>
      <c r="EE1171" s="11"/>
      <c r="EF1171" s="11"/>
      <c r="EG1171" s="11"/>
      <c r="EH1171" s="11"/>
      <c r="EI1171" s="11"/>
      <c r="EJ1171" s="11"/>
      <c r="EK1171" s="11"/>
      <c r="EL1171" s="11"/>
      <c r="EM1171" s="11"/>
      <c r="EN1171" s="11"/>
      <c r="EO1171" s="11"/>
      <c r="EP1171" s="11"/>
      <c r="EQ1171" s="11"/>
      <c r="ER1171" s="11"/>
      <c r="ES1171" s="11"/>
      <c r="ET1171" s="11"/>
      <c r="EU1171" s="11"/>
      <c r="EV1171" s="11"/>
      <c r="EW1171" s="11"/>
      <c r="EX1171" s="11"/>
      <c r="EY1171" s="11"/>
      <c r="EZ1171" s="11"/>
      <c r="FA1171" s="11"/>
      <c r="FB1171" s="11"/>
      <c r="FC1171" s="11"/>
      <c r="FD1171" s="11"/>
      <c r="FE1171" s="11"/>
      <c r="FF1171" s="11"/>
      <c r="FG1171" s="11"/>
      <c r="FH1171" s="11"/>
      <c r="FI1171" s="11"/>
      <c r="FJ1171" s="11"/>
      <c r="FK1171" s="11"/>
      <c r="FL1171" s="11"/>
      <c r="FM1171" s="11"/>
      <c r="FN1171" s="11"/>
      <c r="FO1171" s="11"/>
      <c r="FP1171" s="11"/>
      <c r="FQ1171" s="11"/>
      <c r="FR1171" s="11"/>
      <c r="FS1171" s="11"/>
      <c r="FT1171" s="11"/>
      <c r="FU1171" s="11"/>
      <c r="FV1171" s="11"/>
      <c r="FW1171" s="11"/>
      <c r="FX1171" s="11"/>
      <c r="FY1171" s="11"/>
      <c r="FZ1171" s="11"/>
      <c r="GA1171" s="11"/>
      <c r="GB1171" s="11"/>
      <c r="GC1171" s="11"/>
      <c r="GD1171" s="11"/>
      <c r="GE1171" s="11"/>
      <c r="GF1171" s="11"/>
      <c r="GG1171" s="11"/>
      <c r="GH1171" s="11"/>
      <c r="GI1171" s="11"/>
      <c r="GJ1171" s="11"/>
      <c r="GK1171" s="11"/>
      <c r="GL1171" s="11"/>
      <c r="GM1171" s="11"/>
      <c r="GN1171" s="11"/>
      <c r="GO1171" s="11"/>
      <c r="GP1171" s="11"/>
      <c r="GQ1171" s="11"/>
      <c r="GR1171" s="11"/>
      <c r="GS1171" s="11"/>
      <c r="GT1171" s="11"/>
      <c r="GU1171" s="11"/>
      <c r="GV1171" s="11"/>
      <c r="GW1171" s="11"/>
      <c r="GX1171" s="11"/>
      <c r="GY1171" s="11"/>
      <c r="GZ1171" s="11"/>
      <c r="HA1171" s="11"/>
    </row>
    <row r="1172" spans="1:209" ht="23.25" customHeight="1" x14ac:dyDescent="0.15">
      <c r="A1172" s="11"/>
      <c r="B1172" s="11"/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/>
      <c r="O1172" s="11"/>
      <c r="P1172" s="11"/>
      <c r="Q1172" s="11"/>
      <c r="R1172" s="11"/>
      <c r="S1172" s="11"/>
      <c r="T1172" s="11"/>
      <c r="U1172" s="11"/>
      <c r="V1172" s="11"/>
      <c r="W1172" s="11"/>
      <c r="X1172" s="11"/>
      <c r="Y1172" s="11"/>
      <c r="Z1172" s="11"/>
      <c r="AA1172" s="11"/>
      <c r="AB1172" s="11"/>
      <c r="AC1172" s="11"/>
      <c r="AD1172" s="11"/>
      <c r="AE1172" s="11"/>
      <c r="AF1172" s="11"/>
      <c r="AG1172" s="11"/>
      <c r="AH1172" s="11"/>
      <c r="AI1172" s="11"/>
      <c r="AJ1172" s="11"/>
      <c r="AK1172" s="11"/>
      <c r="AL1172" s="11"/>
      <c r="AM1172" s="11"/>
      <c r="AN1172" s="11"/>
      <c r="AO1172" s="11"/>
      <c r="AP1172" s="11"/>
      <c r="AQ1172" s="11"/>
      <c r="AR1172" s="11"/>
      <c r="AS1172" s="11"/>
      <c r="AT1172" s="11"/>
      <c r="AU1172" s="11"/>
      <c r="AV1172" s="11"/>
      <c r="AW1172" s="11"/>
      <c r="AX1172" s="11"/>
      <c r="AY1172" s="11"/>
      <c r="AZ1172" s="11"/>
      <c r="BA1172" s="11"/>
      <c r="BB1172" s="11"/>
      <c r="BC1172" s="11"/>
      <c r="BD1172" s="11"/>
      <c r="BE1172" s="11"/>
      <c r="BF1172" s="11"/>
      <c r="BG1172" s="11"/>
      <c r="BH1172" s="11"/>
      <c r="BI1172" s="11"/>
      <c r="BJ1172" s="11"/>
      <c r="BK1172" s="11"/>
      <c r="BL1172" s="11"/>
      <c r="BM1172" s="11"/>
      <c r="BN1172" s="11"/>
      <c r="BO1172" s="11"/>
      <c r="BP1172" s="11"/>
      <c r="BQ1172" s="11"/>
      <c r="BR1172" s="11"/>
      <c r="BS1172" s="11"/>
      <c r="BT1172" s="11"/>
      <c r="BU1172" s="11"/>
      <c r="BV1172" s="11"/>
      <c r="BW1172" s="52" t="s">
        <v>428</v>
      </c>
      <c r="BX1172" s="52" t="s">
        <v>429</v>
      </c>
      <c r="BY1172" s="11"/>
      <c r="BZ1172" s="52" t="s">
        <v>166</v>
      </c>
      <c r="CA1172" s="52" t="s">
        <v>3724</v>
      </c>
      <c r="CB1172" s="52" t="s">
        <v>3725</v>
      </c>
      <c r="CC1172" s="52" t="s">
        <v>442</v>
      </c>
      <c r="CD1172" s="53">
        <v>43872</v>
      </c>
      <c r="CE1172" s="53">
        <v>43962</v>
      </c>
      <c r="CF1172" s="52">
        <v>89</v>
      </c>
      <c r="CG1172" s="54" t="s">
        <v>3726</v>
      </c>
      <c r="CH1172" s="11"/>
      <c r="CI1172" s="11"/>
      <c r="CJ1172" s="11"/>
      <c r="CK1172" s="11"/>
      <c r="CL1172" s="11"/>
      <c r="CM1172" s="11"/>
      <c r="CN1172" s="11"/>
      <c r="CO1172" s="11"/>
      <c r="CP1172" s="11"/>
      <c r="CQ1172" s="11"/>
      <c r="CR1172" s="11"/>
      <c r="CS1172" s="11"/>
      <c r="CT1172" s="11"/>
      <c r="CU1172" s="11"/>
      <c r="CV1172" s="11"/>
      <c r="CW1172" s="11"/>
      <c r="CX1172" s="11"/>
      <c r="CY1172" s="11"/>
      <c r="CZ1172" s="11"/>
      <c r="DA1172" s="11"/>
      <c r="DB1172" s="11"/>
      <c r="DC1172" s="11"/>
      <c r="DD1172" s="11"/>
      <c r="DE1172" s="11"/>
      <c r="DF1172" s="11"/>
      <c r="DG1172" s="11"/>
      <c r="DH1172" s="11"/>
      <c r="DI1172" s="11"/>
      <c r="DJ1172" s="11"/>
      <c r="DK1172" s="11"/>
      <c r="DL1172" s="11"/>
      <c r="DM1172" s="11"/>
      <c r="DN1172" s="11"/>
      <c r="DO1172" s="11"/>
      <c r="DP1172" s="11"/>
      <c r="DQ1172" s="11"/>
      <c r="DR1172" s="11"/>
      <c r="DS1172" s="11"/>
      <c r="DT1172" s="11"/>
      <c r="DU1172" s="11"/>
      <c r="DV1172" s="11"/>
      <c r="DW1172" s="11"/>
      <c r="DX1172" s="11"/>
      <c r="DY1172" s="11"/>
      <c r="DZ1172" s="11"/>
      <c r="EA1172" s="11"/>
      <c r="EB1172" s="11"/>
      <c r="EC1172" s="11"/>
      <c r="ED1172" s="11"/>
      <c r="EE1172" s="11"/>
      <c r="EF1172" s="11"/>
      <c r="EG1172" s="11"/>
      <c r="EH1172" s="11"/>
      <c r="EI1172" s="11"/>
      <c r="EJ1172" s="11"/>
      <c r="EK1172" s="11"/>
      <c r="EL1172" s="11"/>
      <c r="EM1172" s="11"/>
      <c r="EN1172" s="11"/>
      <c r="EO1172" s="11"/>
      <c r="EP1172" s="11"/>
      <c r="EQ1172" s="11"/>
      <c r="ER1172" s="11"/>
      <c r="ES1172" s="11"/>
      <c r="ET1172" s="11"/>
      <c r="EU1172" s="11"/>
      <c r="EV1172" s="11"/>
      <c r="EW1172" s="11"/>
      <c r="EX1172" s="11"/>
      <c r="EY1172" s="11"/>
      <c r="EZ1172" s="11"/>
      <c r="FA1172" s="11"/>
      <c r="FB1172" s="11"/>
      <c r="FC1172" s="11"/>
      <c r="FD1172" s="11"/>
      <c r="FE1172" s="11"/>
      <c r="FF1172" s="11"/>
      <c r="FG1172" s="11"/>
      <c r="FH1172" s="11"/>
      <c r="FI1172" s="11"/>
      <c r="FJ1172" s="11"/>
      <c r="FK1172" s="11"/>
      <c r="FL1172" s="11"/>
      <c r="FM1172" s="11"/>
      <c r="FN1172" s="11"/>
      <c r="FO1172" s="11"/>
      <c r="FP1172" s="11"/>
      <c r="FQ1172" s="11"/>
      <c r="FR1172" s="11"/>
      <c r="FS1172" s="11"/>
      <c r="FT1172" s="11"/>
      <c r="FU1172" s="11"/>
      <c r="FV1172" s="11"/>
      <c r="FW1172" s="11"/>
      <c r="FX1172" s="11"/>
      <c r="FY1172" s="11"/>
      <c r="FZ1172" s="11"/>
      <c r="GA1172" s="11"/>
      <c r="GB1172" s="11"/>
      <c r="GC1172" s="11"/>
      <c r="GD1172" s="11"/>
      <c r="GE1172" s="11"/>
      <c r="GF1172" s="11"/>
      <c r="GG1172" s="11"/>
      <c r="GH1172" s="11"/>
      <c r="GI1172" s="11"/>
      <c r="GJ1172" s="11"/>
      <c r="GK1172" s="11"/>
      <c r="GL1172" s="11"/>
      <c r="GM1172" s="11"/>
      <c r="GN1172" s="11"/>
      <c r="GO1172" s="11"/>
      <c r="GP1172" s="11"/>
      <c r="GQ1172" s="11"/>
      <c r="GR1172" s="11"/>
      <c r="GS1172" s="11"/>
      <c r="GT1172" s="11"/>
      <c r="GU1172" s="11"/>
      <c r="GV1172" s="11"/>
      <c r="GW1172" s="11"/>
      <c r="GX1172" s="11"/>
      <c r="GY1172" s="11"/>
      <c r="GZ1172" s="11"/>
      <c r="HA1172" s="11"/>
    </row>
    <row r="1173" spans="1:209" ht="23.25" customHeight="1" x14ac:dyDescent="0.15">
      <c r="A1173" s="11"/>
      <c r="B1173" s="11"/>
      <c r="C1173" s="11"/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/>
      <c r="O1173" s="11"/>
      <c r="P1173" s="11"/>
      <c r="Q1173" s="11"/>
      <c r="R1173" s="11"/>
      <c r="S1173" s="11"/>
      <c r="T1173" s="11"/>
      <c r="U1173" s="11"/>
      <c r="V1173" s="11"/>
      <c r="W1173" s="11"/>
      <c r="X1173" s="11"/>
      <c r="Y1173" s="11"/>
      <c r="Z1173" s="11"/>
      <c r="AA1173" s="11"/>
      <c r="AB1173" s="11"/>
      <c r="AC1173" s="11"/>
      <c r="AD1173" s="11"/>
      <c r="AE1173" s="11"/>
      <c r="AF1173" s="11"/>
      <c r="AG1173" s="11"/>
      <c r="AH1173" s="11"/>
      <c r="AI1173" s="11"/>
      <c r="AJ1173" s="11"/>
      <c r="AK1173" s="11"/>
      <c r="AL1173" s="11"/>
      <c r="AM1173" s="11"/>
      <c r="AN1173" s="11"/>
      <c r="AO1173" s="11"/>
      <c r="AP1173" s="11"/>
      <c r="AQ1173" s="11"/>
      <c r="AR1173" s="11"/>
      <c r="AS1173" s="11"/>
      <c r="AT1173" s="11"/>
      <c r="AU1173" s="11"/>
      <c r="AV1173" s="11"/>
      <c r="AW1173" s="11"/>
      <c r="AX1173" s="11"/>
      <c r="AY1173" s="11"/>
      <c r="AZ1173" s="11"/>
      <c r="BA1173" s="11"/>
      <c r="BB1173" s="11"/>
      <c r="BC1173" s="11"/>
      <c r="BD1173" s="11"/>
      <c r="BE1173" s="11"/>
      <c r="BF1173" s="11"/>
      <c r="BG1173" s="11"/>
      <c r="BH1173" s="11"/>
      <c r="BI1173" s="11"/>
      <c r="BJ1173" s="11"/>
      <c r="BK1173" s="11"/>
      <c r="BL1173" s="11"/>
      <c r="BM1173" s="11"/>
      <c r="BN1173" s="11"/>
      <c r="BO1173" s="11"/>
      <c r="BP1173" s="11"/>
      <c r="BQ1173" s="11"/>
      <c r="BR1173" s="11"/>
      <c r="BS1173" s="11"/>
      <c r="BT1173" s="11"/>
      <c r="BU1173" s="11"/>
      <c r="BV1173" s="11"/>
      <c r="BW1173" s="52" t="s">
        <v>428</v>
      </c>
      <c r="BX1173" s="52" t="s">
        <v>429</v>
      </c>
      <c r="BY1173" s="11"/>
      <c r="BZ1173" s="52" t="s">
        <v>166</v>
      </c>
      <c r="CA1173" s="52" t="s">
        <v>3727</v>
      </c>
      <c r="CB1173" s="52" t="s">
        <v>3725</v>
      </c>
      <c r="CC1173" s="52" t="s">
        <v>318</v>
      </c>
      <c r="CD1173" s="53">
        <v>43889</v>
      </c>
      <c r="CE1173" s="53">
        <v>43952</v>
      </c>
      <c r="CF1173" s="52">
        <v>90</v>
      </c>
      <c r="CG1173" s="54" t="s">
        <v>3728</v>
      </c>
      <c r="CH1173" s="11"/>
      <c r="CI1173" s="11"/>
      <c r="CJ1173" s="11"/>
      <c r="CK1173" s="11"/>
      <c r="CL1173" s="11"/>
      <c r="CM1173" s="11"/>
      <c r="CN1173" s="11"/>
      <c r="CO1173" s="11"/>
      <c r="CP1173" s="11"/>
      <c r="CQ1173" s="11"/>
      <c r="CR1173" s="11"/>
      <c r="CS1173" s="11"/>
      <c r="CT1173" s="11"/>
      <c r="CU1173" s="11"/>
      <c r="CV1173" s="11"/>
      <c r="CW1173" s="11"/>
      <c r="CX1173" s="11"/>
      <c r="CY1173" s="11"/>
      <c r="CZ1173" s="11"/>
      <c r="DA1173" s="11"/>
      <c r="DB1173" s="11"/>
      <c r="DC1173" s="11"/>
      <c r="DD1173" s="11"/>
      <c r="DE1173" s="11"/>
      <c r="DF1173" s="11"/>
      <c r="DG1173" s="11"/>
      <c r="DH1173" s="11"/>
      <c r="DI1173" s="11"/>
      <c r="DJ1173" s="11"/>
      <c r="DK1173" s="11"/>
      <c r="DL1173" s="11"/>
      <c r="DM1173" s="11"/>
      <c r="DN1173" s="11"/>
      <c r="DO1173" s="11"/>
      <c r="DP1173" s="11"/>
      <c r="DQ1173" s="11"/>
      <c r="DR1173" s="11"/>
      <c r="DS1173" s="11"/>
      <c r="DT1173" s="11"/>
      <c r="DU1173" s="11"/>
      <c r="DV1173" s="11"/>
      <c r="DW1173" s="11"/>
      <c r="DX1173" s="11"/>
      <c r="DY1173" s="11"/>
      <c r="DZ1173" s="11"/>
      <c r="EA1173" s="11"/>
      <c r="EB1173" s="11"/>
      <c r="EC1173" s="11"/>
      <c r="ED1173" s="11"/>
      <c r="EE1173" s="11"/>
      <c r="EF1173" s="11"/>
      <c r="EG1173" s="11"/>
      <c r="EH1173" s="11"/>
      <c r="EI1173" s="11"/>
      <c r="EJ1173" s="11"/>
      <c r="EK1173" s="11"/>
      <c r="EL1173" s="11"/>
      <c r="EM1173" s="11"/>
      <c r="EN1173" s="11"/>
      <c r="EO1173" s="11"/>
      <c r="EP1173" s="11"/>
      <c r="EQ1173" s="11"/>
      <c r="ER1173" s="11"/>
      <c r="ES1173" s="11"/>
      <c r="ET1173" s="11"/>
      <c r="EU1173" s="11"/>
      <c r="EV1173" s="11"/>
      <c r="EW1173" s="11"/>
      <c r="EX1173" s="11"/>
      <c r="EY1173" s="11"/>
      <c r="EZ1173" s="11"/>
      <c r="FA1173" s="11"/>
      <c r="FB1173" s="11"/>
      <c r="FC1173" s="11"/>
      <c r="FD1173" s="11"/>
      <c r="FE1173" s="11"/>
      <c r="FF1173" s="11"/>
      <c r="FG1173" s="11"/>
      <c r="FH1173" s="11"/>
      <c r="FI1173" s="11"/>
      <c r="FJ1173" s="11"/>
      <c r="FK1173" s="11"/>
      <c r="FL1173" s="11"/>
      <c r="FM1173" s="11"/>
      <c r="FN1173" s="11"/>
      <c r="FO1173" s="11"/>
      <c r="FP1173" s="11"/>
      <c r="FQ1173" s="11"/>
      <c r="FR1173" s="11"/>
      <c r="FS1173" s="11"/>
      <c r="FT1173" s="11"/>
      <c r="FU1173" s="11"/>
      <c r="FV1173" s="11"/>
      <c r="FW1173" s="11"/>
      <c r="FX1173" s="11"/>
      <c r="FY1173" s="11"/>
      <c r="FZ1173" s="11"/>
      <c r="GA1173" s="11"/>
      <c r="GB1173" s="11"/>
      <c r="GC1173" s="11"/>
      <c r="GD1173" s="11"/>
      <c r="GE1173" s="11"/>
      <c r="GF1173" s="11"/>
      <c r="GG1173" s="11"/>
      <c r="GH1173" s="11"/>
      <c r="GI1173" s="11"/>
      <c r="GJ1173" s="11"/>
      <c r="GK1173" s="11"/>
      <c r="GL1173" s="11"/>
      <c r="GM1173" s="11"/>
      <c r="GN1173" s="11"/>
      <c r="GO1173" s="11"/>
      <c r="GP1173" s="11"/>
      <c r="GQ1173" s="11"/>
      <c r="GR1173" s="11"/>
      <c r="GS1173" s="11"/>
      <c r="GT1173" s="11"/>
      <c r="GU1173" s="11"/>
      <c r="GV1173" s="11"/>
      <c r="GW1173" s="11"/>
      <c r="GX1173" s="11"/>
      <c r="GY1173" s="11"/>
      <c r="GZ1173" s="11"/>
      <c r="HA1173" s="11"/>
    </row>
    <row r="1174" spans="1:209" ht="23.25" customHeight="1" x14ac:dyDescent="0.15">
      <c r="A1174" s="11"/>
      <c r="B1174" s="11"/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/>
      <c r="R1174" s="11"/>
      <c r="S1174" s="11"/>
      <c r="T1174" s="11"/>
      <c r="U1174" s="11"/>
      <c r="V1174" s="11"/>
      <c r="W1174" s="11"/>
      <c r="X1174" s="11"/>
      <c r="Y1174" s="11"/>
      <c r="Z1174" s="11"/>
      <c r="AA1174" s="11"/>
      <c r="AB1174" s="11"/>
      <c r="AC1174" s="11"/>
      <c r="AD1174" s="11"/>
      <c r="AE1174" s="11"/>
      <c r="AF1174" s="11"/>
      <c r="AG1174" s="11"/>
      <c r="AH1174" s="11"/>
      <c r="AI1174" s="11"/>
      <c r="AJ1174" s="11"/>
      <c r="AK1174" s="11"/>
      <c r="AL1174" s="11"/>
      <c r="AM1174" s="11"/>
      <c r="AN1174" s="11"/>
      <c r="AO1174" s="11"/>
      <c r="AP1174" s="11"/>
      <c r="AQ1174" s="11"/>
      <c r="AR1174" s="11"/>
      <c r="AS1174" s="11"/>
      <c r="AT1174" s="11"/>
      <c r="AU1174" s="11"/>
      <c r="AV1174" s="11"/>
      <c r="AW1174" s="11"/>
      <c r="AX1174" s="11"/>
      <c r="AY1174" s="11"/>
      <c r="AZ1174" s="11"/>
      <c r="BA1174" s="11"/>
      <c r="BB1174" s="11"/>
      <c r="BC1174" s="11"/>
      <c r="BD1174" s="11"/>
      <c r="BE1174" s="11"/>
      <c r="BF1174" s="11"/>
      <c r="BG1174" s="11"/>
      <c r="BH1174" s="11"/>
      <c r="BI1174" s="11"/>
      <c r="BJ1174" s="11"/>
      <c r="BK1174" s="11"/>
      <c r="BL1174" s="11"/>
      <c r="BM1174" s="11"/>
      <c r="BN1174" s="11"/>
      <c r="BO1174" s="11"/>
      <c r="BP1174" s="11"/>
      <c r="BQ1174" s="11"/>
      <c r="BR1174" s="11"/>
      <c r="BS1174" s="11"/>
      <c r="BT1174" s="11"/>
      <c r="BU1174" s="11"/>
      <c r="BV1174" s="11"/>
      <c r="BW1174" s="52" t="s">
        <v>428</v>
      </c>
      <c r="BX1174" s="52" t="s">
        <v>429</v>
      </c>
      <c r="BY1174" s="11"/>
      <c r="BZ1174" s="52" t="s">
        <v>166</v>
      </c>
      <c r="CA1174" s="52" t="s">
        <v>3729</v>
      </c>
      <c r="CB1174" s="52" t="s">
        <v>3730</v>
      </c>
      <c r="CC1174" s="52" t="s">
        <v>442</v>
      </c>
      <c r="CD1174" s="53">
        <v>43845</v>
      </c>
      <c r="CE1174" s="53">
        <v>43951</v>
      </c>
      <c r="CF1174" s="52">
        <v>85</v>
      </c>
      <c r="CG1174" s="54" t="s">
        <v>3731</v>
      </c>
      <c r="CH1174" s="11"/>
      <c r="CI1174" s="11"/>
      <c r="CJ1174" s="11"/>
      <c r="CK1174" s="11"/>
      <c r="CL1174" s="11"/>
      <c r="CM1174" s="11"/>
      <c r="CN1174" s="11"/>
      <c r="CO1174" s="11"/>
      <c r="CP1174" s="11"/>
      <c r="CQ1174" s="11"/>
      <c r="CR1174" s="11"/>
      <c r="CS1174" s="11"/>
      <c r="CT1174" s="11"/>
      <c r="CU1174" s="11"/>
      <c r="CV1174" s="11"/>
      <c r="CW1174" s="11"/>
      <c r="CX1174" s="11"/>
      <c r="CY1174" s="11"/>
      <c r="CZ1174" s="11"/>
      <c r="DA1174" s="11"/>
      <c r="DB1174" s="11"/>
      <c r="DC1174" s="11"/>
      <c r="DD1174" s="11"/>
      <c r="DE1174" s="11"/>
      <c r="DF1174" s="11"/>
      <c r="DG1174" s="11"/>
      <c r="DH1174" s="11"/>
      <c r="DI1174" s="11"/>
      <c r="DJ1174" s="11"/>
      <c r="DK1174" s="11"/>
      <c r="DL1174" s="11"/>
      <c r="DM1174" s="11"/>
      <c r="DN1174" s="11"/>
      <c r="DO1174" s="11"/>
      <c r="DP1174" s="11"/>
      <c r="DQ1174" s="11"/>
      <c r="DR1174" s="11"/>
      <c r="DS1174" s="11"/>
      <c r="DT1174" s="11"/>
      <c r="DU1174" s="11"/>
      <c r="DV1174" s="11"/>
      <c r="DW1174" s="11"/>
      <c r="DX1174" s="11"/>
      <c r="DY1174" s="11"/>
      <c r="DZ1174" s="11"/>
      <c r="EA1174" s="11"/>
      <c r="EB1174" s="11"/>
      <c r="EC1174" s="11"/>
      <c r="ED1174" s="11"/>
      <c r="EE1174" s="11"/>
      <c r="EF1174" s="11"/>
      <c r="EG1174" s="11"/>
      <c r="EH1174" s="11"/>
      <c r="EI1174" s="11"/>
      <c r="EJ1174" s="11"/>
      <c r="EK1174" s="11"/>
      <c r="EL1174" s="11"/>
      <c r="EM1174" s="11"/>
      <c r="EN1174" s="11"/>
      <c r="EO1174" s="11"/>
      <c r="EP1174" s="11"/>
      <c r="EQ1174" s="11"/>
      <c r="ER1174" s="11"/>
      <c r="ES1174" s="11"/>
      <c r="ET1174" s="11"/>
      <c r="EU1174" s="11"/>
      <c r="EV1174" s="11"/>
      <c r="EW1174" s="11"/>
      <c r="EX1174" s="11"/>
      <c r="EY1174" s="11"/>
      <c r="EZ1174" s="11"/>
      <c r="FA1174" s="11"/>
      <c r="FB1174" s="11"/>
      <c r="FC1174" s="11"/>
      <c r="FD1174" s="11"/>
      <c r="FE1174" s="11"/>
      <c r="FF1174" s="11"/>
      <c r="FG1174" s="11"/>
      <c r="FH1174" s="11"/>
      <c r="FI1174" s="11"/>
      <c r="FJ1174" s="11"/>
      <c r="FK1174" s="11"/>
      <c r="FL1174" s="11"/>
      <c r="FM1174" s="11"/>
      <c r="FN1174" s="11"/>
      <c r="FO1174" s="11"/>
      <c r="FP1174" s="11"/>
      <c r="FQ1174" s="11"/>
      <c r="FR1174" s="11"/>
      <c r="FS1174" s="11"/>
      <c r="FT1174" s="11"/>
      <c r="FU1174" s="11"/>
      <c r="FV1174" s="11"/>
      <c r="FW1174" s="11"/>
      <c r="FX1174" s="11"/>
      <c r="FY1174" s="11"/>
      <c r="FZ1174" s="11"/>
      <c r="GA1174" s="11"/>
      <c r="GB1174" s="11"/>
      <c r="GC1174" s="11"/>
      <c r="GD1174" s="11"/>
      <c r="GE1174" s="11"/>
      <c r="GF1174" s="11"/>
      <c r="GG1174" s="11"/>
      <c r="GH1174" s="11"/>
      <c r="GI1174" s="11"/>
      <c r="GJ1174" s="11"/>
      <c r="GK1174" s="11"/>
      <c r="GL1174" s="11"/>
      <c r="GM1174" s="11"/>
      <c r="GN1174" s="11"/>
      <c r="GO1174" s="11"/>
      <c r="GP1174" s="11"/>
      <c r="GQ1174" s="11"/>
      <c r="GR1174" s="11"/>
      <c r="GS1174" s="11"/>
      <c r="GT1174" s="11"/>
      <c r="GU1174" s="11"/>
      <c r="GV1174" s="11"/>
      <c r="GW1174" s="11"/>
      <c r="GX1174" s="11"/>
      <c r="GY1174" s="11"/>
      <c r="GZ1174" s="11"/>
      <c r="HA1174" s="11"/>
    </row>
    <row r="1175" spans="1:209" ht="23.25" customHeight="1" x14ac:dyDescent="0.15">
      <c r="A1175" s="11"/>
      <c r="B1175" s="11"/>
      <c r="C1175" s="1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/>
      <c r="R1175" s="11"/>
      <c r="S1175" s="11"/>
      <c r="T1175" s="11"/>
      <c r="U1175" s="11"/>
      <c r="V1175" s="11"/>
      <c r="W1175" s="11"/>
      <c r="X1175" s="11"/>
      <c r="Y1175" s="11"/>
      <c r="Z1175" s="11"/>
      <c r="AA1175" s="11"/>
      <c r="AB1175" s="11"/>
      <c r="AC1175" s="11"/>
      <c r="AD1175" s="11"/>
      <c r="AE1175" s="11"/>
      <c r="AF1175" s="11"/>
      <c r="AG1175" s="11"/>
      <c r="AH1175" s="11"/>
      <c r="AI1175" s="11"/>
      <c r="AJ1175" s="11"/>
      <c r="AK1175" s="11"/>
      <c r="AL1175" s="11"/>
      <c r="AM1175" s="11"/>
      <c r="AN1175" s="11"/>
      <c r="AO1175" s="11"/>
      <c r="AP1175" s="11"/>
      <c r="AQ1175" s="11"/>
      <c r="AR1175" s="11"/>
      <c r="AS1175" s="11"/>
      <c r="AT1175" s="11"/>
      <c r="AU1175" s="11"/>
      <c r="AV1175" s="11"/>
      <c r="AW1175" s="11"/>
      <c r="AX1175" s="11"/>
      <c r="AY1175" s="11"/>
      <c r="AZ1175" s="11"/>
      <c r="BA1175" s="11"/>
      <c r="BB1175" s="11"/>
      <c r="BC1175" s="11"/>
      <c r="BD1175" s="11"/>
      <c r="BE1175" s="11"/>
      <c r="BF1175" s="11"/>
      <c r="BG1175" s="11"/>
      <c r="BH1175" s="11"/>
      <c r="BI1175" s="11"/>
      <c r="BJ1175" s="11"/>
      <c r="BK1175" s="11"/>
      <c r="BL1175" s="11"/>
      <c r="BM1175" s="11"/>
      <c r="BN1175" s="11"/>
      <c r="BO1175" s="11"/>
      <c r="BP1175" s="11"/>
      <c r="BQ1175" s="11"/>
      <c r="BR1175" s="11"/>
      <c r="BS1175" s="11"/>
      <c r="BT1175" s="11"/>
      <c r="BU1175" s="11"/>
      <c r="BV1175" s="11"/>
      <c r="BW1175" s="52" t="s">
        <v>428</v>
      </c>
      <c r="BX1175" s="52" t="s">
        <v>429</v>
      </c>
      <c r="BY1175" s="11"/>
      <c r="BZ1175" s="52" t="s">
        <v>166</v>
      </c>
      <c r="CA1175" s="52" t="s">
        <v>3732</v>
      </c>
      <c r="CB1175" s="52" t="s">
        <v>3730</v>
      </c>
      <c r="CC1175" s="52" t="s">
        <v>442</v>
      </c>
      <c r="CD1175" s="53">
        <v>43836</v>
      </c>
      <c r="CE1175" s="53">
        <v>43959</v>
      </c>
      <c r="CF1175" s="52">
        <v>85</v>
      </c>
      <c r="CG1175" s="54" t="s">
        <v>3733</v>
      </c>
      <c r="CH1175" s="11"/>
      <c r="CI1175" s="11"/>
      <c r="CJ1175" s="11"/>
      <c r="CK1175" s="11"/>
      <c r="CL1175" s="11"/>
      <c r="CM1175" s="11"/>
      <c r="CN1175" s="11"/>
      <c r="CO1175" s="11"/>
      <c r="CP1175" s="11"/>
      <c r="CQ1175" s="11"/>
      <c r="CR1175" s="11"/>
      <c r="CS1175" s="11"/>
      <c r="CT1175" s="11"/>
      <c r="CU1175" s="11"/>
      <c r="CV1175" s="11"/>
      <c r="CW1175" s="11"/>
      <c r="CX1175" s="11"/>
      <c r="CY1175" s="11"/>
      <c r="CZ1175" s="11"/>
      <c r="DA1175" s="11"/>
      <c r="DB1175" s="11"/>
      <c r="DC1175" s="11"/>
      <c r="DD1175" s="11"/>
      <c r="DE1175" s="11"/>
      <c r="DF1175" s="11"/>
      <c r="DG1175" s="11"/>
      <c r="DH1175" s="11"/>
      <c r="DI1175" s="11"/>
      <c r="DJ1175" s="11"/>
      <c r="DK1175" s="11"/>
      <c r="DL1175" s="11"/>
      <c r="DM1175" s="11"/>
      <c r="DN1175" s="11"/>
      <c r="DO1175" s="11"/>
      <c r="DP1175" s="11"/>
      <c r="DQ1175" s="11"/>
      <c r="DR1175" s="11"/>
      <c r="DS1175" s="11"/>
      <c r="DT1175" s="11"/>
      <c r="DU1175" s="11"/>
      <c r="DV1175" s="11"/>
      <c r="DW1175" s="11"/>
      <c r="DX1175" s="11"/>
      <c r="DY1175" s="11"/>
      <c r="DZ1175" s="11"/>
      <c r="EA1175" s="11"/>
      <c r="EB1175" s="11"/>
      <c r="EC1175" s="11"/>
      <c r="ED1175" s="11"/>
      <c r="EE1175" s="11"/>
      <c r="EF1175" s="11"/>
      <c r="EG1175" s="11"/>
      <c r="EH1175" s="11"/>
      <c r="EI1175" s="11"/>
      <c r="EJ1175" s="11"/>
      <c r="EK1175" s="11"/>
      <c r="EL1175" s="11"/>
      <c r="EM1175" s="11"/>
      <c r="EN1175" s="11"/>
      <c r="EO1175" s="11"/>
      <c r="EP1175" s="11"/>
      <c r="EQ1175" s="11"/>
      <c r="ER1175" s="11"/>
      <c r="ES1175" s="11"/>
      <c r="ET1175" s="11"/>
      <c r="EU1175" s="11"/>
      <c r="EV1175" s="11"/>
      <c r="EW1175" s="11"/>
      <c r="EX1175" s="11"/>
      <c r="EY1175" s="11"/>
      <c r="EZ1175" s="11"/>
      <c r="FA1175" s="11"/>
      <c r="FB1175" s="11"/>
      <c r="FC1175" s="11"/>
      <c r="FD1175" s="11"/>
      <c r="FE1175" s="11"/>
      <c r="FF1175" s="11"/>
      <c r="FG1175" s="11"/>
      <c r="FH1175" s="11"/>
      <c r="FI1175" s="11"/>
      <c r="FJ1175" s="11"/>
      <c r="FK1175" s="11"/>
      <c r="FL1175" s="11"/>
      <c r="FM1175" s="11"/>
      <c r="FN1175" s="11"/>
      <c r="FO1175" s="11"/>
      <c r="FP1175" s="11"/>
      <c r="FQ1175" s="11"/>
      <c r="FR1175" s="11"/>
      <c r="FS1175" s="11"/>
      <c r="FT1175" s="11"/>
      <c r="FU1175" s="11"/>
      <c r="FV1175" s="11"/>
      <c r="FW1175" s="11"/>
      <c r="FX1175" s="11"/>
      <c r="FY1175" s="11"/>
      <c r="FZ1175" s="11"/>
      <c r="GA1175" s="11"/>
      <c r="GB1175" s="11"/>
      <c r="GC1175" s="11"/>
      <c r="GD1175" s="11"/>
      <c r="GE1175" s="11"/>
      <c r="GF1175" s="11"/>
      <c r="GG1175" s="11"/>
      <c r="GH1175" s="11"/>
      <c r="GI1175" s="11"/>
      <c r="GJ1175" s="11"/>
      <c r="GK1175" s="11"/>
      <c r="GL1175" s="11"/>
      <c r="GM1175" s="11"/>
      <c r="GN1175" s="11"/>
      <c r="GO1175" s="11"/>
      <c r="GP1175" s="11"/>
      <c r="GQ1175" s="11"/>
      <c r="GR1175" s="11"/>
      <c r="GS1175" s="11"/>
      <c r="GT1175" s="11"/>
      <c r="GU1175" s="11"/>
      <c r="GV1175" s="11"/>
      <c r="GW1175" s="11"/>
      <c r="GX1175" s="11"/>
      <c r="GY1175" s="11"/>
      <c r="GZ1175" s="11"/>
      <c r="HA1175" s="11"/>
    </row>
    <row r="1176" spans="1:209" ht="23.25" customHeight="1" x14ac:dyDescent="0.15">
      <c r="A1176" s="11"/>
      <c r="B1176" s="11"/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/>
      <c r="R1176" s="11"/>
      <c r="S1176" s="11"/>
      <c r="T1176" s="11"/>
      <c r="U1176" s="11"/>
      <c r="V1176" s="11"/>
      <c r="W1176" s="11"/>
      <c r="X1176" s="11"/>
      <c r="Y1176" s="11"/>
      <c r="Z1176" s="11"/>
      <c r="AA1176" s="11"/>
      <c r="AB1176" s="11"/>
      <c r="AC1176" s="11"/>
      <c r="AD1176" s="11"/>
      <c r="AE1176" s="11"/>
      <c r="AF1176" s="11"/>
      <c r="AG1176" s="11"/>
      <c r="AH1176" s="11"/>
      <c r="AI1176" s="11"/>
      <c r="AJ1176" s="11"/>
      <c r="AK1176" s="11"/>
      <c r="AL1176" s="11"/>
      <c r="AM1176" s="11"/>
      <c r="AN1176" s="11"/>
      <c r="AO1176" s="11"/>
      <c r="AP1176" s="11"/>
      <c r="AQ1176" s="11"/>
      <c r="AR1176" s="11"/>
      <c r="AS1176" s="11"/>
      <c r="AT1176" s="11"/>
      <c r="AU1176" s="11"/>
      <c r="AV1176" s="11"/>
      <c r="AW1176" s="11"/>
      <c r="AX1176" s="11"/>
      <c r="AY1176" s="11"/>
      <c r="AZ1176" s="11"/>
      <c r="BA1176" s="11"/>
      <c r="BB1176" s="11"/>
      <c r="BC1176" s="11"/>
      <c r="BD1176" s="11"/>
      <c r="BE1176" s="11"/>
      <c r="BF1176" s="11"/>
      <c r="BG1176" s="11"/>
      <c r="BH1176" s="11"/>
      <c r="BI1176" s="11"/>
      <c r="BJ1176" s="11"/>
      <c r="BK1176" s="11"/>
      <c r="BL1176" s="11"/>
      <c r="BM1176" s="11"/>
      <c r="BN1176" s="11"/>
      <c r="BO1176" s="11"/>
      <c r="BP1176" s="11"/>
      <c r="BQ1176" s="11"/>
      <c r="BR1176" s="11"/>
      <c r="BS1176" s="11"/>
      <c r="BT1176" s="11"/>
      <c r="BU1176" s="11"/>
      <c r="BV1176" s="11"/>
      <c r="BW1176" s="52" t="s">
        <v>439</v>
      </c>
      <c r="BX1176" s="52" t="s">
        <v>144</v>
      </c>
      <c r="BY1176" s="11"/>
      <c r="BZ1176" s="52" t="s">
        <v>311</v>
      </c>
      <c r="CA1176" s="52" t="s">
        <v>684</v>
      </c>
      <c r="CB1176" s="52" t="s">
        <v>375</v>
      </c>
      <c r="CC1176" s="52" t="s">
        <v>3411</v>
      </c>
      <c r="CD1176" s="53">
        <v>44348</v>
      </c>
      <c r="CE1176" s="53">
        <v>44379</v>
      </c>
      <c r="CF1176" s="52">
        <v>100</v>
      </c>
      <c r="CG1176" s="54" t="s">
        <v>3734</v>
      </c>
      <c r="CH1176" s="11"/>
      <c r="CI1176" s="11"/>
      <c r="CJ1176" s="11"/>
      <c r="CK1176" s="11"/>
      <c r="CL1176" s="11"/>
      <c r="CM1176" s="11"/>
      <c r="CN1176" s="11"/>
      <c r="CO1176" s="11"/>
      <c r="CP1176" s="11"/>
      <c r="CQ1176" s="11"/>
      <c r="CR1176" s="11"/>
      <c r="CS1176" s="11"/>
      <c r="CT1176" s="11"/>
      <c r="CU1176" s="11"/>
      <c r="CV1176" s="11"/>
      <c r="CW1176" s="11"/>
      <c r="CX1176" s="11"/>
      <c r="CY1176" s="11"/>
      <c r="CZ1176" s="11"/>
      <c r="DA1176" s="11"/>
      <c r="DB1176" s="11"/>
      <c r="DC1176" s="11"/>
      <c r="DD1176" s="11"/>
      <c r="DE1176" s="11"/>
      <c r="DF1176" s="11"/>
      <c r="DG1176" s="11"/>
      <c r="DH1176" s="11"/>
      <c r="DI1176" s="11"/>
      <c r="DJ1176" s="11"/>
      <c r="DK1176" s="11"/>
      <c r="DL1176" s="11"/>
      <c r="DM1176" s="11"/>
      <c r="DN1176" s="11"/>
      <c r="DO1176" s="11"/>
      <c r="DP1176" s="11"/>
      <c r="DQ1176" s="11"/>
      <c r="DR1176" s="11"/>
      <c r="DS1176" s="11"/>
      <c r="DT1176" s="11"/>
      <c r="DU1176" s="11"/>
      <c r="DV1176" s="11"/>
      <c r="DW1176" s="11"/>
      <c r="DX1176" s="11"/>
      <c r="DY1176" s="11"/>
      <c r="DZ1176" s="11"/>
      <c r="EA1176" s="11"/>
      <c r="EB1176" s="11"/>
      <c r="EC1176" s="11"/>
      <c r="ED1176" s="11"/>
      <c r="EE1176" s="11"/>
      <c r="EF1176" s="11"/>
      <c r="EG1176" s="11"/>
      <c r="EH1176" s="11"/>
      <c r="EI1176" s="11"/>
      <c r="EJ1176" s="11"/>
      <c r="EK1176" s="11"/>
      <c r="EL1176" s="11"/>
      <c r="EM1176" s="11"/>
      <c r="EN1176" s="11"/>
      <c r="EO1176" s="11"/>
      <c r="EP1176" s="11"/>
      <c r="EQ1176" s="11"/>
      <c r="ER1176" s="11"/>
      <c r="ES1176" s="11"/>
      <c r="ET1176" s="11"/>
      <c r="EU1176" s="11"/>
      <c r="EV1176" s="11"/>
      <c r="EW1176" s="11"/>
      <c r="EX1176" s="11"/>
      <c r="EY1176" s="11"/>
      <c r="EZ1176" s="11"/>
      <c r="FA1176" s="11"/>
      <c r="FB1176" s="11"/>
      <c r="FC1176" s="11"/>
      <c r="FD1176" s="11"/>
      <c r="FE1176" s="11"/>
      <c r="FF1176" s="11"/>
      <c r="FG1176" s="11"/>
      <c r="FH1176" s="11"/>
      <c r="FI1176" s="11"/>
      <c r="FJ1176" s="11"/>
      <c r="FK1176" s="11"/>
      <c r="FL1176" s="11"/>
      <c r="FM1176" s="11"/>
      <c r="FN1176" s="11"/>
      <c r="FO1176" s="11"/>
      <c r="FP1176" s="11"/>
      <c r="FQ1176" s="11"/>
      <c r="FR1176" s="11"/>
      <c r="FS1176" s="11"/>
      <c r="FT1176" s="11"/>
      <c r="FU1176" s="11"/>
      <c r="FV1176" s="11"/>
      <c r="FW1176" s="11"/>
      <c r="FX1176" s="11"/>
      <c r="FY1176" s="11"/>
      <c r="FZ1176" s="11"/>
      <c r="GA1176" s="11"/>
      <c r="GB1176" s="11"/>
      <c r="GC1176" s="11"/>
      <c r="GD1176" s="11"/>
      <c r="GE1176" s="11"/>
      <c r="GF1176" s="11"/>
      <c r="GG1176" s="11"/>
      <c r="GH1176" s="11"/>
      <c r="GI1176" s="11"/>
      <c r="GJ1176" s="11"/>
      <c r="GK1176" s="11"/>
      <c r="GL1176" s="11"/>
      <c r="GM1176" s="11"/>
      <c r="GN1176" s="11"/>
      <c r="GO1176" s="11"/>
      <c r="GP1176" s="11"/>
      <c r="GQ1176" s="11"/>
      <c r="GR1176" s="11"/>
      <c r="GS1176" s="11"/>
      <c r="GT1176" s="11"/>
      <c r="GU1176" s="11"/>
      <c r="GV1176" s="11"/>
      <c r="GW1176" s="11"/>
      <c r="GX1176" s="11"/>
      <c r="GY1176" s="11"/>
      <c r="GZ1176" s="11"/>
      <c r="HA1176" s="11"/>
    </row>
    <row r="1177" spans="1:209" ht="23.25" customHeight="1" x14ac:dyDescent="0.15">
      <c r="A1177" s="11"/>
      <c r="B1177" s="11"/>
      <c r="C1177" s="1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/>
      <c r="R1177" s="11"/>
      <c r="S1177" s="11"/>
      <c r="T1177" s="11"/>
      <c r="U1177" s="11"/>
      <c r="V1177" s="11"/>
      <c r="W1177" s="11"/>
      <c r="X1177" s="11"/>
      <c r="Y1177" s="11"/>
      <c r="Z1177" s="11"/>
      <c r="AA1177" s="11"/>
      <c r="AB1177" s="11"/>
      <c r="AC1177" s="11"/>
      <c r="AD1177" s="11"/>
      <c r="AE1177" s="11"/>
      <c r="AF1177" s="11"/>
      <c r="AG1177" s="11"/>
      <c r="AH1177" s="11"/>
      <c r="AI1177" s="11"/>
      <c r="AJ1177" s="11"/>
      <c r="AK1177" s="11"/>
      <c r="AL1177" s="11"/>
      <c r="AM1177" s="11"/>
      <c r="AN1177" s="11"/>
      <c r="AO1177" s="11"/>
      <c r="AP1177" s="11"/>
      <c r="AQ1177" s="11"/>
      <c r="AR1177" s="11"/>
      <c r="AS1177" s="11"/>
      <c r="AT1177" s="11"/>
      <c r="AU1177" s="11"/>
      <c r="AV1177" s="11"/>
      <c r="AW1177" s="11"/>
      <c r="AX1177" s="11"/>
      <c r="AY1177" s="11"/>
      <c r="AZ1177" s="11"/>
      <c r="BA1177" s="11"/>
      <c r="BB1177" s="11"/>
      <c r="BC1177" s="11"/>
      <c r="BD1177" s="11"/>
      <c r="BE1177" s="11"/>
      <c r="BF1177" s="11"/>
      <c r="BG1177" s="11"/>
      <c r="BH1177" s="11"/>
      <c r="BI1177" s="11"/>
      <c r="BJ1177" s="11"/>
      <c r="BK1177" s="11"/>
      <c r="BL1177" s="11"/>
      <c r="BM1177" s="11"/>
      <c r="BN1177" s="11"/>
      <c r="BO1177" s="11"/>
      <c r="BP1177" s="11"/>
      <c r="BQ1177" s="11"/>
      <c r="BR1177" s="11"/>
      <c r="BS1177" s="11"/>
      <c r="BT1177" s="11"/>
      <c r="BU1177" s="11"/>
      <c r="BV1177" s="11"/>
      <c r="BW1177" s="52" t="s">
        <v>439</v>
      </c>
      <c r="BX1177" s="52" t="s">
        <v>144</v>
      </c>
      <c r="BY1177" s="11"/>
      <c r="BZ1177" s="52" t="s">
        <v>166</v>
      </c>
      <c r="CA1177" s="52" t="s">
        <v>354</v>
      </c>
      <c r="CB1177" s="52" t="s">
        <v>375</v>
      </c>
      <c r="CC1177" s="52" t="s">
        <v>520</v>
      </c>
      <c r="CD1177" s="53">
        <v>44287</v>
      </c>
      <c r="CE1177" s="53">
        <v>44347</v>
      </c>
      <c r="CF1177" s="52">
        <v>100</v>
      </c>
      <c r="CG1177" s="54" t="s">
        <v>3735</v>
      </c>
      <c r="CH1177" s="11"/>
      <c r="CI1177" s="11"/>
      <c r="CJ1177" s="11"/>
      <c r="CK1177" s="11"/>
      <c r="CL1177" s="11"/>
      <c r="CM1177" s="11"/>
      <c r="CN1177" s="11"/>
      <c r="CO1177" s="11"/>
      <c r="CP1177" s="11"/>
      <c r="CQ1177" s="11"/>
      <c r="CR1177" s="11"/>
      <c r="CS1177" s="11"/>
      <c r="CT1177" s="11"/>
      <c r="CU1177" s="11"/>
      <c r="CV1177" s="11"/>
      <c r="CW1177" s="11"/>
      <c r="CX1177" s="11"/>
      <c r="CY1177" s="11"/>
      <c r="CZ1177" s="11"/>
      <c r="DA1177" s="11"/>
      <c r="DB1177" s="11"/>
      <c r="DC1177" s="11"/>
      <c r="DD1177" s="11"/>
      <c r="DE1177" s="11"/>
      <c r="DF1177" s="11"/>
      <c r="DG1177" s="11"/>
      <c r="DH1177" s="11"/>
      <c r="DI1177" s="11"/>
      <c r="DJ1177" s="11"/>
      <c r="DK1177" s="11"/>
      <c r="DL1177" s="11"/>
      <c r="DM1177" s="11"/>
      <c r="DN1177" s="11"/>
      <c r="DO1177" s="11"/>
      <c r="DP1177" s="11"/>
      <c r="DQ1177" s="11"/>
      <c r="DR1177" s="11"/>
      <c r="DS1177" s="11"/>
      <c r="DT1177" s="11"/>
      <c r="DU1177" s="11"/>
      <c r="DV1177" s="11"/>
      <c r="DW1177" s="11"/>
      <c r="DX1177" s="11"/>
      <c r="DY1177" s="11"/>
      <c r="DZ1177" s="11"/>
      <c r="EA1177" s="11"/>
      <c r="EB1177" s="11"/>
      <c r="EC1177" s="11"/>
      <c r="ED1177" s="11"/>
      <c r="EE1177" s="11"/>
      <c r="EF1177" s="11"/>
      <c r="EG1177" s="11"/>
      <c r="EH1177" s="11"/>
      <c r="EI1177" s="11"/>
      <c r="EJ1177" s="11"/>
      <c r="EK1177" s="11"/>
      <c r="EL1177" s="11"/>
      <c r="EM1177" s="11"/>
      <c r="EN1177" s="11"/>
      <c r="EO1177" s="11"/>
      <c r="EP1177" s="11"/>
      <c r="EQ1177" s="11"/>
      <c r="ER1177" s="11"/>
      <c r="ES1177" s="11"/>
      <c r="ET1177" s="11"/>
      <c r="EU1177" s="11"/>
      <c r="EV1177" s="11"/>
      <c r="EW1177" s="11"/>
      <c r="EX1177" s="11"/>
      <c r="EY1177" s="11"/>
      <c r="EZ1177" s="11"/>
      <c r="FA1177" s="11"/>
      <c r="FB1177" s="11"/>
      <c r="FC1177" s="11"/>
      <c r="FD1177" s="11"/>
      <c r="FE1177" s="11"/>
      <c r="FF1177" s="11"/>
      <c r="FG1177" s="11"/>
      <c r="FH1177" s="11"/>
      <c r="FI1177" s="11"/>
      <c r="FJ1177" s="11"/>
      <c r="FK1177" s="11"/>
      <c r="FL1177" s="11"/>
      <c r="FM1177" s="11"/>
      <c r="FN1177" s="11"/>
      <c r="FO1177" s="11"/>
      <c r="FP1177" s="11"/>
      <c r="FQ1177" s="11"/>
      <c r="FR1177" s="11"/>
      <c r="FS1177" s="11"/>
      <c r="FT1177" s="11"/>
      <c r="FU1177" s="11"/>
      <c r="FV1177" s="11"/>
      <c r="FW1177" s="11"/>
      <c r="FX1177" s="11"/>
      <c r="FY1177" s="11"/>
      <c r="FZ1177" s="11"/>
      <c r="GA1177" s="11"/>
      <c r="GB1177" s="11"/>
      <c r="GC1177" s="11"/>
      <c r="GD1177" s="11"/>
      <c r="GE1177" s="11"/>
      <c r="GF1177" s="11"/>
      <c r="GG1177" s="11"/>
      <c r="GH1177" s="11"/>
      <c r="GI1177" s="11"/>
      <c r="GJ1177" s="11"/>
      <c r="GK1177" s="11"/>
      <c r="GL1177" s="11"/>
      <c r="GM1177" s="11"/>
      <c r="GN1177" s="11"/>
      <c r="GO1177" s="11"/>
      <c r="GP1177" s="11"/>
      <c r="GQ1177" s="11"/>
      <c r="GR1177" s="11"/>
      <c r="GS1177" s="11"/>
      <c r="GT1177" s="11"/>
      <c r="GU1177" s="11"/>
      <c r="GV1177" s="11"/>
      <c r="GW1177" s="11"/>
      <c r="GX1177" s="11"/>
      <c r="GY1177" s="11"/>
      <c r="GZ1177" s="11"/>
      <c r="HA1177" s="11"/>
    </row>
    <row r="1178" spans="1:209" ht="23.25" customHeight="1" x14ac:dyDescent="0.15">
      <c r="A1178" s="11"/>
      <c r="B1178" s="11"/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/>
      <c r="R1178" s="11"/>
      <c r="S1178" s="11"/>
      <c r="T1178" s="11"/>
      <c r="U1178" s="11"/>
      <c r="V1178" s="11"/>
      <c r="W1178" s="11"/>
      <c r="X1178" s="11"/>
      <c r="Y1178" s="11"/>
      <c r="Z1178" s="11"/>
      <c r="AA1178" s="11"/>
      <c r="AB1178" s="11"/>
      <c r="AC1178" s="11"/>
      <c r="AD1178" s="11"/>
      <c r="AE1178" s="11"/>
      <c r="AF1178" s="11"/>
      <c r="AG1178" s="11"/>
      <c r="AH1178" s="11"/>
      <c r="AI1178" s="11"/>
      <c r="AJ1178" s="11"/>
      <c r="AK1178" s="11"/>
      <c r="AL1178" s="11"/>
      <c r="AM1178" s="11"/>
      <c r="AN1178" s="11"/>
      <c r="AO1178" s="11"/>
      <c r="AP1178" s="11"/>
      <c r="AQ1178" s="11"/>
      <c r="AR1178" s="11"/>
      <c r="AS1178" s="11"/>
      <c r="AT1178" s="11"/>
      <c r="AU1178" s="11"/>
      <c r="AV1178" s="11"/>
      <c r="AW1178" s="11"/>
      <c r="AX1178" s="11"/>
      <c r="AY1178" s="11"/>
      <c r="AZ1178" s="11"/>
      <c r="BA1178" s="11"/>
      <c r="BB1178" s="11"/>
      <c r="BC1178" s="11"/>
      <c r="BD1178" s="11"/>
      <c r="BE1178" s="11"/>
      <c r="BF1178" s="11"/>
      <c r="BG1178" s="11"/>
      <c r="BH1178" s="11"/>
      <c r="BI1178" s="11"/>
      <c r="BJ1178" s="11"/>
      <c r="BK1178" s="11"/>
      <c r="BL1178" s="11"/>
      <c r="BM1178" s="11"/>
      <c r="BN1178" s="11"/>
      <c r="BO1178" s="11"/>
      <c r="BP1178" s="11"/>
      <c r="BQ1178" s="11"/>
      <c r="BR1178" s="11"/>
      <c r="BS1178" s="11"/>
      <c r="BT1178" s="11"/>
      <c r="BU1178" s="11"/>
      <c r="BV1178" s="11"/>
      <c r="BW1178" s="52" t="s">
        <v>439</v>
      </c>
      <c r="BX1178" s="52" t="s">
        <v>144</v>
      </c>
      <c r="BY1178" s="11"/>
      <c r="BZ1178" s="52" t="s">
        <v>166</v>
      </c>
      <c r="CA1178" s="52" t="s">
        <v>568</v>
      </c>
      <c r="CB1178" s="52" t="s">
        <v>375</v>
      </c>
      <c r="CC1178" s="52" t="s">
        <v>3400</v>
      </c>
      <c r="CD1178" s="53">
        <v>44348</v>
      </c>
      <c r="CE1178" s="53">
        <v>44378</v>
      </c>
      <c r="CF1178" s="52">
        <v>100</v>
      </c>
      <c r="CG1178" s="54" t="s">
        <v>3736</v>
      </c>
      <c r="CH1178" s="11"/>
      <c r="CI1178" s="11"/>
      <c r="CJ1178" s="11"/>
      <c r="CK1178" s="11"/>
      <c r="CL1178" s="11"/>
      <c r="CM1178" s="11"/>
      <c r="CN1178" s="11"/>
      <c r="CO1178" s="11"/>
      <c r="CP1178" s="11"/>
      <c r="CQ1178" s="11"/>
      <c r="CR1178" s="11"/>
      <c r="CS1178" s="11"/>
      <c r="CT1178" s="11"/>
      <c r="CU1178" s="11"/>
      <c r="CV1178" s="11"/>
      <c r="CW1178" s="11"/>
      <c r="CX1178" s="11"/>
      <c r="CY1178" s="11"/>
      <c r="CZ1178" s="11"/>
      <c r="DA1178" s="11"/>
      <c r="DB1178" s="11"/>
      <c r="DC1178" s="11"/>
      <c r="DD1178" s="11"/>
      <c r="DE1178" s="11"/>
      <c r="DF1178" s="11"/>
      <c r="DG1178" s="11"/>
      <c r="DH1178" s="11"/>
      <c r="DI1178" s="11"/>
      <c r="DJ1178" s="11"/>
      <c r="DK1178" s="11"/>
      <c r="DL1178" s="11"/>
      <c r="DM1178" s="11"/>
      <c r="DN1178" s="11"/>
      <c r="DO1178" s="11"/>
      <c r="DP1178" s="11"/>
      <c r="DQ1178" s="11"/>
      <c r="DR1178" s="11"/>
      <c r="DS1178" s="11"/>
      <c r="DT1178" s="11"/>
      <c r="DU1178" s="11"/>
      <c r="DV1178" s="11"/>
      <c r="DW1178" s="11"/>
      <c r="DX1178" s="11"/>
      <c r="DY1178" s="11"/>
      <c r="DZ1178" s="11"/>
      <c r="EA1178" s="11"/>
      <c r="EB1178" s="11"/>
      <c r="EC1178" s="11"/>
      <c r="ED1178" s="11"/>
      <c r="EE1178" s="11"/>
      <c r="EF1178" s="11"/>
      <c r="EG1178" s="11"/>
      <c r="EH1178" s="11"/>
      <c r="EI1178" s="11"/>
      <c r="EJ1178" s="11"/>
      <c r="EK1178" s="11"/>
      <c r="EL1178" s="11"/>
      <c r="EM1178" s="11"/>
      <c r="EN1178" s="11"/>
      <c r="EO1178" s="11"/>
      <c r="EP1178" s="11"/>
      <c r="EQ1178" s="11"/>
      <c r="ER1178" s="11"/>
      <c r="ES1178" s="11"/>
      <c r="ET1178" s="11"/>
      <c r="EU1178" s="11"/>
      <c r="EV1178" s="11"/>
      <c r="EW1178" s="11"/>
      <c r="EX1178" s="11"/>
      <c r="EY1178" s="11"/>
      <c r="EZ1178" s="11"/>
      <c r="FA1178" s="11"/>
      <c r="FB1178" s="11"/>
      <c r="FC1178" s="11"/>
      <c r="FD1178" s="11"/>
      <c r="FE1178" s="11"/>
      <c r="FF1178" s="11"/>
      <c r="FG1178" s="11"/>
      <c r="FH1178" s="11"/>
      <c r="FI1178" s="11"/>
      <c r="FJ1178" s="11"/>
      <c r="FK1178" s="11"/>
      <c r="FL1178" s="11"/>
      <c r="FM1178" s="11"/>
      <c r="FN1178" s="11"/>
      <c r="FO1178" s="11"/>
      <c r="FP1178" s="11"/>
      <c r="FQ1178" s="11"/>
      <c r="FR1178" s="11"/>
      <c r="FS1178" s="11"/>
      <c r="FT1178" s="11"/>
      <c r="FU1178" s="11"/>
      <c r="FV1178" s="11"/>
      <c r="FW1178" s="11"/>
      <c r="FX1178" s="11"/>
      <c r="FY1178" s="11"/>
      <c r="FZ1178" s="11"/>
      <c r="GA1178" s="11"/>
      <c r="GB1178" s="11"/>
      <c r="GC1178" s="11"/>
      <c r="GD1178" s="11"/>
      <c r="GE1178" s="11"/>
      <c r="GF1178" s="11"/>
      <c r="GG1178" s="11"/>
      <c r="GH1178" s="11"/>
      <c r="GI1178" s="11"/>
      <c r="GJ1178" s="11"/>
      <c r="GK1178" s="11"/>
      <c r="GL1178" s="11"/>
      <c r="GM1178" s="11"/>
      <c r="GN1178" s="11"/>
      <c r="GO1178" s="11"/>
      <c r="GP1178" s="11"/>
      <c r="GQ1178" s="11"/>
      <c r="GR1178" s="11"/>
      <c r="GS1178" s="11"/>
      <c r="GT1178" s="11"/>
      <c r="GU1178" s="11"/>
      <c r="GV1178" s="11"/>
      <c r="GW1178" s="11"/>
      <c r="GX1178" s="11"/>
      <c r="GY1178" s="11"/>
      <c r="GZ1178" s="11"/>
      <c r="HA1178" s="11"/>
    </row>
    <row r="1179" spans="1:209" ht="23.25" customHeight="1" x14ac:dyDescent="0.15">
      <c r="A1179" s="11"/>
      <c r="B1179" s="11"/>
      <c r="C1179" s="1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/>
      <c r="R1179" s="11"/>
      <c r="S1179" s="11"/>
      <c r="T1179" s="11"/>
      <c r="U1179" s="11"/>
      <c r="V1179" s="11"/>
      <c r="W1179" s="11"/>
      <c r="X1179" s="11"/>
      <c r="Y1179" s="11"/>
      <c r="Z1179" s="11"/>
      <c r="AA1179" s="11"/>
      <c r="AB1179" s="11"/>
      <c r="AC1179" s="11"/>
      <c r="AD1179" s="11"/>
      <c r="AE1179" s="11"/>
      <c r="AF1179" s="11"/>
      <c r="AG1179" s="11"/>
      <c r="AH1179" s="11"/>
      <c r="AI1179" s="11"/>
      <c r="AJ1179" s="11"/>
      <c r="AK1179" s="11"/>
      <c r="AL1179" s="11"/>
      <c r="AM1179" s="11"/>
      <c r="AN1179" s="11"/>
      <c r="AO1179" s="11"/>
      <c r="AP1179" s="11"/>
      <c r="AQ1179" s="11"/>
      <c r="AR1179" s="11"/>
      <c r="AS1179" s="11"/>
      <c r="AT1179" s="11"/>
      <c r="AU1179" s="11"/>
      <c r="AV1179" s="11"/>
      <c r="AW1179" s="11"/>
      <c r="AX1179" s="11"/>
      <c r="AY1179" s="11"/>
      <c r="AZ1179" s="11"/>
      <c r="BA1179" s="11"/>
      <c r="BB1179" s="11"/>
      <c r="BC1179" s="11"/>
      <c r="BD1179" s="11"/>
      <c r="BE1179" s="11"/>
      <c r="BF1179" s="11"/>
      <c r="BG1179" s="11"/>
      <c r="BH1179" s="11"/>
      <c r="BI1179" s="11"/>
      <c r="BJ1179" s="11"/>
      <c r="BK1179" s="11"/>
      <c r="BL1179" s="11"/>
      <c r="BM1179" s="11"/>
      <c r="BN1179" s="11"/>
      <c r="BO1179" s="11"/>
      <c r="BP1179" s="11"/>
      <c r="BQ1179" s="11"/>
      <c r="BR1179" s="11"/>
      <c r="BS1179" s="11"/>
      <c r="BT1179" s="11"/>
      <c r="BU1179" s="11"/>
      <c r="BV1179" s="11"/>
      <c r="BW1179" s="52" t="s">
        <v>439</v>
      </c>
      <c r="BX1179" s="52" t="s">
        <v>144</v>
      </c>
      <c r="BY1179" s="11"/>
      <c r="BZ1179" s="52" t="s">
        <v>154</v>
      </c>
      <c r="CA1179" s="52" t="s">
        <v>349</v>
      </c>
      <c r="CB1179" s="52" t="s">
        <v>375</v>
      </c>
      <c r="CC1179" s="52" t="s">
        <v>3543</v>
      </c>
      <c r="CD1179" s="53">
        <v>43646</v>
      </c>
      <c r="CE1179" s="53">
        <v>43672</v>
      </c>
      <c r="CF1179" s="52">
        <v>100</v>
      </c>
      <c r="CG1179" s="54" t="s">
        <v>3737</v>
      </c>
      <c r="CH1179" s="11"/>
      <c r="CI1179" s="11"/>
      <c r="CJ1179" s="11"/>
      <c r="CK1179" s="11"/>
      <c r="CL1179" s="11"/>
      <c r="CM1179" s="11"/>
      <c r="CN1179" s="11"/>
      <c r="CO1179" s="11"/>
      <c r="CP1179" s="11"/>
      <c r="CQ1179" s="11"/>
      <c r="CR1179" s="11"/>
      <c r="CS1179" s="11"/>
      <c r="CT1179" s="11"/>
      <c r="CU1179" s="11"/>
      <c r="CV1179" s="11"/>
      <c r="CW1179" s="11"/>
      <c r="CX1179" s="11"/>
      <c r="CY1179" s="11"/>
      <c r="CZ1179" s="11"/>
      <c r="DA1179" s="11"/>
      <c r="DB1179" s="11"/>
      <c r="DC1179" s="11"/>
      <c r="DD1179" s="11"/>
      <c r="DE1179" s="11"/>
      <c r="DF1179" s="11"/>
      <c r="DG1179" s="11"/>
      <c r="DH1179" s="11"/>
      <c r="DI1179" s="11"/>
      <c r="DJ1179" s="11"/>
      <c r="DK1179" s="11"/>
      <c r="DL1179" s="11"/>
      <c r="DM1179" s="11"/>
      <c r="DN1179" s="11"/>
      <c r="DO1179" s="11"/>
      <c r="DP1179" s="11"/>
      <c r="DQ1179" s="11"/>
      <c r="DR1179" s="11"/>
      <c r="DS1179" s="11"/>
      <c r="DT1179" s="11"/>
      <c r="DU1179" s="11"/>
      <c r="DV1179" s="11"/>
      <c r="DW1179" s="11"/>
      <c r="DX1179" s="11"/>
      <c r="DY1179" s="11"/>
      <c r="DZ1179" s="11"/>
      <c r="EA1179" s="11"/>
      <c r="EB1179" s="11"/>
      <c r="EC1179" s="11"/>
      <c r="ED1179" s="11"/>
      <c r="EE1179" s="11"/>
      <c r="EF1179" s="11"/>
      <c r="EG1179" s="11"/>
      <c r="EH1179" s="11"/>
      <c r="EI1179" s="11"/>
      <c r="EJ1179" s="11"/>
      <c r="EK1179" s="11"/>
      <c r="EL1179" s="11"/>
      <c r="EM1179" s="11"/>
      <c r="EN1179" s="11"/>
      <c r="EO1179" s="11"/>
      <c r="EP1179" s="11"/>
      <c r="EQ1179" s="11"/>
      <c r="ER1179" s="11"/>
      <c r="ES1179" s="11"/>
      <c r="ET1179" s="11"/>
      <c r="EU1179" s="11"/>
      <c r="EV1179" s="11"/>
      <c r="EW1179" s="11"/>
      <c r="EX1179" s="11"/>
      <c r="EY1179" s="11"/>
      <c r="EZ1179" s="11"/>
      <c r="FA1179" s="11"/>
      <c r="FB1179" s="11"/>
      <c r="FC1179" s="11"/>
      <c r="FD1179" s="11"/>
      <c r="FE1179" s="11"/>
      <c r="FF1179" s="11"/>
      <c r="FG1179" s="11"/>
      <c r="FH1179" s="11"/>
      <c r="FI1179" s="11"/>
      <c r="FJ1179" s="11"/>
      <c r="FK1179" s="11"/>
      <c r="FL1179" s="11"/>
      <c r="FM1179" s="11"/>
      <c r="FN1179" s="11"/>
      <c r="FO1179" s="11"/>
      <c r="FP1179" s="11"/>
      <c r="FQ1179" s="11"/>
      <c r="FR1179" s="11"/>
      <c r="FS1179" s="11"/>
      <c r="FT1179" s="11"/>
      <c r="FU1179" s="11"/>
      <c r="FV1179" s="11"/>
      <c r="FW1179" s="11"/>
      <c r="FX1179" s="11"/>
      <c r="FY1179" s="11"/>
      <c r="FZ1179" s="11"/>
      <c r="GA1179" s="11"/>
      <c r="GB1179" s="11"/>
      <c r="GC1179" s="11"/>
      <c r="GD1179" s="11"/>
      <c r="GE1179" s="11"/>
      <c r="GF1179" s="11"/>
      <c r="GG1179" s="11"/>
      <c r="GH1179" s="11"/>
      <c r="GI1179" s="11"/>
      <c r="GJ1179" s="11"/>
      <c r="GK1179" s="11"/>
      <c r="GL1179" s="11"/>
      <c r="GM1179" s="11"/>
      <c r="GN1179" s="11"/>
      <c r="GO1179" s="11"/>
      <c r="GP1179" s="11"/>
      <c r="GQ1179" s="11"/>
      <c r="GR1179" s="11"/>
      <c r="GS1179" s="11"/>
      <c r="GT1179" s="11"/>
      <c r="GU1179" s="11"/>
      <c r="GV1179" s="11"/>
      <c r="GW1179" s="11"/>
      <c r="GX1179" s="11"/>
      <c r="GY1179" s="11"/>
      <c r="GZ1179" s="11"/>
      <c r="HA1179" s="11"/>
    </row>
    <row r="1180" spans="1:209" ht="23.25" customHeight="1" x14ac:dyDescent="0.15">
      <c r="A1180" s="11"/>
      <c r="B1180" s="11"/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/>
      <c r="R1180" s="11"/>
      <c r="S1180" s="11"/>
      <c r="T1180" s="11"/>
      <c r="U1180" s="11"/>
      <c r="V1180" s="11"/>
      <c r="W1180" s="11"/>
      <c r="X1180" s="11"/>
      <c r="Y1180" s="11"/>
      <c r="Z1180" s="11"/>
      <c r="AA1180" s="11"/>
      <c r="AB1180" s="11"/>
      <c r="AC1180" s="11"/>
      <c r="AD1180" s="11"/>
      <c r="AE1180" s="11"/>
      <c r="AF1180" s="11"/>
      <c r="AG1180" s="11"/>
      <c r="AH1180" s="11"/>
      <c r="AI1180" s="11"/>
      <c r="AJ1180" s="11"/>
      <c r="AK1180" s="11"/>
      <c r="AL1180" s="11"/>
      <c r="AM1180" s="11"/>
      <c r="AN1180" s="11"/>
      <c r="AO1180" s="11"/>
      <c r="AP1180" s="11"/>
      <c r="AQ1180" s="11"/>
      <c r="AR1180" s="11"/>
      <c r="AS1180" s="11"/>
      <c r="AT1180" s="11"/>
      <c r="AU1180" s="11"/>
      <c r="AV1180" s="11"/>
      <c r="AW1180" s="11"/>
      <c r="AX1180" s="11"/>
      <c r="AY1180" s="11"/>
      <c r="AZ1180" s="11"/>
      <c r="BA1180" s="11"/>
      <c r="BB1180" s="11"/>
      <c r="BC1180" s="11"/>
      <c r="BD1180" s="11"/>
      <c r="BE1180" s="11"/>
      <c r="BF1180" s="11"/>
      <c r="BG1180" s="11"/>
      <c r="BH1180" s="11"/>
      <c r="BI1180" s="11"/>
      <c r="BJ1180" s="11"/>
      <c r="BK1180" s="11"/>
      <c r="BL1180" s="11"/>
      <c r="BM1180" s="11"/>
      <c r="BN1180" s="11"/>
      <c r="BO1180" s="11"/>
      <c r="BP1180" s="11"/>
      <c r="BQ1180" s="11"/>
      <c r="BR1180" s="11"/>
      <c r="BS1180" s="11"/>
      <c r="BT1180" s="11"/>
      <c r="BU1180" s="11"/>
      <c r="BV1180" s="11"/>
      <c r="BW1180" s="52" t="s">
        <v>439</v>
      </c>
      <c r="BX1180" s="52" t="s">
        <v>144</v>
      </c>
      <c r="BY1180" s="11"/>
      <c r="BZ1180" s="52" t="s">
        <v>166</v>
      </c>
      <c r="CA1180" s="52" t="s">
        <v>500</v>
      </c>
      <c r="CB1180" s="52" t="s">
        <v>375</v>
      </c>
      <c r="CC1180" s="52" t="s">
        <v>3738</v>
      </c>
      <c r="CD1180" s="53">
        <v>44341</v>
      </c>
      <c r="CE1180" s="53">
        <v>44348</v>
      </c>
      <c r="CF1180" s="52">
        <v>100</v>
      </c>
      <c r="CG1180" s="54" t="s">
        <v>3739</v>
      </c>
      <c r="CH1180" s="11"/>
      <c r="CI1180" s="11"/>
      <c r="CJ1180" s="11"/>
      <c r="CK1180" s="11"/>
      <c r="CL1180" s="11"/>
      <c r="CM1180" s="11"/>
      <c r="CN1180" s="11"/>
      <c r="CO1180" s="11"/>
      <c r="CP1180" s="11"/>
      <c r="CQ1180" s="11"/>
      <c r="CR1180" s="11"/>
      <c r="CS1180" s="11"/>
      <c r="CT1180" s="11"/>
      <c r="CU1180" s="11"/>
      <c r="CV1180" s="11"/>
      <c r="CW1180" s="11"/>
      <c r="CX1180" s="11"/>
      <c r="CY1180" s="11"/>
      <c r="CZ1180" s="11"/>
      <c r="DA1180" s="11"/>
      <c r="DB1180" s="11"/>
      <c r="DC1180" s="11"/>
      <c r="DD1180" s="11"/>
      <c r="DE1180" s="11"/>
      <c r="DF1180" s="11"/>
      <c r="DG1180" s="11"/>
      <c r="DH1180" s="11"/>
      <c r="DI1180" s="11"/>
      <c r="DJ1180" s="11"/>
      <c r="DK1180" s="11"/>
      <c r="DL1180" s="11"/>
      <c r="DM1180" s="11"/>
      <c r="DN1180" s="11"/>
      <c r="DO1180" s="11"/>
      <c r="DP1180" s="11"/>
      <c r="DQ1180" s="11"/>
      <c r="DR1180" s="11"/>
      <c r="DS1180" s="11"/>
      <c r="DT1180" s="11"/>
      <c r="DU1180" s="11"/>
      <c r="DV1180" s="11"/>
      <c r="DW1180" s="11"/>
      <c r="DX1180" s="11"/>
      <c r="DY1180" s="11"/>
      <c r="DZ1180" s="11"/>
      <c r="EA1180" s="11"/>
      <c r="EB1180" s="11"/>
      <c r="EC1180" s="11"/>
      <c r="ED1180" s="11"/>
      <c r="EE1180" s="11"/>
      <c r="EF1180" s="11"/>
      <c r="EG1180" s="11"/>
      <c r="EH1180" s="11"/>
      <c r="EI1180" s="11"/>
      <c r="EJ1180" s="11"/>
      <c r="EK1180" s="11"/>
      <c r="EL1180" s="11"/>
      <c r="EM1180" s="11"/>
      <c r="EN1180" s="11"/>
      <c r="EO1180" s="11"/>
      <c r="EP1180" s="11"/>
      <c r="EQ1180" s="11"/>
      <c r="ER1180" s="11"/>
      <c r="ES1180" s="11"/>
      <c r="ET1180" s="11"/>
      <c r="EU1180" s="11"/>
      <c r="EV1180" s="11"/>
      <c r="EW1180" s="11"/>
      <c r="EX1180" s="11"/>
      <c r="EY1180" s="11"/>
      <c r="EZ1180" s="11"/>
      <c r="FA1180" s="11"/>
      <c r="FB1180" s="11"/>
      <c r="FC1180" s="11"/>
      <c r="FD1180" s="11"/>
      <c r="FE1180" s="11"/>
      <c r="FF1180" s="11"/>
      <c r="FG1180" s="11"/>
      <c r="FH1180" s="11"/>
      <c r="FI1180" s="11"/>
      <c r="FJ1180" s="11"/>
      <c r="FK1180" s="11"/>
      <c r="FL1180" s="11"/>
      <c r="FM1180" s="11"/>
      <c r="FN1180" s="11"/>
      <c r="FO1180" s="11"/>
      <c r="FP1180" s="11"/>
      <c r="FQ1180" s="11"/>
      <c r="FR1180" s="11"/>
      <c r="FS1180" s="11"/>
      <c r="FT1180" s="11"/>
      <c r="FU1180" s="11"/>
      <c r="FV1180" s="11"/>
      <c r="FW1180" s="11"/>
      <c r="FX1180" s="11"/>
      <c r="FY1180" s="11"/>
      <c r="FZ1180" s="11"/>
      <c r="GA1180" s="11"/>
      <c r="GB1180" s="11"/>
      <c r="GC1180" s="11"/>
      <c r="GD1180" s="11"/>
      <c r="GE1180" s="11"/>
      <c r="GF1180" s="11"/>
      <c r="GG1180" s="11"/>
      <c r="GH1180" s="11"/>
      <c r="GI1180" s="11"/>
      <c r="GJ1180" s="11"/>
      <c r="GK1180" s="11"/>
      <c r="GL1180" s="11"/>
      <c r="GM1180" s="11"/>
      <c r="GN1180" s="11"/>
      <c r="GO1180" s="11"/>
      <c r="GP1180" s="11"/>
      <c r="GQ1180" s="11"/>
      <c r="GR1180" s="11"/>
      <c r="GS1180" s="11"/>
      <c r="GT1180" s="11"/>
      <c r="GU1180" s="11"/>
      <c r="GV1180" s="11"/>
      <c r="GW1180" s="11"/>
      <c r="GX1180" s="11"/>
      <c r="GY1180" s="11"/>
      <c r="GZ1180" s="11"/>
      <c r="HA1180" s="11"/>
    </row>
    <row r="1181" spans="1:209" ht="23.25" customHeight="1" x14ac:dyDescent="0.15">
      <c r="A1181" s="11"/>
      <c r="B1181" s="11"/>
      <c r="C1181" s="1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/>
      <c r="R1181" s="11"/>
      <c r="S1181" s="11"/>
      <c r="T1181" s="11"/>
      <c r="U1181" s="11"/>
      <c r="V1181" s="11"/>
      <c r="W1181" s="11"/>
      <c r="X1181" s="11"/>
      <c r="Y1181" s="11"/>
      <c r="Z1181" s="11"/>
      <c r="AA1181" s="11"/>
      <c r="AB1181" s="11"/>
      <c r="AC1181" s="11"/>
      <c r="AD1181" s="11"/>
      <c r="AE1181" s="11"/>
      <c r="AF1181" s="11"/>
      <c r="AG1181" s="11"/>
      <c r="AH1181" s="11"/>
      <c r="AI1181" s="11"/>
      <c r="AJ1181" s="11"/>
      <c r="AK1181" s="11"/>
      <c r="AL1181" s="11"/>
      <c r="AM1181" s="11"/>
      <c r="AN1181" s="11"/>
      <c r="AO1181" s="11"/>
      <c r="AP1181" s="11"/>
      <c r="AQ1181" s="11"/>
      <c r="AR1181" s="11"/>
      <c r="AS1181" s="11"/>
      <c r="AT1181" s="11"/>
      <c r="AU1181" s="11"/>
      <c r="AV1181" s="11"/>
      <c r="AW1181" s="11"/>
      <c r="AX1181" s="11"/>
      <c r="AY1181" s="11"/>
      <c r="AZ1181" s="11"/>
      <c r="BA1181" s="11"/>
      <c r="BB1181" s="11"/>
      <c r="BC1181" s="11"/>
      <c r="BD1181" s="11"/>
      <c r="BE1181" s="11"/>
      <c r="BF1181" s="11"/>
      <c r="BG1181" s="11"/>
      <c r="BH1181" s="11"/>
      <c r="BI1181" s="11"/>
      <c r="BJ1181" s="11"/>
      <c r="BK1181" s="11"/>
      <c r="BL1181" s="11"/>
      <c r="BM1181" s="11"/>
      <c r="BN1181" s="11"/>
      <c r="BO1181" s="11"/>
      <c r="BP1181" s="11"/>
      <c r="BQ1181" s="11"/>
      <c r="BR1181" s="11"/>
      <c r="BS1181" s="11"/>
      <c r="BT1181" s="11"/>
      <c r="BU1181" s="11"/>
      <c r="BV1181" s="11"/>
      <c r="BW1181" s="52" t="s">
        <v>830</v>
      </c>
      <c r="BX1181" s="52" t="s">
        <v>831</v>
      </c>
      <c r="BY1181" s="11"/>
      <c r="BZ1181" s="52" t="s">
        <v>166</v>
      </c>
      <c r="CA1181" s="52" t="s">
        <v>3702</v>
      </c>
      <c r="CB1181" s="52" t="s">
        <v>343</v>
      </c>
      <c r="CC1181" s="52" t="s">
        <v>376</v>
      </c>
      <c r="CD1181" s="53">
        <v>43922</v>
      </c>
      <c r="CE1181" s="53">
        <v>44044</v>
      </c>
      <c r="CF1181" s="52">
        <v>94</v>
      </c>
      <c r="CG1181" s="54" t="s">
        <v>3740</v>
      </c>
      <c r="CH1181" s="11"/>
      <c r="CI1181" s="11"/>
      <c r="CJ1181" s="11"/>
      <c r="CK1181" s="11"/>
      <c r="CL1181" s="11"/>
      <c r="CM1181" s="11"/>
      <c r="CN1181" s="11"/>
      <c r="CO1181" s="11"/>
      <c r="CP1181" s="11"/>
      <c r="CQ1181" s="11"/>
      <c r="CR1181" s="11"/>
      <c r="CS1181" s="11"/>
      <c r="CT1181" s="11"/>
      <c r="CU1181" s="11"/>
      <c r="CV1181" s="11"/>
      <c r="CW1181" s="11"/>
      <c r="CX1181" s="11"/>
      <c r="CY1181" s="11"/>
      <c r="CZ1181" s="11"/>
      <c r="DA1181" s="11"/>
      <c r="DB1181" s="11"/>
      <c r="DC1181" s="11"/>
      <c r="DD1181" s="11"/>
      <c r="DE1181" s="11"/>
      <c r="DF1181" s="11"/>
      <c r="DG1181" s="11"/>
      <c r="DH1181" s="11"/>
      <c r="DI1181" s="11"/>
      <c r="DJ1181" s="11"/>
      <c r="DK1181" s="11"/>
      <c r="DL1181" s="11"/>
      <c r="DM1181" s="11"/>
      <c r="DN1181" s="11"/>
      <c r="DO1181" s="11"/>
      <c r="DP1181" s="11"/>
      <c r="DQ1181" s="11"/>
      <c r="DR1181" s="11"/>
      <c r="DS1181" s="11"/>
      <c r="DT1181" s="11"/>
      <c r="DU1181" s="11"/>
      <c r="DV1181" s="11"/>
      <c r="DW1181" s="11"/>
      <c r="DX1181" s="11"/>
      <c r="DY1181" s="11"/>
      <c r="DZ1181" s="11"/>
      <c r="EA1181" s="11"/>
      <c r="EB1181" s="11"/>
      <c r="EC1181" s="11"/>
      <c r="ED1181" s="11"/>
      <c r="EE1181" s="11"/>
      <c r="EF1181" s="11"/>
      <c r="EG1181" s="11"/>
      <c r="EH1181" s="11"/>
      <c r="EI1181" s="11"/>
      <c r="EJ1181" s="11"/>
      <c r="EK1181" s="11"/>
      <c r="EL1181" s="11"/>
      <c r="EM1181" s="11"/>
      <c r="EN1181" s="11"/>
      <c r="EO1181" s="11"/>
      <c r="EP1181" s="11"/>
      <c r="EQ1181" s="11"/>
      <c r="ER1181" s="11"/>
      <c r="ES1181" s="11"/>
      <c r="ET1181" s="11"/>
      <c r="EU1181" s="11"/>
      <c r="EV1181" s="11"/>
      <c r="EW1181" s="11"/>
      <c r="EX1181" s="11"/>
      <c r="EY1181" s="11"/>
      <c r="EZ1181" s="11"/>
      <c r="FA1181" s="11"/>
      <c r="FB1181" s="11"/>
      <c r="FC1181" s="11"/>
      <c r="FD1181" s="11"/>
      <c r="FE1181" s="11"/>
      <c r="FF1181" s="11"/>
      <c r="FG1181" s="11"/>
      <c r="FH1181" s="11"/>
      <c r="FI1181" s="11"/>
      <c r="FJ1181" s="11"/>
      <c r="FK1181" s="11"/>
      <c r="FL1181" s="11"/>
      <c r="FM1181" s="11"/>
      <c r="FN1181" s="11"/>
      <c r="FO1181" s="11"/>
      <c r="FP1181" s="11"/>
      <c r="FQ1181" s="11"/>
      <c r="FR1181" s="11"/>
      <c r="FS1181" s="11"/>
      <c r="FT1181" s="11"/>
      <c r="FU1181" s="11"/>
      <c r="FV1181" s="11"/>
      <c r="FW1181" s="11"/>
      <c r="FX1181" s="11"/>
      <c r="FY1181" s="11"/>
      <c r="FZ1181" s="11"/>
      <c r="GA1181" s="11"/>
      <c r="GB1181" s="11"/>
      <c r="GC1181" s="11"/>
      <c r="GD1181" s="11"/>
      <c r="GE1181" s="11"/>
      <c r="GF1181" s="11"/>
      <c r="GG1181" s="11"/>
      <c r="GH1181" s="11"/>
      <c r="GI1181" s="11"/>
      <c r="GJ1181" s="11"/>
      <c r="GK1181" s="11"/>
      <c r="GL1181" s="11"/>
      <c r="GM1181" s="11"/>
      <c r="GN1181" s="11"/>
      <c r="GO1181" s="11"/>
      <c r="GP1181" s="11"/>
      <c r="GQ1181" s="11"/>
      <c r="GR1181" s="11"/>
      <c r="GS1181" s="11"/>
      <c r="GT1181" s="11"/>
      <c r="GU1181" s="11"/>
      <c r="GV1181" s="11"/>
      <c r="GW1181" s="11"/>
      <c r="GX1181" s="11"/>
      <c r="GY1181" s="11"/>
      <c r="GZ1181" s="11"/>
      <c r="HA1181" s="11"/>
    </row>
    <row r="1182" spans="1:209" ht="23.25" customHeight="1" x14ac:dyDescent="0.15">
      <c r="A1182" s="11"/>
      <c r="B1182" s="11"/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/>
      <c r="R1182" s="11"/>
      <c r="S1182" s="11"/>
      <c r="T1182" s="11"/>
      <c r="U1182" s="11"/>
      <c r="V1182" s="11"/>
      <c r="W1182" s="11"/>
      <c r="X1182" s="11"/>
      <c r="Y1182" s="11"/>
      <c r="Z1182" s="11"/>
      <c r="AA1182" s="11"/>
      <c r="AB1182" s="11"/>
      <c r="AC1182" s="11"/>
      <c r="AD1182" s="11"/>
      <c r="AE1182" s="11"/>
      <c r="AF1182" s="11"/>
      <c r="AG1182" s="11"/>
      <c r="AH1182" s="11"/>
      <c r="AI1182" s="11"/>
      <c r="AJ1182" s="11"/>
      <c r="AK1182" s="11"/>
      <c r="AL1182" s="11"/>
      <c r="AM1182" s="11"/>
      <c r="AN1182" s="11"/>
      <c r="AO1182" s="11"/>
      <c r="AP1182" s="11"/>
      <c r="AQ1182" s="11"/>
      <c r="AR1182" s="11"/>
      <c r="AS1182" s="11"/>
      <c r="AT1182" s="11"/>
      <c r="AU1182" s="11"/>
      <c r="AV1182" s="11"/>
      <c r="AW1182" s="11"/>
      <c r="AX1182" s="11"/>
      <c r="AY1182" s="11"/>
      <c r="AZ1182" s="11"/>
      <c r="BA1182" s="11"/>
      <c r="BB1182" s="11"/>
      <c r="BC1182" s="11"/>
      <c r="BD1182" s="11"/>
      <c r="BE1182" s="11"/>
      <c r="BF1182" s="11"/>
      <c r="BG1182" s="11"/>
      <c r="BH1182" s="11"/>
      <c r="BI1182" s="11"/>
      <c r="BJ1182" s="11"/>
      <c r="BK1182" s="11"/>
      <c r="BL1182" s="11"/>
      <c r="BM1182" s="11"/>
      <c r="BN1182" s="11"/>
      <c r="BO1182" s="11"/>
      <c r="BP1182" s="11"/>
      <c r="BQ1182" s="11"/>
      <c r="BR1182" s="11"/>
      <c r="BS1182" s="11"/>
      <c r="BT1182" s="11"/>
      <c r="BU1182" s="11"/>
      <c r="BV1182" s="11"/>
      <c r="BW1182" s="52" t="s">
        <v>830</v>
      </c>
      <c r="BX1182" s="52" t="s">
        <v>831</v>
      </c>
      <c r="BY1182" s="11"/>
      <c r="BZ1182" s="52" t="s">
        <v>166</v>
      </c>
      <c r="CA1182" s="52" t="s">
        <v>3741</v>
      </c>
      <c r="CB1182" s="52" t="s">
        <v>343</v>
      </c>
      <c r="CC1182" s="52" t="s">
        <v>448</v>
      </c>
      <c r="CD1182" s="53">
        <v>43922</v>
      </c>
      <c r="CE1182" s="53">
        <v>44012</v>
      </c>
      <c r="CF1182" s="52">
        <v>95</v>
      </c>
      <c r="CG1182" s="54" t="s">
        <v>3742</v>
      </c>
      <c r="CH1182" s="11"/>
      <c r="CI1182" s="11"/>
      <c r="CJ1182" s="11"/>
      <c r="CK1182" s="11"/>
      <c r="CL1182" s="11"/>
      <c r="CM1182" s="11"/>
      <c r="CN1182" s="11"/>
      <c r="CO1182" s="11"/>
      <c r="CP1182" s="11"/>
      <c r="CQ1182" s="11"/>
      <c r="CR1182" s="11"/>
      <c r="CS1182" s="11"/>
      <c r="CT1182" s="11"/>
      <c r="CU1182" s="11"/>
      <c r="CV1182" s="11"/>
      <c r="CW1182" s="11"/>
      <c r="CX1182" s="11"/>
      <c r="CY1182" s="11"/>
      <c r="CZ1182" s="11"/>
      <c r="DA1182" s="11"/>
      <c r="DB1182" s="11"/>
      <c r="DC1182" s="11"/>
      <c r="DD1182" s="11"/>
      <c r="DE1182" s="11"/>
      <c r="DF1182" s="11"/>
      <c r="DG1182" s="11"/>
      <c r="DH1182" s="11"/>
      <c r="DI1182" s="11"/>
      <c r="DJ1182" s="11"/>
      <c r="DK1182" s="11"/>
      <c r="DL1182" s="11"/>
      <c r="DM1182" s="11"/>
      <c r="DN1182" s="11"/>
      <c r="DO1182" s="11"/>
      <c r="DP1182" s="11"/>
      <c r="DQ1182" s="11"/>
      <c r="DR1182" s="11"/>
      <c r="DS1182" s="11"/>
      <c r="DT1182" s="11"/>
      <c r="DU1182" s="11"/>
      <c r="DV1182" s="11"/>
      <c r="DW1182" s="11"/>
      <c r="DX1182" s="11"/>
      <c r="DY1182" s="11"/>
      <c r="DZ1182" s="11"/>
      <c r="EA1182" s="11"/>
      <c r="EB1182" s="11"/>
      <c r="EC1182" s="11"/>
      <c r="ED1182" s="11"/>
      <c r="EE1182" s="11"/>
      <c r="EF1182" s="11"/>
      <c r="EG1182" s="11"/>
      <c r="EH1182" s="11"/>
      <c r="EI1182" s="11"/>
      <c r="EJ1182" s="11"/>
      <c r="EK1182" s="11"/>
      <c r="EL1182" s="11"/>
      <c r="EM1182" s="11"/>
      <c r="EN1182" s="11"/>
      <c r="EO1182" s="11"/>
      <c r="EP1182" s="11"/>
      <c r="EQ1182" s="11"/>
      <c r="ER1182" s="11"/>
      <c r="ES1182" s="11"/>
      <c r="ET1182" s="11"/>
      <c r="EU1182" s="11"/>
      <c r="EV1182" s="11"/>
      <c r="EW1182" s="11"/>
      <c r="EX1182" s="11"/>
      <c r="EY1182" s="11"/>
      <c r="EZ1182" s="11"/>
      <c r="FA1182" s="11"/>
      <c r="FB1182" s="11"/>
      <c r="FC1182" s="11"/>
      <c r="FD1182" s="11"/>
      <c r="FE1182" s="11"/>
      <c r="FF1182" s="11"/>
      <c r="FG1182" s="11"/>
      <c r="FH1182" s="11"/>
      <c r="FI1182" s="11"/>
      <c r="FJ1182" s="11"/>
      <c r="FK1182" s="11"/>
      <c r="FL1182" s="11"/>
      <c r="FM1182" s="11"/>
      <c r="FN1182" s="11"/>
      <c r="FO1182" s="11"/>
      <c r="FP1182" s="11"/>
      <c r="FQ1182" s="11"/>
      <c r="FR1182" s="11"/>
      <c r="FS1182" s="11"/>
      <c r="FT1182" s="11"/>
      <c r="FU1182" s="11"/>
      <c r="FV1182" s="11"/>
      <c r="FW1182" s="11"/>
      <c r="FX1182" s="11"/>
      <c r="FY1182" s="11"/>
      <c r="FZ1182" s="11"/>
      <c r="GA1182" s="11"/>
      <c r="GB1182" s="11"/>
      <c r="GC1182" s="11"/>
      <c r="GD1182" s="11"/>
      <c r="GE1182" s="11"/>
      <c r="GF1182" s="11"/>
      <c r="GG1182" s="11"/>
      <c r="GH1182" s="11"/>
      <c r="GI1182" s="11"/>
      <c r="GJ1182" s="11"/>
      <c r="GK1182" s="11"/>
      <c r="GL1182" s="11"/>
      <c r="GM1182" s="11"/>
      <c r="GN1182" s="11"/>
      <c r="GO1182" s="11"/>
      <c r="GP1182" s="11"/>
      <c r="GQ1182" s="11"/>
      <c r="GR1182" s="11"/>
      <c r="GS1182" s="11"/>
      <c r="GT1182" s="11"/>
      <c r="GU1182" s="11"/>
      <c r="GV1182" s="11"/>
      <c r="GW1182" s="11"/>
      <c r="GX1182" s="11"/>
      <c r="GY1182" s="11"/>
      <c r="GZ1182" s="11"/>
      <c r="HA1182" s="11"/>
    </row>
    <row r="1183" spans="1:209" ht="23.25" customHeight="1" x14ac:dyDescent="0.15">
      <c r="A1183" s="11"/>
      <c r="B1183" s="11"/>
      <c r="C1183" s="1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/>
      <c r="R1183" s="11"/>
      <c r="S1183" s="11"/>
      <c r="T1183" s="11"/>
      <c r="U1183" s="11"/>
      <c r="V1183" s="11"/>
      <c r="W1183" s="11"/>
      <c r="X1183" s="11"/>
      <c r="Y1183" s="11"/>
      <c r="Z1183" s="11"/>
      <c r="AA1183" s="11"/>
      <c r="AB1183" s="11"/>
      <c r="AC1183" s="11"/>
      <c r="AD1183" s="11"/>
      <c r="AE1183" s="11"/>
      <c r="AF1183" s="11"/>
      <c r="AG1183" s="11"/>
      <c r="AH1183" s="11"/>
      <c r="AI1183" s="11"/>
      <c r="AJ1183" s="11"/>
      <c r="AK1183" s="11"/>
      <c r="AL1183" s="11"/>
      <c r="AM1183" s="11"/>
      <c r="AN1183" s="11"/>
      <c r="AO1183" s="11"/>
      <c r="AP1183" s="11"/>
      <c r="AQ1183" s="11"/>
      <c r="AR1183" s="11"/>
      <c r="AS1183" s="11"/>
      <c r="AT1183" s="11"/>
      <c r="AU1183" s="11"/>
      <c r="AV1183" s="11"/>
      <c r="AW1183" s="11"/>
      <c r="AX1183" s="11"/>
      <c r="AY1183" s="11"/>
      <c r="AZ1183" s="11"/>
      <c r="BA1183" s="11"/>
      <c r="BB1183" s="11"/>
      <c r="BC1183" s="11"/>
      <c r="BD1183" s="11"/>
      <c r="BE1183" s="11"/>
      <c r="BF1183" s="11"/>
      <c r="BG1183" s="11"/>
      <c r="BH1183" s="11"/>
      <c r="BI1183" s="11"/>
      <c r="BJ1183" s="11"/>
      <c r="BK1183" s="11"/>
      <c r="BL1183" s="11"/>
      <c r="BM1183" s="11"/>
      <c r="BN1183" s="11"/>
      <c r="BO1183" s="11"/>
      <c r="BP1183" s="11"/>
      <c r="BQ1183" s="11"/>
      <c r="BR1183" s="11"/>
      <c r="BS1183" s="11"/>
      <c r="BT1183" s="11"/>
      <c r="BU1183" s="11"/>
      <c r="BV1183" s="11"/>
      <c r="BW1183" s="52" t="s">
        <v>830</v>
      </c>
      <c r="BX1183" s="52" t="s">
        <v>831</v>
      </c>
      <c r="BY1183" s="11"/>
      <c r="BZ1183" s="52" t="s">
        <v>166</v>
      </c>
      <c r="CA1183" s="52" t="s">
        <v>3699</v>
      </c>
      <c r="CB1183" s="52" t="s">
        <v>343</v>
      </c>
      <c r="CC1183" s="52" t="s">
        <v>448</v>
      </c>
      <c r="CD1183" s="53">
        <v>43922</v>
      </c>
      <c r="CE1183" s="53">
        <v>44012</v>
      </c>
      <c r="CF1183" s="52">
        <v>95</v>
      </c>
      <c r="CG1183" s="54" t="s">
        <v>3743</v>
      </c>
      <c r="CH1183" s="11"/>
      <c r="CI1183" s="11"/>
      <c r="CJ1183" s="11"/>
      <c r="CK1183" s="11"/>
      <c r="CL1183" s="11"/>
      <c r="CM1183" s="11"/>
      <c r="CN1183" s="11"/>
      <c r="CO1183" s="11"/>
      <c r="CP1183" s="11"/>
      <c r="CQ1183" s="11"/>
      <c r="CR1183" s="11"/>
      <c r="CS1183" s="11"/>
      <c r="CT1183" s="11"/>
      <c r="CU1183" s="11"/>
      <c r="CV1183" s="11"/>
      <c r="CW1183" s="11"/>
      <c r="CX1183" s="11"/>
      <c r="CY1183" s="11"/>
      <c r="CZ1183" s="11"/>
      <c r="DA1183" s="11"/>
      <c r="DB1183" s="11"/>
      <c r="DC1183" s="11"/>
      <c r="DD1183" s="11"/>
      <c r="DE1183" s="11"/>
      <c r="DF1183" s="11"/>
      <c r="DG1183" s="11"/>
      <c r="DH1183" s="11"/>
      <c r="DI1183" s="11"/>
      <c r="DJ1183" s="11"/>
      <c r="DK1183" s="11"/>
      <c r="DL1183" s="11"/>
      <c r="DM1183" s="11"/>
      <c r="DN1183" s="11"/>
      <c r="DO1183" s="11"/>
      <c r="DP1183" s="11"/>
      <c r="DQ1183" s="11"/>
      <c r="DR1183" s="11"/>
      <c r="DS1183" s="11"/>
      <c r="DT1183" s="11"/>
      <c r="DU1183" s="11"/>
      <c r="DV1183" s="11"/>
      <c r="DW1183" s="11"/>
      <c r="DX1183" s="11"/>
      <c r="DY1183" s="11"/>
      <c r="DZ1183" s="11"/>
      <c r="EA1183" s="11"/>
      <c r="EB1183" s="11"/>
      <c r="EC1183" s="11"/>
      <c r="ED1183" s="11"/>
      <c r="EE1183" s="11"/>
      <c r="EF1183" s="11"/>
      <c r="EG1183" s="11"/>
      <c r="EH1183" s="11"/>
      <c r="EI1183" s="11"/>
      <c r="EJ1183" s="11"/>
      <c r="EK1183" s="11"/>
      <c r="EL1183" s="11"/>
      <c r="EM1183" s="11"/>
      <c r="EN1183" s="11"/>
      <c r="EO1183" s="11"/>
      <c r="EP1183" s="11"/>
      <c r="EQ1183" s="11"/>
      <c r="ER1183" s="11"/>
      <c r="ES1183" s="11"/>
      <c r="ET1183" s="11"/>
      <c r="EU1183" s="11"/>
      <c r="EV1183" s="11"/>
      <c r="EW1183" s="11"/>
      <c r="EX1183" s="11"/>
      <c r="EY1183" s="11"/>
      <c r="EZ1183" s="11"/>
      <c r="FA1183" s="11"/>
      <c r="FB1183" s="11"/>
      <c r="FC1183" s="11"/>
      <c r="FD1183" s="11"/>
      <c r="FE1183" s="11"/>
      <c r="FF1183" s="11"/>
      <c r="FG1183" s="11"/>
      <c r="FH1183" s="11"/>
      <c r="FI1183" s="11"/>
      <c r="FJ1183" s="11"/>
      <c r="FK1183" s="11"/>
      <c r="FL1183" s="11"/>
      <c r="FM1183" s="11"/>
      <c r="FN1183" s="11"/>
      <c r="FO1183" s="11"/>
      <c r="FP1183" s="11"/>
      <c r="FQ1183" s="11"/>
      <c r="FR1183" s="11"/>
      <c r="FS1183" s="11"/>
      <c r="FT1183" s="11"/>
      <c r="FU1183" s="11"/>
      <c r="FV1183" s="11"/>
      <c r="FW1183" s="11"/>
      <c r="FX1183" s="11"/>
      <c r="FY1183" s="11"/>
      <c r="FZ1183" s="11"/>
      <c r="GA1183" s="11"/>
      <c r="GB1183" s="11"/>
      <c r="GC1183" s="11"/>
      <c r="GD1183" s="11"/>
      <c r="GE1183" s="11"/>
      <c r="GF1183" s="11"/>
      <c r="GG1183" s="11"/>
      <c r="GH1183" s="11"/>
      <c r="GI1183" s="11"/>
      <c r="GJ1183" s="11"/>
      <c r="GK1183" s="11"/>
      <c r="GL1183" s="11"/>
      <c r="GM1183" s="11"/>
      <c r="GN1183" s="11"/>
      <c r="GO1183" s="11"/>
      <c r="GP1183" s="11"/>
      <c r="GQ1183" s="11"/>
      <c r="GR1183" s="11"/>
      <c r="GS1183" s="11"/>
      <c r="GT1183" s="11"/>
      <c r="GU1183" s="11"/>
      <c r="GV1183" s="11"/>
      <c r="GW1183" s="11"/>
      <c r="GX1183" s="11"/>
      <c r="GY1183" s="11"/>
      <c r="GZ1183" s="11"/>
      <c r="HA1183" s="11"/>
    </row>
    <row r="1184" spans="1:209" ht="23.25" customHeight="1" x14ac:dyDescent="0.15">
      <c r="A1184" s="11"/>
      <c r="B1184" s="11"/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/>
      <c r="R1184" s="11"/>
      <c r="S1184" s="11"/>
      <c r="T1184" s="11"/>
      <c r="U1184" s="11"/>
      <c r="V1184" s="11"/>
      <c r="W1184" s="11"/>
      <c r="X1184" s="11"/>
      <c r="Y1184" s="11"/>
      <c r="Z1184" s="11"/>
      <c r="AA1184" s="11"/>
      <c r="AB1184" s="11"/>
      <c r="AC1184" s="11"/>
      <c r="AD1184" s="11"/>
      <c r="AE1184" s="11"/>
      <c r="AF1184" s="11"/>
      <c r="AG1184" s="11"/>
      <c r="AH1184" s="11"/>
      <c r="AI1184" s="11"/>
      <c r="AJ1184" s="11"/>
      <c r="AK1184" s="11"/>
      <c r="AL1184" s="11"/>
      <c r="AM1184" s="11"/>
      <c r="AN1184" s="11"/>
      <c r="AO1184" s="11"/>
      <c r="AP1184" s="11"/>
      <c r="AQ1184" s="11"/>
      <c r="AR1184" s="11"/>
      <c r="AS1184" s="11"/>
      <c r="AT1184" s="11"/>
      <c r="AU1184" s="11"/>
      <c r="AV1184" s="11"/>
      <c r="AW1184" s="11"/>
      <c r="AX1184" s="11"/>
      <c r="AY1184" s="11"/>
      <c r="AZ1184" s="11"/>
      <c r="BA1184" s="11"/>
      <c r="BB1184" s="11"/>
      <c r="BC1184" s="11"/>
      <c r="BD1184" s="11"/>
      <c r="BE1184" s="11"/>
      <c r="BF1184" s="11"/>
      <c r="BG1184" s="11"/>
      <c r="BH1184" s="11"/>
      <c r="BI1184" s="11"/>
      <c r="BJ1184" s="11"/>
      <c r="BK1184" s="11"/>
      <c r="BL1184" s="11"/>
      <c r="BM1184" s="11"/>
      <c r="BN1184" s="11"/>
      <c r="BO1184" s="11"/>
      <c r="BP1184" s="11"/>
      <c r="BQ1184" s="11"/>
      <c r="BR1184" s="11"/>
      <c r="BS1184" s="11"/>
      <c r="BT1184" s="11"/>
      <c r="BU1184" s="11"/>
      <c r="BV1184" s="11"/>
      <c r="BW1184" s="52" t="s">
        <v>830</v>
      </c>
      <c r="BX1184" s="52" t="s">
        <v>831</v>
      </c>
      <c r="BY1184" s="11"/>
      <c r="BZ1184" s="52" t="s">
        <v>166</v>
      </c>
      <c r="CA1184" s="52" t="s">
        <v>3744</v>
      </c>
      <c r="CB1184" s="52" t="s">
        <v>343</v>
      </c>
      <c r="CC1184" s="52" t="s">
        <v>308</v>
      </c>
      <c r="CD1184" s="53">
        <v>43922</v>
      </c>
      <c r="CE1184" s="53">
        <v>44007</v>
      </c>
      <c r="CF1184" s="52">
        <v>94</v>
      </c>
      <c r="CG1184" s="54" t="s">
        <v>3745</v>
      </c>
      <c r="CH1184" s="11"/>
      <c r="CI1184" s="11"/>
      <c r="CJ1184" s="11"/>
      <c r="CK1184" s="11"/>
      <c r="CL1184" s="11"/>
      <c r="CM1184" s="11"/>
      <c r="CN1184" s="11"/>
      <c r="CO1184" s="11"/>
      <c r="CP1184" s="11"/>
      <c r="CQ1184" s="11"/>
      <c r="CR1184" s="11"/>
      <c r="CS1184" s="11"/>
      <c r="CT1184" s="11"/>
      <c r="CU1184" s="11"/>
      <c r="CV1184" s="11"/>
      <c r="CW1184" s="11"/>
      <c r="CX1184" s="11"/>
      <c r="CY1184" s="11"/>
      <c r="CZ1184" s="11"/>
      <c r="DA1184" s="11"/>
      <c r="DB1184" s="11"/>
      <c r="DC1184" s="11"/>
      <c r="DD1184" s="11"/>
      <c r="DE1184" s="11"/>
      <c r="DF1184" s="11"/>
      <c r="DG1184" s="11"/>
      <c r="DH1184" s="11"/>
      <c r="DI1184" s="11"/>
      <c r="DJ1184" s="11"/>
      <c r="DK1184" s="11"/>
      <c r="DL1184" s="11"/>
      <c r="DM1184" s="11"/>
      <c r="DN1184" s="11"/>
      <c r="DO1184" s="11"/>
      <c r="DP1184" s="11"/>
      <c r="DQ1184" s="11"/>
      <c r="DR1184" s="11"/>
      <c r="DS1184" s="11"/>
      <c r="DT1184" s="11"/>
      <c r="DU1184" s="11"/>
      <c r="DV1184" s="11"/>
      <c r="DW1184" s="11"/>
      <c r="DX1184" s="11"/>
      <c r="DY1184" s="11"/>
      <c r="DZ1184" s="11"/>
      <c r="EA1184" s="11"/>
      <c r="EB1184" s="11"/>
      <c r="EC1184" s="11"/>
      <c r="ED1184" s="11"/>
      <c r="EE1184" s="11"/>
      <c r="EF1184" s="11"/>
      <c r="EG1184" s="11"/>
      <c r="EH1184" s="11"/>
      <c r="EI1184" s="11"/>
      <c r="EJ1184" s="11"/>
      <c r="EK1184" s="11"/>
      <c r="EL1184" s="11"/>
      <c r="EM1184" s="11"/>
      <c r="EN1184" s="11"/>
      <c r="EO1184" s="11"/>
      <c r="EP1184" s="11"/>
      <c r="EQ1184" s="11"/>
      <c r="ER1184" s="11"/>
      <c r="ES1184" s="11"/>
      <c r="ET1184" s="11"/>
      <c r="EU1184" s="11"/>
      <c r="EV1184" s="11"/>
      <c r="EW1184" s="11"/>
      <c r="EX1184" s="11"/>
      <c r="EY1184" s="11"/>
      <c r="EZ1184" s="11"/>
      <c r="FA1184" s="11"/>
      <c r="FB1184" s="11"/>
      <c r="FC1184" s="11"/>
      <c r="FD1184" s="11"/>
      <c r="FE1184" s="11"/>
      <c r="FF1184" s="11"/>
      <c r="FG1184" s="11"/>
      <c r="FH1184" s="11"/>
      <c r="FI1184" s="11"/>
      <c r="FJ1184" s="11"/>
      <c r="FK1184" s="11"/>
      <c r="FL1184" s="11"/>
      <c r="FM1184" s="11"/>
      <c r="FN1184" s="11"/>
      <c r="FO1184" s="11"/>
      <c r="FP1184" s="11"/>
      <c r="FQ1184" s="11"/>
      <c r="FR1184" s="11"/>
      <c r="FS1184" s="11"/>
      <c r="FT1184" s="11"/>
      <c r="FU1184" s="11"/>
      <c r="FV1184" s="11"/>
      <c r="FW1184" s="11"/>
      <c r="FX1184" s="11"/>
      <c r="FY1184" s="11"/>
      <c r="FZ1184" s="11"/>
      <c r="GA1184" s="11"/>
      <c r="GB1184" s="11"/>
      <c r="GC1184" s="11"/>
      <c r="GD1184" s="11"/>
      <c r="GE1184" s="11"/>
      <c r="GF1184" s="11"/>
      <c r="GG1184" s="11"/>
      <c r="GH1184" s="11"/>
      <c r="GI1184" s="11"/>
      <c r="GJ1184" s="11"/>
      <c r="GK1184" s="11"/>
      <c r="GL1184" s="11"/>
      <c r="GM1184" s="11"/>
      <c r="GN1184" s="11"/>
      <c r="GO1184" s="11"/>
      <c r="GP1184" s="11"/>
      <c r="GQ1184" s="11"/>
      <c r="GR1184" s="11"/>
      <c r="GS1184" s="11"/>
      <c r="GT1184" s="11"/>
      <c r="GU1184" s="11"/>
      <c r="GV1184" s="11"/>
      <c r="GW1184" s="11"/>
      <c r="GX1184" s="11"/>
      <c r="GY1184" s="11"/>
      <c r="GZ1184" s="11"/>
      <c r="HA1184" s="11"/>
    </row>
    <row r="1185" spans="1:209" ht="23.25" customHeight="1" x14ac:dyDescent="0.15">
      <c r="A1185" s="11"/>
      <c r="B1185" s="11"/>
      <c r="C1185" s="1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/>
      <c r="R1185" s="11"/>
      <c r="S1185" s="11"/>
      <c r="T1185" s="11"/>
      <c r="U1185" s="11"/>
      <c r="V1185" s="11"/>
      <c r="W1185" s="11"/>
      <c r="X1185" s="11"/>
      <c r="Y1185" s="11"/>
      <c r="Z1185" s="11"/>
      <c r="AA1185" s="11"/>
      <c r="AB1185" s="11"/>
      <c r="AC1185" s="11"/>
      <c r="AD1185" s="11"/>
      <c r="AE1185" s="11"/>
      <c r="AF1185" s="11"/>
      <c r="AG1185" s="11"/>
      <c r="AH1185" s="11"/>
      <c r="AI1185" s="11"/>
      <c r="AJ1185" s="11"/>
      <c r="AK1185" s="11"/>
      <c r="AL1185" s="11"/>
      <c r="AM1185" s="11"/>
      <c r="AN1185" s="11"/>
      <c r="AO1185" s="11"/>
      <c r="AP1185" s="11"/>
      <c r="AQ1185" s="11"/>
      <c r="AR1185" s="11"/>
      <c r="AS1185" s="11"/>
      <c r="AT1185" s="11"/>
      <c r="AU1185" s="11"/>
      <c r="AV1185" s="11"/>
      <c r="AW1185" s="11"/>
      <c r="AX1185" s="11"/>
      <c r="AY1185" s="11"/>
      <c r="AZ1185" s="11"/>
      <c r="BA1185" s="11"/>
      <c r="BB1185" s="11"/>
      <c r="BC1185" s="11"/>
      <c r="BD1185" s="11"/>
      <c r="BE1185" s="11"/>
      <c r="BF1185" s="11"/>
      <c r="BG1185" s="11"/>
      <c r="BH1185" s="11"/>
      <c r="BI1185" s="11"/>
      <c r="BJ1185" s="11"/>
      <c r="BK1185" s="11"/>
      <c r="BL1185" s="11"/>
      <c r="BM1185" s="11"/>
      <c r="BN1185" s="11"/>
      <c r="BO1185" s="11"/>
      <c r="BP1185" s="11"/>
      <c r="BQ1185" s="11"/>
      <c r="BR1185" s="11"/>
      <c r="BS1185" s="11"/>
      <c r="BT1185" s="11"/>
      <c r="BU1185" s="11"/>
      <c r="BV1185" s="11"/>
      <c r="BW1185" s="52" t="s">
        <v>830</v>
      </c>
      <c r="BX1185" s="52" t="s">
        <v>831</v>
      </c>
      <c r="BY1185" s="11"/>
      <c r="BZ1185" s="52" t="s">
        <v>166</v>
      </c>
      <c r="CA1185" s="52" t="s">
        <v>3746</v>
      </c>
      <c r="CB1185" s="52" t="s">
        <v>343</v>
      </c>
      <c r="CC1185" s="52" t="s">
        <v>448</v>
      </c>
      <c r="CD1185" s="53">
        <v>43952</v>
      </c>
      <c r="CE1185" s="53">
        <v>44804</v>
      </c>
      <c r="CF1185" s="52">
        <v>96</v>
      </c>
      <c r="CG1185" s="54" t="s">
        <v>3747</v>
      </c>
      <c r="CH1185" s="11"/>
      <c r="CI1185" s="11"/>
      <c r="CJ1185" s="11"/>
      <c r="CK1185" s="11"/>
      <c r="CL1185" s="11"/>
      <c r="CM1185" s="11"/>
      <c r="CN1185" s="11"/>
      <c r="CO1185" s="11"/>
      <c r="CP1185" s="11"/>
      <c r="CQ1185" s="11"/>
      <c r="CR1185" s="11"/>
      <c r="CS1185" s="11"/>
      <c r="CT1185" s="11"/>
      <c r="CU1185" s="11"/>
      <c r="CV1185" s="11"/>
      <c r="CW1185" s="11"/>
      <c r="CX1185" s="11"/>
      <c r="CY1185" s="11"/>
      <c r="CZ1185" s="11"/>
      <c r="DA1185" s="11"/>
      <c r="DB1185" s="11"/>
      <c r="DC1185" s="11"/>
      <c r="DD1185" s="11"/>
      <c r="DE1185" s="11"/>
      <c r="DF1185" s="11"/>
      <c r="DG1185" s="11"/>
      <c r="DH1185" s="11"/>
      <c r="DI1185" s="11"/>
      <c r="DJ1185" s="11"/>
      <c r="DK1185" s="11"/>
      <c r="DL1185" s="11"/>
      <c r="DM1185" s="11"/>
      <c r="DN1185" s="11"/>
      <c r="DO1185" s="11"/>
      <c r="DP1185" s="11"/>
      <c r="DQ1185" s="11"/>
      <c r="DR1185" s="11"/>
      <c r="DS1185" s="11"/>
      <c r="DT1185" s="11"/>
      <c r="DU1185" s="11"/>
      <c r="DV1185" s="11"/>
      <c r="DW1185" s="11"/>
      <c r="DX1185" s="11"/>
      <c r="DY1185" s="11"/>
      <c r="DZ1185" s="11"/>
      <c r="EA1185" s="11"/>
      <c r="EB1185" s="11"/>
      <c r="EC1185" s="11"/>
      <c r="ED1185" s="11"/>
      <c r="EE1185" s="11"/>
      <c r="EF1185" s="11"/>
      <c r="EG1185" s="11"/>
      <c r="EH1185" s="11"/>
      <c r="EI1185" s="11"/>
      <c r="EJ1185" s="11"/>
      <c r="EK1185" s="11"/>
      <c r="EL1185" s="11"/>
      <c r="EM1185" s="11"/>
      <c r="EN1185" s="11"/>
      <c r="EO1185" s="11"/>
      <c r="EP1185" s="11"/>
      <c r="EQ1185" s="11"/>
      <c r="ER1185" s="11"/>
      <c r="ES1185" s="11"/>
      <c r="ET1185" s="11"/>
      <c r="EU1185" s="11"/>
      <c r="EV1185" s="11"/>
      <c r="EW1185" s="11"/>
      <c r="EX1185" s="11"/>
      <c r="EY1185" s="11"/>
      <c r="EZ1185" s="11"/>
      <c r="FA1185" s="11"/>
      <c r="FB1185" s="11"/>
      <c r="FC1185" s="11"/>
      <c r="FD1185" s="11"/>
      <c r="FE1185" s="11"/>
      <c r="FF1185" s="11"/>
      <c r="FG1185" s="11"/>
      <c r="FH1185" s="11"/>
      <c r="FI1185" s="11"/>
      <c r="FJ1185" s="11"/>
      <c r="FK1185" s="11"/>
      <c r="FL1185" s="11"/>
      <c r="FM1185" s="11"/>
      <c r="FN1185" s="11"/>
      <c r="FO1185" s="11"/>
      <c r="FP1185" s="11"/>
      <c r="FQ1185" s="11"/>
      <c r="FR1185" s="11"/>
      <c r="FS1185" s="11"/>
      <c r="FT1185" s="11"/>
      <c r="FU1185" s="11"/>
      <c r="FV1185" s="11"/>
      <c r="FW1185" s="11"/>
      <c r="FX1185" s="11"/>
      <c r="FY1185" s="11"/>
      <c r="FZ1185" s="11"/>
      <c r="GA1185" s="11"/>
      <c r="GB1185" s="11"/>
      <c r="GC1185" s="11"/>
      <c r="GD1185" s="11"/>
      <c r="GE1185" s="11"/>
      <c r="GF1185" s="11"/>
      <c r="GG1185" s="11"/>
      <c r="GH1185" s="11"/>
      <c r="GI1185" s="11"/>
      <c r="GJ1185" s="11"/>
      <c r="GK1185" s="11"/>
      <c r="GL1185" s="11"/>
      <c r="GM1185" s="11"/>
      <c r="GN1185" s="11"/>
      <c r="GO1185" s="11"/>
      <c r="GP1185" s="11"/>
      <c r="GQ1185" s="11"/>
      <c r="GR1185" s="11"/>
      <c r="GS1185" s="11"/>
      <c r="GT1185" s="11"/>
      <c r="GU1185" s="11"/>
      <c r="GV1185" s="11"/>
      <c r="GW1185" s="11"/>
      <c r="GX1185" s="11"/>
      <c r="GY1185" s="11"/>
      <c r="GZ1185" s="11"/>
      <c r="HA1185" s="11"/>
    </row>
    <row r="1186" spans="1:209" ht="23.25" customHeight="1" x14ac:dyDescent="0.15">
      <c r="A1186" s="11"/>
      <c r="B1186" s="11"/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/>
      <c r="R1186" s="11"/>
      <c r="S1186" s="11"/>
      <c r="T1186" s="11"/>
      <c r="U1186" s="11"/>
      <c r="V1186" s="11"/>
      <c r="W1186" s="11"/>
      <c r="X1186" s="11"/>
      <c r="Y1186" s="11"/>
      <c r="Z1186" s="11"/>
      <c r="AA1186" s="11"/>
      <c r="AB1186" s="11"/>
      <c r="AC1186" s="11"/>
      <c r="AD1186" s="11"/>
      <c r="AE1186" s="11"/>
      <c r="AF1186" s="11"/>
      <c r="AG1186" s="11"/>
      <c r="AH1186" s="11"/>
      <c r="AI1186" s="11"/>
      <c r="AJ1186" s="11"/>
      <c r="AK1186" s="11"/>
      <c r="AL1186" s="11"/>
      <c r="AM1186" s="11"/>
      <c r="AN1186" s="11"/>
      <c r="AO1186" s="11"/>
      <c r="AP1186" s="11"/>
      <c r="AQ1186" s="11"/>
      <c r="AR1186" s="11"/>
      <c r="AS1186" s="11"/>
      <c r="AT1186" s="11"/>
      <c r="AU1186" s="11"/>
      <c r="AV1186" s="11"/>
      <c r="AW1186" s="11"/>
      <c r="AX1186" s="11"/>
      <c r="AY1186" s="11"/>
      <c r="AZ1186" s="11"/>
      <c r="BA1186" s="11"/>
      <c r="BB1186" s="11"/>
      <c r="BC1186" s="11"/>
      <c r="BD1186" s="11"/>
      <c r="BE1186" s="11"/>
      <c r="BF1186" s="11"/>
      <c r="BG1186" s="11"/>
      <c r="BH1186" s="11"/>
      <c r="BI1186" s="11"/>
      <c r="BJ1186" s="11"/>
      <c r="BK1186" s="11"/>
      <c r="BL1186" s="11"/>
      <c r="BM1186" s="11"/>
      <c r="BN1186" s="11"/>
      <c r="BO1186" s="11"/>
      <c r="BP1186" s="11"/>
      <c r="BQ1186" s="11"/>
      <c r="BR1186" s="11"/>
      <c r="BS1186" s="11"/>
      <c r="BT1186" s="11"/>
      <c r="BU1186" s="11"/>
      <c r="BV1186" s="11"/>
      <c r="BW1186" s="52" t="s">
        <v>954</v>
      </c>
      <c r="BX1186" s="52" t="s">
        <v>955</v>
      </c>
      <c r="BY1186" s="11"/>
      <c r="BZ1186" s="52" t="s">
        <v>166</v>
      </c>
      <c r="CA1186" s="52" t="s">
        <v>3748</v>
      </c>
      <c r="CB1186" s="52" t="s">
        <v>3749</v>
      </c>
      <c r="CC1186" s="52" t="s">
        <v>448</v>
      </c>
      <c r="CD1186" s="53">
        <v>43942</v>
      </c>
      <c r="CE1186" s="53">
        <v>44014</v>
      </c>
      <c r="CF1186" s="52">
        <v>96.89</v>
      </c>
      <c r="CG1186" s="54" t="s">
        <v>3750</v>
      </c>
      <c r="CH1186" s="11"/>
      <c r="CI1186" s="11"/>
      <c r="CJ1186" s="11"/>
      <c r="CK1186" s="11"/>
      <c r="CL1186" s="11"/>
      <c r="CM1186" s="11"/>
      <c r="CN1186" s="11"/>
      <c r="CO1186" s="11"/>
      <c r="CP1186" s="11"/>
      <c r="CQ1186" s="11"/>
      <c r="CR1186" s="11"/>
      <c r="CS1186" s="11"/>
      <c r="CT1186" s="11"/>
      <c r="CU1186" s="11"/>
      <c r="CV1186" s="11"/>
      <c r="CW1186" s="11"/>
      <c r="CX1186" s="11"/>
      <c r="CY1186" s="11"/>
      <c r="CZ1186" s="11"/>
      <c r="DA1186" s="11"/>
      <c r="DB1186" s="11"/>
      <c r="DC1186" s="11"/>
      <c r="DD1186" s="11"/>
      <c r="DE1186" s="11"/>
      <c r="DF1186" s="11"/>
      <c r="DG1186" s="11"/>
      <c r="DH1186" s="11"/>
      <c r="DI1186" s="11"/>
      <c r="DJ1186" s="11"/>
      <c r="DK1186" s="11"/>
      <c r="DL1186" s="11"/>
      <c r="DM1186" s="11"/>
      <c r="DN1186" s="11"/>
      <c r="DO1186" s="11"/>
      <c r="DP1186" s="11"/>
      <c r="DQ1186" s="11"/>
      <c r="DR1186" s="11"/>
      <c r="DS1186" s="11"/>
      <c r="DT1186" s="11"/>
      <c r="DU1186" s="11"/>
      <c r="DV1186" s="11"/>
      <c r="DW1186" s="11"/>
      <c r="DX1186" s="11"/>
      <c r="DY1186" s="11"/>
      <c r="DZ1186" s="11"/>
      <c r="EA1186" s="11"/>
      <c r="EB1186" s="11"/>
      <c r="EC1186" s="11"/>
      <c r="ED1186" s="11"/>
      <c r="EE1186" s="11"/>
      <c r="EF1186" s="11"/>
      <c r="EG1186" s="11"/>
      <c r="EH1186" s="11"/>
      <c r="EI1186" s="11"/>
      <c r="EJ1186" s="11"/>
      <c r="EK1186" s="11"/>
      <c r="EL1186" s="11"/>
      <c r="EM1186" s="11"/>
      <c r="EN1186" s="11"/>
      <c r="EO1186" s="11"/>
      <c r="EP1186" s="11"/>
      <c r="EQ1186" s="11"/>
      <c r="ER1186" s="11"/>
      <c r="ES1186" s="11"/>
      <c r="ET1186" s="11"/>
      <c r="EU1186" s="11"/>
      <c r="EV1186" s="11"/>
      <c r="EW1186" s="11"/>
      <c r="EX1186" s="11"/>
      <c r="EY1186" s="11"/>
      <c r="EZ1186" s="11"/>
      <c r="FA1186" s="11"/>
      <c r="FB1186" s="11"/>
      <c r="FC1186" s="11"/>
      <c r="FD1186" s="11"/>
      <c r="FE1186" s="11"/>
      <c r="FF1186" s="11"/>
      <c r="FG1186" s="11"/>
      <c r="FH1186" s="11"/>
      <c r="FI1186" s="11"/>
      <c r="FJ1186" s="11"/>
      <c r="FK1186" s="11"/>
      <c r="FL1186" s="11"/>
      <c r="FM1186" s="11"/>
      <c r="FN1186" s="11"/>
      <c r="FO1186" s="11"/>
      <c r="FP1186" s="11"/>
      <c r="FQ1186" s="11"/>
      <c r="FR1186" s="11"/>
      <c r="FS1186" s="11"/>
      <c r="FT1186" s="11"/>
      <c r="FU1186" s="11"/>
      <c r="FV1186" s="11"/>
      <c r="FW1186" s="11"/>
      <c r="FX1186" s="11"/>
      <c r="FY1186" s="11"/>
      <c r="FZ1186" s="11"/>
      <c r="GA1186" s="11"/>
      <c r="GB1186" s="11"/>
      <c r="GC1186" s="11"/>
      <c r="GD1186" s="11"/>
      <c r="GE1186" s="11"/>
      <c r="GF1186" s="11"/>
      <c r="GG1186" s="11"/>
      <c r="GH1186" s="11"/>
      <c r="GI1186" s="11"/>
      <c r="GJ1186" s="11"/>
      <c r="GK1186" s="11"/>
      <c r="GL1186" s="11"/>
      <c r="GM1186" s="11"/>
      <c r="GN1186" s="11"/>
      <c r="GO1186" s="11"/>
      <c r="GP1186" s="11"/>
      <c r="GQ1186" s="11"/>
      <c r="GR1186" s="11"/>
      <c r="GS1186" s="11"/>
      <c r="GT1186" s="11"/>
      <c r="GU1186" s="11"/>
      <c r="GV1186" s="11"/>
      <c r="GW1186" s="11"/>
      <c r="GX1186" s="11"/>
      <c r="GY1186" s="11"/>
      <c r="GZ1186" s="11"/>
      <c r="HA1186" s="11"/>
    </row>
    <row r="1187" spans="1:209" ht="23.25" customHeight="1" x14ac:dyDescent="0.15">
      <c r="A1187" s="11"/>
      <c r="B1187" s="11"/>
      <c r="C1187" s="1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/>
      <c r="R1187" s="11"/>
      <c r="S1187" s="11"/>
      <c r="T1187" s="11"/>
      <c r="U1187" s="11"/>
      <c r="V1187" s="11"/>
      <c r="W1187" s="11"/>
      <c r="X1187" s="11"/>
      <c r="Y1187" s="11"/>
      <c r="Z1187" s="11"/>
      <c r="AA1187" s="11"/>
      <c r="AB1187" s="11"/>
      <c r="AC1187" s="11"/>
      <c r="AD1187" s="11"/>
      <c r="AE1187" s="11"/>
      <c r="AF1187" s="11"/>
      <c r="AG1187" s="11"/>
      <c r="AH1187" s="11"/>
      <c r="AI1187" s="11"/>
      <c r="AJ1187" s="11"/>
      <c r="AK1187" s="11"/>
      <c r="AL1187" s="11"/>
      <c r="AM1187" s="11"/>
      <c r="AN1187" s="11"/>
      <c r="AO1187" s="11"/>
      <c r="AP1187" s="11"/>
      <c r="AQ1187" s="11"/>
      <c r="AR1187" s="11"/>
      <c r="AS1187" s="11"/>
      <c r="AT1187" s="11"/>
      <c r="AU1187" s="11"/>
      <c r="AV1187" s="11"/>
      <c r="AW1187" s="11"/>
      <c r="AX1187" s="11"/>
      <c r="AY1187" s="11"/>
      <c r="AZ1187" s="11"/>
      <c r="BA1187" s="11"/>
      <c r="BB1187" s="11"/>
      <c r="BC1187" s="11"/>
      <c r="BD1187" s="11"/>
      <c r="BE1187" s="11"/>
      <c r="BF1187" s="11"/>
      <c r="BG1187" s="11"/>
      <c r="BH1187" s="11"/>
      <c r="BI1187" s="11"/>
      <c r="BJ1187" s="11"/>
      <c r="BK1187" s="11"/>
      <c r="BL1187" s="11"/>
      <c r="BM1187" s="11"/>
      <c r="BN1187" s="11"/>
      <c r="BO1187" s="11"/>
      <c r="BP1187" s="11"/>
      <c r="BQ1187" s="11"/>
      <c r="BR1187" s="11"/>
      <c r="BS1187" s="11"/>
      <c r="BT1187" s="11"/>
      <c r="BU1187" s="11"/>
      <c r="BV1187" s="11"/>
      <c r="BW1187" s="52" t="s">
        <v>3751</v>
      </c>
      <c r="BX1187" s="52" t="s">
        <v>1133</v>
      </c>
      <c r="BY1187" s="11"/>
      <c r="BZ1187" s="52" t="s">
        <v>154</v>
      </c>
      <c r="CA1187" s="52" t="s">
        <v>3752</v>
      </c>
      <c r="CB1187" s="52" t="s">
        <v>343</v>
      </c>
      <c r="CC1187" s="52" t="s">
        <v>408</v>
      </c>
      <c r="CD1187" s="53">
        <v>43924</v>
      </c>
      <c r="CE1187" s="53">
        <v>43954</v>
      </c>
      <c r="CF1187" s="52">
        <v>97</v>
      </c>
      <c r="CG1187" s="54" t="s">
        <v>3753</v>
      </c>
      <c r="CH1187" s="11"/>
      <c r="CI1187" s="11"/>
      <c r="CJ1187" s="11"/>
      <c r="CK1187" s="11"/>
      <c r="CL1187" s="11"/>
      <c r="CM1187" s="11"/>
      <c r="CN1187" s="11"/>
      <c r="CO1187" s="11"/>
      <c r="CP1187" s="11"/>
      <c r="CQ1187" s="11"/>
      <c r="CR1187" s="11"/>
      <c r="CS1187" s="11"/>
      <c r="CT1187" s="11"/>
      <c r="CU1187" s="11"/>
      <c r="CV1187" s="11"/>
      <c r="CW1187" s="11"/>
      <c r="CX1187" s="11"/>
      <c r="CY1187" s="11"/>
      <c r="CZ1187" s="11"/>
      <c r="DA1187" s="11"/>
      <c r="DB1187" s="11"/>
      <c r="DC1187" s="11"/>
      <c r="DD1187" s="11"/>
      <c r="DE1187" s="11"/>
      <c r="DF1187" s="11"/>
      <c r="DG1187" s="11"/>
      <c r="DH1187" s="11"/>
      <c r="DI1187" s="11"/>
      <c r="DJ1187" s="11"/>
      <c r="DK1187" s="11"/>
      <c r="DL1187" s="11"/>
      <c r="DM1187" s="11"/>
      <c r="DN1187" s="11"/>
      <c r="DO1187" s="11"/>
      <c r="DP1187" s="11"/>
      <c r="DQ1187" s="11"/>
      <c r="DR1187" s="11"/>
      <c r="DS1187" s="11"/>
      <c r="DT1187" s="11"/>
      <c r="DU1187" s="11"/>
      <c r="DV1187" s="11"/>
      <c r="DW1187" s="11"/>
      <c r="DX1187" s="11"/>
      <c r="DY1187" s="11"/>
      <c r="DZ1187" s="11"/>
      <c r="EA1187" s="11"/>
      <c r="EB1187" s="11"/>
      <c r="EC1187" s="11"/>
      <c r="ED1187" s="11"/>
      <c r="EE1187" s="11"/>
      <c r="EF1187" s="11"/>
      <c r="EG1187" s="11"/>
      <c r="EH1187" s="11"/>
      <c r="EI1187" s="11"/>
      <c r="EJ1187" s="11"/>
      <c r="EK1187" s="11"/>
      <c r="EL1187" s="11"/>
      <c r="EM1187" s="11"/>
      <c r="EN1187" s="11"/>
      <c r="EO1187" s="11"/>
      <c r="EP1187" s="11"/>
      <c r="EQ1187" s="11"/>
      <c r="ER1187" s="11"/>
      <c r="ES1187" s="11"/>
      <c r="ET1187" s="11"/>
      <c r="EU1187" s="11"/>
      <c r="EV1187" s="11"/>
      <c r="EW1187" s="11"/>
      <c r="EX1187" s="11"/>
      <c r="EY1187" s="11"/>
      <c r="EZ1187" s="11"/>
      <c r="FA1187" s="11"/>
      <c r="FB1187" s="11"/>
      <c r="FC1187" s="11"/>
      <c r="FD1187" s="11"/>
      <c r="FE1187" s="11"/>
      <c r="FF1187" s="11"/>
      <c r="FG1187" s="11"/>
      <c r="FH1187" s="11"/>
      <c r="FI1187" s="11"/>
      <c r="FJ1187" s="11"/>
      <c r="FK1187" s="11"/>
      <c r="FL1187" s="11"/>
      <c r="FM1187" s="11"/>
      <c r="FN1187" s="11"/>
      <c r="FO1187" s="11"/>
      <c r="FP1187" s="11"/>
      <c r="FQ1187" s="11"/>
      <c r="FR1187" s="11"/>
      <c r="FS1187" s="11"/>
      <c r="FT1187" s="11"/>
      <c r="FU1187" s="11"/>
      <c r="FV1187" s="11"/>
      <c r="FW1187" s="11"/>
      <c r="FX1187" s="11"/>
      <c r="FY1187" s="11"/>
      <c r="FZ1187" s="11"/>
      <c r="GA1187" s="11"/>
      <c r="GB1187" s="11"/>
      <c r="GC1187" s="11"/>
      <c r="GD1187" s="11"/>
      <c r="GE1187" s="11"/>
      <c r="GF1187" s="11"/>
      <c r="GG1187" s="11"/>
      <c r="GH1187" s="11"/>
      <c r="GI1187" s="11"/>
      <c r="GJ1187" s="11"/>
      <c r="GK1187" s="11"/>
      <c r="GL1187" s="11"/>
      <c r="GM1187" s="11"/>
      <c r="GN1187" s="11"/>
      <c r="GO1187" s="11"/>
      <c r="GP1187" s="11"/>
      <c r="GQ1187" s="11"/>
      <c r="GR1187" s="11"/>
      <c r="GS1187" s="11"/>
      <c r="GT1187" s="11"/>
      <c r="GU1187" s="11"/>
      <c r="GV1187" s="11"/>
      <c r="GW1187" s="11"/>
      <c r="GX1187" s="11"/>
      <c r="GY1187" s="11"/>
      <c r="GZ1187" s="11"/>
      <c r="HA1187" s="11"/>
    </row>
    <row r="1188" spans="1:209" ht="23.25" customHeight="1" x14ac:dyDescent="0.15">
      <c r="A1188" s="11"/>
      <c r="B1188" s="11"/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/>
      <c r="R1188" s="11"/>
      <c r="S1188" s="11"/>
      <c r="T1188" s="11"/>
      <c r="U1188" s="11"/>
      <c r="V1188" s="11"/>
      <c r="W1188" s="11"/>
      <c r="X1188" s="11"/>
      <c r="Y1188" s="11"/>
      <c r="Z1188" s="11"/>
      <c r="AA1188" s="11"/>
      <c r="AB1188" s="11"/>
      <c r="AC1188" s="11"/>
      <c r="AD1188" s="11"/>
      <c r="AE1188" s="11"/>
      <c r="AF1188" s="11"/>
      <c r="AG1188" s="11"/>
      <c r="AH1188" s="11"/>
      <c r="AI1188" s="11"/>
      <c r="AJ1188" s="11"/>
      <c r="AK1188" s="11"/>
      <c r="AL1188" s="11"/>
      <c r="AM1188" s="11"/>
      <c r="AN1188" s="11"/>
      <c r="AO1188" s="11"/>
      <c r="AP1188" s="11"/>
      <c r="AQ1188" s="11"/>
      <c r="AR1188" s="11"/>
      <c r="AS1188" s="11"/>
      <c r="AT1188" s="11"/>
      <c r="AU1188" s="11"/>
      <c r="AV1188" s="11"/>
      <c r="AW1188" s="11"/>
      <c r="AX1188" s="11"/>
      <c r="AY1188" s="11"/>
      <c r="AZ1188" s="11"/>
      <c r="BA1188" s="11"/>
      <c r="BB1188" s="11"/>
      <c r="BC1188" s="11"/>
      <c r="BD1188" s="11"/>
      <c r="BE1188" s="11"/>
      <c r="BF1188" s="11"/>
      <c r="BG1188" s="11"/>
      <c r="BH1188" s="11"/>
      <c r="BI1188" s="11"/>
      <c r="BJ1188" s="11"/>
      <c r="BK1188" s="11"/>
      <c r="BL1188" s="11"/>
      <c r="BM1188" s="11"/>
      <c r="BN1188" s="11"/>
      <c r="BO1188" s="11"/>
      <c r="BP1188" s="11"/>
      <c r="BQ1188" s="11"/>
      <c r="BR1188" s="11"/>
      <c r="BS1188" s="11"/>
      <c r="BT1188" s="11"/>
      <c r="BU1188" s="11"/>
      <c r="BV1188" s="11"/>
      <c r="BW1188" s="52" t="s">
        <v>3751</v>
      </c>
      <c r="BX1188" s="52" t="s">
        <v>1133</v>
      </c>
      <c r="BY1188" s="11"/>
      <c r="BZ1188" s="52" t="s">
        <v>166</v>
      </c>
      <c r="CA1188" s="52" t="s">
        <v>1566</v>
      </c>
      <c r="CB1188" s="52" t="s">
        <v>343</v>
      </c>
      <c r="CC1188" s="52" t="s">
        <v>408</v>
      </c>
      <c r="CD1188" s="53">
        <v>44334</v>
      </c>
      <c r="CE1188" s="53">
        <v>44365</v>
      </c>
      <c r="CF1188" s="52">
        <v>97</v>
      </c>
      <c r="CG1188" s="54" t="s">
        <v>3754</v>
      </c>
      <c r="CH1188" s="11"/>
      <c r="CI1188" s="11"/>
      <c r="CJ1188" s="11"/>
      <c r="CK1188" s="11"/>
      <c r="CL1188" s="11"/>
      <c r="CM1188" s="11"/>
      <c r="CN1188" s="11"/>
      <c r="CO1188" s="11"/>
      <c r="CP1188" s="11"/>
      <c r="CQ1188" s="11"/>
      <c r="CR1188" s="11"/>
      <c r="CS1188" s="11"/>
      <c r="CT1188" s="11"/>
      <c r="CU1188" s="11"/>
      <c r="CV1188" s="11"/>
      <c r="CW1188" s="11"/>
      <c r="CX1188" s="11"/>
      <c r="CY1188" s="11"/>
      <c r="CZ1188" s="11"/>
      <c r="DA1188" s="11"/>
      <c r="DB1188" s="11"/>
      <c r="DC1188" s="11"/>
      <c r="DD1188" s="11"/>
      <c r="DE1188" s="11"/>
      <c r="DF1188" s="11"/>
      <c r="DG1188" s="11"/>
      <c r="DH1188" s="11"/>
      <c r="DI1188" s="11"/>
      <c r="DJ1188" s="11"/>
      <c r="DK1188" s="11"/>
      <c r="DL1188" s="11"/>
      <c r="DM1188" s="11"/>
      <c r="DN1188" s="11"/>
      <c r="DO1188" s="11"/>
      <c r="DP1188" s="11"/>
      <c r="DQ1188" s="11"/>
      <c r="DR1188" s="11"/>
      <c r="DS1188" s="11"/>
      <c r="DT1188" s="11"/>
      <c r="DU1188" s="11"/>
      <c r="DV1188" s="11"/>
      <c r="DW1188" s="11"/>
      <c r="DX1188" s="11"/>
      <c r="DY1188" s="11"/>
      <c r="DZ1188" s="11"/>
      <c r="EA1188" s="11"/>
      <c r="EB1188" s="11"/>
      <c r="EC1188" s="11"/>
      <c r="ED1188" s="11"/>
      <c r="EE1188" s="11"/>
      <c r="EF1188" s="11"/>
      <c r="EG1188" s="11"/>
      <c r="EH1188" s="11"/>
      <c r="EI1188" s="11"/>
      <c r="EJ1188" s="11"/>
      <c r="EK1188" s="11"/>
      <c r="EL1188" s="11"/>
      <c r="EM1188" s="11"/>
      <c r="EN1188" s="11"/>
      <c r="EO1188" s="11"/>
      <c r="EP1188" s="11"/>
      <c r="EQ1188" s="11"/>
      <c r="ER1188" s="11"/>
      <c r="ES1188" s="11"/>
      <c r="ET1188" s="11"/>
      <c r="EU1188" s="11"/>
      <c r="EV1188" s="11"/>
      <c r="EW1188" s="11"/>
      <c r="EX1188" s="11"/>
      <c r="EY1188" s="11"/>
      <c r="EZ1188" s="11"/>
      <c r="FA1188" s="11"/>
      <c r="FB1188" s="11"/>
      <c r="FC1188" s="11"/>
      <c r="FD1188" s="11"/>
      <c r="FE1188" s="11"/>
      <c r="FF1188" s="11"/>
      <c r="FG1188" s="11"/>
      <c r="FH1188" s="11"/>
      <c r="FI1188" s="11"/>
      <c r="FJ1188" s="11"/>
      <c r="FK1188" s="11"/>
      <c r="FL1188" s="11"/>
      <c r="FM1188" s="11"/>
      <c r="FN1188" s="11"/>
      <c r="FO1188" s="11"/>
      <c r="FP1188" s="11"/>
      <c r="FQ1188" s="11"/>
      <c r="FR1188" s="11"/>
      <c r="FS1188" s="11"/>
      <c r="FT1188" s="11"/>
      <c r="FU1188" s="11"/>
      <c r="FV1188" s="11"/>
      <c r="FW1188" s="11"/>
      <c r="FX1188" s="11"/>
      <c r="FY1188" s="11"/>
      <c r="FZ1188" s="11"/>
      <c r="GA1188" s="11"/>
      <c r="GB1188" s="11"/>
      <c r="GC1188" s="11"/>
      <c r="GD1188" s="11"/>
      <c r="GE1188" s="11"/>
      <c r="GF1188" s="11"/>
      <c r="GG1188" s="11"/>
      <c r="GH1188" s="11"/>
      <c r="GI1188" s="11"/>
      <c r="GJ1188" s="11"/>
      <c r="GK1188" s="11"/>
      <c r="GL1188" s="11"/>
      <c r="GM1188" s="11"/>
      <c r="GN1188" s="11"/>
      <c r="GO1188" s="11"/>
      <c r="GP1188" s="11"/>
      <c r="GQ1188" s="11"/>
      <c r="GR1188" s="11"/>
      <c r="GS1188" s="11"/>
      <c r="GT1188" s="11"/>
      <c r="GU1188" s="11"/>
      <c r="GV1188" s="11"/>
      <c r="GW1188" s="11"/>
      <c r="GX1188" s="11"/>
      <c r="GY1188" s="11"/>
      <c r="GZ1188" s="11"/>
      <c r="HA1188" s="11"/>
    </row>
    <row r="1189" spans="1:209" ht="23.25" customHeight="1" x14ac:dyDescent="0.15">
      <c r="A1189" s="11"/>
      <c r="B1189" s="11"/>
      <c r="C1189" s="1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/>
      <c r="R1189" s="11"/>
      <c r="S1189" s="11"/>
      <c r="T1189" s="11"/>
      <c r="U1189" s="11"/>
      <c r="V1189" s="11"/>
      <c r="W1189" s="11"/>
      <c r="X1189" s="11"/>
      <c r="Y1189" s="11"/>
      <c r="Z1189" s="11"/>
      <c r="AA1189" s="11"/>
      <c r="AB1189" s="11"/>
      <c r="AC1189" s="11"/>
      <c r="AD1189" s="11"/>
      <c r="AE1189" s="11"/>
      <c r="AF1189" s="11"/>
      <c r="AG1189" s="11"/>
      <c r="AH1189" s="11"/>
      <c r="AI1189" s="11"/>
      <c r="AJ1189" s="11"/>
      <c r="AK1189" s="11"/>
      <c r="AL1189" s="11"/>
      <c r="AM1189" s="11"/>
      <c r="AN1189" s="11"/>
      <c r="AO1189" s="11"/>
      <c r="AP1189" s="11"/>
      <c r="AQ1189" s="11"/>
      <c r="AR1189" s="11"/>
      <c r="AS1189" s="11"/>
      <c r="AT1189" s="11"/>
      <c r="AU1189" s="11"/>
      <c r="AV1189" s="11"/>
      <c r="AW1189" s="11"/>
      <c r="AX1189" s="11"/>
      <c r="AY1189" s="11"/>
      <c r="AZ1189" s="11"/>
      <c r="BA1189" s="11"/>
      <c r="BB1189" s="11"/>
      <c r="BC1189" s="11"/>
      <c r="BD1189" s="11"/>
      <c r="BE1189" s="11"/>
      <c r="BF1189" s="11"/>
      <c r="BG1189" s="11"/>
      <c r="BH1189" s="11"/>
      <c r="BI1189" s="11"/>
      <c r="BJ1189" s="11"/>
      <c r="BK1189" s="11"/>
      <c r="BL1189" s="11"/>
      <c r="BM1189" s="11"/>
      <c r="BN1189" s="11"/>
      <c r="BO1189" s="11"/>
      <c r="BP1189" s="11"/>
      <c r="BQ1189" s="11"/>
      <c r="BR1189" s="11"/>
      <c r="BS1189" s="11"/>
      <c r="BT1189" s="11"/>
      <c r="BU1189" s="11"/>
      <c r="BV1189" s="11"/>
      <c r="BW1189" s="52" t="s">
        <v>3751</v>
      </c>
      <c r="BX1189" s="52" t="s">
        <v>1133</v>
      </c>
      <c r="BY1189" s="11"/>
      <c r="BZ1189" s="52" t="s">
        <v>154</v>
      </c>
      <c r="CA1189" s="52" t="s">
        <v>3755</v>
      </c>
      <c r="CB1189" s="52" t="s">
        <v>343</v>
      </c>
      <c r="CC1189" s="52" t="s">
        <v>408</v>
      </c>
      <c r="CD1189" s="53">
        <v>43937</v>
      </c>
      <c r="CE1189" s="53">
        <v>43967</v>
      </c>
      <c r="CF1189" s="52">
        <v>98</v>
      </c>
      <c r="CG1189" s="54" t="s">
        <v>3756</v>
      </c>
      <c r="CH1189" s="11"/>
      <c r="CI1189" s="11"/>
      <c r="CJ1189" s="11"/>
      <c r="CK1189" s="11"/>
      <c r="CL1189" s="11"/>
      <c r="CM1189" s="11"/>
      <c r="CN1189" s="11"/>
      <c r="CO1189" s="11"/>
      <c r="CP1189" s="11"/>
      <c r="CQ1189" s="11"/>
      <c r="CR1189" s="11"/>
      <c r="CS1189" s="11"/>
      <c r="CT1189" s="11"/>
      <c r="CU1189" s="11"/>
      <c r="CV1189" s="11"/>
      <c r="CW1189" s="11"/>
      <c r="CX1189" s="11"/>
      <c r="CY1189" s="11"/>
      <c r="CZ1189" s="11"/>
      <c r="DA1189" s="11"/>
      <c r="DB1189" s="11"/>
      <c r="DC1189" s="11"/>
      <c r="DD1189" s="11"/>
      <c r="DE1189" s="11"/>
      <c r="DF1189" s="11"/>
      <c r="DG1189" s="11"/>
      <c r="DH1189" s="11"/>
      <c r="DI1189" s="11"/>
      <c r="DJ1189" s="11"/>
      <c r="DK1189" s="11"/>
      <c r="DL1189" s="11"/>
      <c r="DM1189" s="11"/>
      <c r="DN1189" s="11"/>
      <c r="DO1189" s="11"/>
      <c r="DP1189" s="11"/>
      <c r="DQ1189" s="11"/>
      <c r="DR1189" s="11"/>
      <c r="DS1189" s="11"/>
      <c r="DT1189" s="11"/>
      <c r="DU1189" s="11"/>
      <c r="DV1189" s="11"/>
      <c r="DW1189" s="11"/>
      <c r="DX1189" s="11"/>
      <c r="DY1189" s="11"/>
      <c r="DZ1189" s="11"/>
      <c r="EA1189" s="11"/>
      <c r="EB1189" s="11"/>
      <c r="EC1189" s="11"/>
      <c r="ED1189" s="11"/>
      <c r="EE1189" s="11"/>
      <c r="EF1189" s="11"/>
      <c r="EG1189" s="11"/>
      <c r="EH1189" s="11"/>
      <c r="EI1189" s="11"/>
      <c r="EJ1189" s="11"/>
      <c r="EK1189" s="11"/>
      <c r="EL1189" s="11"/>
      <c r="EM1189" s="11"/>
      <c r="EN1189" s="11"/>
      <c r="EO1189" s="11"/>
      <c r="EP1189" s="11"/>
      <c r="EQ1189" s="11"/>
      <c r="ER1189" s="11"/>
      <c r="ES1189" s="11"/>
      <c r="ET1189" s="11"/>
      <c r="EU1189" s="11"/>
      <c r="EV1189" s="11"/>
      <c r="EW1189" s="11"/>
      <c r="EX1189" s="11"/>
      <c r="EY1189" s="11"/>
      <c r="EZ1189" s="11"/>
      <c r="FA1189" s="11"/>
      <c r="FB1189" s="11"/>
      <c r="FC1189" s="11"/>
      <c r="FD1189" s="11"/>
      <c r="FE1189" s="11"/>
      <c r="FF1189" s="11"/>
      <c r="FG1189" s="11"/>
      <c r="FH1189" s="11"/>
      <c r="FI1189" s="11"/>
      <c r="FJ1189" s="11"/>
      <c r="FK1189" s="11"/>
      <c r="FL1189" s="11"/>
      <c r="FM1189" s="11"/>
      <c r="FN1189" s="11"/>
      <c r="FO1189" s="11"/>
      <c r="FP1189" s="11"/>
      <c r="FQ1189" s="11"/>
      <c r="FR1189" s="11"/>
      <c r="FS1189" s="11"/>
      <c r="FT1189" s="11"/>
      <c r="FU1189" s="11"/>
      <c r="FV1189" s="11"/>
      <c r="FW1189" s="11"/>
      <c r="FX1189" s="11"/>
      <c r="FY1189" s="11"/>
      <c r="FZ1189" s="11"/>
      <c r="GA1189" s="11"/>
      <c r="GB1189" s="11"/>
      <c r="GC1189" s="11"/>
      <c r="GD1189" s="11"/>
      <c r="GE1189" s="11"/>
      <c r="GF1189" s="11"/>
      <c r="GG1189" s="11"/>
      <c r="GH1189" s="11"/>
      <c r="GI1189" s="11"/>
      <c r="GJ1189" s="11"/>
      <c r="GK1189" s="11"/>
      <c r="GL1189" s="11"/>
      <c r="GM1189" s="11"/>
      <c r="GN1189" s="11"/>
      <c r="GO1189" s="11"/>
      <c r="GP1189" s="11"/>
      <c r="GQ1189" s="11"/>
      <c r="GR1189" s="11"/>
      <c r="GS1189" s="11"/>
      <c r="GT1189" s="11"/>
      <c r="GU1189" s="11"/>
      <c r="GV1189" s="11"/>
      <c r="GW1189" s="11"/>
      <c r="GX1189" s="11"/>
      <c r="GY1189" s="11"/>
      <c r="GZ1189" s="11"/>
      <c r="HA1189" s="11"/>
    </row>
    <row r="1190" spans="1:209" ht="23.25" customHeight="1" x14ac:dyDescent="0.15">
      <c r="A1190" s="11"/>
      <c r="B1190" s="11"/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/>
      <c r="R1190" s="11"/>
      <c r="S1190" s="11"/>
      <c r="T1190" s="11"/>
      <c r="U1190" s="11"/>
      <c r="V1190" s="11"/>
      <c r="W1190" s="11"/>
      <c r="X1190" s="11"/>
      <c r="Y1190" s="11"/>
      <c r="Z1190" s="11"/>
      <c r="AA1190" s="11"/>
      <c r="AB1190" s="11"/>
      <c r="AC1190" s="11"/>
      <c r="AD1190" s="11"/>
      <c r="AE1190" s="11"/>
      <c r="AF1190" s="11"/>
      <c r="AG1190" s="11"/>
      <c r="AH1190" s="11"/>
      <c r="AI1190" s="11"/>
      <c r="AJ1190" s="11"/>
      <c r="AK1190" s="11"/>
      <c r="AL1190" s="11"/>
      <c r="AM1190" s="11"/>
      <c r="AN1190" s="11"/>
      <c r="AO1190" s="11"/>
      <c r="AP1190" s="11"/>
      <c r="AQ1190" s="11"/>
      <c r="AR1190" s="11"/>
      <c r="AS1190" s="11"/>
      <c r="AT1190" s="11"/>
      <c r="AU1190" s="11"/>
      <c r="AV1190" s="11"/>
      <c r="AW1190" s="11"/>
      <c r="AX1190" s="11"/>
      <c r="AY1190" s="11"/>
      <c r="AZ1190" s="11"/>
      <c r="BA1190" s="11"/>
      <c r="BB1190" s="11"/>
      <c r="BC1190" s="11"/>
      <c r="BD1190" s="11"/>
      <c r="BE1190" s="11"/>
      <c r="BF1190" s="11"/>
      <c r="BG1190" s="11"/>
      <c r="BH1190" s="11"/>
      <c r="BI1190" s="11"/>
      <c r="BJ1190" s="11"/>
      <c r="BK1190" s="11"/>
      <c r="BL1190" s="11"/>
      <c r="BM1190" s="11"/>
      <c r="BN1190" s="11"/>
      <c r="BO1190" s="11"/>
      <c r="BP1190" s="11"/>
      <c r="BQ1190" s="11"/>
      <c r="BR1190" s="11"/>
      <c r="BS1190" s="11"/>
      <c r="BT1190" s="11"/>
      <c r="BU1190" s="11"/>
      <c r="BV1190" s="11"/>
      <c r="BW1190" s="52" t="s">
        <v>3751</v>
      </c>
      <c r="BX1190" s="52" t="s">
        <v>1133</v>
      </c>
      <c r="BY1190" s="11"/>
      <c r="BZ1190" s="52" t="s">
        <v>311</v>
      </c>
      <c r="CA1190" s="52" t="s">
        <v>3757</v>
      </c>
      <c r="CB1190" s="52" t="s">
        <v>343</v>
      </c>
      <c r="CC1190" s="52" t="s">
        <v>3758</v>
      </c>
      <c r="CD1190" s="53">
        <v>44623</v>
      </c>
      <c r="CE1190" s="53">
        <v>44630</v>
      </c>
      <c r="CF1190" s="52">
        <v>98</v>
      </c>
      <c r="CG1190" s="54" t="s">
        <v>3759</v>
      </c>
      <c r="CH1190" s="11"/>
      <c r="CI1190" s="11"/>
      <c r="CJ1190" s="11"/>
      <c r="CK1190" s="11"/>
      <c r="CL1190" s="11"/>
      <c r="CM1190" s="11"/>
      <c r="CN1190" s="11"/>
      <c r="CO1190" s="11"/>
      <c r="CP1190" s="11"/>
      <c r="CQ1190" s="11"/>
      <c r="CR1190" s="11"/>
      <c r="CS1190" s="11"/>
      <c r="CT1190" s="11"/>
      <c r="CU1190" s="11"/>
      <c r="CV1190" s="11"/>
      <c r="CW1190" s="11"/>
      <c r="CX1190" s="11"/>
      <c r="CY1190" s="11"/>
      <c r="CZ1190" s="11"/>
      <c r="DA1190" s="11"/>
      <c r="DB1190" s="11"/>
      <c r="DC1190" s="11"/>
      <c r="DD1190" s="11"/>
      <c r="DE1190" s="11"/>
      <c r="DF1190" s="11"/>
      <c r="DG1190" s="11"/>
      <c r="DH1190" s="11"/>
      <c r="DI1190" s="11"/>
      <c r="DJ1190" s="11"/>
      <c r="DK1190" s="11"/>
      <c r="DL1190" s="11"/>
      <c r="DM1190" s="11"/>
      <c r="DN1190" s="11"/>
      <c r="DO1190" s="11"/>
      <c r="DP1190" s="11"/>
      <c r="DQ1190" s="11"/>
      <c r="DR1190" s="11"/>
      <c r="DS1190" s="11"/>
      <c r="DT1190" s="11"/>
      <c r="DU1190" s="11"/>
      <c r="DV1190" s="11"/>
      <c r="DW1190" s="11"/>
      <c r="DX1190" s="11"/>
      <c r="DY1190" s="11"/>
      <c r="DZ1190" s="11"/>
      <c r="EA1190" s="11"/>
      <c r="EB1190" s="11"/>
      <c r="EC1190" s="11"/>
      <c r="ED1190" s="11"/>
      <c r="EE1190" s="11"/>
      <c r="EF1190" s="11"/>
      <c r="EG1190" s="11"/>
      <c r="EH1190" s="11"/>
      <c r="EI1190" s="11"/>
      <c r="EJ1190" s="11"/>
      <c r="EK1190" s="11"/>
      <c r="EL1190" s="11"/>
      <c r="EM1190" s="11"/>
      <c r="EN1190" s="11"/>
      <c r="EO1190" s="11"/>
      <c r="EP1190" s="11"/>
      <c r="EQ1190" s="11"/>
      <c r="ER1190" s="11"/>
      <c r="ES1190" s="11"/>
      <c r="ET1190" s="11"/>
      <c r="EU1190" s="11"/>
      <c r="EV1190" s="11"/>
      <c r="EW1190" s="11"/>
      <c r="EX1190" s="11"/>
      <c r="EY1190" s="11"/>
      <c r="EZ1190" s="11"/>
      <c r="FA1190" s="11"/>
      <c r="FB1190" s="11"/>
      <c r="FC1190" s="11"/>
      <c r="FD1190" s="11"/>
      <c r="FE1190" s="11"/>
      <c r="FF1190" s="11"/>
      <c r="FG1190" s="11"/>
      <c r="FH1190" s="11"/>
      <c r="FI1190" s="11"/>
      <c r="FJ1190" s="11"/>
      <c r="FK1190" s="11"/>
      <c r="FL1190" s="11"/>
      <c r="FM1190" s="11"/>
      <c r="FN1190" s="11"/>
      <c r="FO1190" s="11"/>
      <c r="FP1190" s="11"/>
      <c r="FQ1190" s="11"/>
      <c r="FR1190" s="11"/>
      <c r="FS1190" s="11"/>
      <c r="FT1190" s="11"/>
      <c r="FU1190" s="11"/>
      <c r="FV1190" s="11"/>
      <c r="FW1190" s="11"/>
      <c r="FX1190" s="11"/>
      <c r="FY1190" s="11"/>
      <c r="FZ1190" s="11"/>
      <c r="GA1190" s="11"/>
      <c r="GB1190" s="11"/>
      <c r="GC1190" s="11"/>
      <c r="GD1190" s="11"/>
      <c r="GE1190" s="11"/>
      <c r="GF1190" s="11"/>
      <c r="GG1190" s="11"/>
      <c r="GH1190" s="11"/>
      <c r="GI1190" s="11"/>
      <c r="GJ1190" s="11"/>
      <c r="GK1190" s="11"/>
      <c r="GL1190" s="11"/>
      <c r="GM1190" s="11"/>
      <c r="GN1190" s="11"/>
      <c r="GO1190" s="11"/>
      <c r="GP1190" s="11"/>
      <c r="GQ1190" s="11"/>
      <c r="GR1190" s="11"/>
      <c r="GS1190" s="11"/>
      <c r="GT1190" s="11"/>
      <c r="GU1190" s="11"/>
      <c r="GV1190" s="11"/>
      <c r="GW1190" s="11"/>
      <c r="GX1190" s="11"/>
      <c r="GY1190" s="11"/>
      <c r="GZ1190" s="11"/>
      <c r="HA1190" s="11"/>
    </row>
    <row r="1191" spans="1:209" ht="23.25" customHeight="1" x14ac:dyDescent="0.15">
      <c r="A1191" s="11"/>
      <c r="B1191" s="11"/>
      <c r="C1191" s="1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/>
      <c r="R1191" s="11"/>
      <c r="S1191" s="11"/>
      <c r="T1191" s="11"/>
      <c r="U1191" s="11"/>
      <c r="V1191" s="11"/>
      <c r="W1191" s="11"/>
      <c r="X1191" s="11"/>
      <c r="Y1191" s="11"/>
      <c r="Z1191" s="11"/>
      <c r="AA1191" s="11"/>
      <c r="AB1191" s="11"/>
      <c r="AC1191" s="11"/>
      <c r="AD1191" s="11"/>
      <c r="AE1191" s="11"/>
      <c r="AF1191" s="11"/>
      <c r="AG1191" s="11"/>
      <c r="AH1191" s="11"/>
      <c r="AI1191" s="11"/>
      <c r="AJ1191" s="11"/>
      <c r="AK1191" s="11"/>
      <c r="AL1191" s="11"/>
      <c r="AM1191" s="11"/>
      <c r="AN1191" s="11"/>
      <c r="AO1191" s="11"/>
      <c r="AP1191" s="11"/>
      <c r="AQ1191" s="11"/>
      <c r="AR1191" s="11"/>
      <c r="AS1191" s="11"/>
      <c r="AT1191" s="11"/>
      <c r="AU1191" s="11"/>
      <c r="AV1191" s="11"/>
      <c r="AW1191" s="11"/>
      <c r="AX1191" s="11"/>
      <c r="AY1191" s="11"/>
      <c r="AZ1191" s="11"/>
      <c r="BA1191" s="11"/>
      <c r="BB1191" s="11"/>
      <c r="BC1191" s="11"/>
      <c r="BD1191" s="11"/>
      <c r="BE1191" s="11"/>
      <c r="BF1191" s="11"/>
      <c r="BG1191" s="11"/>
      <c r="BH1191" s="11"/>
      <c r="BI1191" s="11"/>
      <c r="BJ1191" s="11"/>
      <c r="BK1191" s="11"/>
      <c r="BL1191" s="11"/>
      <c r="BM1191" s="11"/>
      <c r="BN1191" s="11"/>
      <c r="BO1191" s="11"/>
      <c r="BP1191" s="11"/>
      <c r="BQ1191" s="11"/>
      <c r="BR1191" s="11"/>
      <c r="BS1191" s="11"/>
      <c r="BT1191" s="11"/>
      <c r="BU1191" s="11"/>
      <c r="BV1191" s="11"/>
      <c r="BW1191" s="52" t="s">
        <v>3751</v>
      </c>
      <c r="BX1191" s="52" t="s">
        <v>1133</v>
      </c>
      <c r="BY1191" s="11"/>
      <c r="BZ1191" s="52" t="s">
        <v>166</v>
      </c>
      <c r="CA1191" s="52" t="s">
        <v>659</v>
      </c>
      <c r="CB1191" s="52" t="s">
        <v>2129</v>
      </c>
      <c r="CC1191" s="52" t="s">
        <v>408</v>
      </c>
      <c r="CD1191" s="53">
        <v>44348</v>
      </c>
      <c r="CE1191" s="53">
        <v>44378</v>
      </c>
      <c r="CF1191" s="52">
        <v>92</v>
      </c>
      <c r="CG1191" s="54" t="s">
        <v>3760</v>
      </c>
      <c r="CH1191" s="11"/>
      <c r="CI1191" s="11"/>
      <c r="CJ1191" s="11"/>
      <c r="CK1191" s="11"/>
      <c r="CL1191" s="11"/>
      <c r="CM1191" s="11"/>
      <c r="CN1191" s="11"/>
      <c r="CO1191" s="11"/>
      <c r="CP1191" s="11"/>
      <c r="CQ1191" s="11"/>
      <c r="CR1191" s="11"/>
      <c r="CS1191" s="11"/>
      <c r="CT1191" s="11"/>
      <c r="CU1191" s="11"/>
      <c r="CV1191" s="11"/>
      <c r="CW1191" s="11"/>
      <c r="CX1191" s="11"/>
      <c r="CY1191" s="11"/>
      <c r="CZ1191" s="11"/>
      <c r="DA1191" s="11"/>
      <c r="DB1191" s="11"/>
      <c r="DC1191" s="11"/>
      <c r="DD1191" s="11"/>
      <c r="DE1191" s="11"/>
      <c r="DF1191" s="11"/>
      <c r="DG1191" s="11"/>
      <c r="DH1191" s="11"/>
      <c r="DI1191" s="11"/>
      <c r="DJ1191" s="11"/>
      <c r="DK1191" s="11"/>
      <c r="DL1191" s="11"/>
      <c r="DM1191" s="11"/>
      <c r="DN1191" s="11"/>
      <c r="DO1191" s="11"/>
      <c r="DP1191" s="11"/>
      <c r="DQ1191" s="11"/>
      <c r="DR1191" s="11"/>
      <c r="DS1191" s="11"/>
      <c r="DT1191" s="11"/>
      <c r="DU1191" s="11"/>
      <c r="DV1191" s="11"/>
      <c r="DW1191" s="11"/>
      <c r="DX1191" s="11"/>
      <c r="DY1191" s="11"/>
      <c r="DZ1191" s="11"/>
      <c r="EA1191" s="11"/>
      <c r="EB1191" s="11"/>
      <c r="EC1191" s="11"/>
      <c r="ED1191" s="11"/>
      <c r="EE1191" s="11"/>
      <c r="EF1191" s="11"/>
      <c r="EG1191" s="11"/>
      <c r="EH1191" s="11"/>
      <c r="EI1191" s="11"/>
      <c r="EJ1191" s="11"/>
      <c r="EK1191" s="11"/>
      <c r="EL1191" s="11"/>
      <c r="EM1191" s="11"/>
      <c r="EN1191" s="11"/>
      <c r="EO1191" s="11"/>
      <c r="EP1191" s="11"/>
      <c r="EQ1191" s="11"/>
      <c r="ER1191" s="11"/>
      <c r="ES1191" s="11"/>
      <c r="ET1191" s="11"/>
      <c r="EU1191" s="11"/>
      <c r="EV1191" s="11"/>
      <c r="EW1191" s="11"/>
      <c r="EX1191" s="11"/>
      <c r="EY1191" s="11"/>
      <c r="EZ1191" s="11"/>
      <c r="FA1191" s="11"/>
      <c r="FB1191" s="11"/>
      <c r="FC1191" s="11"/>
      <c r="FD1191" s="11"/>
      <c r="FE1191" s="11"/>
      <c r="FF1191" s="11"/>
      <c r="FG1191" s="11"/>
      <c r="FH1191" s="11"/>
      <c r="FI1191" s="11"/>
      <c r="FJ1191" s="11"/>
      <c r="FK1191" s="11"/>
      <c r="FL1191" s="11"/>
      <c r="FM1191" s="11"/>
      <c r="FN1191" s="11"/>
      <c r="FO1191" s="11"/>
      <c r="FP1191" s="11"/>
      <c r="FQ1191" s="11"/>
      <c r="FR1191" s="11"/>
      <c r="FS1191" s="11"/>
      <c r="FT1191" s="11"/>
      <c r="FU1191" s="11"/>
      <c r="FV1191" s="11"/>
      <c r="FW1191" s="11"/>
      <c r="FX1191" s="11"/>
      <c r="FY1191" s="11"/>
      <c r="FZ1191" s="11"/>
      <c r="GA1191" s="11"/>
      <c r="GB1191" s="11"/>
      <c r="GC1191" s="11"/>
      <c r="GD1191" s="11"/>
      <c r="GE1191" s="11"/>
      <c r="GF1191" s="11"/>
      <c r="GG1191" s="11"/>
      <c r="GH1191" s="11"/>
      <c r="GI1191" s="11"/>
      <c r="GJ1191" s="11"/>
      <c r="GK1191" s="11"/>
      <c r="GL1191" s="11"/>
      <c r="GM1191" s="11"/>
      <c r="GN1191" s="11"/>
      <c r="GO1191" s="11"/>
      <c r="GP1191" s="11"/>
      <c r="GQ1191" s="11"/>
      <c r="GR1191" s="11"/>
      <c r="GS1191" s="11"/>
      <c r="GT1191" s="11"/>
      <c r="GU1191" s="11"/>
      <c r="GV1191" s="11"/>
      <c r="GW1191" s="11"/>
      <c r="GX1191" s="11"/>
      <c r="GY1191" s="11"/>
      <c r="GZ1191" s="11"/>
      <c r="HA1191" s="11"/>
    </row>
    <row r="1192" spans="1:209" ht="23.25" customHeight="1" x14ac:dyDescent="0.15">
      <c r="A1192" s="11"/>
      <c r="B1192" s="11"/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/>
      <c r="R1192" s="11"/>
      <c r="S1192" s="11"/>
      <c r="T1192" s="11"/>
      <c r="U1192" s="11"/>
      <c r="V1192" s="11"/>
      <c r="W1192" s="11"/>
      <c r="X1192" s="11"/>
      <c r="Y1192" s="11"/>
      <c r="Z1192" s="11"/>
      <c r="AA1192" s="11"/>
      <c r="AB1192" s="11"/>
      <c r="AC1192" s="11"/>
      <c r="AD1192" s="11"/>
      <c r="AE1192" s="11"/>
      <c r="AF1192" s="11"/>
      <c r="AG1192" s="11"/>
      <c r="AH1192" s="11"/>
      <c r="AI1192" s="11"/>
      <c r="AJ1192" s="11"/>
      <c r="AK1192" s="11"/>
      <c r="AL1192" s="11"/>
      <c r="AM1192" s="11"/>
      <c r="AN1192" s="11"/>
      <c r="AO1192" s="11"/>
      <c r="AP1192" s="11"/>
      <c r="AQ1192" s="11"/>
      <c r="AR1192" s="11"/>
      <c r="AS1192" s="11"/>
      <c r="AT1192" s="11"/>
      <c r="AU1192" s="11"/>
      <c r="AV1192" s="11"/>
      <c r="AW1192" s="11"/>
      <c r="AX1192" s="11"/>
      <c r="AY1192" s="11"/>
      <c r="AZ1192" s="11"/>
      <c r="BA1192" s="11"/>
      <c r="BB1192" s="11"/>
      <c r="BC1192" s="11"/>
      <c r="BD1192" s="11"/>
      <c r="BE1192" s="11"/>
      <c r="BF1192" s="11"/>
      <c r="BG1192" s="11"/>
      <c r="BH1192" s="11"/>
      <c r="BI1192" s="11"/>
      <c r="BJ1192" s="11"/>
      <c r="BK1192" s="11"/>
      <c r="BL1192" s="11"/>
      <c r="BM1192" s="11"/>
      <c r="BN1192" s="11"/>
      <c r="BO1192" s="11"/>
      <c r="BP1192" s="11"/>
      <c r="BQ1192" s="11"/>
      <c r="BR1192" s="11"/>
      <c r="BS1192" s="11"/>
      <c r="BT1192" s="11"/>
      <c r="BU1192" s="11"/>
      <c r="BV1192" s="11"/>
      <c r="BW1192" s="52" t="s">
        <v>446</v>
      </c>
      <c r="BX1192" s="52" t="s">
        <v>447</v>
      </c>
      <c r="BY1192" s="11"/>
      <c r="BZ1192" s="52" t="s">
        <v>166</v>
      </c>
      <c r="CA1192" s="52" t="s">
        <v>563</v>
      </c>
      <c r="CB1192" s="52" t="s">
        <v>617</v>
      </c>
      <c r="CC1192" s="52" t="s">
        <v>1308</v>
      </c>
      <c r="CD1192" s="53">
        <v>44371</v>
      </c>
      <c r="CE1192" s="53">
        <v>44378</v>
      </c>
      <c r="CF1192" s="52">
        <v>100</v>
      </c>
      <c r="CG1192" s="54" t="s">
        <v>3761</v>
      </c>
      <c r="CH1192" s="11"/>
      <c r="CI1192" s="11"/>
      <c r="CJ1192" s="11"/>
      <c r="CK1192" s="11"/>
      <c r="CL1192" s="11"/>
      <c r="CM1192" s="11"/>
      <c r="CN1192" s="11"/>
      <c r="CO1192" s="11"/>
      <c r="CP1192" s="11"/>
      <c r="CQ1192" s="11"/>
      <c r="CR1192" s="11"/>
      <c r="CS1192" s="11"/>
      <c r="CT1192" s="11"/>
      <c r="CU1192" s="11"/>
      <c r="CV1192" s="11"/>
      <c r="CW1192" s="11"/>
      <c r="CX1192" s="11"/>
      <c r="CY1192" s="11"/>
      <c r="CZ1192" s="11"/>
      <c r="DA1192" s="11"/>
      <c r="DB1192" s="11"/>
      <c r="DC1192" s="11"/>
      <c r="DD1192" s="11"/>
      <c r="DE1192" s="11"/>
      <c r="DF1192" s="11"/>
      <c r="DG1192" s="11"/>
      <c r="DH1192" s="11"/>
      <c r="DI1192" s="11"/>
      <c r="DJ1192" s="11"/>
      <c r="DK1192" s="11"/>
      <c r="DL1192" s="11"/>
      <c r="DM1192" s="11"/>
      <c r="DN1192" s="11"/>
      <c r="DO1192" s="11"/>
      <c r="DP1192" s="11"/>
      <c r="DQ1192" s="11"/>
      <c r="DR1192" s="11"/>
      <c r="DS1192" s="11"/>
      <c r="DT1192" s="11"/>
      <c r="DU1192" s="11"/>
      <c r="DV1192" s="11"/>
      <c r="DW1192" s="11"/>
      <c r="DX1192" s="11"/>
      <c r="DY1192" s="11"/>
      <c r="DZ1192" s="11"/>
      <c r="EA1192" s="11"/>
      <c r="EB1192" s="11"/>
      <c r="EC1192" s="11"/>
      <c r="ED1192" s="11"/>
      <c r="EE1192" s="11"/>
      <c r="EF1192" s="11"/>
      <c r="EG1192" s="11"/>
      <c r="EH1192" s="11"/>
      <c r="EI1192" s="11"/>
      <c r="EJ1192" s="11"/>
      <c r="EK1192" s="11"/>
      <c r="EL1192" s="11"/>
      <c r="EM1192" s="11"/>
      <c r="EN1192" s="11"/>
      <c r="EO1192" s="11"/>
      <c r="EP1192" s="11"/>
      <c r="EQ1192" s="11"/>
      <c r="ER1192" s="11"/>
      <c r="ES1192" s="11"/>
      <c r="ET1192" s="11"/>
      <c r="EU1192" s="11"/>
      <c r="EV1192" s="11"/>
      <c r="EW1192" s="11"/>
      <c r="EX1192" s="11"/>
      <c r="EY1192" s="11"/>
      <c r="EZ1192" s="11"/>
      <c r="FA1192" s="11"/>
      <c r="FB1192" s="11"/>
      <c r="FC1192" s="11"/>
      <c r="FD1192" s="11"/>
      <c r="FE1192" s="11"/>
      <c r="FF1192" s="11"/>
      <c r="FG1192" s="11"/>
      <c r="FH1192" s="11"/>
      <c r="FI1192" s="11"/>
      <c r="FJ1192" s="11"/>
      <c r="FK1192" s="11"/>
      <c r="FL1192" s="11"/>
      <c r="FM1192" s="11"/>
      <c r="FN1192" s="11"/>
      <c r="FO1192" s="11"/>
      <c r="FP1192" s="11"/>
      <c r="FQ1192" s="11"/>
      <c r="FR1192" s="11"/>
      <c r="FS1192" s="11"/>
      <c r="FT1192" s="11"/>
      <c r="FU1192" s="11"/>
      <c r="FV1192" s="11"/>
      <c r="FW1192" s="11"/>
      <c r="FX1192" s="11"/>
      <c r="FY1192" s="11"/>
      <c r="FZ1192" s="11"/>
      <c r="GA1192" s="11"/>
      <c r="GB1192" s="11"/>
      <c r="GC1192" s="11"/>
      <c r="GD1192" s="11"/>
      <c r="GE1192" s="11"/>
      <c r="GF1192" s="11"/>
      <c r="GG1192" s="11"/>
      <c r="GH1192" s="11"/>
      <c r="GI1192" s="11"/>
      <c r="GJ1192" s="11"/>
      <c r="GK1192" s="11"/>
      <c r="GL1192" s="11"/>
      <c r="GM1192" s="11"/>
      <c r="GN1192" s="11"/>
      <c r="GO1192" s="11"/>
      <c r="GP1192" s="11"/>
      <c r="GQ1192" s="11"/>
      <c r="GR1192" s="11"/>
      <c r="GS1192" s="11"/>
      <c r="GT1192" s="11"/>
      <c r="GU1192" s="11"/>
      <c r="GV1192" s="11"/>
      <c r="GW1192" s="11"/>
      <c r="GX1192" s="11"/>
      <c r="GY1192" s="11"/>
      <c r="GZ1192" s="11"/>
      <c r="HA1192" s="11"/>
    </row>
    <row r="1193" spans="1:209" ht="23.25" customHeight="1" x14ac:dyDescent="0.15">
      <c r="A1193" s="11"/>
      <c r="B1193" s="11"/>
      <c r="C1193" s="1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/>
      <c r="R1193" s="11"/>
      <c r="S1193" s="11"/>
      <c r="T1193" s="11"/>
      <c r="U1193" s="11"/>
      <c r="V1193" s="11"/>
      <c r="W1193" s="11"/>
      <c r="X1193" s="11"/>
      <c r="Y1193" s="11"/>
      <c r="Z1193" s="11"/>
      <c r="AA1193" s="11"/>
      <c r="AB1193" s="11"/>
      <c r="AC1193" s="11"/>
      <c r="AD1193" s="11"/>
      <c r="AE1193" s="11"/>
      <c r="AF1193" s="11"/>
      <c r="AG1193" s="11"/>
      <c r="AH1193" s="11"/>
      <c r="AI1193" s="11"/>
      <c r="AJ1193" s="11"/>
      <c r="AK1193" s="11"/>
      <c r="AL1193" s="11"/>
      <c r="AM1193" s="11"/>
      <c r="AN1193" s="11"/>
      <c r="AO1193" s="11"/>
      <c r="AP1193" s="11"/>
      <c r="AQ1193" s="11"/>
      <c r="AR1193" s="11"/>
      <c r="AS1193" s="11"/>
      <c r="AT1193" s="11"/>
      <c r="AU1193" s="11"/>
      <c r="AV1193" s="11"/>
      <c r="AW1193" s="11"/>
      <c r="AX1193" s="11"/>
      <c r="AY1193" s="11"/>
      <c r="AZ1193" s="11"/>
      <c r="BA1193" s="11"/>
      <c r="BB1193" s="11"/>
      <c r="BC1193" s="11"/>
      <c r="BD1193" s="11"/>
      <c r="BE1193" s="11"/>
      <c r="BF1193" s="11"/>
      <c r="BG1193" s="11"/>
      <c r="BH1193" s="11"/>
      <c r="BI1193" s="11"/>
      <c r="BJ1193" s="11"/>
      <c r="BK1193" s="11"/>
      <c r="BL1193" s="11"/>
      <c r="BM1193" s="11"/>
      <c r="BN1193" s="11"/>
      <c r="BO1193" s="11"/>
      <c r="BP1193" s="11"/>
      <c r="BQ1193" s="11"/>
      <c r="BR1193" s="11"/>
      <c r="BS1193" s="11"/>
      <c r="BT1193" s="11"/>
      <c r="BU1193" s="11"/>
      <c r="BV1193" s="11"/>
      <c r="BW1193" s="52" t="s">
        <v>446</v>
      </c>
      <c r="BX1193" s="52" t="s">
        <v>447</v>
      </c>
      <c r="BY1193" s="11"/>
      <c r="BZ1193" s="52" t="s">
        <v>166</v>
      </c>
      <c r="CA1193" s="52" t="s">
        <v>3762</v>
      </c>
      <c r="CB1193" s="52" t="s">
        <v>343</v>
      </c>
      <c r="CC1193" s="52" t="s">
        <v>1308</v>
      </c>
      <c r="CD1193" s="53">
        <v>43941</v>
      </c>
      <c r="CE1193" s="53">
        <v>43971</v>
      </c>
      <c r="CF1193" s="52">
        <v>100</v>
      </c>
      <c r="CG1193" s="54" t="s">
        <v>3763</v>
      </c>
      <c r="CH1193" s="11"/>
      <c r="CI1193" s="11"/>
      <c r="CJ1193" s="11"/>
      <c r="CK1193" s="11"/>
      <c r="CL1193" s="11"/>
      <c r="CM1193" s="11"/>
      <c r="CN1193" s="11"/>
      <c r="CO1193" s="11"/>
      <c r="CP1193" s="11"/>
      <c r="CQ1193" s="11"/>
      <c r="CR1193" s="11"/>
      <c r="CS1193" s="11"/>
      <c r="CT1193" s="11"/>
      <c r="CU1193" s="11"/>
      <c r="CV1193" s="11"/>
      <c r="CW1193" s="11"/>
      <c r="CX1193" s="11"/>
      <c r="CY1193" s="11"/>
      <c r="CZ1193" s="11"/>
      <c r="DA1193" s="11"/>
      <c r="DB1193" s="11"/>
      <c r="DC1193" s="11"/>
      <c r="DD1193" s="11"/>
      <c r="DE1193" s="11"/>
      <c r="DF1193" s="11"/>
      <c r="DG1193" s="11"/>
      <c r="DH1193" s="11"/>
      <c r="DI1193" s="11"/>
      <c r="DJ1193" s="11"/>
      <c r="DK1193" s="11"/>
      <c r="DL1193" s="11"/>
      <c r="DM1193" s="11"/>
      <c r="DN1193" s="11"/>
      <c r="DO1193" s="11"/>
      <c r="DP1193" s="11"/>
      <c r="DQ1193" s="11"/>
      <c r="DR1193" s="11"/>
      <c r="DS1193" s="11"/>
      <c r="DT1193" s="11"/>
      <c r="DU1193" s="11"/>
      <c r="DV1193" s="11"/>
      <c r="DW1193" s="11"/>
      <c r="DX1193" s="11"/>
      <c r="DY1193" s="11"/>
      <c r="DZ1193" s="11"/>
      <c r="EA1193" s="11"/>
      <c r="EB1193" s="11"/>
      <c r="EC1193" s="11"/>
      <c r="ED1193" s="11"/>
      <c r="EE1193" s="11"/>
      <c r="EF1193" s="11"/>
      <c r="EG1193" s="11"/>
      <c r="EH1193" s="11"/>
      <c r="EI1193" s="11"/>
      <c r="EJ1193" s="11"/>
      <c r="EK1193" s="11"/>
      <c r="EL1193" s="11"/>
      <c r="EM1193" s="11"/>
      <c r="EN1193" s="11"/>
      <c r="EO1193" s="11"/>
      <c r="EP1193" s="11"/>
      <c r="EQ1193" s="11"/>
      <c r="ER1193" s="11"/>
      <c r="ES1193" s="11"/>
      <c r="ET1193" s="11"/>
      <c r="EU1193" s="11"/>
      <c r="EV1193" s="11"/>
      <c r="EW1193" s="11"/>
      <c r="EX1193" s="11"/>
      <c r="EY1193" s="11"/>
      <c r="EZ1193" s="11"/>
      <c r="FA1193" s="11"/>
      <c r="FB1193" s="11"/>
      <c r="FC1193" s="11"/>
      <c r="FD1193" s="11"/>
      <c r="FE1193" s="11"/>
      <c r="FF1193" s="11"/>
      <c r="FG1193" s="11"/>
      <c r="FH1193" s="11"/>
      <c r="FI1193" s="11"/>
      <c r="FJ1193" s="11"/>
      <c r="FK1193" s="11"/>
      <c r="FL1193" s="11"/>
      <c r="FM1193" s="11"/>
      <c r="FN1193" s="11"/>
      <c r="FO1193" s="11"/>
      <c r="FP1193" s="11"/>
      <c r="FQ1193" s="11"/>
      <c r="FR1193" s="11"/>
      <c r="FS1193" s="11"/>
      <c r="FT1193" s="11"/>
      <c r="FU1193" s="11"/>
      <c r="FV1193" s="11"/>
      <c r="FW1193" s="11"/>
      <c r="FX1193" s="11"/>
      <c r="FY1193" s="11"/>
      <c r="FZ1193" s="11"/>
      <c r="GA1193" s="11"/>
      <c r="GB1193" s="11"/>
      <c r="GC1193" s="11"/>
      <c r="GD1193" s="11"/>
      <c r="GE1193" s="11"/>
      <c r="GF1193" s="11"/>
      <c r="GG1193" s="11"/>
      <c r="GH1193" s="11"/>
      <c r="GI1193" s="11"/>
      <c r="GJ1193" s="11"/>
      <c r="GK1193" s="11"/>
      <c r="GL1193" s="11"/>
      <c r="GM1193" s="11"/>
      <c r="GN1193" s="11"/>
      <c r="GO1193" s="11"/>
      <c r="GP1193" s="11"/>
      <c r="GQ1193" s="11"/>
      <c r="GR1193" s="11"/>
      <c r="GS1193" s="11"/>
      <c r="GT1193" s="11"/>
      <c r="GU1193" s="11"/>
      <c r="GV1193" s="11"/>
      <c r="GW1193" s="11"/>
      <c r="GX1193" s="11"/>
      <c r="GY1193" s="11"/>
      <c r="GZ1193" s="11"/>
      <c r="HA1193" s="11"/>
    </row>
    <row r="1194" spans="1:209" ht="23.25" customHeight="1" x14ac:dyDescent="0.15">
      <c r="A1194" s="11"/>
      <c r="B1194" s="11"/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/>
      <c r="R1194" s="11"/>
      <c r="S1194" s="11"/>
      <c r="T1194" s="11"/>
      <c r="U1194" s="11"/>
      <c r="V1194" s="11"/>
      <c r="W1194" s="11"/>
      <c r="X1194" s="11"/>
      <c r="Y1194" s="11"/>
      <c r="Z1194" s="11"/>
      <c r="AA1194" s="11"/>
      <c r="AB1194" s="11"/>
      <c r="AC1194" s="11"/>
      <c r="AD1194" s="11"/>
      <c r="AE1194" s="11"/>
      <c r="AF1194" s="11"/>
      <c r="AG1194" s="11"/>
      <c r="AH1194" s="11"/>
      <c r="AI1194" s="11"/>
      <c r="AJ1194" s="11"/>
      <c r="AK1194" s="11"/>
      <c r="AL1194" s="11"/>
      <c r="AM1194" s="11"/>
      <c r="AN1194" s="11"/>
      <c r="AO1194" s="11"/>
      <c r="AP1194" s="11"/>
      <c r="AQ1194" s="11"/>
      <c r="AR1194" s="11"/>
      <c r="AS1194" s="11"/>
      <c r="AT1194" s="11"/>
      <c r="AU1194" s="11"/>
      <c r="AV1194" s="11"/>
      <c r="AW1194" s="11"/>
      <c r="AX1194" s="11"/>
      <c r="AY1194" s="11"/>
      <c r="AZ1194" s="11"/>
      <c r="BA1194" s="11"/>
      <c r="BB1194" s="11"/>
      <c r="BC1194" s="11"/>
      <c r="BD1194" s="11"/>
      <c r="BE1194" s="11"/>
      <c r="BF1194" s="11"/>
      <c r="BG1194" s="11"/>
      <c r="BH1194" s="11"/>
      <c r="BI1194" s="11"/>
      <c r="BJ1194" s="11"/>
      <c r="BK1194" s="11"/>
      <c r="BL1194" s="11"/>
      <c r="BM1194" s="11"/>
      <c r="BN1194" s="11"/>
      <c r="BO1194" s="11"/>
      <c r="BP1194" s="11"/>
      <c r="BQ1194" s="11"/>
      <c r="BR1194" s="11"/>
      <c r="BS1194" s="11"/>
      <c r="BT1194" s="11"/>
      <c r="BU1194" s="11"/>
      <c r="BV1194" s="11"/>
      <c r="BW1194" s="52" t="s">
        <v>446</v>
      </c>
      <c r="BX1194" s="52" t="s">
        <v>447</v>
      </c>
      <c r="BY1194" s="11"/>
      <c r="BZ1194" s="52" t="s">
        <v>166</v>
      </c>
      <c r="CA1194" s="52" t="s">
        <v>1371</v>
      </c>
      <c r="CB1194" s="52" t="s">
        <v>343</v>
      </c>
      <c r="CC1194" s="52" t="s">
        <v>1308</v>
      </c>
      <c r="CD1194" s="53">
        <v>43951</v>
      </c>
      <c r="CE1194" s="53">
        <v>43957</v>
      </c>
      <c r="CF1194" s="52">
        <v>100</v>
      </c>
      <c r="CG1194" s="54" t="s">
        <v>3764</v>
      </c>
      <c r="CH1194" s="11"/>
      <c r="CI1194" s="11"/>
      <c r="CJ1194" s="11"/>
      <c r="CK1194" s="11"/>
      <c r="CL1194" s="11"/>
      <c r="CM1194" s="11"/>
      <c r="CN1194" s="11"/>
      <c r="CO1194" s="11"/>
      <c r="CP1194" s="11"/>
      <c r="CQ1194" s="11"/>
      <c r="CR1194" s="11"/>
      <c r="CS1194" s="11"/>
      <c r="CT1194" s="11"/>
      <c r="CU1194" s="11"/>
      <c r="CV1194" s="11"/>
      <c r="CW1194" s="11"/>
      <c r="CX1194" s="11"/>
      <c r="CY1194" s="11"/>
      <c r="CZ1194" s="11"/>
      <c r="DA1194" s="11"/>
      <c r="DB1194" s="11"/>
      <c r="DC1194" s="11"/>
      <c r="DD1194" s="11"/>
      <c r="DE1194" s="11"/>
      <c r="DF1194" s="11"/>
      <c r="DG1194" s="11"/>
      <c r="DH1194" s="11"/>
      <c r="DI1194" s="11"/>
      <c r="DJ1194" s="11"/>
      <c r="DK1194" s="11"/>
      <c r="DL1194" s="11"/>
      <c r="DM1194" s="11"/>
      <c r="DN1194" s="11"/>
      <c r="DO1194" s="11"/>
      <c r="DP1194" s="11"/>
      <c r="DQ1194" s="11"/>
      <c r="DR1194" s="11"/>
      <c r="DS1194" s="11"/>
      <c r="DT1194" s="11"/>
      <c r="DU1194" s="11"/>
      <c r="DV1194" s="11"/>
      <c r="DW1194" s="11"/>
      <c r="DX1194" s="11"/>
      <c r="DY1194" s="11"/>
      <c r="DZ1194" s="11"/>
      <c r="EA1194" s="11"/>
      <c r="EB1194" s="11"/>
      <c r="EC1194" s="11"/>
      <c r="ED1194" s="11"/>
      <c r="EE1194" s="11"/>
      <c r="EF1194" s="11"/>
      <c r="EG1194" s="11"/>
      <c r="EH1194" s="11"/>
      <c r="EI1194" s="11"/>
      <c r="EJ1194" s="11"/>
      <c r="EK1194" s="11"/>
      <c r="EL1194" s="11"/>
      <c r="EM1194" s="11"/>
      <c r="EN1194" s="11"/>
      <c r="EO1194" s="11"/>
      <c r="EP1194" s="11"/>
      <c r="EQ1194" s="11"/>
      <c r="ER1194" s="11"/>
      <c r="ES1194" s="11"/>
      <c r="ET1194" s="11"/>
      <c r="EU1194" s="11"/>
      <c r="EV1194" s="11"/>
      <c r="EW1194" s="11"/>
      <c r="EX1194" s="11"/>
      <c r="EY1194" s="11"/>
      <c r="EZ1194" s="11"/>
      <c r="FA1194" s="11"/>
      <c r="FB1194" s="11"/>
      <c r="FC1194" s="11"/>
      <c r="FD1194" s="11"/>
      <c r="FE1194" s="11"/>
      <c r="FF1194" s="11"/>
      <c r="FG1194" s="11"/>
      <c r="FH1194" s="11"/>
      <c r="FI1194" s="11"/>
      <c r="FJ1194" s="11"/>
      <c r="FK1194" s="11"/>
      <c r="FL1194" s="11"/>
      <c r="FM1194" s="11"/>
      <c r="FN1194" s="11"/>
      <c r="FO1194" s="11"/>
      <c r="FP1194" s="11"/>
      <c r="FQ1194" s="11"/>
      <c r="FR1194" s="11"/>
      <c r="FS1194" s="11"/>
      <c r="FT1194" s="11"/>
      <c r="FU1194" s="11"/>
      <c r="FV1194" s="11"/>
      <c r="FW1194" s="11"/>
      <c r="FX1194" s="11"/>
      <c r="FY1194" s="11"/>
      <c r="FZ1194" s="11"/>
      <c r="GA1194" s="11"/>
      <c r="GB1194" s="11"/>
      <c r="GC1194" s="11"/>
      <c r="GD1194" s="11"/>
      <c r="GE1194" s="11"/>
      <c r="GF1194" s="11"/>
      <c r="GG1194" s="11"/>
      <c r="GH1194" s="11"/>
      <c r="GI1194" s="11"/>
      <c r="GJ1194" s="11"/>
      <c r="GK1194" s="11"/>
      <c r="GL1194" s="11"/>
      <c r="GM1194" s="11"/>
      <c r="GN1194" s="11"/>
      <c r="GO1194" s="11"/>
      <c r="GP1194" s="11"/>
      <c r="GQ1194" s="11"/>
      <c r="GR1194" s="11"/>
      <c r="GS1194" s="11"/>
      <c r="GT1194" s="11"/>
      <c r="GU1194" s="11"/>
      <c r="GV1194" s="11"/>
      <c r="GW1194" s="11"/>
      <c r="GX1194" s="11"/>
      <c r="GY1194" s="11"/>
      <c r="GZ1194" s="11"/>
      <c r="HA1194" s="11"/>
    </row>
    <row r="1195" spans="1:209" ht="23.25" customHeight="1" x14ac:dyDescent="0.15">
      <c r="A1195" s="11"/>
      <c r="B1195" s="11"/>
      <c r="C1195" s="1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/>
      <c r="R1195" s="11"/>
      <c r="S1195" s="11"/>
      <c r="T1195" s="11"/>
      <c r="U1195" s="11"/>
      <c r="V1195" s="11"/>
      <c r="W1195" s="11"/>
      <c r="X1195" s="11"/>
      <c r="Y1195" s="11"/>
      <c r="Z1195" s="11"/>
      <c r="AA1195" s="11"/>
      <c r="AB1195" s="11"/>
      <c r="AC1195" s="11"/>
      <c r="AD1195" s="11"/>
      <c r="AE1195" s="11"/>
      <c r="AF1195" s="11"/>
      <c r="AG1195" s="11"/>
      <c r="AH1195" s="11"/>
      <c r="AI1195" s="11"/>
      <c r="AJ1195" s="11"/>
      <c r="AK1195" s="11"/>
      <c r="AL1195" s="11"/>
      <c r="AM1195" s="11"/>
      <c r="AN1195" s="11"/>
      <c r="AO1195" s="11"/>
      <c r="AP1195" s="11"/>
      <c r="AQ1195" s="11"/>
      <c r="AR1195" s="11"/>
      <c r="AS1195" s="11"/>
      <c r="AT1195" s="11"/>
      <c r="AU1195" s="11"/>
      <c r="AV1195" s="11"/>
      <c r="AW1195" s="11"/>
      <c r="AX1195" s="11"/>
      <c r="AY1195" s="11"/>
      <c r="AZ1195" s="11"/>
      <c r="BA1195" s="11"/>
      <c r="BB1195" s="11"/>
      <c r="BC1195" s="11"/>
      <c r="BD1195" s="11"/>
      <c r="BE1195" s="11"/>
      <c r="BF1195" s="11"/>
      <c r="BG1195" s="11"/>
      <c r="BH1195" s="11"/>
      <c r="BI1195" s="11"/>
      <c r="BJ1195" s="11"/>
      <c r="BK1195" s="11"/>
      <c r="BL1195" s="11"/>
      <c r="BM1195" s="11"/>
      <c r="BN1195" s="11"/>
      <c r="BO1195" s="11"/>
      <c r="BP1195" s="11"/>
      <c r="BQ1195" s="11"/>
      <c r="BR1195" s="11"/>
      <c r="BS1195" s="11"/>
      <c r="BT1195" s="11"/>
      <c r="BU1195" s="11"/>
      <c r="BV1195" s="11"/>
      <c r="BW1195" s="52" t="s">
        <v>1694</v>
      </c>
      <c r="BX1195" s="52" t="s">
        <v>401</v>
      </c>
      <c r="BY1195" s="11"/>
      <c r="BZ1195" s="52" t="s">
        <v>311</v>
      </c>
      <c r="CA1195" s="52" t="s">
        <v>3765</v>
      </c>
      <c r="CB1195" s="52" t="s">
        <v>343</v>
      </c>
      <c r="CC1195" s="52" t="s">
        <v>3766</v>
      </c>
      <c r="CD1195" s="53">
        <v>43997</v>
      </c>
      <c r="CE1195" s="53">
        <v>44013</v>
      </c>
      <c r="CF1195" s="52">
        <v>100</v>
      </c>
      <c r="CG1195" s="54" t="s">
        <v>3767</v>
      </c>
      <c r="CH1195" s="11"/>
      <c r="CI1195" s="11"/>
      <c r="CJ1195" s="11"/>
      <c r="CK1195" s="11"/>
      <c r="CL1195" s="11"/>
      <c r="CM1195" s="11"/>
      <c r="CN1195" s="11"/>
      <c r="CO1195" s="11"/>
      <c r="CP1195" s="11"/>
      <c r="CQ1195" s="11"/>
      <c r="CR1195" s="11"/>
      <c r="CS1195" s="11"/>
      <c r="CT1195" s="11"/>
      <c r="CU1195" s="11"/>
      <c r="CV1195" s="11"/>
      <c r="CW1195" s="11"/>
      <c r="CX1195" s="11"/>
      <c r="CY1195" s="11"/>
      <c r="CZ1195" s="11"/>
      <c r="DA1195" s="11"/>
      <c r="DB1195" s="11"/>
      <c r="DC1195" s="11"/>
      <c r="DD1195" s="11"/>
      <c r="DE1195" s="11"/>
      <c r="DF1195" s="11"/>
      <c r="DG1195" s="11"/>
      <c r="DH1195" s="11"/>
      <c r="DI1195" s="11"/>
      <c r="DJ1195" s="11"/>
      <c r="DK1195" s="11"/>
      <c r="DL1195" s="11"/>
      <c r="DM1195" s="11"/>
      <c r="DN1195" s="11"/>
      <c r="DO1195" s="11"/>
      <c r="DP1195" s="11"/>
      <c r="DQ1195" s="11"/>
      <c r="DR1195" s="11"/>
      <c r="DS1195" s="11"/>
      <c r="DT1195" s="11"/>
      <c r="DU1195" s="11"/>
      <c r="DV1195" s="11"/>
      <c r="DW1195" s="11"/>
      <c r="DX1195" s="11"/>
      <c r="DY1195" s="11"/>
      <c r="DZ1195" s="11"/>
      <c r="EA1195" s="11"/>
      <c r="EB1195" s="11"/>
      <c r="EC1195" s="11"/>
      <c r="ED1195" s="11"/>
      <c r="EE1195" s="11"/>
      <c r="EF1195" s="11"/>
      <c r="EG1195" s="11"/>
      <c r="EH1195" s="11"/>
      <c r="EI1195" s="11"/>
      <c r="EJ1195" s="11"/>
      <c r="EK1195" s="11"/>
      <c r="EL1195" s="11"/>
      <c r="EM1195" s="11"/>
      <c r="EN1195" s="11"/>
      <c r="EO1195" s="11"/>
      <c r="EP1195" s="11"/>
      <c r="EQ1195" s="11"/>
      <c r="ER1195" s="11"/>
      <c r="ES1195" s="11"/>
      <c r="ET1195" s="11"/>
      <c r="EU1195" s="11"/>
      <c r="EV1195" s="11"/>
      <c r="EW1195" s="11"/>
      <c r="EX1195" s="11"/>
      <c r="EY1195" s="11"/>
      <c r="EZ1195" s="11"/>
      <c r="FA1195" s="11"/>
      <c r="FB1195" s="11"/>
      <c r="FC1195" s="11"/>
      <c r="FD1195" s="11"/>
      <c r="FE1195" s="11"/>
      <c r="FF1195" s="11"/>
      <c r="FG1195" s="11"/>
      <c r="FH1195" s="11"/>
      <c r="FI1195" s="11"/>
      <c r="FJ1195" s="11"/>
      <c r="FK1195" s="11"/>
      <c r="FL1195" s="11"/>
      <c r="FM1195" s="11"/>
      <c r="FN1195" s="11"/>
      <c r="FO1195" s="11"/>
      <c r="FP1195" s="11"/>
      <c r="FQ1195" s="11"/>
      <c r="FR1195" s="11"/>
      <c r="FS1195" s="11"/>
      <c r="FT1195" s="11"/>
      <c r="FU1195" s="11"/>
      <c r="FV1195" s="11"/>
      <c r="FW1195" s="11"/>
      <c r="FX1195" s="11"/>
      <c r="FY1195" s="11"/>
      <c r="FZ1195" s="11"/>
      <c r="GA1195" s="11"/>
      <c r="GB1195" s="11"/>
      <c r="GC1195" s="11"/>
      <c r="GD1195" s="11"/>
      <c r="GE1195" s="11"/>
      <c r="GF1195" s="11"/>
      <c r="GG1195" s="11"/>
      <c r="GH1195" s="11"/>
      <c r="GI1195" s="11"/>
      <c r="GJ1195" s="11"/>
      <c r="GK1195" s="11"/>
      <c r="GL1195" s="11"/>
      <c r="GM1195" s="11"/>
      <c r="GN1195" s="11"/>
      <c r="GO1195" s="11"/>
      <c r="GP1195" s="11"/>
      <c r="GQ1195" s="11"/>
      <c r="GR1195" s="11"/>
      <c r="GS1195" s="11"/>
      <c r="GT1195" s="11"/>
      <c r="GU1195" s="11"/>
      <c r="GV1195" s="11"/>
      <c r="GW1195" s="11"/>
      <c r="GX1195" s="11"/>
      <c r="GY1195" s="11"/>
      <c r="GZ1195" s="11"/>
      <c r="HA1195" s="11"/>
    </row>
    <row r="1196" spans="1:209" ht="23.25" customHeight="1" x14ac:dyDescent="0.15">
      <c r="A1196" s="11"/>
      <c r="B1196" s="11"/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/>
      <c r="R1196" s="11"/>
      <c r="S1196" s="11"/>
      <c r="T1196" s="11"/>
      <c r="U1196" s="11"/>
      <c r="V1196" s="11"/>
      <c r="W1196" s="11"/>
      <c r="X1196" s="11"/>
      <c r="Y1196" s="11"/>
      <c r="Z1196" s="11"/>
      <c r="AA1196" s="11"/>
      <c r="AB1196" s="11"/>
      <c r="AC1196" s="11"/>
      <c r="AD1196" s="11"/>
      <c r="AE1196" s="11"/>
      <c r="AF1196" s="11"/>
      <c r="AG1196" s="11"/>
      <c r="AH1196" s="11"/>
      <c r="AI1196" s="11"/>
      <c r="AJ1196" s="11"/>
      <c r="AK1196" s="11"/>
      <c r="AL1196" s="11"/>
      <c r="AM1196" s="11"/>
      <c r="AN1196" s="11"/>
      <c r="AO1196" s="11"/>
      <c r="AP1196" s="11"/>
      <c r="AQ1196" s="11"/>
      <c r="AR1196" s="11"/>
      <c r="AS1196" s="11"/>
      <c r="AT1196" s="11"/>
      <c r="AU1196" s="11"/>
      <c r="AV1196" s="11"/>
      <c r="AW1196" s="11"/>
      <c r="AX1196" s="11"/>
      <c r="AY1196" s="11"/>
      <c r="AZ1196" s="11"/>
      <c r="BA1196" s="11"/>
      <c r="BB1196" s="11"/>
      <c r="BC1196" s="11"/>
      <c r="BD1196" s="11"/>
      <c r="BE1196" s="11"/>
      <c r="BF1196" s="11"/>
      <c r="BG1196" s="11"/>
      <c r="BH1196" s="11"/>
      <c r="BI1196" s="11"/>
      <c r="BJ1196" s="11"/>
      <c r="BK1196" s="11"/>
      <c r="BL1196" s="11"/>
      <c r="BM1196" s="11"/>
      <c r="BN1196" s="11"/>
      <c r="BO1196" s="11"/>
      <c r="BP1196" s="11"/>
      <c r="BQ1196" s="11"/>
      <c r="BR1196" s="11"/>
      <c r="BS1196" s="11"/>
      <c r="BT1196" s="11"/>
      <c r="BU1196" s="11"/>
      <c r="BV1196" s="11"/>
      <c r="BW1196" s="52" t="s">
        <v>1694</v>
      </c>
      <c r="BX1196" s="52" t="s">
        <v>401</v>
      </c>
      <c r="BY1196" s="11"/>
      <c r="BZ1196" s="52" t="s">
        <v>311</v>
      </c>
      <c r="CA1196" s="52" t="s">
        <v>3768</v>
      </c>
      <c r="CB1196" s="52" t="s">
        <v>343</v>
      </c>
      <c r="CC1196" s="52" t="s">
        <v>3766</v>
      </c>
      <c r="CD1196" s="53">
        <v>44013</v>
      </c>
      <c r="CE1196" s="53">
        <v>44023</v>
      </c>
      <c r="CF1196" s="52">
        <v>100</v>
      </c>
      <c r="CG1196" s="54" t="s">
        <v>3769</v>
      </c>
      <c r="CH1196" s="11"/>
      <c r="CI1196" s="11"/>
      <c r="CJ1196" s="11"/>
      <c r="CK1196" s="11"/>
      <c r="CL1196" s="11"/>
      <c r="CM1196" s="11"/>
      <c r="CN1196" s="11"/>
      <c r="CO1196" s="11"/>
      <c r="CP1196" s="11"/>
      <c r="CQ1196" s="11"/>
      <c r="CR1196" s="11"/>
      <c r="CS1196" s="11"/>
      <c r="CT1196" s="11"/>
      <c r="CU1196" s="11"/>
      <c r="CV1196" s="11"/>
      <c r="CW1196" s="11"/>
      <c r="CX1196" s="11"/>
      <c r="CY1196" s="11"/>
      <c r="CZ1196" s="11"/>
      <c r="DA1196" s="11"/>
      <c r="DB1196" s="11"/>
      <c r="DC1196" s="11"/>
      <c r="DD1196" s="11"/>
      <c r="DE1196" s="11"/>
      <c r="DF1196" s="11"/>
      <c r="DG1196" s="11"/>
      <c r="DH1196" s="11"/>
      <c r="DI1196" s="11"/>
      <c r="DJ1196" s="11"/>
      <c r="DK1196" s="11"/>
      <c r="DL1196" s="11"/>
      <c r="DM1196" s="11"/>
      <c r="DN1196" s="11"/>
      <c r="DO1196" s="11"/>
      <c r="DP1196" s="11"/>
      <c r="DQ1196" s="11"/>
      <c r="DR1196" s="11"/>
      <c r="DS1196" s="11"/>
      <c r="DT1196" s="11"/>
      <c r="DU1196" s="11"/>
      <c r="DV1196" s="11"/>
      <c r="DW1196" s="11"/>
      <c r="DX1196" s="11"/>
      <c r="DY1196" s="11"/>
      <c r="DZ1196" s="11"/>
      <c r="EA1196" s="11"/>
      <c r="EB1196" s="11"/>
      <c r="EC1196" s="11"/>
      <c r="ED1196" s="11"/>
      <c r="EE1196" s="11"/>
      <c r="EF1196" s="11"/>
      <c r="EG1196" s="11"/>
      <c r="EH1196" s="11"/>
      <c r="EI1196" s="11"/>
      <c r="EJ1196" s="11"/>
      <c r="EK1196" s="11"/>
      <c r="EL1196" s="11"/>
      <c r="EM1196" s="11"/>
      <c r="EN1196" s="11"/>
      <c r="EO1196" s="11"/>
      <c r="EP1196" s="11"/>
      <c r="EQ1196" s="11"/>
      <c r="ER1196" s="11"/>
      <c r="ES1196" s="11"/>
      <c r="ET1196" s="11"/>
      <c r="EU1196" s="11"/>
      <c r="EV1196" s="11"/>
      <c r="EW1196" s="11"/>
      <c r="EX1196" s="11"/>
      <c r="EY1196" s="11"/>
      <c r="EZ1196" s="11"/>
      <c r="FA1196" s="11"/>
      <c r="FB1196" s="11"/>
      <c r="FC1196" s="11"/>
      <c r="FD1196" s="11"/>
      <c r="FE1196" s="11"/>
      <c r="FF1196" s="11"/>
      <c r="FG1196" s="11"/>
      <c r="FH1196" s="11"/>
      <c r="FI1196" s="11"/>
      <c r="FJ1196" s="11"/>
      <c r="FK1196" s="11"/>
      <c r="FL1196" s="11"/>
      <c r="FM1196" s="11"/>
      <c r="FN1196" s="11"/>
      <c r="FO1196" s="11"/>
      <c r="FP1196" s="11"/>
      <c r="FQ1196" s="11"/>
      <c r="FR1196" s="11"/>
      <c r="FS1196" s="11"/>
      <c r="FT1196" s="11"/>
      <c r="FU1196" s="11"/>
      <c r="FV1196" s="11"/>
      <c r="FW1196" s="11"/>
      <c r="FX1196" s="11"/>
      <c r="FY1196" s="11"/>
      <c r="FZ1196" s="11"/>
      <c r="GA1196" s="11"/>
      <c r="GB1196" s="11"/>
      <c r="GC1196" s="11"/>
      <c r="GD1196" s="11"/>
      <c r="GE1196" s="11"/>
      <c r="GF1196" s="11"/>
      <c r="GG1196" s="11"/>
      <c r="GH1196" s="11"/>
      <c r="GI1196" s="11"/>
      <c r="GJ1196" s="11"/>
      <c r="GK1196" s="11"/>
      <c r="GL1196" s="11"/>
      <c r="GM1196" s="11"/>
      <c r="GN1196" s="11"/>
      <c r="GO1196" s="11"/>
      <c r="GP1196" s="11"/>
      <c r="GQ1196" s="11"/>
      <c r="GR1196" s="11"/>
      <c r="GS1196" s="11"/>
      <c r="GT1196" s="11"/>
      <c r="GU1196" s="11"/>
      <c r="GV1196" s="11"/>
      <c r="GW1196" s="11"/>
      <c r="GX1196" s="11"/>
      <c r="GY1196" s="11"/>
      <c r="GZ1196" s="11"/>
      <c r="HA1196" s="11"/>
    </row>
    <row r="1197" spans="1:209" ht="23.25" customHeight="1" x14ac:dyDescent="0.15">
      <c r="A1197" s="11"/>
      <c r="B1197" s="11"/>
      <c r="C1197" s="1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/>
      <c r="R1197" s="11"/>
      <c r="S1197" s="11"/>
      <c r="T1197" s="11"/>
      <c r="U1197" s="11"/>
      <c r="V1197" s="11"/>
      <c r="W1197" s="11"/>
      <c r="X1197" s="11"/>
      <c r="Y1197" s="11"/>
      <c r="Z1197" s="11"/>
      <c r="AA1197" s="11"/>
      <c r="AB1197" s="11"/>
      <c r="AC1197" s="11"/>
      <c r="AD1197" s="11"/>
      <c r="AE1197" s="11"/>
      <c r="AF1197" s="11"/>
      <c r="AG1197" s="11"/>
      <c r="AH1197" s="11"/>
      <c r="AI1197" s="11"/>
      <c r="AJ1197" s="11"/>
      <c r="AK1197" s="11"/>
      <c r="AL1197" s="11"/>
      <c r="AM1197" s="11"/>
      <c r="AN1197" s="11"/>
      <c r="AO1197" s="11"/>
      <c r="AP1197" s="11"/>
      <c r="AQ1197" s="11"/>
      <c r="AR1197" s="11"/>
      <c r="AS1197" s="11"/>
      <c r="AT1197" s="11"/>
      <c r="AU1197" s="11"/>
      <c r="AV1197" s="11"/>
      <c r="AW1197" s="11"/>
      <c r="AX1197" s="11"/>
      <c r="AY1197" s="11"/>
      <c r="AZ1197" s="11"/>
      <c r="BA1197" s="11"/>
      <c r="BB1197" s="11"/>
      <c r="BC1197" s="11"/>
      <c r="BD1197" s="11"/>
      <c r="BE1197" s="11"/>
      <c r="BF1197" s="11"/>
      <c r="BG1197" s="11"/>
      <c r="BH1197" s="11"/>
      <c r="BI1197" s="11"/>
      <c r="BJ1197" s="11"/>
      <c r="BK1197" s="11"/>
      <c r="BL1197" s="11"/>
      <c r="BM1197" s="11"/>
      <c r="BN1197" s="11"/>
      <c r="BO1197" s="11"/>
      <c r="BP1197" s="11"/>
      <c r="BQ1197" s="11"/>
      <c r="BR1197" s="11"/>
      <c r="BS1197" s="11"/>
      <c r="BT1197" s="11"/>
      <c r="BU1197" s="11"/>
      <c r="BV1197" s="11"/>
      <c r="BW1197" s="52" t="s">
        <v>1694</v>
      </c>
      <c r="BX1197" s="52" t="s">
        <v>401</v>
      </c>
      <c r="BY1197" s="11"/>
      <c r="BZ1197" s="52" t="s">
        <v>311</v>
      </c>
      <c r="CA1197" s="52" t="s">
        <v>3770</v>
      </c>
      <c r="CB1197" s="52" t="s">
        <v>343</v>
      </c>
      <c r="CC1197" s="52" t="s">
        <v>3766</v>
      </c>
      <c r="CD1197" s="53">
        <v>43990</v>
      </c>
      <c r="CE1197" s="53">
        <v>44009</v>
      </c>
      <c r="CF1197" s="52">
        <v>100</v>
      </c>
      <c r="CG1197" s="54" t="s">
        <v>3771</v>
      </c>
      <c r="CH1197" s="11"/>
      <c r="CI1197" s="11"/>
      <c r="CJ1197" s="11"/>
      <c r="CK1197" s="11"/>
      <c r="CL1197" s="11"/>
      <c r="CM1197" s="11"/>
      <c r="CN1197" s="11"/>
      <c r="CO1197" s="11"/>
      <c r="CP1197" s="11"/>
      <c r="CQ1197" s="11"/>
      <c r="CR1197" s="11"/>
      <c r="CS1197" s="11"/>
      <c r="CT1197" s="11"/>
      <c r="CU1197" s="11"/>
      <c r="CV1197" s="11"/>
      <c r="CW1197" s="11"/>
      <c r="CX1197" s="11"/>
      <c r="CY1197" s="11"/>
      <c r="CZ1197" s="11"/>
      <c r="DA1197" s="11"/>
      <c r="DB1197" s="11"/>
      <c r="DC1197" s="11"/>
      <c r="DD1197" s="11"/>
      <c r="DE1197" s="11"/>
      <c r="DF1197" s="11"/>
      <c r="DG1197" s="11"/>
      <c r="DH1197" s="11"/>
      <c r="DI1197" s="11"/>
      <c r="DJ1197" s="11"/>
      <c r="DK1197" s="11"/>
      <c r="DL1197" s="11"/>
      <c r="DM1197" s="11"/>
      <c r="DN1197" s="11"/>
      <c r="DO1197" s="11"/>
      <c r="DP1197" s="11"/>
      <c r="DQ1197" s="11"/>
      <c r="DR1197" s="11"/>
      <c r="DS1197" s="11"/>
      <c r="DT1197" s="11"/>
      <c r="DU1197" s="11"/>
      <c r="DV1197" s="11"/>
      <c r="DW1197" s="11"/>
      <c r="DX1197" s="11"/>
      <c r="DY1197" s="11"/>
      <c r="DZ1197" s="11"/>
      <c r="EA1197" s="11"/>
      <c r="EB1197" s="11"/>
      <c r="EC1197" s="11"/>
      <c r="ED1197" s="11"/>
      <c r="EE1197" s="11"/>
      <c r="EF1197" s="11"/>
      <c r="EG1197" s="11"/>
      <c r="EH1197" s="11"/>
      <c r="EI1197" s="11"/>
      <c r="EJ1197" s="11"/>
      <c r="EK1197" s="11"/>
      <c r="EL1197" s="11"/>
      <c r="EM1197" s="11"/>
      <c r="EN1197" s="11"/>
      <c r="EO1197" s="11"/>
      <c r="EP1197" s="11"/>
      <c r="EQ1197" s="11"/>
      <c r="ER1197" s="11"/>
      <c r="ES1197" s="11"/>
      <c r="ET1197" s="11"/>
      <c r="EU1197" s="11"/>
      <c r="EV1197" s="11"/>
      <c r="EW1197" s="11"/>
      <c r="EX1197" s="11"/>
      <c r="EY1197" s="11"/>
      <c r="EZ1197" s="11"/>
      <c r="FA1197" s="11"/>
      <c r="FB1197" s="11"/>
      <c r="FC1197" s="11"/>
      <c r="FD1197" s="11"/>
      <c r="FE1197" s="11"/>
      <c r="FF1197" s="11"/>
      <c r="FG1197" s="11"/>
      <c r="FH1197" s="11"/>
      <c r="FI1197" s="11"/>
      <c r="FJ1197" s="11"/>
      <c r="FK1197" s="11"/>
      <c r="FL1197" s="11"/>
      <c r="FM1197" s="11"/>
      <c r="FN1197" s="11"/>
      <c r="FO1197" s="11"/>
      <c r="FP1197" s="11"/>
      <c r="FQ1197" s="11"/>
      <c r="FR1197" s="11"/>
      <c r="FS1197" s="11"/>
      <c r="FT1197" s="11"/>
      <c r="FU1197" s="11"/>
      <c r="FV1197" s="11"/>
      <c r="FW1197" s="11"/>
      <c r="FX1197" s="11"/>
      <c r="FY1197" s="11"/>
      <c r="FZ1197" s="11"/>
      <c r="GA1197" s="11"/>
      <c r="GB1197" s="11"/>
      <c r="GC1197" s="11"/>
      <c r="GD1197" s="11"/>
      <c r="GE1197" s="11"/>
      <c r="GF1197" s="11"/>
      <c r="GG1197" s="11"/>
      <c r="GH1197" s="11"/>
      <c r="GI1197" s="11"/>
      <c r="GJ1197" s="11"/>
      <c r="GK1197" s="11"/>
      <c r="GL1197" s="11"/>
      <c r="GM1197" s="11"/>
      <c r="GN1197" s="11"/>
      <c r="GO1197" s="11"/>
      <c r="GP1197" s="11"/>
      <c r="GQ1197" s="11"/>
      <c r="GR1197" s="11"/>
      <c r="GS1197" s="11"/>
      <c r="GT1197" s="11"/>
      <c r="GU1197" s="11"/>
      <c r="GV1197" s="11"/>
      <c r="GW1197" s="11"/>
      <c r="GX1197" s="11"/>
      <c r="GY1197" s="11"/>
      <c r="GZ1197" s="11"/>
      <c r="HA1197" s="11"/>
    </row>
    <row r="1198" spans="1:209" ht="23.25" customHeight="1" x14ac:dyDescent="0.15">
      <c r="A1198" s="11"/>
      <c r="B1198" s="11"/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/>
      <c r="R1198" s="11"/>
      <c r="S1198" s="11"/>
      <c r="T1198" s="11"/>
      <c r="U1198" s="11"/>
      <c r="V1198" s="11"/>
      <c r="W1198" s="11"/>
      <c r="X1198" s="11"/>
      <c r="Y1198" s="11"/>
      <c r="Z1198" s="11"/>
      <c r="AA1198" s="11"/>
      <c r="AB1198" s="11"/>
      <c r="AC1198" s="11"/>
      <c r="AD1198" s="11"/>
      <c r="AE1198" s="11"/>
      <c r="AF1198" s="11"/>
      <c r="AG1198" s="11"/>
      <c r="AH1198" s="11"/>
      <c r="AI1198" s="11"/>
      <c r="AJ1198" s="11"/>
      <c r="AK1198" s="11"/>
      <c r="AL1198" s="11"/>
      <c r="AM1198" s="11"/>
      <c r="AN1198" s="11"/>
      <c r="AO1198" s="11"/>
      <c r="AP1198" s="11"/>
      <c r="AQ1198" s="11"/>
      <c r="AR1198" s="11"/>
      <c r="AS1198" s="11"/>
      <c r="AT1198" s="11"/>
      <c r="AU1198" s="11"/>
      <c r="AV1198" s="11"/>
      <c r="AW1198" s="11"/>
      <c r="AX1198" s="11"/>
      <c r="AY1198" s="11"/>
      <c r="AZ1198" s="11"/>
      <c r="BA1198" s="11"/>
      <c r="BB1198" s="11"/>
      <c r="BC1198" s="11"/>
      <c r="BD1198" s="11"/>
      <c r="BE1198" s="11"/>
      <c r="BF1198" s="11"/>
      <c r="BG1198" s="11"/>
      <c r="BH1198" s="11"/>
      <c r="BI1198" s="11"/>
      <c r="BJ1198" s="11"/>
      <c r="BK1198" s="11"/>
      <c r="BL1198" s="11"/>
      <c r="BM1198" s="11"/>
      <c r="BN1198" s="11"/>
      <c r="BO1198" s="11"/>
      <c r="BP1198" s="11"/>
      <c r="BQ1198" s="11"/>
      <c r="BR1198" s="11"/>
      <c r="BS1198" s="11"/>
      <c r="BT1198" s="11"/>
      <c r="BU1198" s="11"/>
      <c r="BV1198" s="11"/>
      <c r="BW1198" s="52" t="s">
        <v>1694</v>
      </c>
      <c r="BX1198" s="52" t="s">
        <v>401</v>
      </c>
      <c r="BY1198" s="11"/>
      <c r="BZ1198" s="52" t="s">
        <v>311</v>
      </c>
      <c r="CA1198" s="52" t="s">
        <v>1901</v>
      </c>
      <c r="CB1198" s="52" t="s">
        <v>343</v>
      </c>
      <c r="CC1198" s="52" t="s">
        <v>3766</v>
      </c>
      <c r="CD1198" s="53">
        <v>43990</v>
      </c>
      <c r="CE1198" s="53">
        <v>44009</v>
      </c>
      <c r="CF1198" s="52">
        <v>100</v>
      </c>
      <c r="CG1198" s="54" t="s">
        <v>3772</v>
      </c>
      <c r="CH1198" s="11"/>
      <c r="CI1198" s="11"/>
      <c r="CJ1198" s="11"/>
      <c r="CK1198" s="11"/>
      <c r="CL1198" s="11"/>
      <c r="CM1198" s="11"/>
      <c r="CN1198" s="11"/>
      <c r="CO1198" s="11"/>
      <c r="CP1198" s="11"/>
      <c r="CQ1198" s="11"/>
      <c r="CR1198" s="11"/>
      <c r="CS1198" s="11"/>
      <c r="CT1198" s="11"/>
      <c r="CU1198" s="11"/>
      <c r="CV1198" s="11"/>
      <c r="CW1198" s="11"/>
      <c r="CX1198" s="11"/>
      <c r="CY1198" s="11"/>
      <c r="CZ1198" s="11"/>
      <c r="DA1198" s="11"/>
      <c r="DB1198" s="11"/>
      <c r="DC1198" s="11"/>
      <c r="DD1198" s="11"/>
      <c r="DE1198" s="11"/>
      <c r="DF1198" s="11"/>
      <c r="DG1198" s="11"/>
      <c r="DH1198" s="11"/>
      <c r="DI1198" s="11"/>
      <c r="DJ1198" s="11"/>
      <c r="DK1198" s="11"/>
      <c r="DL1198" s="11"/>
      <c r="DM1198" s="11"/>
      <c r="DN1198" s="11"/>
      <c r="DO1198" s="11"/>
      <c r="DP1198" s="11"/>
      <c r="DQ1198" s="11"/>
      <c r="DR1198" s="11"/>
      <c r="DS1198" s="11"/>
      <c r="DT1198" s="11"/>
      <c r="DU1198" s="11"/>
      <c r="DV1198" s="11"/>
      <c r="DW1198" s="11"/>
      <c r="DX1198" s="11"/>
      <c r="DY1198" s="11"/>
      <c r="DZ1198" s="11"/>
      <c r="EA1198" s="11"/>
      <c r="EB1198" s="11"/>
      <c r="EC1198" s="11"/>
      <c r="ED1198" s="11"/>
      <c r="EE1198" s="11"/>
      <c r="EF1198" s="11"/>
      <c r="EG1198" s="11"/>
      <c r="EH1198" s="11"/>
      <c r="EI1198" s="11"/>
      <c r="EJ1198" s="11"/>
      <c r="EK1198" s="11"/>
      <c r="EL1198" s="11"/>
      <c r="EM1198" s="11"/>
      <c r="EN1198" s="11"/>
      <c r="EO1198" s="11"/>
      <c r="EP1198" s="11"/>
      <c r="EQ1198" s="11"/>
      <c r="ER1198" s="11"/>
      <c r="ES1198" s="11"/>
      <c r="ET1198" s="11"/>
      <c r="EU1198" s="11"/>
      <c r="EV1198" s="11"/>
      <c r="EW1198" s="11"/>
      <c r="EX1198" s="11"/>
      <c r="EY1198" s="11"/>
      <c r="EZ1198" s="11"/>
      <c r="FA1198" s="11"/>
      <c r="FB1198" s="11"/>
      <c r="FC1198" s="11"/>
      <c r="FD1198" s="11"/>
      <c r="FE1198" s="11"/>
      <c r="FF1198" s="11"/>
      <c r="FG1198" s="11"/>
      <c r="FH1198" s="11"/>
      <c r="FI1198" s="11"/>
      <c r="FJ1198" s="11"/>
      <c r="FK1198" s="11"/>
      <c r="FL1198" s="11"/>
      <c r="FM1198" s="11"/>
      <c r="FN1198" s="11"/>
      <c r="FO1198" s="11"/>
      <c r="FP1198" s="11"/>
      <c r="FQ1198" s="11"/>
      <c r="FR1198" s="11"/>
      <c r="FS1198" s="11"/>
      <c r="FT1198" s="11"/>
      <c r="FU1198" s="11"/>
      <c r="FV1198" s="11"/>
      <c r="FW1198" s="11"/>
      <c r="FX1198" s="11"/>
      <c r="FY1198" s="11"/>
      <c r="FZ1198" s="11"/>
      <c r="GA1198" s="11"/>
      <c r="GB1198" s="11"/>
      <c r="GC1198" s="11"/>
      <c r="GD1198" s="11"/>
      <c r="GE1198" s="11"/>
      <c r="GF1198" s="11"/>
      <c r="GG1198" s="11"/>
      <c r="GH1198" s="11"/>
      <c r="GI1198" s="11"/>
      <c r="GJ1198" s="11"/>
      <c r="GK1198" s="11"/>
      <c r="GL1198" s="11"/>
      <c r="GM1198" s="11"/>
      <c r="GN1198" s="11"/>
      <c r="GO1198" s="11"/>
      <c r="GP1198" s="11"/>
      <c r="GQ1198" s="11"/>
      <c r="GR1198" s="11"/>
      <c r="GS1198" s="11"/>
      <c r="GT1198" s="11"/>
      <c r="GU1198" s="11"/>
      <c r="GV1198" s="11"/>
      <c r="GW1198" s="11"/>
      <c r="GX1198" s="11"/>
      <c r="GY1198" s="11"/>
      <c r="GZ1198" s="11"/>
      <c r="HA1198" s="11"/>
    </row>
    <row r="1199" spans="1:209" ht="23.25" customHeight="1" x14ac:dyDescent="0.15">
      <c r="A1199" s="11"/>
      <c r="B1199" s="11"/>
      <c r="C1199" s="1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/>
      <c r="R1199" s="11"/>
      <c r="S1199" s="11"/>
      <c r="T1199" s="11"/>
      <c r="U1199" s="11"/>
      <c r="V1199" s="11"/>
      <c r="W1199" s="11"/>
      <c r="X1199" s="11"/>
      <c r="Y1199" s="11"/>
      <c r="Z1199" s="11"/>
      <c r="AA1199" s="11"/>
      <c r="AB1199" s="11"/>
      <c r="AC1199" s="11"/>
      <c r="AD1199" s="11"/>
      <c r="AE1199" s="11"/>
      <c r="AF1199" s="11"/>
      <c r="AG1199" s="11"/>
      <c r="AH1199" s="11"/>
      <c r="AI1199" s="11"/>
      <c r="AJ1199" s="11"/>
      <c r="AK1199" s="11"/>
      <c r="AL1199" s="11"/>
      <c r="AM1199" s="11"/>
      <c r="AN1199" s="11"/>
      <c r="AO1199" s="11"/>
      <c r="AP1199" s="11"/>
      <c r="AQ1199" s="11"/>
      <c r="AR1199" s="11"/>
      <c r="AS1199" s="11"/>
      <c r="AT1199" s="11"/>
      <c r="AU1199" s="11"/>
      <c r="AV1199" s="11"/>
      <c r="AW1199" s="11"/>
      <c r="AX1199" s="11"/>
      <c r="AY1199" s="11"/>
      <c r="AZ1199" s="11"/>
      <c r="BA1199" s="11"/>
      <c r="BB1199" s="11"/>
      <c r="BC1199" s="11"/>
      <c r="BD1199" s="11"/>
      <c r="BE1199" s="11"/>
      <c r="BF1199" s="11"/>
      <c r="BG1199" s="11"/>
      <c r="BH1199" s="11"/>
      <c r="BI1199" s="11"/>
      <c r="BJ1199" s="11"/>
      <c r="BK1199" s="11"/>
      <c r="BL1199" s="11"/>
      <c r="BM1199" s="11"/>
      <c r="BN1199" s="11"/>
      <c r="BO1199" s="11"/>
      <c r="BP1199" s="11"/>
      <c r="BQ1199" s="11"/>
      <c r="BR1199" s="11"/>
      <c r="BS1199" s="11"/>
      <c r="BT1199" s="11"/>
      <c r="BU1199" s="11"/>
      <c r="BV1199" s="11"/>
      <c r="BW1199" s="52" t="s">
        <v>1694</v>
      </c>
      <c r="BX1199" s="52" t="s">
        <v>401</v>
      </c>
      <c r="BY1199" s="11"/>
      <c r="BZ1199" s="52" t="s">
        <v>311</v>
      </c>
      <c r="CA1199" s="52" t="s">
        <v>3773</v>
      </c>
      <c r="CB1199" s="52" t="s">
        <v>343</v>
      </c>
      <c r="CC1199" s="52" t="s">
        <v>3766</v>
      </c>
      <c r="CD1199" s="53">
        <v>43976</v>
      </c>
      <c r="CE1199" s="53">
        <v>43990</v>
      </c>
      <c r="CF1199" s="52">
        <v>100</v>
      </c>
      <c r="CG1199" s="54" t="s">
        <v>3774</v>
      </c>
      <c r="CH1199" s="11"/>
      <c r="CI1199" s="11"/>
      <c r="CJ1199" s="11"/>
      <c r="CK1199" s="11"/>
      <c r="CL1199" s="11"/>
      <c r="CM1199" s="11"/>
      <c r="CN1199" s="11"/>
      <c r="CO1199" s="11"/>
      <c r="CP1199" s="11"/>
      <c r="CQ1199" s="11"/>
      <c r="CR1199" s="11"/>
      <c r="CS1199" s="11"/>
      <c r="CT1199" s="11"/>
      <c r="CU1199" s="11"/>
      <c r="CV1199" s="11"/>
      <c r="CW1199" s="11"/>
      <c r="CX1199" s="11"/>
      <c r="CY1199" s="11"/>
      <c r="CZ1199" s="11"/>
      <c r="DA1199" s="11"/>
      <c r="DB1199" s="11"/>
      <c r="DC1199" s="11"/>
      <c r="DD1199" s="11"/>
      <c r="DE1199" s="11"/>
      <c r="DF1199" s="11"/>
      <c r="DG1199" s="11"/>
      <c r="DH1199" s="11"/>
      <c r="DI1199" s="11"/>
      <c r="DJ1199" s="11"/>
      <c r="DK1199" s="11"/>
      <c r="DL1199" s="11"/>
      <c r="DM1199" s="11"/>
      <c r="DN1199" s="11"/>
      <c r="DO1199" s="11"/>
      <c r="DP1199" s="11"/>
      <c r="DQ1199" s="11"/>
      <c r="DR1199" s="11"/>
      <c r="DS1199" s="11"/>
      <c r="DT1199" s="11"/>
      <c r="DU1199" s="11"/>
      <c r="DV1199" s="11"/>
      <c r="DW1199" s="11"/>
      <c r="DX1199" s="11"/>
      <c r="DY1199" s="11"/>
      <c r="DZ1199" s="11"/>
      <c r="EA1199" s="11"/>
      <c r="EB1199" s="11"/>
      <c r="EC1199" s="11"/>
      <c r="ED1199" s="11"/>
      <c r="EE1199" s="11"/>
      <c r="EF1199" s="11"/>
      <c r="EG1199" s="11"/>
      <c r="EH1199" s="11"/>
      <c r="EI1199" s="11"/>
      <c r="EJ1199" s="11"/>
      <c r="EK1199" s="11"/>
      <c r="EL1199" s="11"/>
      <c r="EM1199" s="11"/>
      <c r="EN1199" s="11"/>
      <c r="EO1199" s="11"/>
      <c r="EP1199" s="11"/>
      <c r="EQ1199" s="11"/>
      <c r="ER1199" s="11"/>
      <c r="ES1199" s="11"/>
      <c r="ET1199" s="11"/>
      <c r="EU1199" s="11"/>
      <c r="EV1199" s="11"/>
      <c r="EW1199" s="11"/>
      <c r="EX1199" s="11"/>
      <c r="EY1199" s="11"/>
      <c r="EZ1199" s="11"/>
      <c r="FA1199" s="11"/>
      <c r="FB1199" s="11"/>
      <c r="FC1199" s="11"/>
      <c r="FD1199" s="11"/>
      <c r="FE1199" s="11"/>
      <c r="FF1199" s="11"/>
      <c r="FG1199" s="11"/>
      <c r="FH1199" s="11"/>
      <c r="FI1199" s="11"/>
      <c r="FJ1199" s="11"/>
      <c r="FK1199" s="11"/>
      <c r="FL1199" s="11"/>
      <c r="FM1199" s="11"/>
      <c r="FN1199" s="11"/>
      <c r="FO1199" s="11"/>
      <c r="FP1199" s="11"/>
      <c r="FQ1199" s="11"/>
      <c r="FR1199" s="11"/>
      <c r="FS1199" s="11"/>
      <c r="FT1199" s="11"/>
      <c r="FU1199" s="11"/>
      <c r="FV1199" s="11"/>
      <c r="FW1199" s="11"/>
      <c r="FX1199" s="11"/>
      <c r="FY1199" s="11"/>
      <c r="FZ1199" s="11"/>
      <c r="GA1199" s="11"/>
      <c r="GB1199" s="11"/>
      <c r="GC1199" s="11"/>
      <c r="GD1199" s="11"/>
      <c r="GE1199" s="11"/>
      <c r="GF1199" s="11"/>
      <c r="GG1199" s="11"/>
      <c r="GH1199" s="11"/>
      <c r="GI1199" s="11"/>
      <c r="GJ1199" s="11"/>
      <c r="GK1199" s="11"/>
      <c r="GL1199" s="11"/>
      <c r="GM1199" s="11"/>
      <c r="GN1199" s="11"/>
      <c r="GO1199" s="11"/>
      <c r="GP1199" s="11"/>
      <c r="GQ1199" s="11"/>
      <c r="GR1199" s="11"/>
      <c r="GS1199" s="11"/>
      <c r="GT1199" s="11"/>
      <c r="GU1199" s="11"/>
      <c r="GV1199" s="11"/>
      <c r="GW1199" s="11"/>
      <c r="GX1199" s="11"/>
      <c r="GY1199" s="11"/>
      <c r="GZ1199" s="11"/>
      <c r="HA1199" s="11"/>
    </row>
    <row r="1200" spans="1:209" ht="23.25" customHeight="1" x14ac:dyDescent="0.15">
      <c r="A1200" s="11"/>
      <c r="B1200" s="11"/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/>
      <c r="R1200" s="11"/>
      <c r="S1200" s="11"/>
      <c r="T1200" s="11"/>
      <c r="U1200" s="11"/>
      <c r="V1200" s="11"/>
      <c r="W1200" s="11"/>
      <c r="X1200" s="11"/>
      <c r="Y1200" s="11"/>
      <c r="Z1200" s="11"/>
      <c r="AA1200" s="11"/>
      <c r="AB1200" s="11"/>
      <c r="AC1200" s="11"/>
      <c r="AD1200" s="11"/>
      <c r="AE1200" s="11"/>
      <c r="AF1200" s="11"/>
      <c r="AG1200" s="11"/>
      <c r="AH1200" s="11"/>
      <c r="AI1200" s="11"/>
      <c r="AJ1200" s="11"/>
      <c r="AK1200" s="11"/>
      <c r="AL1200" s="11"/>
      <c r="AM1200" s="11"/>
      <c r="AN1200" s="11"/>
      <c r="AO1200" s="11"/>
      <c r="AP1200" s="11"/>
      <c r="AQ1200" s="11"/>
      <c r="AR1200" s="11"/>
      <c r="AS1200" s="11"/>
      <c r="AT1200" s="11"/>
      <c r="AU1200" s="11"/>
      <c r="AV1200" s="11"/>
      <c r="AW1200" s="11"/>
      <c r="AX1200" s="11"/>
      <c r="AY1200" s="11"/>
      <c r="AZ1200" s="11"/>
      <c r="BA1200" s="11"/>
      <c r="BB1200" s="11"/>
      <c r="BC1200" s="11"/>
      <c r="BD1200" s="11"/>
      <c r="BE1200" s="11"/>
      <c r="BF1200" s="11"/>
      <c r="BG1200" s="11"/>
      <c r="BH1200" s="11"/>
      <c r="BI1200" s="11"/>
      <c r="BJ1200" s="11"/>
      <c r="BK1200" s="11"/>
      <c r="BL1200" s="11"/>
      <c r="BM1200" s="11"/>
      <c r="BN1200" s="11"/>
      <c r="BO1200" s="11"/>
      <c r="BP1200" s="11"/>
      <c r="BQ1200" s="11"/>
      <c r="BR1200" s="11"/>
      <c r="BS1200" s="11"/>
      <c r="BT1200" s="11"/>
      <c r="BU1200" s="11"/>
      <c r="BV1200" s="11"/>
      <c r="BW1200" s="52" t="s">
        <v>1694</v>
      </c>
      <c r="BX1200" s="52" t="s">
        <v>401</v>
      </c>
      <c r="BY1200" s="11"/>
      <c r="BZ1200" s="52" t="s">
        <v>311</v>
      </c>
      <c r="CA1200" s="52" t="s">
        <v>3775</v>
      </c>
      <c r="CB1200" s="52" t="s">
        <v>343</v>
      </c>
      <c r="CC1200" s="52" t="s">
        <v>3766</v>
      </c>
      <c r="CD1200" s="53">
        <v>43951</v>
      </c>
      <c r="CE1200" s="53">
        <v>43962</v>
      </c>
      <c r="CF1200" s="52">
        <v>100</v>
      </c>
      <c r="CG1200" s="54" t="s">
        <v>3776</v>
      </c>
      <c r="CH1200" s="11"/>
      <c r="CI1200" s="11"/>
      <c r="CJ1200" s="11"/>
      <c r="CK1200" s="11"/>
      <c r="CL1200" s="11"/>
      <c r="CM1200" s="11"/>
      <c r="CN1200" s="11"/>
      <c r="CO1200" s="11"/>
      <c r="CP1200" s="11"/>
      <c r="CQ1200" s="11"/>
      <c r="CR1200" s="11"/>
      <c r="CS1200" s="11"/>
      <c r="CT1200" s="11"/>
      <c r="CU1200" s="11"/>
      <c r="CV1200" s="11"/>
      <c r="CW1200" s="11"/>
      <c r="CX1200" s="11"/>
      <c r="CY1200" s="11"/>
      <c r="CZ1200" s="11"/>
      <c r="DA1200" s="11"/>
      <c r="DB1200" s="11"/>
      <c r="DC1200" s="11"/>
      <c r="DD1200" s="11"/>
      <c r="DE1200" s="11"/>
      <c r="DF1200" s="11"/>
      <c r="DG1200" s="11"/>
      <c r="DH1200" s="11"/>
      <c r="DI1200" s="11"/>
      <c r="DJ1200" s="11"/>
      <c r="DK1200" s="11"/>
      <c r="DL1200" s="11"/>
      <c r="DM1200" s="11"/>
      <c r="DN1200" s="11"/>
      <c r="DO1200" s="11"/>
      <c r="DP1200" s="11"/>
      <c r="DQ1200" s="11"/>
      <c r="DR1200" s="11"/>
      <c r="DS1200" s="11"/>
      <c r="DT1200" s="11"/>
      <c r="DU1200" s="11"/>
      <c r="DV1200" s="11"/>
      <c r="DW1200" s="11"/>
      <c r="DX1200" s="11"/>
      <c r="DY1200" s="11"/>
      <c r="DZ1200" s="11"/>
      <c r="EA1200" s="11"/>
      <c r="EB1200" s="11"/>
      <c r="EC1200" s="11"/>
      <c r="ED1200" s="11"/>
      <c r="EE1200" s="11"/>
      <c r="EF1200" s="11"/>
      <c r="EG1200" s="11"/>
      <c r="EH1200" s="11"/>
      <c r="EI1200" s="11"/>
      <c r="EJ1200" s="11"/>
      <c r="EK1200" s="11"/>
      <c r="EL1200" s="11"/>
      <c r="EM1200" s="11"/>
      <c r="EN1200" s="11"/>
      <c r="EO1200" s="11"/>
      <c r="EP1200" s="11"/>
      <c r="EQ1200" s="11"/>
      <c r="ER1200" s="11"/>
      <c r="ES1200" s="11"/>
      <c r="ET1200" s="11"/>
      <c r="EU1200" s="11"/>
      <c r="EV1200" s="11"/>
      <c r="EW1200" s="11"/>
      <c r="EX1200" s="11"/>
      <c r="EY1200" s="11"/>
      <c r="EZ1200" s="11"/>
      <c r="FA1200" s="11"/>
      <c r="FB1200" s="11"/>
      <c r="FC1200" s="11"/>
      <c r="FD1200" s="11"/>
      <c r="FE1200" s="11"/>
      <c r="FF1200" s="11"/>
      <c r="FG1200" s="11"/>
      <c r="FH1200" s="11"/>
      <c r="FI1200" s="11"/>
      <c r="FJ1200" s="11"/>
      <c r="FK1200" s="11"/>
      <c r="FL1200" s="11"/>
      <c r="FM1200" s="11"/>
      <c r="FN1200" s="11"/>
      <c r="FO1200" s="11"/>
      <c r="FP1200" s="11"/>
      <c r="FQ1200" s="11"/>
      <c r="FR1200" s="11"/>
      <c r="FS1200" s="11"/>
      <c r="FT1200" s="11"/>
      <c r="FU1200" s="11"/>
      <c r="FV1200" s="11"/>
      <c r="FW1200" s="11"/>
      <c r="FX1200" s="11"/>
      <c r="FY1200" s="11"/>
      <c r="FZ1200" s="11"/>
      <c r="GA1200" s="11"/>
      <c r="GB1200" s="11"/>
      <c r="GC1200" s="11"/>
      <c r="GD1200" s="11"/>
      <c r="GE1200" s="11"/>
      <c r="GF1200" s="11"/>
      <c r="GG1200" s="11"/>
      <c r="GH1200" s="11"/>
      <c r="GI1200" s="11"/>
      <c r="GJ1200" s="11"/>
      <c r="GK1200" s="11"/>
      <c r="GL1200" s="11"/>
      <c r="GM1200" s="11"/>
      <c r="GN1200" s="11"/>
      <c r="GO1200" s="11"/>
      <c r="GP1200" s="11"/>
      <c r="GQ1200" s="11"/>
      <c r="GR1200" s="11"/>
      <c r="GS1200" s="11"/>
      <c r="GT1200" s="11"/>
      <c r="GU1200" s="11"/>
      <c r="GV1200" s="11"/>
      <c r="GW1200" s="11"/>
      <c r="GX1200" s="11"/>
      <c r="GY1200" s="11"/>
      <c r="GZ1200" s="11"/>
      <c r="HA1200" s="11"/>
    </row>
    <row r="1201" spans="1:209" ht="23.25" customHeight="1" x14ac:dyDescent="0.15">
      <c r="A1201" s="11"/>
      <c r="B1201" s="11"/>
      <c r="C1201" s="1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/>
      <c r="R1201" s="11"/>
      <c r="S1201" s="11"/>
      <c r="T1201" s="11"/>
      <c r="U1201" s="11"/>
      <c r="V1201" s="11"/>
      <c r="W1201" s="11"/>
      <c r="X1201" s="11"/>
      <c r="Y1201" s="11"/>
      <c r="Z1201" s="11"/>
      <c r="AA1201" s="11"/>
      <c r="AB1201" s="11"/>
      <c r="AC1201" s="11"/>
      <c r="AD1201" s="11"/>
      <c r="AE1201" s="11"/>
      <c r="AF1201" s="11"/>
      <c r="AG1201" s="11"/>
      <c r="AH1201" s="11"/>
      <c r="AI1201" s="11"/>
      <c r="AJ1201" s="11"/>
      <c r="AK1201" s="11"/>
      <c r="AL1201" s="11"/>
      <c r="AM1201" s="11"/>
      <c r="AN1201" s="11"/>
      <c r="AO1201" s="11"/>
      <c r="AP1201" s="11"/>
      <c r="AQ1201" s="11"/>
      <c r="AR1201" s="11"/>
      <c r="AS1201" s="11"/>
      <c r="AT1201" s="11"/>
      <c r="AU1201" s="11"/>
      <c r="AV1201" s="11"/>
      <c r="AW1201" s="11"/>
      <c r="AX1201" s="11"/>
      <c r="AY1201" s="11"/>
      <c r="AZ1201" s="11"/>
      <c r="BA1201" s="11"/>
      <c r="BB1201" s="11"/>
      <c r="BC1201" s="11"/>
      <c r="BD1201" s="11"/>
      <c r="BE1201" s="11"/>
      <c r="BF1201" s="11"/>
      <c r="BG1201" s="11"/>
      <c r="BH1201" s="11"/>
      <c r="BI1201" s="11"/>
      <c r="BJ1201" s="11"/>
      <c r="BK1201" s="11"/>
      <c r="BL1201" s="11"/>
      <c r="BM1201" s="11"/>
      <c r="BN1201" s="11"/>
      <c r="BO1201" s="11"/>
      <c r="BP1201" s="11"/>
      <c r="BQ1201" s="11"/>
      <c r="BR1201" s="11"/>
      <c r="BS1201" s="11"/>
      <c r="BT1201" s="11"/>
      <c r="BU1201" s="11"/>
      <c r="BV1201" s="11"/>
      <c r="BW1201" s="52" t="s">
        <v>1694</v>
      </c>
      <c r="BX1201" s="52" t="s">
        <v>401</v>
      </c>
      <c r="BY1201" s="11"/>
      <c r="BZ1201" s="52" t="s">
        <v>311</v>
      </c>
      <c r="CA1201" s="52" t="s">
        <v>1348</v>
      </c>
      <c r="CB1201" s="52" t="s">
        <v>343</v>
      </c>
      <c r="CC1201" s="52" t="s">
        <v>3766</v>
      </c>
      <c r="CD1201" s="53">
        <v>43930</v>
      </c>
      <c r="CE1201" s="53">
        <v>43944</v>
      </c>
      <c r="CF1201" s="52">
        <v>100</v>
      </c>
      <c r="CG1201" s="54" t="s">
        <v>3777</v>
      </c>
      <c r="CH1201" s="11"/>
      <c r="CI1201" s="11"/>
      <c r="CJ1201" s="11"/>
      <c r="CK1201" s="11"/>
      <c r="CL1201" s="11"/>
      <c r="CM1201" s="11"/>
      <c r="CN1201" s="11"/>
      <c r="CO1201" s="11"/>
      <c r="CP1201" s="11"/>
      <c r="CQ1201" s="11"/>
      <c r="CR1201" s="11"/>
      <c r="CS1201" s="11"/>
      <c r="CT1201" s="11"/>
      <c r="CU1201" s="11"/>
      <c r="CV1201" s="11"/>
      <c r="CW1201" s="11"/>
      <c r="CX1201" s="11"/>
      <c r="CY1201" s="11"/>
      <c r="CZ1201" s="11"/>
      <c r="DA1201" s="11"/>
      <c r="DB1201" s="11"/>
      <c r="DC1201" s="11"/>
      <c r="DD1201" s="11"/>
      <c r="DE1201" s="11"/>
      <c r="DF1201" s="11"/>
      <c r="DG1201" s="11"/>
      <c r="DH1201" s="11"/>
      <c r="DI1201" s="11"/>
      <c r="DJ1201" s="11"/>
      <c r="DK1201" s="11"/>
      <c r="DL1201" s="11"/>
      <c r="DM1201" s="11"/>
      <c r="DN1201" s="11"/>
      <c r="DO1201" s="11"/>
      <c r="DP1201" s="11"/>
      <c r="DQ1201" s="11"/>
      <c r="DR1201" s="11"/>
      <c r="DS1201" s="11"/>
      <c r="DT1201" s="11"/>
      <c r="DU1201" s="11"/>
      <c r="DV1201" s="11"/>
      <c r="DW1201" s="11"/>
      <c r="DX1201" s="11"/>
      <c r="DY1201" s="11"/>
      <c r="DZ1201" s="11"/>
      <c r="EA1201" s="11"/>
      <c r="EB1201" s="11"/>
      <c r="EC1201" s="11"/>
      <c r="ED1201" s="11"/>
      <c r="EE1201" s="11"/>
      <c r="EF1201" s="11"/>
      <c r="EG1201" s="11"/>
      <c r="EH1201" s="11"/>
      <c r="EI1201" s="11"/>
      <c r="EJ1201" s="11"/>
      <c r="EK1201" s="11"/>
      <c r="EL1201" s="11"/>
      <c r="EM1201" s="11"/>
      <c r="EN1201" s="11"/>
      <c r="EO1201" s="11"/>
      <c r="EP1201" s="11"/>
      <c r="EQ1201" s="11"/>
      <c r="ER1201" s="11"/>
      <c r="ES1201" s="11"/>
      <c r="ET1201" s="11"/>
      <c r="EU1201" s="11"/>
      <c r="EV1201" s="11"/>
      <c r="EW1201" s="11"/>
      <c r="EX1201" s="11"/>
      <c r="EY1201" s="11"/>
      <c r="EZ1201" s="11"/>
      <c r="FA1201" s="11"/>
      <c r="FB1201" s="11"/>
      <c r="FC1201" s="11"/>
      <c r="FD1201" s="11"/>
      <c r="FE1201" s="11"/>
      <c r="FF1201" s="11"/>
      <c r="FG1201" s="11"/>
      <c r="FH1201" s="11"/>
      <c r="FI1201" s="11"/>
      <c r="FJ1201" s="11"/>
      <c r="FK1201" s="11"/>
      <c r="FL1201" s="11"/>
      <c r="FM1201" s="11"/>
      <c r="FN1201" s="11"/>
      <c r="FO1201" s="11"/>
      <c r="FP1201" s="11"/>
      <c r="FQ1201" s="11"/>
      <c r="FR1201" s="11"/>
      <c r="FS1201" s="11"/>
      <c r="FT1201" s="11"/>
      <c r="FU1201" s="11"/>
      <c r="FV1201" s="11"/>
      <c r="FW1201" s="11"/>
      <c r="FX1201" s="11"/>
      <c r="FY1201" s="11"/>
      <c r="FZ1201" s="11"/>
      <c r="GA1201" s="11"/>
      <c r="GB1201" s="11"/>
      <c r="GC1201" s="11"/>
      <c r="GD1201" s="11"/>
      <c r="GE1201" s="11"/>
      <c r="GF1201" s="11"/>
      <c r="GG1201" s="11"/>
      <c r="GH1201" s="11"/>
      <c r="GI1201" s="11"/>
      <c r="GJ1201" s="11"/>
      <c r="GK1201" s="11"/>
      <c r="GL1201" s="11"/>
      <c r="GM1201" s="11"/>
      <c r="GN1201" s="11"/>
      <c r="GO1201" s="11"/>
      <c r="GP1201" s="11"/>
      <c r="GQ1201" s="11"/>
      <c r="GR1201" s="11"/>
      <c r="GS1201" s="11"/>
      <c r="GT1201" s="11"/>
      <c r="GU1201" s="11"/>
      <c r="GV1201" s="11"/>
      <c r="GW1201" s="11"/>
      <c r="GX1201" s="11"/>
      <c r="GY1201" s="11"/>
      <c r="GZ1201" s="11"/>
      <c r="HA1201" s="11"/>
    </row>
    <row r="1202" spans="1:209" ht="23.25" customHeight="1" x14ac:dyDescent="0.15">
      <c r="A1202" s="11"/>
      <c r="B1202" s="11"/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/>
      <c r="R1202" s="11"/>
      <c r="S1202" s="11"/>
      <c r="T1202" s="11"/>
      <c r="U1202" s="11"/>
      <c r="V1202" s="11"/>
      <c r="W1202" s="11"/>
      <c r="X1202" s="11"/>
      <c r="Y1202" s="11"/>
      <c r="Z1202" s="11"/>
      <c r="AA1202" s="11"/>
      <c r="AB1202" s="11"/>
      <c r="AC1202" s="11"/>
      <c r="AD1202" s="11"/>
      <c r="AE1202" s="11"/>
      <c r="AF1202" s="11"/>
      <c r="AG1202" s="11"/>
      <c r="AH1202" s="11"/>
      <c r="AI1202" s="11"/>
      <c r="AJ1202" s="11"/>
      <c r="AK1202" s="11"/>
      <c r="AL1202" s="11"/>
      <c r="AM1202" s="11"/>
      <c r="AN1202" s="11"/>
      <c r="AO1202" s="11"/>
      <c r="AP1202" s="11"/>
      <c r="AQ1202" s="11"/>
      <c r="AR1202" s="11"/>
      <c r="AS1202" s="11"/>
      <c r="AT1202" s="11"/>
      <c r="AU1202" s="11"/>
      <c r="AV1202" s="11"/>
      <c r="AW1202" s="11"/>
      <c r="AX1202" s="11"/>
      <c r="AY1202" s="11"/>
      <c r="AZ1202" s="11"/>
      <c r="BA1202" s="11"/>
      <c r="BB1202" s="11"/>
      <c r="BC1202" s="11"/>
      <c r="BD1202" s="11"/>
      <c r="BE1202" s="11"/>
      <c r="BF1202" s="11"/>
      <c r="BG1202" s="11"/>
      <c r="BH1202" s="11"/>
      <c r="BI1202" s="11"/>
      <c r="BJ1202" s="11"/>
      <c r="BK1202" s="11"/>
      <c r="BL1202" s="11"/>
      <c r="BM1202" s="11"/>
      <c r="BN1202" s="11"/>
      <c r="BO1202" s="11"/>
      <c r="BP1202" s="11"/>
      <c r="BQ1202" s="11"/>
      <c r="BR1202" s="11"/>
      <c r="BS1202" s="11"/>
      <c r="BT1202" s="11"/>
      <c r="BU1202" s="11"/>
      <c r="BV1202" s="11"/>
      <c r="BW1202" s="52" t="s">
        <v>1694</v>
      </c>
      <c r="BX1202" s="52" t="s">
        <v>401</v>
      </c>
      <c r="BY1202" s="11"/>
      <c r="BZ1202" s="52" t="s">
        <v>311</v>
      </c>
      <c r="CA1202" s="52" t="s">
        <v>3778</v>
      </c>
      <c r="CB1202" s="52" t="s">
        <v>343</v>
      </c>
      <c r="CC1202" s="52" t="s">
        <v>3766</v>
      </c>
      <c r="CD1202" s="53">
        <v>43965</v>
      </c>
      <c r="CE1202" s="53">
        <v>43979</v>
      </c>
      <c r="CF1202" s="52">
        <v>100</v>
      </c>
      <c r="CG1202" s="54" t="s">
        <v>3779</v>
      </c>
      <c r="CH1202" s="11"/>
      <c r="CI1202" s="11"/>
      <c r="CJ1202" s="11"/>
      <c r="CK1202" s="11"/>
      <c r="CL1202" s="11"/>
      <c r="CM1202" s="11"/>
      <c r="CN1202" s="11"/>
      <c r="CO1202" s="11"/>
      <c r="CP1202" s="11"/>
      <c r="CQ1202" s="11"/>
      <c r="CR1202" s="11"/>
      <c r="CS1202" s="11"/>
      <c r="CT1202" s="11"/>
      <c r="CU1202" s="11"/>
      <c r="CV1202" s="11"/>
      <c r="CW1202" s="11"/>
      <c r="CX1202" s="11"/>
      <c r="CY1202" s="11"/>
      <c r="CZ1202" s="11"/>
      <c r="DA1202" s="11"/>
      <c r="DB1202" s="11"/>
      <c r="DC1202" s="11"/>
      <c r="DD1202" s="11"/>
      <c r="DE1202" s="11"/>
      <c r="DF1202" s="11"/>
      <c r="DG1202" s="11"/>
      <c r="DH1202" s="11"/>
      <c r="DI1202" s="11"/>
      <c r="DJ1202" s="11"/>
      <c r="DK1202" s="11"/>
      <c r="DL1202" s="11"/>
      <c r="DM1202" s="11"/>
      <c r="DN1202" s="11"/>
      <c r="DO1202" s="11"/>
      <c r="DP1202" s="11"/>
      <c r="DQ1202" s="11"/>
      <c r="DR1202" s="11"/>
      <c r="DS1202" s="11"/>
      <c r="DT1202" s="11"/>
      <c r="DU1202" s="11"/>
      <c r="DV1202" s="11"/>
      <c r="DW1202" s="11"/>
      <c r="DX1202" s="11"/>
      <c r="DY1202" s="11"/>
      <c r="DZ1202" s="11"/>
      <c r="EA1202" s="11"/>
      <c r="EB1202" s="11"/>
      <c r="EC1202" s="11"/>
      <c r="ED1202" s="11"/>
      <c r="EE1202" s="11"/>
      <c r="EF1202" s="11"/>
      <c r="EG1202" s="11"/>
      <c r="EH1202" s="11"/>
      <c r="EI1202" s="11"/>
      <c r="EJ1202" s="11"/>
      <c r="EK1202" s="11"/>
      <c r="EL1202" s="11"/>
      <c r="EM1202" s="11"/>
      <c r="EN1202" s="11"/>
      <c r="EO1202" s="11"/>
      <c r="EP1202" s="11"/>
      <c r="EQ1202" s="11"/>
      <c r="ER1202" s="11"/>
      <c r="ES1202" s="11"/>
      <c r="ET1202" s="11"/>
      <c r="EU1202" s="11"/>
      <c r="EV1202" s="11"/>
      <c r="EW1202" s="11"/>
      <c r="EX1202" s="11"/>
      <c r="EY1202" s="11"/>
      <c r="EZ1202" s="11"/>
      <c r="FA1202" s="11"/>
      <c r="FB1202" s="11"/>
      <c r="FC1202" s="11"/>
      <c r="FD1202" s="11"/>
      <c r="FE1202" s="11"/>
      <c r="FF1202" s="11"/>
      <c r="FG1202" s="11"/>
      <c r="FH1202" s="11"/>
      <c r="FI1202" s="11"/>
      <c r="FJ1202" s="11"/>
      <c r="FK1202" s="11"/>
      <c r="FL1202" s="11"/>
      <c r="FM1202" s="11"/>
      <c r="FN1202" s="11"/>
      <c r="FO1202" s="11"/>
      <c r="FP1202" s="11"/>
      <c r="FQ1202" s="11"/>
      <c r="FR1202" s="11"/>
      <c r="FS1202" s="11"/>
      <c r="FT1202" s="11"/>
      <c r="FU1202" s="11"/>
      <c r="FV1202" s="11"/>
      <c r="FW1202" s="11"/>
      <c r="FX1202" s="11"/>
      <c r="FY1202" s="11"/>
      <c r="FZ1202" s="11"/>
      <c r="GA1202" s="11"/>
      <c r="GB1202" s="11"/>
      <c r="GC1202" s="11"/>
      <c r="GD1202" s="11"/>
      <c r="GE1202" s="11"/>
      <c r="GF1202" s="11"/>
      <c r="GG1202" s="11"/>
      <c r="GH1202" s="11"/>
      <c r="GI1202" s="11"/>
      <c r="GJ1202" s="11"/>
      <c r="GK1202" s="11"/>
      <c r="GL1202" s="11"/>
      <c r="GM1202" s="11"/>
      <c r="GN1202" s="11"/>
      <c r="GO1202" s="11"/>
      <c r="GP1202" s="11"/>
      <c r="GQ1202" s="11"/>
      <c r="GR1202" s="11"/>
      <c r="GS1202" s="11"/>
      <c r="GT1202" s="11"/>
      <c r="GU1202" s="11"/>
      <c r="GV1202" s="11"/>
      <c r="GW1202" s="11"/>
      <c r="GX1202" s="11"/>
      <c r="GY1202" s="11"/>
      <c r="GZ1202" s="11"/>
      <c r="HA1202" s="11"/>
    </row>
    <row r="1203" spans="1:209" ht="23.25" customHeight="1" x14ac:dyDescent="0.15">
      <c r="A1203" s="11"/>
      <c r="B1203" s="11"/>
      <c r="C1203" s="1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/>
      <c r="R1203" s="11"/>
      <c r="S1203" s="11"/>
      <c r="T1203" s="11"/>
      <c r="U1203" s="11"/>
      <c r="V1203" s="11"/>
      <c r="W1203" s="11"/>
      <c r="X1203" s="11"/>
      <c r="Y1203" s="11"/>
      <c r="Z1203" s="11"/>
      <c r="AA1203" s="11"/>
      <c r="AB1203" s="11"/>
      <c r="AC1203" s="11"/>
      <c r="AD1203" s="11"/>
      <c r="AE1203" s="11"/>
      <c r="AF1203" s="11"/>
      <c r="AG1203" s="11"/>
      <c r="AH1203" s="11"/>
      <c r="AI1203" s="11"/>
      <c r="AJ1203" s="11"/>
      <c r="AK1203" s="11"/>
      <c r="AL1203" s="11"/>
      <c r="AM1203" s="11"/>
      <c r="AN1203" s="11"/>
      <c r="AO1203" s="11"/>
      <c r="AP1203" s="11"/>
      <c r="AQ1203" s="11"/>
      <c r="AR1203" s="11"/>
      <c r="AS1203" s="11"/>
      <c r="AT1203" s="11"/>
      <c r="AU1203" s="11"/>
      <c r="AV1203" s="11"/>
      <c r="AW1203" s="11"/>
      <c r="AX1203" s="11"/>
      <c r="AY1203" s="11"/>
      <c r="AZ1203" s="11"/>
      <c r="BA1203" s="11"/>
      <c r="BB1203" s="11"/>
      <c r="BC1203" s="11"/>
      <c r="BD1203" s="11"/>
      <c r="BE1203" s="11"/>
      <c r="BF1203" s="11"/>
      <c r="BG1203" s="11"/>
      <c r="BH1203" s="11"/>
      <c r="BI1203" s="11"/>
      <c r="BJ1203" s="11"/>
      <c r="BK1203" s="11"/>
      <c r="BL1203" s="11"/>
      <c r="BM1203" s="11"/>
      <c r="BN1203" s="11"/>
      <c r="BO1203" s="11"/>
      <c r="BP1203" s="11"/>
      <c r="BQ1203" s="11"/>
      <c r="BR1203" s="11"/>
      <c r="BS1203" s="11"/>
      <c r="BT1203" s="11"/>
      <c r="BU1203" s="11"/>
      <c r="BV1203" s="11"/>
      <c r="BW1203" s="52" t="s">
        <v>2121</v>
      </c>
      <c r="BX1203" s="52" t="s">
        <v>2122</v>
      </c>
      <c r="BY1203" s="11"/>
      <c r="BZ1203" s="52" t="s">
        <v>311</v>
      </c>
      <c r="CA1203" s="52" t="s">
        <v>3780</v>
      </c>
      <c r="CB1203" s="52" t="s">
        <v>1449</v>
      </c>
      <c r="CC1203" s="52" t="s">
        <v>3781</v>
      </c>
      <c r="CD1203" s="53">
        <v>44378</v>
      </c>
      <c r="CE1203" s="53">
        <v>44415</v>
      </c>
      <c r="CF1203" s="52">
        <v>100</v>
      </c>
      <c r="CG1203" s="54" t="s">
        <v>3782</v>
      </c>
      <c r="CH1203" s="11"/>
      <c r="CI1203" s="11"/>
      <c r="CJ1203" s="11"/>
      <c r="CK1203" s="11"/>
      <c r="CL1203" s="11"/>
      <c r="CM1203" s="11"/>
      <c r="CN1203" s="11"/>
      <c r="CO1203" s="11"/>
      <c r="CP1203" s="11"/>
      <c r="CQ1203" s="11"/>
      <c r="CR1203" s="11"/>
      <c r="CS1203" s="11"/>
      <c r="CT1203" s="11"/>
      <c r="CU1203" s="11"/>
      <c r="CV1203" s="11"/>
      <c r="CW1203" s="11"/>
      <c r="CX1203" s="11"/>
      <c r="CY1203" s="11"/>
      <c r="CZ1203" s="11"/>
      <c r="DA1203" s="11"/>
      <c r="DB1203" s="11"/>
      <c r="DC1203" s="11"/>
      <c r="DD1203" s="11"/>
      <c r="DE1203" s="11"/>
      <c r="DF1203" s="11"/>
      <c r="DG1203" s="11"/>
      <c r="DH1203" s="11"/>
      <c r="DI1203" s="11"/>
      <c r="DJ1203" s="11"/>
      <c r="DK1203" s="11"/>
      <c r="DL1203" s="11"/>
      <c r="DM1203" s="11"/>
      <c r="DN1203" s="11"/>
      <c r="DO1203" s="11"/>
      <c r="DP1203" s="11"/>
      <c r="DQ1203" s="11"/>
      <c r="DR1203" s="11"/>
      <c r="DS1203" s="11"/>
      <c r="DT1203" s="11"/>
      <c r="DU1203" s="11"/>
      <c r="DV1203" s="11"/>
      <c r="DW1203" s="11"/>
      <c r="DX1203" s="11"/>
      <c r="DY1203" s="11"/>
      <c r="DZ1203" s="11"/>
      <c r="EA1203" s="11"/>
      <c r="EB1203" s="11"/>
      <c r="EC1203" s="11"/>
      <c r="ED1203" s="11"/>
      <c r="EE1203" s="11"/>
      <c r="EF1203" s="11"/>
      <c r="EG1203" s="11"/>
      <c r="EH1203" s="11"/>
      <c r="EI1203" s="11"/>
      <c r="EJ1203" s="11"/>
      <c r="EK1203" s="11"/>
      <c r="EL1203" s="11"/>
      <c r="EM1203" s="11"/>
      <c r="EN1203" s="11"/>
      <c r="EO1203" s="11"/>
      <c r="EP1203" s="11"/>
      <c r="EQ1203" s="11"/>
      <c r="ER1203" s="11"/>
      <c r="ES1203" s="11"/>
      <c r="ET1203" s="11"/>
      <c r="EU1203" s="11"/>
      <c r="EV1203" s="11"/>
      <c r="EW1203" s="11"/>
      <c r="EX1203" s="11"/>
      <c r="EY1203" s="11"/>
      <c r="EZ1203" s="11"/>
      <c r="FA1203" s="11"/>
      <c r="FB1203" s="11"/>
      <c r="FC1203" s="11"/>
      <c r="FD1203" s="11"/>
      <c r="FE1203" s="11"/>
      <c r="FF1203" s="11"/>
      <c r="FG1203" s="11"/>
      <c r="FH1203" s="11"/>
      <c r="FI1203" s="11"/>
      <c r="FJ1203" s="11"/>
      <c r="FK1203" s="11"/>
      <c r="FL1203" s="11"/>
      <c r="FM1203" s="11"/>
      <c r="FN1203" s="11"/>
      <c r="FO1203" s="11"/>
      <c r="FP1203" s="11"/>
      <c r="FQ1203" s="11"/>
      <c r="FR1203" s="11"/>
      <c r="FS1203" s="11"/>
      <c r="FT1203" s="11"/>
      <c r="FU1203" s="11"/>
      <c r="FV1203" s="11"/>
      <c r="FW1203" s="11"/>
      <c r="FX1203" s="11"/>
      <c r="FY1203" s="11"/>
      <c r="FZ1203" s="11"/>
      <c r="GA1203" s="11"/>
      <c r="GB1203" s="11"/>
      <c r="GC1203" s="11"/>
      <c r="GD1203" s="11"/>
      <c r="GE1203" s="11"/>
      <c r="GF1203" s="11"/>
      <c r="GG1203" s="11"/>
      <c r="GH1203" s="11"/>
      <c r="GI1203" s="11"/>
      <c r="GJ1203" s="11"/>
      <c r="GK1203" s="11"/>
      <c r="GL1203" s="11"/>
      <c r="GM1203" s="11"/>
      <c r="GN1203" s="11"/>
      <c r="GO1203" s="11"/>
      <c r="GP1203" s="11"/>
      <c r="GQ1203" s="11"/>
      <c r="GR1203" s="11"/>
      <c r="GS1203" s="11"/>
      <c r="GT1203" s="11"/>
      <c r="GU1203" s="11"/>
      <c r="GV1203" s="11"/>
      <c r="GW1203" s="11"/>
      <c r="GX1203" s="11"/>
      <c r="GY1203" s="11"/>
      <c r="GZ1203" s="11"/>
      <c r="HA1203" s="11"/>
    </row>
    <row r="1204" spans="1:209" ht="23.25" customHeight="1" x14ac:dyDescent="0.15">
      <c r="A1204" s="11"/>
      <c r="B1204" s="11"/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/>
      <c r="R1204" s="11"/>
      <c r="S1204" s="11"/>
      <c r="T1204" s="11"/>
      <c r="U1204" s="11"/>
      <c r="V1204" s="11"/>
      <c r="W1204" s="11"/>
      <c r="X1204" s="11"/>
      <c r="Y1204" s="11"/>
      <c r="Z1204" s="11"/>
      <c r="AA1204" s="11"/>
      <c r="AB1204" s="11"/>
      <c r="AC1204" s="11"/>
      <c r="AD1204" s="11"/>
      <c r="AE1204" s="11"/>
      <c r="AF1204" s="11"/>
      <c r="AG1204" s="11"/>
      <c r="AH1204" s="11"/>
      <c r="AI1204" s="11"/>
      <c r="AJ1204" s="11"/>
      <c r="AK1204" s="11"/>
      <c r="AL1204" s="11"/>
      <c r="AM1204" s="11"/>
      <c r="AN1204" s="11"/>
      <c r="AO1204" s="11"/>
      <c r="AP1204" s="11"/>
      <c r="AQ1204" s="11"/>
      <c r="AR1204" s="11"/>
      <c r="AS1204" s="11"/>
      <c r="AT1204" s="11"/>
      <c r="AU1204" s="11"/>
      <c r="AV1204" s="11"/>
      <c r="AW1204" s="11"/>
      <c r="AX1204" s="11"/>
      <c r="AY1204" s="11"/>
      <c r="AZ1204" s="11"/>
      <c r="BA1204" s="11"/>
      <c r="BB1204" s="11"/>
      <c r="BC1204" s="11"/>
      <c r="BD1204" s="11"/>
      <c r="BE1204" s="11"/>
      <c r="BF1204" s="11"/>
      <c r="BG1204" s="11"/>
      <c r="BH1204" s="11"/>
      <c r="BI1204" s="11"/>
      <c r="BJ1204" s="11"/>
      <c r="BK1204" s="11"/>
      <c r="BL1204" s="11"/>
      <c r="BM1204" s="11"/>
      <c r="BN1204" s="11"/>
      <c r="BO1204" s="11"/>
      <c r="BP1204" s="11"/>
      <c r="BQ1204" s="11"/>
      <c r="BR1204" s="11"/>
      <c r="BS1204" s="11"/>
      <c r="BT1204" s="11"/>
      <c r="BU1204" s="11"/>
      <c r="BV1204" s="11"/>
      <c r="BW1204" s="52" t="s">
        <v>2121</v>
      </c>
      <c r="BX1204" s="52" t="s">
        <v>2122</v>
      </c>
      <c r="BY1204" s="11"/>
      <c r="BZ1204" s="52" t="s">
        <v>311</v>
      </c>
      <c r="CA1204" s="52" t="s">
        <v>3783</v>
      </c>
      <c r="CB1204" s="52" t="s">
        <v>1449</v>
      </c>
      <c r="CC1204" s="52" t="s">
        <v>3784</v>
      </c>
      <c r="CD1204" s="53">
        <v>44409</v>
      </c>
      <c r="CE1204" s="53">
        <v>44415</v>
      </c>
      <c r="CF1204" s="52">
        <v>100</v>
      </c>
      <c r="CG1204" s="54" t="s">
        <v>3785</v>
      </c>
      <c r="CH1204" s="11"/>
      <c r="CI1204" s="11"/>
      <c r="CJ1204" s="11"/>
      <c r="CK1204" s="11"/>
      <c r="CL1204" s="11"/>
      <c r="CM1204" s="11"/>
      <c r="CN1204" s="11"/>
      <c r="CO1204" s="11"/>
      <c r="CP1204" s="11"/>
      <c r="CQ1204" s="11"/>
      <c r="CR1204" s="11"/>
      <c r="CS1204" s="11"/>
      <c r="CT1204" s="11"/>
      <c r="CU1204" s="11"/>
      <c r="CV1204" s="11"/>
      <c r="CW1204" s="11"/>
      <c r="CX1204" s="11"/>
      <c r="CY1204" s="11"/>
      <c r="CZ1204" s="11"/>
      <c r="DA1204" s="11"/>
      <c r="DB1204" s="11"/>
      <c r="DC1204" s="11"/>
      <c r="DD1204" s="11"/>
      <c r="DE1204" s="11"/>
      <c r="DF1204" s="11"/>
      <c r="DG1204" s="11"/>
      <c r="DH1204" s="11"/>
      <c r="DI1204" s="11"/>
      <c r="DJ1204" s="11"/>
      <c r="DK1204" s="11"/>
      <c r="DL1204" s="11"/>
      <c r="DM1204" s="11"/>
      <c r="DN1204" s="11"/>
      <c r="DO1204" s="11"/>
      <c r="DP1204" s="11"/>
      <c r="DQ1204" s="11"/>
      <c r="DR1204" s="11"/>
      <c r="DS1204" s="11"/>
      <c r="DT1204" s="11"/>
      <c r="DU1204" s="11"/>
      <c r="DV1204" s="11"/>
      <c r="DW1204" s="11"/>
      <c r="DX1204" s="11"/>
      <c r="DY1204" s="11"/>
      <c r="DZ1204" s="11"/>
      <c r="EA1204" s="11"/>
      <c r="EB1204" s="11"/>
      <c r="EC1204" s="11"/>
      <c r="ED1204" s="11"/>
      <c r="EE1204" s="11"/>
      <c r="EF1204" s="11"/>
      <c r="EG1204" s="11"/>
      <c r="EH1204" s="11"/>
      <c r="EI1204" s="11"/>
      <c r="EJ1204" s="11"/>
      <c r="EK1204" s="11"/>
      <c r="EL1204" s="11"/>
      <c r="EM1204" s="11"/>
      <c r="EN1204" s="11"/>
      <c r="EO1204" s="11"/>
      <c r="EP1204" s="11"/>
      <c r="EQ1204" s="11"/>
      <c r="ER1204" s="11"/>
      <c r="ES1204" s="11"/>
      <c r="ET1204" s="11"/>
      <c r="EU1204" s="11"/>
      <c r="EV1204" s="11"/>
      <c r="EW1204" s="11"/>
      <c r="EX1204" s="11"/>
      <c r="EY1204" s="11"/>
      <c r="EZ1204" s="11"/>
      <c r="FA1204" s="11"/>
      <c r="FB1204" s="11"/>
      <c r="FC1204" s="11"/>
      <c r="FD1204" s="11"/>
      <c r="FE1204" s="11"/>
      <c r="FF1204" s="11"/>
      <c r="FG1204" s="11"/>
      <c r="FH1204" s="11"/>
      <c r="FI1204" s="11"/>
      <c r="FJ1204" s="11"/>
      <c r="FK1204" s="11"/>
      <c r="FL1204" s="11"/>
      <c r="FM1204" s="11"/>
      <c r="FN1204" s="11"/>
      <c r="FO1204" s="11"/>
      <c r="FP1204" s="11"/>
      <c r="FQ1204" s="11"/>
      <c r="FR1204" s="11"/>
      <c r="FS1204" s="11"/>
      <c r="FT1204" s="11"/>
      <c r="FU1204" s="11"/>
      <c r="FV1204" s="11"/>
      <c r="FW1204" s="11"/>
      <c r="FX1204" s="11"/>
      <c r="FY1204" s="11"/>
      <c r="FZ1204" s="11"/>
      <c r="GA1204" s="11"/>
      <c r="GB1204" s="11"/>
      <c r="GC1204" s="11"/>
      <c r="GD1204" s="11"/>
      <c r="GE1204" s="11"/>
      <c r="GF1204" s="11"/>
      <c r="GG1204" s="11"/>
      <c r="GH1204" s="11"/>
      <c r="GI1204" s="11"/>
      <c r="GJ1204" s="11"/>
      <c r="GK1204" s="11"/>
      <c r="GL1204" s="11"/>
      <c r="GM1204" s="11"/>
      <c r="GN1204" s="11"/>
      <c r="GO1204" s="11"/>
      <c r="GP1204" s="11"/>
      <c r="GQ1204" s="11"/>
      <c r="GR1204" s="11"/>
      <c r="GS1204" s="11"/>
      <c r="GT1204" s="11"/>
      <c r="GU1204" s="11"/>
      <c r="GV1204" s="11"/>
      <c r="GW1204" s="11"/>
      <c r="GX1204" s="11"/>
      <c r="GY1204" s="11"/>
      <c r="GZ1204" s="11"/>
      <c r="HA1204" s="11"/>
    </row>
    <row r="1205" spans="1:209" ht="23.25" customHeight="1" x14ac:dyDescent="0.15">
      <c r="A1205" s="11"/>
      <c r="B1205" s="11"/>
      <c r="C1205" s="11"/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/>
      <c r="R1205" s="11"/>
      <c r="S1205" s="11"/>
      <c r="T1205" s="11"/>
      <c r="U1205" s="11"/>
      <c r="V1205" s="11"/>
      <c r="W1205" s="11"/>
      <c r="X1205" s="11"/>
      <c r="Y1205" s="11"/>
      <c r="Z1205" s="11"/>
      <c r="AA1205" s="11"/>
      <c r="AB1205" s="11"/>
      <c r="AC1205" s="11"/>
      <c r="AD1205" s="11"/>
      <c r="AE1205" s="11"/>
      <c r="AF1205" s="11"/>
      <c r="AG1205" s="11"/>
      <c r="AH1205" s="11"/>
      <c r="AI1205" s="11"/>
      <c r="AJ1205" s="11"/>
      <c r="AK1205" s="11"/>
      <c r="AL1205" s="11"/>
      <c r="AM1205" s="11"/>
      <c r="AN1205" s="11"/>
      <c r="AO1205" s="11"/>
      <c r="AP1205" s="11"/>
      <c r="AQ1205" s="11"/>
      <c r="AR1205" s="11"/>
      <c r="AS1205" s="11"/>
      <c r="AT1205" s="11"/>
      <c r="AU1205" s="11"/>
      <c r="AV1205" s="11"/>
      <c r="AW1205" s="11"/>
      <c r="AX1205" s="11"/>
      <c r="AY1205" s="11"/>
      <c r="AZ1205" s="11"/>
      <c r="BA1205" s="11"/>
      <c r="BB1205" s="11"/>
      <c r="BC1205" s="11"/>
      <c r="BD1205" s="11"/>
      <c r="BE1205" s="11"/>
      <c r="BF1205" s="11"/>
      <c r="BG1205" s="11"/>
      <c r="BH1205" s="11"/>
      <c r="BI1205" s="11"/>
      <c r="BJ1205" s="11"/>
      <c r="BK1205" s="11"/>
      <c r="BL1205" s="11"/>
      <c r="BM1205" s="11"/>
      <c r="BN1205" s="11"/>
      <c r="BO1205" s="11"/>
      <c r="BP1205" s="11"/>
      <c r="BQ1205" s="11"/>
      <c r="BR1205" s="11"/>
      <c r="BS1205" s="11"/>
      <c r="BT1205" s="11"/>
      <c r="BU1205" s="11"/>
      <c r="BV1205" s="11"/>
      <c r="BW1205" s="52" t="s">
        <v>830</v>
      </c>
      <c r="BX1205" s="52" t="s">
        <v>831</v>
      </c>
      <c r="BY1205" s="11"/>
      <c r="BZ1205" s="52" t="s">
        <v>166</v>
      </c>
      <c r="CA1205" s="52" t="s">
        <v>3786</v>
      </c>
      <c r="CB1205" s="52" t="s">
        <v>343</v>
      </c>
      <c r="CC1205" s="52" t="s">
        <v>308</v>
      </c>
      <c r="CD1205" s="53">
        <v>44013</v>
      </c>
      <c r="CE1205" s="53">
        <v>44074</v>
      </c>
      <c r="CF1205" s="52">
        <v>100</v>
      </c>
      <c r="CG1205" s="54" t="s">
        <v>3787</v>
      </c>
      <c r="CH1205" s="11"/>
      <c r="CI1205" s="11"/>
      <c r="CJ1205" s="11"/>
      <c r="CK1205" s="11"/>
      <c r="CL1205" s="11"/>
      <c r="CM1205" s="11"/>
      <c r="CN1205" s="11"/>
      <c r="CO1205" s="11"/>
      <c r="CP1205" s="11"/>
      <c r="CQ1205" s="11"/>
      <c r="CR1205" s="11"/>
      <c r="CS1205" s="11"/>
      <c r="CT1205" s="11"/>
      <c r="CU1205" s="11"/>
      <c r="CV1205" s="11"/>
      <c r="CW1205" s="11"/>
      <c r="CX1205" s="11"/>
      <c r="CY1205" s="11"/>
      <c r="CZ1205" s="11"/>
      <c r="DA1205" s="11"/>
      <c r="DB1205" s="11"/>
      <c r="DC1205" s="11"/>
      <c r="DD1205" s="11"/>
      <c r="DE1205" s="11"/>
      <c r="DF1205" s="11"/>
      <c r="DG1205" s="11"/>
      <c r="DH1205" s="11"/>
      <c r="DI1205" s="11"/>
      <c r="DJ1205" s="11"/>
      <c r="DK1205" s="11"/>
      <c r="DL1205" s="11"/>
      <c r="DM1205" s="11"/>
      <c r="DN1205" s="11"/>
      <c r="DO1205" s="11"/>
      <c r="DP1205" s="11"/>
      <c r="DQ1205" s="11"/>
      <c r="DR1205" s="11"/>
      <c r="DS1205" s="11"/>
      <c r="DT1205" s="11"/>
      <c r="DU1205" s="11"/>
      <c r="DV1205" s="11"/>
      <c r="DW1205" s="11"/>
      <c r="DX1205" s="11"/>
      <c r="DY1205" s="11"/>
      <c r="DZ1205" s="11"/>
      <c r="EA1205" s="11"/>
      <c r="EB1205" s="11"/>
      <c r="EC1205" s="11"/>
      <c r="ED1205" s="11"/>
      <c r="EE1205" s="11"/>
      <c r="EF1205" s="11"/>
      <c r="EG1205" s="11"/>
      <c r="EH1205" s="11"/>
      <c r="EI1205" s="11"/>
      <c r="EJ1205" s="11"/>
      <c r="EK1205" s="11"/>
      <c r="EL1205" s="11"/>
      <c r="EM1205" s="11"/>
      <c r="EN1205" s="11"/>
      <c r="EO1205" s="11"/>
      <c r="EP1205" s="11"/>
      <c r="EQ1205" s="11"/>
      <c r="ER1205" s="11"/>
      <c r="ES1205" s="11"/>
      <c r="ET1205" s="11"/>
      <c r="EU1205" s="11"/>
      <c r="EV1205" s="11"/>
      <c r="EW1205" s="11"/>
      <c r="EX1205" s="11"/>
      <c r="EY1205" s="11"/>
      <c r="EZ1205" s="11"/>
      <c r="FA1205" s="11"/>
      <c r="FB1205" s="11"/>
      <c r="FC1205" s="11"/>
      <c r="FD1205" s="11"/>
      <c r="FE1205" s="11"/>
      <c r="FF1205" s="11"/>
      <c r="FG1205" s="11"/>
      <c r="FH1205" s="11"/>
      <c r="FI1205" s="11"/>
      <c r="FJ1205" s="11"/>
      <c r="FK1205" s="11"/>
      <c r="FL1205" s="11"/>
      <c r="FM1205" s="11"/>
      <c r="FN1205" s="11"/>
      <c r="FO1205" s="11"/>
      <c r="FP1205" s="11"/>
      <c r="FQ1205" s="11"/>
      <c r="FR1205" s="11"/>
      <c r="FS1205" s="11"/>
      <c r="FT1205" s="11"/>
      <c r="FU1205" s="11"/>
      <c r="FV1205" s="11"/>
      <c r="FW1205" s="11"/>
      <c r="FX1205" s="11"/>
      <c r="FY1205" s="11"/>
      <c r="FZ1205" s="11"/>
      <c r="GA1205" s="11"/>
      <c r="GB1205" s="11"/>
      <c r="GC1205" s="11"/>
      <c r="GD1205" s="11"/>
      <c r="GE1205" s="11"/>
      <c r="GF1205" s="11"/>
      <c r="GG1205" s="11"/>
      <c r="GH1205" s="11"/>
      <c r="GI1205" s="11"/>
      <c r="GJ1205" s="11"/>
      <c r="GK1205" s="11"/>
      <c r="GL1205" s="11"/>
      <c r="GM1205" s="11"/>
      <c r="GN1205" s="11"/>
      <c r="GO1205" s="11"/>
      <c r="GP1205" s="11"/>
      <c r="GQ1205" s="11"/>
      <c r="GR1205" s="11"/>
      <c r="GS1205" s="11"/>
      <c r="GT1205" s="11"/>
      <c r="GU1205" s="11"/>
      <c r="GV1205" s="11"/>
      <c r="GW1205" s="11"/>
      <c r="GX1205" s="11"/>
      <c r="GY1205" s="11"/>
      <c r="GZ1205" s="11"/>
      <c r="HA1205" s="11"/>
    </row>
    <row r="1206" spans="1:209" ht="23.25" customHeight="1" x14ac:dyDescent="0.15">
      <c r="A1206" s="11"/>
      <c r="B1206" s="11"/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/>
      <c r="R1206" s="11"/>
      <c r="S1206" s="11"/>
      <c r="T1206" s="11"/>
      <c r="U1206" s="11"/>
      <c r="V1206" s="11"/>
      <c r="W1206" s="11"/>
      <c r="X1206" s="11"/>
      <c r="Y1206" s="11"/>
      <c r="Z1206" s="11"/>
      <c r="AA1206" s="11"/>
      <c r="AB1206" s="11"/>
      <c r="AC1206" s="11"/>
      <c r="AD1206" s="11"/>
      <c r="AE1206" s="11"/>
      <c r="AF1206" s="11"/>
      <c r="AG1206" s="11"/>
      <c r="AH1206" s="11"/>
      <c r="AI1206" s="11"/>
      <c r="AJ1206" s="11"/>
      <c r="AK1206" s="11"/>
      <c r="AL1206" s="11"/>
      <c r="AM1206" s="11"/>
      <c r="AN1206" s="11"/>
      <c r="AO1206" s="11"/>
      <c r="AP1206" s="11"/>
      <c r="AQ1206" s="11"/>
      <c r="AR1206" s="11"/>
      <c r="AS1206" s="11"/>
      <c r="AT1206" s="11"/>
      <c r="AU1206" s="11"/>
      <c r="AV1206" s="11"/>
      <c r="AW1206" s="11"/>
      <c r="AX1206" s="11"/>
      <c r="AY1206" s="11"/>
      <c r="AZ1206" s="11"/>
      <c r="BA1206" s="11"/>
      <c r="BB1206" s="11"/>
      <c r="BC1206" s="11"/>
      <c r="BD1206" s="11"/>
      <c r="BE1206" s="11"/>
      <c r="BF1206" s="11"/>
      <c r="BG1206" s="11"/>
      <c r="BH1206" s="11"/>
      <c r="BI1206" s="11"/>
      <c r="BJ1206" s="11"/>
      <c r="BK1206" s="11"/>
      <c r="BL1206" s="11"/>
      <c r="BM1206" s="11"/>
      <c r="BN1206" s="11"/>
      <c r="BO1206" s="11"/>
      <c r="BP1206" s="11"/>
      <c r="BQ1206" s="11"/>
      <c r="BR1206" s="11"/>
      <c r="BS1206" s="11"/>
      <c r="BT1206" s="11"/>
      <c r="BU1206" s="11"/>
      <c r="BV1206" s="11"/>
      <c r="BW1206" s="52" t="s">
        <v>830</v>
      </c>
      <c r="BX1206" s="52" t="s">
        <v>831</v>
      </c>
      <c r="BY1206" s="11"/>
      <c r="BZ1206" s="52" t="s">
        <v>166</v>
      </c>
      <c r="CA1206" s="52" t="s">
        <v>1348</v>
      </c>
      <c r="CB1206" s="52" t="s">
        <v>343</v>
      </c>
      <c r="CC1206" s="52" t="s">
        <v>493</v>
      </c>
      <c r="CD1206" s="53">
        <v>43922</v>
      </c>
      <c r="CE1206" s="53">
        <v>43951</v>
      </c>
      <c r="CF1206" s="52">
        <v>100</v>
      </c>
      <c r="CG1206" s="54" t="s">
        <v>3788</v>
      </c>
      <c r="CH1206" s="11"/>
      <c r="CI1206" s="11"/>
      <c r="CJ1206" s="11"/>
      <c r="CK1206" s="11"/>
      <c r="CL1206" s="11"/>
      <c r="CM1206" s="11"/>
      <c r="CN1206" s="11"/>
      <c r="CO1206" s="11"/>
      <c r="CP1206" s="11"/>
      <c r="CQ1206" s="11"/>
      <c r="CR1206" s="11"/>
      <c r="CS1206" s="11"/>
      <c r="CT1206" s="11"/>
      <c r="CU1206" s="11"/>
      <c r="CV1206" s="11"/>
      <c r="CW1206" s="11"/>
      <c r="CX1206" s="11"/>
      <c r="CY1206" s="11"/>
      <c r="CZ1206" s="11"/>
      <c r="DA1206" s="11"/>
      <c r="DB1206" s="11"/>
      <c r="DC1206" s="11"/>
      <c r="DD1206" s="11"/>
      <c r="DE1206" s="11"/>
      <c r="DF1206" s="11"/>
      <c r="DG1206" s="11"/>
      <c r="DH1206" s="11"/>
      <c r="DI1206" s="11"/>
      <c r="DJ1206" s="11"/>
      <c r="DK1206" s="11"/>
      <c r="DL1206" s="11"/>
      <c r="DM1206" s="11"/>
      <c r="DN1206" s="11"/>
      <c r="DO1206" s="11"/>
      <c r="DP1206" s="11"/>
      <c r="DQ1206" s="11"/>
      <c r="DR1206" s="11"/>
      <c r="DS1206" s="11"/>
      <c r="DT1206" s="11"/>
      <c r="DU1206" s="11"/>
      <c r="DV1206" s="11"/>
      <c r="DW1206" s="11"/>
      <c r="DX1206" s="11"/>
      <c r="DY1206" s="11"/>
      <c r="DZ1206" s="11"/>
      <c r="EA1206" s="11"/>
      <c r="EB1206" s="11"/>
      <c r="EC1206" s="11"/>
      <c r="ED1206" s="11"/>
      <c r="EE1206" s="11"/>
      <c r="EF1206" s="11"/>
      <c r="EG1206" s="11"/>
      <c r="EH1206" s="11"/>
      <c r="EI1206" s="11"/>
      <c r="EJ1206" s="11"/>
      <c r="EK1206" s="11"/>
      <c r="EL1206" s="11"/>
      <c r="EM1206" s="11"/>
      <c r="EN1206" s="11"/>
      <c r="EO1206" s="11"/>
      <c r="EP1206" s="11"/>
      <c r="EQ1206" s="11"/>
      <c r="ER1206" s="11"/>
      <c r="ES1206" s="11"/>
      <c r="ET1206" s="11"/>
      <c r="EU1206" s="11"/>
      <c r="EV1206" s="11"/>
      <c r="EW1206" s="11"/>
      <c r="EX1206" s="11"/>
      <c r="EY1206" s="11"/>
      <c r="EZ1206" s="11"/>
      <c r="FA1206" s="11"/>
      <c r="FB1206" s="11"/>
      <c r="FC1206" s="11"/>
      <c r="FD1206" s="11"/>
      <c r="FE1206" s="11"/>
      <c r="FF1206" s="11"/>
      <c r="FG1206" s="11"/>
      <c r="FH1206" s="11"/>
      <c r="FI1206" s="11"/>
      <c r="FJ1206" s="11"/>
      <c r="FK1206" s="11"/>
      <c r="FL1206" s="11"/>
      <c r="FM1206" s="11"/>
      <c r="FN1206" s="11"/>
      <c r="FO1206" s="11"/>
      <c r="FP1206" s="11"/>
      <c r="FQ1206" s="11"/>
      <c r="FR1206" s="11"/>
      <c r="FS1206" s="11"/>
      <c r="FT1206" s="11"/>
      <c r="FU1206" s="11"/>
      <c r="FV1206" s="11"/>
      <c r="FW1206" s="11"/>
      <c r="FX1206" s="11"/>
      <c r="FY1206" s="11"/>
      <c r="FZ1206" s="11"/>
      <c r="GA1206" s="11"/>
      <c r="GB1206" s="11"/>
      <c r="GC1206" s="11"/>
      <c r="GD1206" s="11"/>
      <c r="GE1206" s="11"/>
      <c r="GF1206" s="11"/>
      <c r="GG1206" s="11"/>
      <c r="GH1206" s="11"/>
      <c r="GI1206" s="11"/>
      <c r="GJ1206" s="11"/>
      <c r="GK1206" s="11"/>
      <c r="GL1206" s="11"/>
      <c r="GM1206" s="11"/>
      <c r="GN1206" s="11"/>
      <c r="GO1206" s="11"/>
      <c r="GP1206" s="11"/>
      <c r="GQ1206" s="11"/>
      <c r="GR1206" s="11"/>
      <c r="GS1206" s="11"/>
      <c r="GT1206" s="11"/>
      <c r="GU1206" s="11"/>
      <c r="GV1206" s="11"/>
      <c r="GW1206" s="11"/>
      <c r="GX1206" s="11"/>
      <c r="GY1206" s="11"/>
      <c r="GZ1206" s="11"/>
      <c r="HA1206" s="11"/>
    </row>
    <row r="1207" spans="1:209" ht="23.25" customHeight="1" x14ac:dyDescent="0.15">
      <c r="A1207" s="11"/>
      <c r="B1207" s="11"/>
      <c r="C1207" s="11"/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/>
      <c r="R1207" s="11"/>
      <c r="S1207" s="11"/>
      <c r="T1207" s="11"/>
      <c r="U1207" s="11"/>
      <c r="V1207" s="11"/>
      <c r="W1207" s="11"/>
      <c r="X1207" s="11"/>
      <c r="Y1207" s="11"/>
      <c r="Z1207" s="11"/>
      <c r="AA1207" s="11"/>
      <c r="AB1207" s="11"/>
      <c r="AC1207" s="11"/>
      <c r="AD1207" s="11"/>
      <c r="AE1207" s="11"/>
      <c r="AF1207" s="11"/>
      <c r="AG1207" s="11"/>
      <c r="AH1207" s="11"/>
      <c r="AI1207" s="11"/>
      <c r="AJ1207" s="11"/>
      <c r="AK1207" s="11"/>
      <c r="AL1207" s="11"/>
      <c r="AM1207" s="11"/>
      <c r="AN1207" s="11"/>
      <c r="AO1207" s="11"/>
      <c r="AP1207" s="11"/>
      <c r="AQ1207" s="11"/>
      <c r="AR1207" s="11"/>
      <c r="AS1207" s="11"/>
      <c r="AT1207" s="11"/>
      <c r="AU1207" s="11"/>
      <c r="AV1207" s="11"/>
      <c r="AW1207" s="11"/>
      <c r="AX1207" s="11"/>
      <c r="AY1207" s="11"/>
      <c r="AZ1207" s="11"/>
      <c r="BA1207" s="11"/>
      <c r="BB1207" s="11"/>
      <c r="BC1207" s="11"/>
      <c r="BD1207" s="11"/>
      <c r="BE1207" s="11"/>
      <c r="BF1207" s="11"/>
      <c r="BG1207" s="11"/>
      <c r="BH1207" s="11"/>
      <c r="BI1207" s="11"/>
      <c r="BJ1207" s="11"/>
      <c r="BK1207" s="11"/>
      <c r="BL1207" s="11"/>
      <c r="BM1207" s="11"/>
      <c r="BN1207" s="11"/>
      <c r="BO1207" s="11"/>
      <c r="BP1207" s="11"/>
      <c r="BQ1207" s="11"/>
      <c r="BR1207" s="11"/>
      <c r="BS1207" s="11"/>
      <c r="BT1207" s="11"/>
      <c r="BU1207" s="11"/>
      <c r="BV1207" s="11"/>
      <c r="BW1207" s="52" t="s">
        <v>830</v>
      </c>
      <c r="BX1207" s="52" t="s">
        <v>831</v>
      </c>
      <c r="BY1207" s="11"/>
      <c r="BZ1207" s="52" t="s">
        <v>166</v>
      </c>
      <c r="CA1207" s="52" t="s">
        <v>3789</v>
      </c>
      <c r="CB1207" s="52" t="s">
        <v>343</v>
      </c>
      <c r="CC1207" s="52" t="s">
        <v>308</v>
      </c>
      <c r="CD1207" s="53">
        <v>43983</v>
      </c>
      <c r="CE1207" s="53">
        <v>44043</v>
      </c>
      <c r="CF1207" s="52">
        <v>100</v>
      </c>
      <c r="CG1207" s="54" t="s">
        <v>3790</v>
      </c>
      <c r="CH1207" s="11"/>
      <c r="CI1207" s="11"/>
      <c r="CJ1207" s="11"/>
      <c r="CK1207" s="11"/>
      <c r="CL1207" s="11"/>
      <c r="CM1207" s="11"/>
      <c r="CN1207" s="11"/>
      <c r="CO1207" s="11"/>
      <c r="CP1207" s="11"/>
      <c r="CQ1207" s="11"/>
      <c r="CR1207" s="11"/>
      <c r="CS1207" s="11"/>
      <c r="CT1207" s="11"/>
      <c r="CU1207" s="11"/>
      <c r="CV1207" s="11"/>
      <c r="CW1207" s="11"/>
      <c r="CX1207" s="11"/>
      <c r="CY1207" s="11"/>
      <c r="CZ1207" s="11"/>
      <c r="DA1207" s="11"/>
      <c r="DB1207" s="11"/>
      <c r="DC1207" s="11"/>
      <c r="DD1207" s="11"/>
      <c r="DE1207" s="11"/>
      <c r="DF1207" s="11"/>
      <c r="DG1207" s="11"/>
      <c r="DH1207" s="11"/>
      <c r="DI1207" s="11"/>
      <c r="DJ1207" s="11"/>
      <c r="DK1207" s="11"/>
      <c r="DL1207" s="11"/>
      <c r="DM1207" s="11"/>
      <c r="DN1207" s="11"/>
      <c r="DO1207" s="11"/>
      <c r="DP1207" s="11"/>
      <c r="DQ1207" s="11"/>
      <c r="DR1207" s="11"/>
      <c r="DS1207" s="11"/>
      <c r="DT1207" s="11"/>
      <c r="DU1207" s="11"/>
      <c r="DV1207" s="11"/>
      <c r="DW1207" s="11"/>
      <c r="DX1207" s="11"/>
      <c r="DY1207" s="11"/>
      <c r="DZ1207" s="11"/>
      <c r="EA1207" s="11"/>
      <c r="EB1207" s="11"/>
      <c r="EC1207" s="11"/>
      <c r="ED1207" s="11"/>
      <c r="EE1207" s="11"/>
      <c r="EF1207" s="11"/>
      <c r="EG1207" s="11"/>
      <c r="EH1207" s="11"/>
      <c r="EI1207" s="11"/>
      <c r="EJ1207" s="11"/>
      <c r="EK1207" s="11"/>
      <c r="EL1207" s="11"/>
      <c r="EM1207" s="11"/>
      <c r="EN1207" s="11"/>
      <c r="EO1207" s="11"/>
      <c r="EP1207" s="11"/>
      <c r="EQ1207" s="11"/>
      <c r="ER1207" s="11"/>
      <c r="ES1207" s="11"/>
      <c r="ET1207" s="11"/>
      <c r="EU1207" s="11"/>
      <c r="EV1207" s="11"/>
      <c r="EW1207" s="11"/>
      <c r="EX1207" s="11"/>
      <c r="EY1207" s="11"/>
      <c r="EZ1207" s="11"/>
      <c r="FA1207" s="11"/>
      <c r="FB1207" s="11"/>
      <c r="FC1207" s="11"/>
      <c r="FD1207" s="11"/>
      <c r="FE1207" s="11"/>
      <c r="FF1207" s="11"/>
      <c r="FG1207" s="11"/>
      <c r="FH1207" s="11"/>
      <c r="FI1207" s="11"/>
      <c r="FJ1207" s="11"/>
      <c r="FK1207" s="11"/>
      <c r="FL1207" s="11"/>
      <c r="FM1207" s="11"/>
      <c r="FN1207" s="11"/>
      <c r="FO1207" s="11"/>
      <c r="FP1207" s="11"/>
      <c r="FQ1207" s="11"/>
      <c r="FR1207" s="11"/>
      <c r="FS1207" s="11"/>
      <c r="FT1207" s="11"/>
      <c r="FU1207" s="11"/>
      <c r="FV1207" s="11"/>
      <c r="FW1207" s="11"/>
      <c r="FX1207" s="11"/>
      <c r="FY1207" s="11"/>
      <c r="FZ1207" s="11"/>
      <c r="GA1207" s="11"/>
      <c r="GB1207" s="11"/>
      <c r="GC1207" s="11"/>
      <c r="GD1207" s="11"/>
      <c r="GE1207" s="11"/>
      <c r="GF1207" s="11"/>
      <c r="GG1207" s="11"/>
      <c r="GH1207" s="11"/>
      <c r="GI1207" s="11"/>
      <c r="GJ1207" s="11"/>
      <c r="GK1207" s="11"/>
      <c r="GL1207" s="11"/>
      <c r="GM1207" s="11"/>
      <c r="GN1207" s="11"/>
      <c r="GO1207" s="11"/>
      <c r="GP1207" s="11"/>
      <c r="GQ1207" s="11"/>
      <c r="GR1207" s="11"/>
      <c r="GS1207" s="11"/>
      <c r="GT1207" s="11"/>
      <c r="GU1207" s="11"/>
      <c r="GV1207" s="11"/>
      <c r="GW1207" s="11"/>
      <c r="GX1207" s="11"/>
      <c r="GY1207" s="11"/>
      <c r="GZ1207" s="11"/>
      <c r="HA1207" s="11"/>
    </row>
    <row r="1208" spans="1:209" ht="23.25" customHeight="1" x14ac:dyDescent="0.15">
      <c r="A1208" s="11"/>
      <c r="B1208" s="11"/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/>
      <c r="R1208" s="11"/>
      <c r="S1208" s="11"/>
      <c r="T1208" s="11"/>
      <c r="U1208" s="11"/>
      <c r="V1208" s="11"/>
      <c r="W1208" s="11"/>
      <c r="X1208" s="11"/>
      <c r="Y1208" s="11"/>
      <c r="Z1208" s="11"/>
      <c r="AA1208" s="11"/>
      <c r="AB1208" s="11"/>
      <c r="AC1208" s="11"/>
      <c r="AD1208" s="11"/>
      <c r="AE1208" s="11"/>
      <c r="AF1208" s="11"/>
      <c r="AG1208" s="11"/>
      <c r="AH1208" s="11"/>
      <c r="AI1208" s="11"/>
      <c r="AJ1208" s="11"/>
      <c r="AK1208" s="11"/>
      <c r="AL1208" s="11"/>
      <c r="AM1208" s="11"/>
      <c r="AN1208" s="11"/>
      <c r="AO1208" s="11"/>
      <c r="AP1208" s="11"/>
      <c r="AQ1208" s="11"/>
      <c r="AR1208" s="11"/>
      <c r="AS1208" s="11"/>
      <c r="AT1208" s="11"/>
      <c r="AU1208" s="11"/>
      <c r="AV1208" s="11"/>
      <c r="AW1208" s="11"/>
      <c r="AX1208" s="11"/>
      <c r="AY1208" s="11"/>
      <c r="AZ1208" s="11"/>
      <c r="BA1208" s="11"/>
      <c r="BB1208" s="11"/>
      <c r="BC1208" s="11"/>
      <c r="BD1208" s="11"/>
      <c r="BE1208" s="11"/>
      <c r="BF1208" s="11"/>
      <c r="BG1208" s="11"/>
      <c r="BH1208" s="11"/>
      <c r="BI1208" s="11"/>
      <c r="BJ1208" s="11"/>
      <c r="BK1208" s="11"/>
      <c r="BL1208" s="11"/>
      <c r="BM1208" s="11"/>
      <c r="BN1208" s="11"/>
      <c r="BO1208" s="11"/>
      <c r="BP1208" s="11"/>
      <c r="BQ1208" s="11"/>
      <c r="BR1208" s="11"/>
      <c r="BS1208" s="11"/>
      <c r="BT1208" s="11"/>
      <c r="BU1208" s="11"/>
      <c r="BV1208" s="11"/>
      <c r="BW1208" s="52" t="s">
        <v>3791</v>
      </c>
      <c r="BX1208" s="52" t="s">
        <v>831</v>
      </c>
      <c r="BY1208" s="11"/>
      <c r="BZ1208" s="52" t="s">
        <v>166</v>
      </c>
      <c r="CA1208" s="52" t="s">
        <v>3792</v>
      </c>
      <c r="CB1208" s="52" t="s">
        <v>343</v>
      </c>
      <c r="CC1208" s="52" t="s">
        <v>308</v>
      </c>
      <c r="CD1208" s="53">
        <v>43983</v>
      </c>
      <c r="CE1208" s="53">
        <v>44043</v>
      </c>
      <c r="CF1208" s="52">
        <v>100</v>
      </c>
      <c r="CG1208" s="54" t="s">
        <v>3793</v>
      </c>
      <c r="CH1208" s="11"/>
      <c r="CI1208" s="11"/>
      <c r="CJ1208" s="11"/>
      <c r="CK1208" s="11"/>
      <c r="CL1208" s="11"/>
      <c r="CM1208" s="11"/>
      <c r="CN1208" s="11"/>
      <c r="CO1208" s="11"/>
      <c r="CP1208" s="11"/>
      <c r="CQ1208" s="11"/>
      <c r="CR1208" s="11"/>
      <c r="CS1208" s="11"/>
      <c r="CT1208" s="11"/>
      <c r="CU1208" s="11"/>
      <c r="CV1208" s="11"/>
      <c r="CW1208" s="11"/>
      <c r="CX1208" s="11"/>
      <c r="CY1208" s="11"/>
      <c r="CZ1208" s="11"/>
      <c r="DA1208" s="11"/>
      <c r="DB1208" s="11"/>
      <c r="DC1208" s="11"/>
      <c r="DD1208" s="11"/>
      <c r="DE1208" s="11"/>
      <c r="DF1208" s="11"/>
      <c r="DG1208" s="11"/>
      <c r="DH1208" s="11"/>
      <c r="DI1208" s="11"/>
      <c r="DJ1208" s="11"/>
      <c r="DK1208" s="11"/>
      <c r="DL1208" s="11"/>
      <c r="DM1208" s="11"/>
      <c r="DN1208" s="11"/>
      <c r="DO1208" s="11"/>
      <c r="DP1208" s="11"/>
      <c r="DQ1208" s="11"/>
      <c r="DR1208" s="11"/>
      <c r="DS1208" s="11"/>
      <c r="DT1208" s="11"/>
      <c r="DU1208" s="11"/>
      <c r="DV1208" s="11"/>
      <c r="DW1208" s="11"/>
      <c r="DX1208" s="11"/>
      <c r="DY1208" s="11"/>
      <c r="DZ1208" s="11"/>
      <c r="EA1208" s="11"/>
      <c r="EB1208" s="11"/>
      <c r="EC1208" s="11"/>
      <c r="ED1208" s="11"/>
      <c r="EE1208" s="11"/>
      <c r="EF1208" s="11"/>
      <c r="EG1208" s="11"/>
      <c r="EH1208" s="11"/>
      <c r="EI1208" s="11"/>
      <c r="EJ1208" s="11"/>
      <c r="EK1208" s="11"/>
      <c r="EL1208" s="11"/>
      <c r="EM1208" s="11"/>
      <c r="EN1208" s="11"/>
      <c r="EO1208" s="11"/>
      <c r="EP1208" s="11"/>
      <c r="EQ1208" s="11"/>
      <c r="ER1208" s="11"/>
      <c r="ES1208" s="11"/>
      <c r="ET1208" s="11"/>
      <c r="EU1208" s="11"/>
      <c r="EV1208" s="11"/>
      <c r="EW1208" s="11"/>
      <c r="EX1208" s="11"/>
      <c r="EY1208" s="11"/>
      <c r="EZ1208" s="11"/>
      <c r="FA1208" s="11"/>
      <c r="FB1208" s="11"/>
      <c r="FC1208" s="11"/>
      <c r="FD1208" s="11"/>
      <c r="FE1208" s="11"/>
      <c r="FF1208" s="11"/>
      <c r="FG1208" s="11"/>
      <c r="FH1208" s="11"/>
      <c r="FI1208" s="11"/>
      <c r="FJ1208" s="11"/>
      <c r="FK1208" s="11"/>
      <c r="FL1208" s="11"/>
      <c r="FM1208" s="11"/>
      <c r="FN1208" s="11"/>
      <c r="FO1208" s="11"/>
      <c r="FP1208" s="11"/>
      <c r="FQ1208" s="11"/>
      <c r="FR1208" s="11"/>
      <c r="FS1208" s="11"/>
      <c r="FT1208" s="11"/>
      <c r="FU1208" s="11"/>
      <c r="FV1208" s="11"/>
      <c r="FW1208" s="11"/>
      <c r="FX1208" s="11"/>
      <c r="FY1208" s="11"/>
      <c r="FZ1208" s="11"/>
      <c r="GA1208" s="11"/>
      <c r="GB1208" s="11"/>
      <c r="GC1208" s="11"/>
      <c r="GD1208" s="11"/>
      <c r="GE1208" s="11"/>
      <c r="GF1208" s="11"/>
      <c r="GG1208" s="11"/>
      <c r="GH1208" s="11"/>
      <c r="GI1208" s="11"/>
      <c r="GJ1208" s="11"/>
      <c r="GK1208" s="11"/>
      <c r="GL1208" s="11"/>
      <c r="GM1208" s="11"/>
      <c r="GN1208" s="11"/>
      <c r="GO1208" s="11"/>
      <c r="GP1208" s="11"/>
      <c r="GQ1208" s="11"/>
      <c r="GR1208" s="11"/>
      <c r="GS1208" s="11"/>
      <c r="GT1208" s="11"/>
      <c r="GU1208" s="11"/>
      <c r="GV1208" s="11"/>
      <c r="GW1208" s="11"/>
      <c r="GX1208" s="11"/>
      <c r="GY1208" s="11"/>
      <c r="GZ1208" s="11"/>
      <c r="HA1208" s="11"/>
    </row>
    <row r="1209" spans="1:209" ht="23.25" customHeight="1" x14ac:dyDescent="0.15">
      <c r="A1209" s="11"/>
      <c r="B1209" s="11"/>
      <c r="C1209" s="1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/>
      <c r="R1209" s="11"/>
      <c r="S1209" s="11"/>
      <c r="T1209" s="11"/>
      <c r="U1209" s="11"/>
      <c r="V1209" s="11"/>
      <c r="W1209" s="11"/>
      <c r="X1209" s="11"/>
      <c r="Y1209" s="11"/>
      <c r="Z1209" s="11"/>
      <c r="AA1209" s="11"/>
      <c r="AB1209" s="11"/>
      <c r="AC1209" s="11"/>
      <c r="AD1209" s="11"/>
      <c r="AE1209" s="11"/>
      <c r="AF1209" s="11"/>
      <c r="AG1209" s="11"/>
      <c r="AH1209" s="11"/>
      <c r="AI1209" s="11"/>
      <c r="AJ1209" s="11"/>
      <c r="AK1209" s="11"/>
      <c r="AL1209" s="11"/>
      <c r="AM1209" s="11"/>
      <c r="AN1209" s="11"/>
      <c r="AO1209" s="11"/>
      <c r="AP1209" s="11"/>
      <c r="AQ1209" s="11"/>
      <c r="AR1209" s="11"/>
      <c r="AS1209" s="11"/>
      <c r="AT1209" s="11"/>
      <c r="AU1209" s="11"/>
      <c r="AV1209" s="11"/>
      <c r="AW1209" s="11"/>
      <c r="AX1209" s="11"/>
      <c r="AY1209" s="11"/>
      <c r="AZ1209" s="11"/>
      <c r="BA1209" s="11"/>
      <c r="BB1209" s="11"/>
      <c r="BC1209" s="11"/>
      <c r="BD1209" s="11"/>
      <c r="BE1209" s="11"/>
      <c r="BF1209" s="11"/>
      <c r="BG1209" s="11"/>
      <c r="BH1209" s="11"/>
      <c r="BI1209" s="11"/>
      <c r="BJ1209" s="11"/>
      <c r="BK1209" s="11"/>
      <c r="BL1209" s="11"/>
      <c r="BM1209" s="11"/>
      <c r="BN1209" s="11"/>
      <c r="BO1209" s="11"/>
      <c r="BP1209" s="11"/>
      <c r="BQ1209" s="11"/>
      <c r="BR1209" s="11"/>
      <c r="BS1209" s="11"/>
      <c r="BT1209" s="11"/>
      <c r="BU1209" s="11"/>
      <c r="BV1209" s="11"/>
      <c r="BW1209" s="52" t="s">
        <v>830</v>
      </c>
      <c r="BX1209" s="52" t="s">
        <v>831</v>
      </c>
      <c r="BY1209" s="11"/>
      <c r="BZ1209" s="52" t="s">
        <v>166</v>
      </c>
      <c r="CA1209" s="52" t="s">
        <v>3794</v>
      </c>
      <c r="CB1209" s="52" t="s">
        <v>343</v>
      </c>
      <c r="CC1209" s="52" t="s">
        <v>308</v>
      </c>
      <c r="CD1209" s="53">
        <v>43952</v>
      </c>
      <c r="CE1209" s="53">
        <v>44012</v>
      </c>
      <c r="CF1209" s="52">
        <v>100</v>
      </c>
      <c r="CG1209" s="54" t="s">
        <v>3795</v>
      </c>
      <c r="CH1209" s="11"/>
      <c r="CI1209" s="11"/>
      <c r="CJ1209" s="11"/>
      <c r="CK1209" s="11"/>
      <c r="CL1209" s="11"/>
      <c r="CM1209" s="11"/>
      <c r="CN1209" s="11"/>
      <c r="CO1209" s="11"/>
      <c r="CP1209" s="11"/>
      <c r="CQ1209" s="11"/>
      <c r="CR1209" s="11"/>
      <c r="CS1209" s="11"/>
      <c r="CT1209" s="11"/>
      <c r="CU1209" s="11"/>
      <c r="CV1209" s="11"/>
      <c r="CW1209" s="11"/>
      <c r="CX1209" s="11"/>
      <c r="CY1209" s="11"/>
      <c r="CZ1209" s="11"/>
      <c r="DA1209" s="11"/>
      <c r="DB1209" s="11"/>
      <c r="DC1209" s="11"/>
      <c r="DD1209" s="11"/>
      <c r="DE1209" s="11"/>
      <c r="DF1209" s="11"/>
      <c r="DG1209" s="11"/>
      <c r="DH1209" s="11"/>
      <c r="DI1209" s="11"/>
      <c r="DJ1209" s="11"/>
      <c r="DK1209" s="11"/>
      <c r="DL1209" s="11"/>
      <c r="DM1209" s="11"/>
      <c r="DN1209" s="11"/>
      <c r="DO1209" s="11"/>
      <c r="DP1209" s="11"/>
      <c r="DQ1209" s="11"/>
      <c r="DR1209" s="11"/>
      <c r="DS1209" s="11"/>
      <c r="DT1209" s="11"/>
      <c r="DU1209" s="11"/>
      <c r="DV1209" s="11"/>
      <c r="DW1209" s="11"/>
      <c r="DX1209" s="11"/>
      <c r="DY1209" s="11"/>
      <c r="DZ1209" s="11"/>
      <c r="EA1209" s="11"/>
      <c r="EB1209" s="11"/>
      <c r="EC1209" s="11"/>
      <c r="ED1209" s="11"/>
      <c r="EE1209" s="11"/>
      <c r="EF1209" s="11"/>
      <c r="EG1209" s="11"/>
      <c r="EH1209" s="11"/>
      <c r="EI1209" s="11"/>
      <c r="EJ1209" s="11"/>
      <c r="EK1209" s="11"/>
      <c r="EL1209" s="11"/>
      <c r="EM1209" s="11"/>
      <c r="EN1209" s="11"/>
      <c r="EO1209" s="11"/>
      <c r="EP1209" s="11"/>
      <c r="EQ1209" s="11"/>
      <c r="ER1209" s="11"/>
      <c r="ES1209" s="11"/>
      <c r="ET1209" s="11"/>
      <c r="EU1209" s="11"/>
      <c r="EV1209" s="11"/>
      <c r="EW1209" s="11"/>
      <c r="EX1209" s="11"/>
      <c r="EY1209" s="11"/>
      <c r="EZ1209" s="11"/>
      <c r="FA1209" s="11"/>
      <c r="FB1209" s="11"/>
      <c r="FC1209" s="11"/>
      <c r="FD1209" s="11"/>
      <c r="FE1209" s="11"/>
      <c r="FF1209" s="11"/>
      <c r="FG1209" s="11"/>
      <c r="FH1209" s="11"/>
      <c r="FI1209" s="11"/>
      <c r="FJ1209" s="11"/>
      <c r="FK1209" s="11"/>
      <c r="FL1209" s="11"/>
      <c r="FM1209" s="11"/>
      <c r="FN1209" s="11"/>
      <c r="FO1209" s="11"/>
      <c r="FP1209" s="11"/>
      <c r="FQ1209" s="11"/>
      <c r="FR1209" s="11"/>
      <c r="FS1209" s="11"/>
      <c r="FT1209" s="11"/>
      <c r="FU1209" s="11"/>
      <c r="FV1209" s="11"/>
      <c r="FW1209" s="11"/>
      <c r="FX1209" s="11"/>
      <c r="FY1209" s="11"/>
      <c r="FZ1209" s="11"/>
      <c r="GA1209" s="11"/>
      <c r="GB1209" s="11"/>
      <c r="GC1209" s="11"/>
      <c r="GD1209" s="11"/>
      <c r="GE1209" s="11"/>
      <c r="GF1209" s="11"/>
      <c r="GG1209" s="11"/>
      <c r="GH1209" s="11"/>
      <c r="GI1209" s="11"/>
      <c r="GJ1209" s="11"/>
      <c r="GK1209" s="11"/>
      <c r="GL1209" s="11"/>
      <c r="GM1209" s="11"/>
      <c r="GN1209" s="11"/>
      <c r="GO1209" s="11"/>
      <c r="GP1209" s="11"/>
      <c r="GQ1209" s="11"/>
      <c r="GR1209" s="11"/>
      <c r="GS1209" s="11"/>
      <c r="GT1209" s="11"/>
      <c r="GU1209" s="11"/>
      <c r="GV1209" s="11"/>
      <c r="GW1209" s="11"/>
      <c r="GX1209" s="11"/>
      <c r="GY1209" s="11"/>
      <c r="GZ1209" s="11"/>
      <c r="HA1209" s="11"/>
    </row>
    <row r="1210" spans="1:209" ht="23.25" customHeight="1" x14ac:dyDescent="0.15">
      <c r="A1210" s="11"/>
      <c r="B1210" s="11"/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/>
      <c r="R1210" s="11"/>
      <c r="S1210" s="11"/>
      <c r="T1210" s="11"/>
      <c r="U1210" s="11"/>
      <c r="V1210" s="11"/>
      <c r="W1210" s="11"/>
      <c r="X1210" s="11"/>
      <c r="Y1210" s="11"/>
      <c r="Z1210" s="11"/>
      <c r="AA1210" s="11"/>
      <c r="AB1210" s="11"/>
      <c r="AC1210" s="11"/>
      <c r="AD1210" s="11"/>
      <c r="AE1210" s="11"/>
      <c r="AF1210" s="11"/>
      <c r="AG1210" s="11"/>
      <c r="AH1210" s="11"/>
      <c r="AI1210" s="11"/>
      <c r="AJ1210" s="11"/>
      <c r="AK1210" s="11"/>
      <c r="AL1210" s="11"/>
      <c r="AM1210" s="11"/>
      <c r="AN1210" s="11"/>
      <c r="AO1210" s="11"/>
      <c r="AP1210" s="11"/>
      <c r="AQ1210" s="11"/>
      <c r="AR1210" s="11"/>
      <c r="AS1210" s="11"/>
      <c r="AT1210" s="11"/>
      <c r="AU1210" s="11"/>
      <c r="AV1210" s="11"/>
      <c r="AW1210" s="11"/>
      <c r="AX1210" s="11"/>
      <c r="AY1210" s="11"/>
      <c r="AZ1210" s="11"/>
      <c r="BA1210" s="11"/>
      <c r="BB1210" s="11"/>
      <c r="BC1210" s="11"/>
      <c r="BD1210" s="11"/>
      <c r="BE1210" s="11"/>
      <c r="BF1210" s="11"/>
      <c r="BG1210" s="11"/>
      <c r="BH1210" s="11"/>
      <c r="BI1210" s="11"/>
      <c r="BJ1210" s="11"/>
      <c r="BK1210" s="11"/>
      <c r="BL1210" s="11"/>
      <c r="BM1210" s="11"/>
      <c r="BN1210" s="11"/>
      <c r="BO1210" s="11"/>
      <c r="BP1210" s="11"/>
      <c r="BQ1210" s="11"/>
      <c r="BR1210" s="11"/>
      <c r="BS1210" s="11"/>
      <c r="BT1210" s="11"/>
      <c r="BU1210" s="11"/>
      <c r="BV1210" s="11"/>
      <c r="BW1210" s="52" t="s">
        <v>830</v>
      </c>
      <c r="BX1210" s="52" t="s">
        <v>831</v>
      </c>
      <c r="BY1210" s="11"/>
      <c r="BZ1210" s="52" t="s">
        <v>166</v>
      </c>
      <c r="CA1210" s="52" t="s">
        <v>3770</v>
      </c>
      <c r="CB1210" s="52" t="s">
        <v>343</v>
      </c>
      <c r="CC1210" s="52" t="s">
        <v>308</v>
      </c>
      <c r="CD1210" s="53">
        <v>43952</v>
      </c>
      <c r="CE1210" s="53">
        <v>44012</v>
      </c>
      <c r="CF1210" s="52">
        <v>100</v>
      </c>
      <c r="CG1210" s="54" t="s">
        <v>3796</v>
      </c>
      <c r="CH1210" s="11"/>
      <c r="CI1210" s="11"/>
      <c r="CJ1210" s="11"/>
      <c r="CK1210" s="11"/>
      <c r="CL1210" s="11"/>
      <c r="CM1210" s="11"/>
      <c r="CN1210" s="11"/>
      <c r="CO1210" s="11"/>
      <c r="CP1210" s="11"/>
      <c r="CQ1210" s="11"/>
      <c r="CR1210" s="11"/>
      <c r="CS1210" s="11"/>
      <c r="CT1210" s="11"/>
      <c r="CU1210" s="11"/>
      <c r="CV1210" s="11"/>
      <c r="CW1210" s="11"/>
      <c r="CX1210" s="11"/>
      <c r="CY1210" s="11"/>
      <c r="CZ1210" s="11"/>
      <c r="DA1210" s="11"/>
      <c r="DB1210" s="11"/>
      <c r="DC1210" s="11"/>
      <c r="DD1210" s="11"/>
      <c r="DE1210" s="11"/>
      <c r="DF1210" s="11"/>
      <c r="DG1210" s="11"/>
      <c r="DH1210" s="11"/>
      <c r="DI1210" s="11"/>
      <c r="DJ1210" s="11"/>
      <c r="DK1210" s="11"/>
      <c r="DL1210" s="11"/>
      <c r="DM1210" s="11"/>
      <c r="DN1210" s="11"/>
      <c r="DO1210" s="11"/>
      <c r="DP1210" s="11"/>
      <c r="DQ1210" s="11"/>
      <c r="DR1210" s="11"/>
      <c r="DS1210" s="11"/>
      <c r="DT1210" s="11"/>
      <c r="DU1210" s="11"/>
      <c r="DV1210" s="11"/>
      <c r="DW1210" s="11"/>
      <c r="DX1210" s="11"/>
      <c r="DY1210" s="11"/>
      <c r="DZ1210" s="11"/>
      <c r="EA1210" s="11"/>
      <c r="EB1210" s="11"/>
      <c r="EC1210" s="11"/>
      <c r="ED1210" s="11"/>
      <c r="EE1210" s="11"/>
      <c r="EF1210" s="11"/>
      <c r="EG1210" s="11"/>
      <c r="EH1210" s="11"/>
      <c r="EI1210" s="11"/>
      <c r="EJ1210" s="11"/>
      <c r="EK1210" s="11"/>
      <c r="EL1210" s="11"/>
      <c r="EM1210" s="11"/>
      <c r="EN1210" s="11"/>
      <c r="EO1210" s="11"/>
      <c r="EP1210" s="11"/>
      <c r="EQ1210" s="11"/>
      <c r="ER1210" s="11"/>
      <c r="ES1210" s="11"/>
      <c r="ET1210" s="11"/>
      <c r="EU1210" s="11"/>
      <c r="EV1210" s="11"/>
      <c r="EW1210" s="11"/>
      <c r="EX1210" s="11"/>
      <c r="EY1210" s="11"/>
      <c r="EZ1210" s="11"/>
      <c r="FA1210" s="11"/>
      <c r="FB1210" s="11"/>
      <c r="FC1210" s="11"/>
      <c r="FD1210" s="11"/>
      <c r="FE1210" s="11"/>
      <c r="FF1210" s="11"/>
      <c r="FG1210" s="11"/>
      <c r="FH1210" s="11"/>
      <c r="FI1210" s="11"/>
      <c r="FJ1210" s="11"/>
      <c r="FK1210" s="11"/>
      <c r="FL1210" s="11"/>
      <c r="FM1210" s="11"/>
      <c r="FN1210" s="11"/>
      <c r="FO1210" s="11"/>
      <c r="FP1210" s="11"/>
      <c r="FQ1210" s="11"/>
      <c r="FR1210" s="11"/>
      <c r="FS1210" s="11"/>
      <c r="FT1210" s="11"/>
      <c r="FU1210" s="11"/>
      <c r="FV1210" s="11"/>
      <c r="FW1210" s="11"/>
      <c r="FX1210" s="11"/>
      <c r="FY1210" s="11"/>
      <c r="FZ1210" s="11"/>
      <c r="GA1210" s="11"/>
      <c r="GB1210" s="11"/>
      <c r="GC1210" s="11"/>
      <c r="GD1210" s="11"/>
      <c r="GE1210" s="11"/>
      <c r="GF1210" s="11"/>
      <c r="GG1210" s="11"/>
      <c r="GH1210" s="11"/>
      <c r="GI1210" s="11"/>
      <c r="GJ1210" s="11"/>
      <c r="GK1210" s="11"/>
      <c r="GL1210" s="11"/>
      <c r="GM1210" s="11"/>
      <c r="GN1210" s="11"/>
      <c r="GO1210" s="11"/>
      <c r="GP1210" s="11"/>
      <c r="GQ1210" s="11"/>
      <c r="GR1210" s="11"/>
      <c r="GS1210" s="11"/>
      <c r="GT1210" s="11"/>
      <c r="GU1210" s="11"/>
      <c r="GV1210" s="11"/>
      <c r="GW1210" s="11"/>
      <c r="GX1210" s="11"/>
      <c r="GY1210" s="11"/>
      <c r="GZ1210" s="11"/>
      <c r="HA1210" s="11"/>
    </row>
    <row r="1211" spans="1:209" ht="23.25" customHeight="1" x14ac:dyDescent="0.15">
      <c r="A1211" s="11"/>
      <c r="B1211" s="11"/>
      <c r="C1211" s="1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/>
      <c r="R1211" s="11"/>
      <c r="S1211" s="11"/>
      <c r="T1211" s="11"/>
      <c r="U1211" s="11"/>
      <c r="V1211" s="11"/>
      <c r="W1211" s="11"/>
      <c r="X1211" s="11"/>
      <c r="Y1211" s="11"/>
      <c r="Z1211" s="11"/>
      <c r="AA1211" s="11"/>
      <c r="AB1211" s="11"/>
      <c r="AC1211" s="11"/>
      <c r="AD1211" s="11"/>
      <c r="AE1211" s="11"/>
      <c r="AF1211" s="11"/>
      <c r="AG1211" s="11"/>
      <c r="AH1211" s="11"/>
      <c r="AI1211" s="11"/>
      <c r="AJ1211" s="11"/>
      <c r="AK1211" s="11"/>
      <c r="AL1211" s="11"/>
      <c r="AM1211" s="11"/>
      <c r="AN1211" s="11"/>
      <c r="AO1211" s="11"/>
      <c r="AP1211" s="11"/>
      <c r="AQ1211" s="11"/>
      <c r="AR1211" s="11"/>
      <c r="AS1211" s="11"/>
      <c r="AT1211" s="11"/>
      <c r="AU1211" s="11"/>
      <c r="AV1211" s="11"/>
      <c r="AW1211" s="11"/>
      <c r="AX1211" s="11"/>
      <c r="AY1211" s="11"/>
      <c r="AZ1211" s="11"/>
      <c r="BA1211" s="11"/>
      <c r="BB1211" s="11"/>
      <c r="BC1211" s="11"/>
      <c r="BD1211" s="11"/>
      <c r="BE1211" s="11"/>
      <c r="BF1211" s="11"/>
      <c r="BG1211" s="11"/>
      <c r="BH1211" s="11"/>
      <c r="BI1211" s="11"/>
      <c r="BJ1211" s="11"/>
      <c r="BK1211" s="11"/>
      <c r="BL1211" s="11"/>
      <c r="BM1211" s="11"/>
      <c r="BN1211" s="11"/>
      <c r="BO1211" s="11"/>
      <c r="BP1211" s="11"/>
      <c r="BQ1211" s="11"/>
      <c r="BR1211" s="11"/>
      <c r="BS1211" s="11"/>
      <c r="BT1211" s="11"/>
      <c r="BU1211" s="11"/>
      <c r="BV1211" s="11"/>
      <c r="BW1211" s="52" t="s">
        <v>830</v>
      </c>
      <c r="BX1211" s="52" t="s">
        <v>831</v>
      </c>
      <c r="BY1211" s="11"/>
      <c r="BZ1211" s="52" t="s">
        <v>166</v>
      </c>
      <c r="CA1211" s="52" t="s">
        <v>3797</v>
      </c>
      <c r="CB1211" s="52" t="s">
        <v>343</v>
      </c>
      <c r="CC1211" s="52" t="s">
        <v>3798</v>
      </c>
      <c r="CD1211" s="53">
        <v>43983</v>
      </c>
      <c r="CE1211" s="53">
        <v>44012</v>
      </c>
      <c r="CF1211" s="52">
        <v>100</v>
      </c>
      <c r="CG1211" s="54" t="s">
        <v>3799</v>
      </c>
      <c r="CH1211" s="11"/>
      <c r="CI1211" s="11"/>
      <c r="CJ1211" s="11"/>
      <c r="CK1211" s="11"/>
      <c r="CL1211" s="11"/>
      <c r="CM1211" s="11"/>
      <c r="CN1211" s="11"/>
      <c r="CO1211" s="11"/>
      <c r="CP1211" s="11"/>
      <c r="CQ1211" s="11"/>
      <c r="CR1211" s="11"/>
      <c r="CS1211" s="11"/>
      <c r="CT1211" s="11"/>
      <c r="CU1211" s="11"/>
      <c r="CV1211" s="11"/>
      <c r="CW1211" s="11"/>
      <c r="CX1211" s="11"/>
      <c r="CY1211" s="11"/>
      <c r="CZ1211" s="11"/>
      <c r="DA1211" s="11"/>
      <c r="DB1211" s="11"/>
      <c r="DC1211" s="11"/>
      <c r="DD1211" s="11"/>
      <c r="DE1211" s="11"/>
      <c r="DF1211" s="11"/>
      <c r="DG1211" s="11"/>
      <c r="DH1211" s="11"/>
      <c r="DI1211" s="11"/>
      <c r="DJ1211" s="11"/>
      <c r="DK1211" s="11"/>
      <c r="DL1211" s="11"/>
      <c r="DM1211" s="11"/>
      <c r="DN1211" s="11"/>
      <c r="DO1211" s="11"/>
      <c r="DP1211" s="11"/>
      <c r="DQ1211" s="11"/>
      <c r="DR1211" s="11"/>
      <c r="DS1211" s="11"/>
      <c r="DT1211" s="11"/>
      <c r="DU1211" s="11"/>
      <c r="DV1211" s="11"/>
      <c r="DW1211" s="11"/>
      <c r="DX1211" s="11"/>
      <c r="DY1211" s="11"/>
      <c r="DZ1211" s="11"/>
      <c r="EA1211" s="11"/>
      <c r="EB1211" s="11"/>
      <c r="EC1211" s="11"/>
      <c r="ED1211" s="11"/>
      <c r="EE1211" s="11"/>
      <c r="EF1211" s="11"/>
      <c r="EG1211" s="11"/>
      <c r="EH1211" s="11"/>
      <c r="EI1211" s="11"/>
      <c r="EJ1211" s="11"/>
      <c r="EK1211" s="11"/>
      <c r="EL1211" s="11"/>
      <c r="EM1211" s="11"/>
      <c r="EN1211" s="11"/>
      <c r="EO1211" s="11"/>
      <c r="EP1211" s="11"/>
      <c r="EQ1211" s="11"/>
      <c r="ER1211" s="11"/>
      <c r="ES1211" s="11"/>
      <c r="ET1211" s="11"/>
      <c r="EU1211" s="11"/>
      <c r="EV1211" s="11"/>
      <c r="EW1211" s="11"/>
      <c r="EX1211" s="11"/>
      <c r="EY1211" s="11"/>
      <c r="EZ1211" s="11"/>
      <c r="FA1211" s="11"/>
      <c r="FB1211" s="11"/>
      <c r="FC1211" s="11"/>
      <c r="FD1211" s="11"/>
      <c r="FE1211" s="11"/>
      <c r="FF1211" s="11"/>
      <c r="FG1211" s="11"/>
      <c r="FH1211" s="11"/>
      <c r="FI1211" s="11"/>
      <c r="FJ1211" s="11"/>
      <c r="FK1211" s="11"/>
      <c r="FL1211" s="11"/>
      <c r="FM1211" s="11"/>
      <c r="FN1211" s="11"/>
      <c r="FO1211" s="11"/>
      <c r="FP1211" s="11"/>
      <c r="FQ1211" s="11"/>
      <c r="FR1211" s="11"/>
      <c r="FS1211" s="11"/>
      <c r="FT1211" s="11"/>
      <c r="FU1211" s="11"/>
      <c r="FV1211" s="11"/>
      <c r="FW1211" s="11"/>
      <c r="FX1211" s="11"/>
      <c r="FY1211" s="11"/>
      <c r="FZ1211" s="11"/>
      <c r="GA1211" s="11"/>
      <c r="GB1211" s="11"/>
      <c r="GC1211" s="11"/>
      <c r="GD1211" s="11"/>
      <c r="GE1211" s="11"/>
      <c r="GF1211" s="11"/>
      <c r="GG1211" s="11"/>
      <c r="GH1211" s="11"/>
      <c r="GI1211" s="11"/>
      <c r="GJ1211" s="11"/>
      <c r="GK1211" s="11"/>
      <c r="GL1211" s="11"/>
      <c r="GM1211" s="11"/>
      <c r="GN1211" s="11"/>
      <c r="GO1211" s="11"/>
      <c r="GP1211" s="11"/>
      <c r="GQ1211" s="11"/>
      <c r="GR1211" s="11"/>
      <c r="GS1211" s="11"/>
      <c r="GT1211" s="11"/>
      <c r="GU1211" s="11"/>
      <c r="GV1211" s="11"/>
      <c r="GW1211" s="11"/>
      <c r="GX1211" s="11"/>
      <c r="GY1211" s="11"/>
      <c r="GZ1211" s="11"/>
      <c r="HA1211" s="11"/>
    </row>
    <row r="1212" spans="1:209" ht="23.25" customHeight="1" x14ac:dyDescent="0.15">
      <c r="A1212" s="11"/>
      <c r="B1212" s="11"/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/>
      <c r="R1212" s="11"/>
      <c r="S1212" s="11"/>
      <c r="T1212" s="11"/>
      <c r="U1212" s="11"/>
      <c r="V1212" s="11"/>
      <c r="W1212" s="11"/>
      <c r="X1212" s="11"/>
      <c r="Y1212" s="11"/>
      <c r="Z1212" s="11"/>
      <c r="AA1212" s="11"/>
      <c r="AB1212" s="11"/>
      <c r="AC1212" s="11"/>
      <c r="AD1212" s="11"/>
      <c r="AE1212" s="11"/>
      <c r="AF1212" s="11"/>
      <c r="AG1212" s="11"/>
      <c r="AH1212" s="11"/>
      <c r="AI1212" s="11"/>
      <c r="AJ1212" s="11"/>
      <c r="AK1212" s="11"/>
      <c r="AL1212" s="11"/>
      <c r="AM1212" s="11"/>
      <c r="AN1212" s="11"/>
      <c r="AO1212" s="11"/>
      <c r="AP1212" s="11"/>
      <c r="AQ1212" s="11"/>
      <c r="AR1212" s="11"/>
      <c r="AS1212" s="11"/>
      <c r="AT1212" s="11"/>
      <c r="AU1212" s="11"/>
      <c r="AV1212" s="11"/>
      <c r="AW1212" s="11"/>
      <c r="AX1212" s="11"/>
      <c r="AY1212" s="11"/>
      <c r="AZ1212" s="11"/>
      <c r="BA1212" s="11"/>
      <c r="BB1212" s="11"/>
      <c r="BC1212" s="11"/>
      <c r="BD1212" s="11"/>
      <c r="BE1212" s="11"/>
      <c r="BF1212" s="11"/>
      <c r="BG1212" s="11"/>
      <c r="BH1212" s="11"/>
      <c r="BI1212" s="11"/>
      <c r="BJ1212" s="11"/>
      <c r="BK1212" s="11"/>
      <c r="BL1212" s="11"/>
      <c r="BM1212" s="11"/>
      <c r="BN1212" s="11"/>
      <c r="BO1212" s="11"/>
      <c r="BP1212" s="11"/>
      <c r="BQ1212" s="11"/>
      <c r="BR1212" s="11"/>
      <c r="BS1212" s="11"/>
      <c r="BT1212" s="11"/>
      <c r="BU1212" s="11"/>
      <c r="BV1212" s="11"/>
      <c r="BW1212" s="52" t="s">
        <v>830</v>
      </c>
      <c r="BX1212" s="52" t="s">
        <v>831</v>
      </c>
      <c r="BY1212" s="11"/>
      <c r="BZ1212" s="52" t="s">
        <v>166</v>
      </c>
      <c r="CA1212" s="52" t="s">
        <v>3800</v>
      </c>
      <c r="CB1212" s="52" t="s">
        <v>343</v>
      </c>
      <c r="CC1212" s="52" t="s">
        <v>308</v>
      </c>
      <c r="CD1212" s="53">
        <v>44075</v>
      </c>
      <c r="CE1212" s="53">
        <v>44135</v>
      </c>
      <c r="CF1212" s="52">
        <v>100</v>
      </c>
      <c r="CG1212" s="54" t="s">
        <v>3801</v>
      </c>
      <c r="CH1212" s="11"/>
      <c r="CI1212" s="11"/>
      <c r="CJ1212" s="11"/>
      <c r="CK1212" s="11"/>
      <c r="CL1212" s="11"/>
      <c r="CM1212" s="11"/>
      <c r="CN1212" s="11"/>
      <c r="CO1212" s="11"/>
      <c r="CP1212" s="11"/>
      <c r="CQ1212" s="11"/>
      <c r="CR1212" s="11"/>
      <c r="CS1212" s="11"/>
      <c r="CT1212" s="11"/>
      <c r="CU1212" s="11"/>
      <c r="CV1212" s="11"/>
      <c r="CW1212" s="11"/>
      <c r="CX1212" s="11"/>
      <c r="CY1212" s="11"/>
      <c r="CZ1212" s="11"/>
      <c r="DA1212" s="11"/>
      <c r="DB1212" s="11"/>
      <c r="DC1212" s="11"/>
      <c r="DD1212" s="11"/>
      <c r="DE1212" s="11"/>
      <c r="DF1212" s="11"/>
      <c r="DG1212" s="11"/>
      <c r="DH1212" s="11"/>
      <c r="DI1212" s="11"/>
      <c r="DJ1212" s="11"/>
      <c r="DK1212" s="11"/>
      <c r="DL1212" s="11"/>
      <c r="DM1212" s="11"/>
      <c r="DN1212" s="11"/>
      <c r="DO1212" s="11"/>
      <c r="DP1212" s="11"/>
      <c r="DQ1212" s="11"/>
      <c r="DR1212" s="11"/>
      <c r="DS1212" s="11"/>
      <c r="DT1212" s="11"/>
      <c r="DU1212" s="11"/>
      <c r="DV1212" s="11"/>
      <c r="DW1212" s="11"/>
      <c r="DX1212" s="11"/>
      <c r="DY1212" s="11"/>
      <c r="DZ1212" s="11"/>
      <c r="EA1212" s="11"/>
      <c r="EB1212" s="11"/>
      <c r="EC1212" s="11"/>
      <c r="ED1212" s="11"/>
      <c r="EE1212" s="11"/>
      <c r="EF1212" s="11"/>
      <c r="EG1212" s="11"/>
      <c r="EH1212" s="11"/>
      <c r="EI1212" s="11"/>
      <c r="EJ1212" s="11"/>
      <c r="EK1212" s="11"/>
      <c r="EL1212" s="11"/>
      <c r="EM1212" s="11"/>
      <c r="EN1212" s="11"/>
      <c r="EO1212" s="11"/>
      <c r="EP1212" s="11"/>
      <c r="EQ1212" s="11"/>
      <c r="ER1212" s="11"/>
      <c r="ES1212" s="11"/>
      <c r="ET1212" s="11"/>
      <c r="EU1212" s="11"/>
      <c r="EV1212" s="11"/>
      <c r="EW1212" s="11"/>
      <c r="EX1212" s="11"/>
      <c r="EY1212" s="11"/>
      <c r="EZ1212" s="11"/>
      <c r="FA1212" s="11"/>
      <c r="FB1212" s="11"/>
      <c r="FC1212" s="11"/>
      <c r="FD1212" s="11"/>
      <c r="FE1212" s="11"/>
      <c r="FF1212" s="11"/>
      <c r="FG1212" s="11"/>
      <c r="FH1212" s="11"/>
      <c r="FI1212" s="11"/>
      <c r="FJ1212" s="11"/>
      <c r="FK1212" s="11"/>
      <c r="FL1212" s="11"/>
      <c r="FM1212" s="11"/>
      <c r="FN1212" s="11"/>
      <c r="FO1212" s="11"/>
      <c r="FP1212" s="11"/>
      <c r="FQ1212" s="11"/>
      <c r="FR1212" s="11"/>
      <c r="FS1212" s="11"/>
      <c r="FT1212" s="11"/>
      <c r="FU1212" s="11"/>
      <c r="FV1212" s="11"/>
      <c r="FW1212" s="11"/>
      <c r="FX1212" s="11"/>
      <c r="FY1212" s="11"/>
      <c r="FZ1212" s="11"/>
      <c r="GA1212" s="11"/>
      <c r="GB1212" s="11"/>
      <c r="GC1212" s="11"/>
      <c r="GD1212" s="11"/>
      <c r="GE1212" s="11"/>
      <c r="GF1212" s="11"/>
      <c r="GG1212" s="11"/>
      <c r="GH1212" s="11"/>
      <c r="GI1212" s="11"/>
      <c r="GJ1212" s="11"/>
      <c r="GK1212" s="11"/>
      <c r="GL1212" s="11"/>
      <c r="GM1212" s="11"/>
      <c r="GN1212" s="11"/>
      <c r="GO1212" s="11"/>
      <c r="GP1212" s="11"/>
      <c r="GQ1212" s="11"/>
      <c r="GR1212" s="11"/>
      <c r="GS1212" s="11"/>
      <c r="GT1212" s="11"/>
      <c r="GU1212" s="11"/>
      <c r="GV1212" s="11"/>
      <c r="GW1212" s="11"/>
      <c r="GX1212" s="11"/>
      <c r="GY1212" s="11"/>
      <c r="GZ1212" s="11"/>
      <c r="HA1212" s="11"/>
    </row>
    <row r="1213" spans="1:209" ht="23.25" customHeight="1" x14ac:dyDescent="0.15">
      <c r="A1213" s="11"/>
      <c r="B1213" s="11"/>
      <c r="C1213" s="1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/>
      <c r="R1213" s="11"/>
      <c r="S1213" s="11"/>
      <c r="T1213" s="11"/>
      <c r="U1213" s="11"/>
      <c r="V1213" s="11"/>
      <c r="W1213" s="11"/>
      <c r="X1213" s="11"/>
      <c r="Y1213" s="11"/>
      <c r="Z1213" s="11"/>
      <c r="AA1213" s="11"/>
      <c r="AB1213" s="11"/>
      <c r="AC1213" s="11"/>
      <c r="AD1213" s="11"/>
      <c r="AE1213" s="11"/>
      <c r="AF1213" s="11"/>
      <c r="AG1213" s="11"/>
      <c r="AH1213" s="11"/>
      <c r="AI1213" s="11"/>
      <c r="AJ1213" s="11"/>
      <c r="AK1213" s="11"/>
      <c r="AL1213" s="11"/>
      <c r="AM1213" s="11"/>
      <c r="AN1213" s="11"/>
      <c r="AO1213" s="11"/>
      <c r="AP1213" s="11"/>
      <c r="AQ1213" s="11"/>
      <c r="AR1213" s="11"/>
      <c r="AS1213" s="11"/>
      <c r="AT1213" s="11"/>
      <c r="AU1213" s="11"/>
      <c r="AV1213" s="11"/>
      <c r="AW1213" s="11"/>
      <c r="AX1213" s="11"/>
      <c r="AY1213" s="11"/>
      <c r="AZ1213" s="11"/>
      <c r="BA1213" s="11"/>
      <c r="BB1213" s="11"/>
      <c r="BC1213" s="11"/>
      <c r="BD1213" s="11"/>
      <c r="BE1213" s="11"/>
      <c r="BF1213" s="11"/>
      <c r="BG1213" s="11"/>
      <c r="BH1213" s="11"/>
      <c r="BI1213" s="11"/>
      <c r="BJ1213" s="11"/>
      <c r="BK1213" s="11"/>
      <c r="BL1213" s="11"/>
      <c r="BM1213" s="11"/>
      <c r="BN1213" s="11"/>
      <c r="BO1213" s="11"/>
      <c r="BP1213" s="11"/>
      <c r="BQ1213" s="11"/>
      <c r="BR1213" s="11"/>
      <c r="BS1213" s="11"/>
      <c r="BT1213" s="11"/>
      <c r="BU1213" s="11"/>
      <c r="BV1213" s="11"/>
      <c r="BW1213" s="52" t="s">
        <v>830</v>
      </c>
      <c r="BX1213" s="52" t="s">
        <v>831</v>
      </c>
      <c r="BY1213" s="11"/>
      <c r="BZ1213" s="52" t="s">
        <v>166</v>
      </c>
      <c r="CA1213" s="52" t="s">
        <v>3802</v>
      </c>
      <c r="CB1213" s="52" t="s">
        <v>343</v>
      </c>
      <c r="CC1213" s="52" t="s">
        <v>308</v>
      </c>
      <c r="CD1213" s="53">
        <v>43922</v>
      </c>
      <c r="CE1213" s="53">
        <v>43982</v>
      </c>
      <c r="CF1213" s="52">
        <v>100</v>
      </c>
      <c r="CG1213" s="54" t="s">
        <v>3803</v>
      </c>
      <c r="CH1213" s="11"/>
      <c r="CI1213" s="11"/>
      <c r="CJ1213" s="11"/>
      <c r="CK1213" s="11"/>
      <c r="CL1213" s="11"/>
      <c r="CM1213" s="11"/>
      <c r="CN1213" s="11"/>
      <c r="CO1213" s="11"/>
      <c r="CP1213" s="11"/>
      <c r="CQ1213" s="11"/>
      <c r="CR1213" s="11"/>
      <c r="CS1213" s="11"/>
      <c r="CT1213" s="11"/>
      <c r="CU1213" s="11"/>
      <c r="CV1213" s="11"/>
      <c r="CW1213" s="11"/>
      <c r="CX1213" s="11"/>
      <c r="CY1213" s="11"/>
      <c r="CZ1213" s="11"/>
      <c r="DA1213" s="11"/>
      <c r="DB1213" s="11"/>
      <c r="DC1213" s="11"/>
      <c r="DD1213" s="11"/>
      <c r="DE1213" s="11"/>
      <c r="DF1213" s="11"/>
      <c r="DG1213" s="11"/>
      <c r="DH1213" s="11"/>
      <c r="DI1213" s="11"/>
      <c r="DJ1213" s="11"/>
      <c r="DK1213" s="11"/>
      <c r="DL1213" s="11"/>
      <c r="DM1213" s="11"/>
      <c r="DN1213" s="11"/>
      <c r="DO1213" s="11"/>
      <c r="DP1213" s="11"/>
      <c r="DQ1213" s="11"/>
      <c r="DR1213" s="11"/>
      <c r="DS1213" s="11"/>
      <c r="DT1213" s="11"/>
      <c r="DU1213" s="11"/>
      <c r="DV1213" s="11"/>
      <c r="DW1213" s="11"/>
      <c r="DX1213" s="11"/>
      <c r="DY1213" s="11"/>
      <c r="DZ1213" s="11"/>
      <c r="EA1213" s="11"/>
      <c r="EB1213" s="11"/>
      <c r="EC1213" s="11"/>
      <c r="ED1213" s="11"/>
      <c r="EE1213" s="11"/>
      <c r="EF1213" s="11"/>
      <c r="EG1213" s="11"/>
      <c r="EH1213" s="11"/>
      <c r="EI1213" s="11"/>
      <c r="EJ1213" s="11"/>
      <c r="EK1213" s="11"/>
      <c r="EL1213" s="11"/>
      <c r="EM1213" s="11"/>
      <c r="EN1213" s="11"/>
      <c r="EO1213" s="11"/>
      <c r="EP1213" s="11"/>
      <c r="EQ1213" s="11"/>
      <c r="ER1213" s="11"/>
      <c r="ES1213" s="11"/>
      <c r="ET1213" s="11"/>
      <c r="EU1213" s="11"/>
      <c r="EV1213" s="11"/>
      <c r="EW1213" s="11"/>
      <c r="EX1213" s="11"/>
      <c r="EY1213" s="11"/>
      <c r="EZ1213" s="11"/>
      <c r="FA1213" s="11"/>
      <c r="FB1213" s="11"/>
      <c r="FC1213" s="11"/>
      <c r="FD1213" s="11"/>
      <c r="FE1213" s="11"/>
      <c r="FF1213" s="11"/>
      <c r="FG1213" s="11"/>
      <c r="FH1213" s="11"/>
      <c r="FI1213" s="11"/>
      <c r="FJ1213" s="11"/>
      <c r="FK1213" s="11"/>
      <c r="FL1213" s="11"/>
      <c r="FM1213" s="11"/>
      <c r="FN1213" s="11"/>
      <c r="FO1213" s="11"/>
      <c r="FP1213" s="11"/>
      <c r="FQ1213" s="11"/>
      <c r="FR1213" s="11"/>
      <c r="FS1213" s="11"/>
      <c r="FT1213" s="11"/>
      <c r="FU1213" s="11"/>
      <c r="FV1213" s="11"/>
      <c r="FW1213" s="11"/>
      <c r="FX1213" s="11"/>
      <c r="FY1213" s="11"/>
      <c r="FZ1213" s="11"/>
      <c r="GA1213" s="11"/>
      <c r="GB1213" s="11"/>
      <c r="GC1213" s="11"/>
      <c r="GD1213" s="11"/>
      <c r="GE1213" s="11"/>
      <c r="GF1213" s="11"/>
      <c r="GG1213" s="11"/>
      <c r="GH1213" s="11"/>
      <c r="GI1213" s="11"/>
      <c r="GJ1213" s="11"/>
      <c r="GK1213" s="11"/>
      <c r="GL1213" s="11"/>
      <c r="GM1213" s="11"/>
      <c r="GN1213" s="11"/>
      <c r="GO1213" s="11"/>
      <c r="GP1213" s="11"/>
      <c r="GQ1213" s="11"/>
      <c r="GR1213" s="11"/>
      <c r="GS1213" s="11"/>
      <c r="GT1213" s="11"/>
      <c r="GU1213" s="11"/>
      <c r="GV1213" s="11"/>
      <c r="GW1213" s="11"/>
      <c r="GX1213" s="11"/>
      <c r="GY1213" s="11"/>
      <c r="GZ1213" s="11"/>
      <c r="HA1213" s="11"/>
    </row>
    <row r="1214" spans="1:209" ht="23.25" customHeight="1" x14ac:dyDescent="0.15">
      <c r="A1214" s="11"/>
      <c r="B1214" s="11"/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/>
      <c r="R1214" s="11"/>
      <c r="S1214" s="11"/>
      <c r="T1214" s="11"/>
      <c r="U1214" s="11"/>
      <c r="V1214" s="11"/>
      <c r="W1214" s="11"/>
      <c r="X1214" s="11"/>
      <c r="Y1214" s="11"/>
      <c r="Z1214" s="11"/>
      <c r="AA1214" s="11"/>
      <c r="AB1214" s="11"/>
      <c r="AC1214" s="11"/>
      <c r="AD1214" s="11"/>
      <c r="AE1214" s="11"/>
      <c r="AF1214" s="11"/>
      <c r="AG1214" s="11"/>
      <c r="AH1214" s="11"/>
      <c r="AI1214" s="11"/>
      <c r="AJ1214" s="11"/>
      <c r="AK1214" s="11"/>
      <c r="AL1214" s="11"/>
      <c r="AM1214" s="11"/>
      <c r="AN1214" s="11"/>
      <c r="AO1214" s="11"/>
      <c r="AP1214" s="11"/>
      <c r="AQ1214" s="11"/>
      <c r="AR1214" s="11"/>
      <c r="AS1214" s="11"/>
      <c r="AT1214" s="11"/>
      <c r="AU1214" s="11"/>
      <c r="AV1214" s="11"/>
      <c r="AW1214" s="11"/>
      <c r="AX1214" s="11"/>
      <c r="AY1214" s="11"/>
      <c r="AZ1214" s="11"/>
      <c r="BA1214" s="11"/>
      <c r="BB1214" s="11"/>
      <c r="BC1214" s="11"/>
      <c r="BD1214" s="11"/>
      <c r="BE1214" s="11"/>
      <c r="BF1214" s="11"/>
      <c r="BG1214" s="11"/>
      <c r="BH1214" s="11"/>
      <c r="BI1214" s="11"/>
      <c r="BJ1214" s="11"/>
      <c r="BK1214" s="11"/>
      <c r="BL1214" s="11"/>
      <c r="BM1214" s="11"/>
      <c r="BN1214" s="11"/>
      <c r="BO1214" s="11"/>
      <c r="BP1214" s="11"/>
      <c r="BQ1214" s="11"/>
      <c r="BR1214" s="11"/>
      <c r="BS1214" s="11"/>
      <c r="BT1214" s="11"/>
      <c r="BU1214" s="11"/>
      <c r="BV1214" s="11"/>
      <c r="BW1214" s="52" t="s">
        <v>2149</v>
      </c>
      <c r="BX1214" s="52" t="s">
        <v>2150</v>
      </c>
      <c r="BY1214" s="11"/>
      <c r="BZ1214" s="52" t="s">
        <v>166</v>
      </c>
      <c r="CA1214" s="52" t="s">
        <v>540</v>
      </c>
      <c r="CB1214" s="52" t="s">
        <v>1085</v>
      </c>
      <c r="CC1214" s="52" t="s">
        <v>2169</v>
      </c>
      <c r="CD1214" s="53">
        <v>43946</v>
      </c>
      <c r="CE1214" s="53">
        <v>43952</v>
      </c>
      <c r="CF1214" s="52">
        <v>100</v>
      </c>
      <c r="CG1214" s="54" t="s">
        <v>3804</v>
      </c>
      <c r="CH1214" s="11"/>
      <c r="CI1214" s="11"/>
      <c r="CJ1214" s="11"/>
      <c r="CK1214" s="11"/>
      <c r="CL1214" s="11"/>
      <c r="CM1214" s="11"/>
      <c r="CN1214" s="11"/>
      <c r="CO1214" s="11"/>
      <c r="CP1214" s="11"/>
      <c r="CQ1214" s="11"/>
      <c r="CR1214" s="11"/>
      <c r="CS1214" s="11"/>
      <c r="CT1214" s="11"/>
      <c r="CU1214" s="11"/>
      <c r="CV1214" s="11"/>
      <c r="CW1214" s="11"/>
      <c r="CX1214" s="11"/>
      <c r="CY1214" s="11"/>
      <c r="CZ1214" s="11"/>
      <c r="DA1214" s="11"/>
      <c r="DB1214" s="11"/>
      <c r="DC1214" s="11"/>
      <c r="DD1214" s="11"/>
      <c r="DE1214" s="11"/>
      <c r="DF1214" s="11"/>
      <c r="DG1214" s="11"/>
      <c r="DH1214" s="11"/>
      <c r="DI1214" s="11"/>
      <c r="DJ1214" s="11"/>
      <c r="DK1214" s="11"/>
      <c r="DL1214" s="11"/>
      <c r="DM1214" s="11"/>
      <c r="DN1214" s="11"/>
      <c r="DO1214" s="11"/>
      <c r="DP1214" s="11"/>
      <c r="DQ1214" s="11"/>
      <c r="DR1214" s="11"/>
      <c r="DS1214" s="11"/>
      <c r="DT1214" s="11"/>
      <c r="DU1214" s="11"/>
      <c r="DV1214" s="11"/>
      <c r="DW1214" s="11"/>
      <c r="DX1214" s="11"/>
      <c r="DY1214" s="11"/>
      <c r="DZ1214" s="11"/>
      <c r="EA1214" s="11"/>
      <c r="EB1214" s="11"/>
      <c r="EC1214" s="11"/>
      <c r="ED1214" s="11"/>
      <c r="EE1214" s="11"/>
      <c r="EF1214" s="11"/>
      <c r="EG1214" s="11"/>
      <c r="EH1214" s="11"/>
      <c r="EI1214" s="11"/>
      <c r="EJ1214" s="11"/>
      <c r="EK1214" s="11"/>
      <c r="EL1214" s="11"/>
      <c r="EM1214" s="11"/>
      <c r="EN1214" s="11"/>
      <c r="EO1214" s="11"/>
      <c r="EP1214" s="11"/>
      <c r="EQ1214" s="11"/>
      <c r="ER1214" s="11"/>
      <c r="ES1214" s="11"/>
      <c r="ET1214" s="11"/>
      <c r="EU1214" s="11"/>
      <c r="EV1214" s="11"/>
      <c r="EW1214" s="11"/>
      <c r="EX1214" s="11"/>
      <c r="EY1214" s="11"/>
      <c r="EZ1214" s="11"/>
      <c r="FA1214" s="11"/>
      <c r="FB1214" s="11"/>
      <c r="FC1214" s="11"/>
      <c r="FD1214" s="11"/>
      <c r="FE1214" s="11"/>
      <c r="FF1214" s="11"/>
      <c r="FG1214" s="11"/>
      <c r="FH1214" s="11"/>
      <c r="FI1214" s="11"/>
      <c r="FJ1214" s="11"/>
      <c r="FK1214" s="11"/>
      <c r="FL1214" s="11"/>
      <c r="FM1214" s="11"/>
      <c r="FN1214" s="11"/>
      <c r="FO1214" s="11"/>
      <c r="FP1214" s="11"/>
      <c r="FQ1214" s="11"/>
      <c r="FR1214" s="11"/>
      <c r="FS1214" s="11"/>
      <c r="FT1214" s="11"/>
      <c r="FU1214" s="11"/>
      <c r="FV1214" s="11"/>
      <c r="FW1214" s="11"/>
      <c r="FX1214" s="11"/>
      <c r="FY1214" s="11"/>
      <c r="FZ1214" s="11"/>
      <c r="GA1214" s="11"/>
      <c r="GB1214" s="11"/>
      <c r="GC1214" s="11"/>
      <c r="GD1214" s="11"/>
      <c r="GE1214" s="11"/>
      <c r="GF1214" s="11"/>
      <c r="GG1214" s="11"/>
      <c r="GH1214" s="11"/>
      <c r="GI1214" s="11"/>
      <c r="GJ1214" s="11"/>
      <c r="GK1214" s="11"/>
      <c r="GL1214" s="11"/>
      <c r="GM1214" s="11"/>
      <c r="GN1214" s="11"/>
      <c r="GO1214" s="11"/>
      <c r="GP1214" s="11"/>
      <c r="GQ1214" s="11"/>
      <c r="GR1214" s="11"/>
      <c r="GS1214" s="11"/>
      <c r="GT1214" s="11"/>
      <c r="GU1214" s="11"/>
      <c r="GV1214" s="11"/>
      <c r="GW1214" s="11"/>
      <c r="GX1214" s="11"/>
      <c r="GY1214" s="11"/>
      <c r="GZ1214" s="11"/>
      <c r="HA1214" s="11"/>
    </row>
    <row r="1215" spans="1:209" ht="23.25" customHeight="1" x14ac:dyDescent="0.15">
      <c r="A1215" s="11"/>
      <c r="B1215" s="11"/>
      <c r="C1215" s="1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/>
      <c r="R1215" s="11"/>
      <c r="S1215" s="11"/>
      <c r="T1215" s="11"/>
      <c r="U1215" s="11"/>
      <c r="V1215" s="11"/>
      <c r="W1215" s="11"/>
      <c r="X1215" s="11"/>
      <c r="Y1215" s="11"/>
      <c r="Z1215" s="11"/>
      <c r="AA1215" s="11"/>
      <c r="AB1215" s="11"/>
      <c r="AC1215" s="11"/>
      <c r="AD1215" s="11"/>
      <c r="AE1215" s="11"/>
      <c r="AF1215" s="11"/>
      <c r="AG1215" s="11"/>
      <c r="AH1215" s="11"/>
      <c r="AI1215" s="11"/>
      <c r="AJ1215" s="11"/>
      <c r="AK1215" s="11"/>
      <c r="AL1215" s="11"/>
      <c r="AM1215" s="11"/>
      <c r="AN1215" s="11"/>
      <c r="AO1215" s="11"/>
      <c r="AP1215" s="11"/>
      <c r="AQ1215" s="11"/>
      <c r="AR1215" s="11"/>
      <c r="AS1215" s="11"/>
      <c r="AT1215" s="11"/>
      <c r="AU1215" s="11"/>
      <c r="AV1215" s="11"/>
      <c r="AW1215" s="11"/>
      <c r="AX1215" s="11"/>
      <c r="AY1215" s="11"/>
      <c r="AZ1215" s="11"/>
      <c r="BA1215" s="11"/>
      <c r="BB1215" s="11"/>
      <c r="BC1215" s="11"/>
      <c r="BD1215" s="11"/>
      <c r="BE1215" s="11"/>
      <c r="BF1215" s="11"/>
      <c r="BG1215" s="11"/>
      <c r="BH1215" s="11"/>
      <c r="BI1215" s="11"/>
      <c r="BJ1215" s="11"/>
      <c r="BK1215" s="11"/>
      <c r="BL1215" s="11"/>
      <c r="BM1215" s="11"/>
      <c r="BN1215" s="11"/>
      <c r="BO1215" s="11"/>
      <c r="BP1215" s="11"/>
      <c r="BQ1215" s="11"/>
      <c r="BR1215" s="11"/>
      <c r="BS1215" s="11"/>
      <c r="BT1215" s="11"/>
      <c r="BU1215" s="11"/>
      <c r="BV1215" s="11"/>
      <c r="BW1215" s="52" t="s">
        <v>2149</v>
      </c>
      <c r="BX1215" s="52" t="s">
        <v>2150</v>
      </c>
      <c r="BY1215" s="11"/>
      <c r="BZ1215" s="52" t="s">
        <v>154</v>
      </c>
      <c r="CA1215" s="52" t="s">
        <v>1751</v>
      </c>
      <c r="CB1215" s="52" t="s">
        <v>1085</v>
      </c>
      <c r="CC1215" s="52" t="s">
        <v>2169</v>
      </c>
      <c r="CD1215" s="53">
        <v>43895</v>
      </c>
      <c r="CE1215" s="53">
        <v>43946</v>
      </c>
      <c r="CF1215" s="52">
        <v>99.08</v>
      </c>
      <c r="CG1215" s="54" t="s">
        <v>3805</v>
      </c>
      <c r="CH1215" s="11"/>
      <c r="CI1215" s="11"/>
      <c r="CJ1215" s="11"/>
      <c r="CK1215" s="11"/>
      <c r="CL1215" s="11"/>
      <c r="CM1215" s="11"/>
      <c r="CN1215" s="11"/>
      <c r="CO1215" s="11"/>
      <c r="CP1215" s="11"/>
      <c r="CQ1215" s="11"/>
      <c r="CR1215" s="11"/>
      <c r="CS1215" s="11"/>
      <c r="CT1215" s="11"/>
      <c r="CU1215" s="11"/>
      <c r="CV1215" s="11"/>
      <c r="CW1215" s="11"/>
      <c r="CX1215" s="11"/>
      <c r="CY1215" s="11"/>
      <c r="CZ1215" s="11"/>
      <c r="DA1215" s="11"/>
      <c r="DB1215" s="11"/>
      <c r="DC1215" s="11"/>
      <c r="DD1215" s="11"/>
      <c r="DE1215" s="11"/>
      <c r="DF1215" s="11"/>
      <c r="DG1215" s="11"/>
      <c r="DH1215" s="11"/>
      <c r="DI1215" s="11"/>
      <c r="DJ1215" s="11"/>
      <c r="DK1215" s="11"/>
      <c r="DL1215" s="11"/>
      <c r="DM1215" s="11"/>
      <c r="DN1215" s="11"/>
      <c r="DO1215" s="11"/>
      <c r="DP1215" s="11"/>
      <c r="DQ1215" s="11"/>
      <c r="DR1215" s="11"/>
      <c r="DS1215" s="11"/>
      <c r="DT1215" s="11"/>
      <c r="DU1215" s="11"/>
      <c r="DV1215" s="11"/>
      <c r="DW1215" s="11"/>
      <c r="DX1215" s="11"/>
      <c r="DY1215" s="11"/>
      <c r="DZ1215" s="11"/>
      <c r="EA1215" s="11"/>
      <c r="EB1215" s="11"/>
      <c r="EC1215" s="11"/>
      <c r="ED1215" s="11"/>
      <c r="EE1215" s="11"/>
      <c r="EF1215" s="11"/>
      <c r="EG1215" s="11"/>
      <c r="EH1215" s="11"/>
      <c r="EI1215" s="11"/>
      <c r="EJ1215" s="11"/>
      <c r="EK1215" s="11"/>
      <c r="EL1215" s="11"/>
      <c r="EM1215" s="11"/>
      <c r="EN1215" s="11"/>
      <c r="EO1215" s="11"/>
      <c r="EP1215" s="11"/>
      <c r="EQ1215" s="11"/>
      <c r="ER1215" s="11"/>
      <c r="ES1215" s="11"/>
      <c r="ET1215" s="11"/>
      <c r="EU1215" s="11"/>
      <c r="EV1215" s="11"/>
      <c r="EW1215" s="11"/>
      <c r="EX1215" s="11"/>
      <c r="EY1215" s="11"/>
      <c r="EZ1215" s="11"/>
      <c r="FA1215" s="11"/>
      <c r="FB1215" s="11"/>
      <c r="FC1215" s="11"/>
      <c r="FD1215" s="11"/>
      <c r="FE1215" s="11"/>
      <c r="FF1215" s="11"/>
      <c r="FG1215" s="11"/>
      <c r="FH1215" s="11"/>
      <c r="FI1215" s="11"/>
      <c r="FJ1215" s="11"/>
      <c r="FK1215" s="11"/>
      <c r="FL1215" s="11"/>
      <c r="FM1215" s="11"/>
      <c r="FN1215" s="11"/>
      <c r="FO1215" s="11"/>
      <c r="FP1215" s="11"/>
      <c r="FQ1215" s="11"/>
      <c r="FR1215" s="11"/>
      <c r="FS1215" s="11"/>
      <c r="FT1215" s="11"/>
      <c r="FU1215" s="11"/>
      <c r="FV1215" s="11"/>
      <c r="FW1215" s="11"/>
      <c r="FX1215" s="11"/>
      <c r="FY1215" s="11"/>
      <c r="FZ1215" s="11"/>
      <c r="GA1215" s="11"/>
      <c r="GB1215" s="11"/>
      <c r="GC1215" s="11"/>
      <c r="GD1215" s="11"/>
      <c r="GE1215" s="11"/>
      <c r="GF1215" s="11"/>
      <c r="GG1215" s="11"/>
      <c r="GH1215" s="11"/>
      <c r="GI1215" s="11"/>
      <c r="GJ1215" s="11"/>
      <c r="GK1215" s="11"/>
      <c r="GL1215" s="11"/>
      <c r="GM1215" s="11"/>
      <c r="GN1215" s="11"/>
      <c r="GO1215" s="11"/>
      <c r="GP1215" s="11"/>
      <c r="GQ1215" s="11"/>
      <c r="GR1215" s="11"/>
      <c r="GS1215" s="11"/>
      <c r="GT1215" s="11"/>
      <c r="GU1215" s="11"/>
      <c r="GV1215" s="11"/>
      <c r="GW1215" s="11"/>
      <c r="GX1215" s="11"/>
      <c r="GY1215" s="11"/>
      <c r="GZ1215" s="11"/>
      <c r="HA1215" s="11"/>
    </row>
    <row r="1216" spans="1:209" ht="23.25" customHeight="1" x14ac:dyDescent="0.15">
      <c r="A1216" s="11"/>
      <c r="B1216" s="11"/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/>
      <c r="R1216" s="11"/>
      <c r="S1216" s="11"/>
      <c r="T1216" s="11"/>
      <c r="U1216" s="11"/>
      <c r="V1216" s="11"/>
      <c r="W1216" s="11"/>
      <c r="X1216" s="11"/>
      <c r="Y1216" s="11"/>
      <c r="Z1216" s="11"/>
      <c r="AA1216" s="11"/>
      <c r="AB1216" s="11"/>
      <c r="AC1216" s="11"/>
      <c r="AD1216" s="11"/>
      <c r="AE1216" s="11"/>
      <c r="AF1216" s="11"/>
      <c r="AG1216" s="11"/>
      <c r="AH1216" s="11"/>
      <c r="AI1216" s="11"/>
      <c r="AJ1216" s="11"/>
      <c r="AK1216" s="11"/>
      <c r="AL1216" s="11"/>
      <c r="AM1216" s="11"/>
      <c r="AN1216" s="11"/>
      <c r="AO1216" s="11"/>
      <c r="AP1216" s="11"/>
      <c r="AQ1216" s="11"/>
      <c r="AR1216" s="11"/>
      <c r="AS1216" s="11"/>
      <c r="AT1216" s="11"/>
      <c r="AU1216" s="11"/>
      <c r="AV1216" s="11"/>
      <c r="AW1216" s="11"/>
      <c r="AX1216" s="11"/>
      <c r="AY1216" s="11"/>
      <c r="AZ1216" s="11"/>
      <c r="BA1216" s="11"/>
      <c r="BB1216" s="11"/>
      <c r="BC1216" s="11"/>
      <c r="BD1216" s="11"/>
      <c r="BE1216" s="11"/>
      <c r="BF1216" s="11"/>
      <c r="BG1216" s="11"/>
      <c r="BH1216" s="11"/>
      <c r="BI1216" s="11"/>
      <c r="BJ1216" s="11"/>
      <c r="BK1216" s="11"/>
      <c r="BL1216" s="11"/>
      <c r="BM1216" s="11"/>
      <c r="BN1216" s="11"/>
      <c r="BO1216" s="11"/>
      <c r="BP1216" s="11"/>
      <c r="BQ1216" s="11"/>
      <c r="BR1216" s="11"/>
      <c r="BS1216" s="11"/>
      <c r="BT1216" s="11"/>
      <c r="BU1216" s="11"/>
      <c r="BV1216" s="11"/>
      <c r="BW1216" s="52" t="s">
        <v>2149</v>
      </c>
      <c r="BX1216" s="52" t="s">
        <v>2150</v>
      </c>
      <c r="BY1216" s="11"/>
      <c r="BZ1216" s="52" t="s">
        <v>166</v>
      </c>
      <c r="CA1216" s="52" t="s">
        <v>3806</v>
      </c>
      <c r="CB1216" s="52" t="s">
        <v>1085</v>
      </c>
      <c r="CC1216" s="52" t="s">
        <v>3807</v>
      </c>
      <c r="CD1216" s="53">
        <v>43983</v>
      </c>
      <c r="CE1216" s="53">
        <v>44036</v>
      </c>
      <c r="CF1216" s="52">
        <v>97.88</v>
      </c>
      <c r="CG1216" s="54" t="s">
        <v>3808</v>
      </c>
      <c r="CH1216" s="11"/>
      <c r="CI1216" s="11"/>
      <c r="CJ1216" s="11"/>
      <c r="CK1216" s="11"/>
      <c r="CL1216" s="11"/>
      <c r="CM1216" s="11"/>
      <c r="CN1216" s="11"/>
      <c r="CO1216" s="11"/>
      <c r="CP1216" s="11"/>
      <c r="CQ1216" s="11"/>
      <c r="CR1216" s="11"/>
      <c r="CS1216" s="11"/>
      <c r="CT1216" s="11"/>
      <c r="CU1216" s="11"/>
      <c r="CV1216" s="11"/>
      <c r="CW1216" s="11"/>
      <c r="CX1216" s="11"/>
      <c r="CY1216" s="11"/>
      <c r="CZ1216" s="11"/>
      <c r="DA1216" s="11"/>
      <c r="DB1216" s="11"/>
      <c r="DC1216" s="11"/>
      <c r="DD1216" s="11"/>
      <c r="DE1216" s="11"/>
      <c r="DF1216" s="11"/>
      <c r="DG1216" s="11"/>
      <c r="DH1216" s="11"/>
      <c r="DI1216" s="11"/>
      <c r="DJ1216" s="11"/>
      <c r="DK1216" s="11"/>
      <c r="DL1216" s="11"/>
      <c r="DM1216" s="11"/>
      <c r="DN1216" s="11"/>
      <c r="DO1216" s="11"/>
      <c r="DP1216" s="11"/>
      <c r="DQ1216" s="11"/>
      <c r="DR1216" s="11"/>
      <c r="DS1216" s="11"/>
      <c r="DT1216" s="11"/>
      <c r="DU1216" s="11"/>
      <c r="DV1216" s="11"/>
      <c r="DW1216" s="11"/>
      <c r="DX1216" s="11"/>
      <c r="DY1216" s="11"/>
      <c r="DZ1216" s="11"/>
      <c r="EA1216" s="11"/>
      <c r="EB1216" s="11"/>
      <c r="EC1216" s="11"/>
      <c r="ED1216" s="11"/>
      <c r="EE1216" s="11"/>
      <c r="EF1216" s="11"/>
      <c r="EG1216" s="11"/>
      <c r="EH1216" s="11"/>
      <c r="EI1216" s="11"/>
      <c r="EJ1216" s="11"/>
      <c r="EK1216" s="11"/>
      <c r="EL1216" s="11"/>
      <c r="EM1216" s="11"/>
      <c r="EN1216" s="11"/>
      <c r="EO1216" s="11"/>
      <c r="EP1216" s="11"/>
      <c r="EQ1216" s="11"/>
      <c r="ER1216" s="11"/>
      <c r="ES1216" s="11"/>
      <c r="ET1216" s="11"/>
      <c r="EU1216" s="11"/>
      <c r="EV1216" s="11"/>
      <c r="EW1216" s="11"/>
      <c r="EX1216" s="11"/>
      <c r="EY1216" s="11"/>
      <c r="EZ1216" s="11"/>
      <c r="FA1216" s="11"/>
      <c r="FB1216" s="11"/>
      <c r="FC1216" s="11"/>
      <c r="FD1216" s="11"/>
      <c r="FE1216" s="11"/>
      <c r="FF1216" s="11"/>
      <c r="FG1216" s="11"/>
      <c r="FH1216" s="11"/>
      <c r="FI1216" s="11"/>
      <c r="FJ1216" s="11"/>
      <c r="FK1216" s="11"/>
      <c r="FL1216" s="11"/>
      <c r="FM1216" s="11"/>
      <c r="FN1216" s="11"/>
      <c r="FO1216" s="11"/>
      <c r="FP1216" s="11"/>
      <c r="FQ1216" s="11"/>
      <c r="FR1216" s="11"/>
      <c r="FS1216" s="11"/>
      <c r="FT1216" s="11"/>
      <c r="FU1216" s="11"/>
      <c r="FV1216" s="11"/>
      <c r="FW1216" s="11"/>
      <c r="FX1216" s="11"/>
      <c r="FY1216" s="11"/>
      <c r="FZ1216" s="11"/>
      <c r="GA1216" s="11"/>
      <c r="GB1216" s="11"/>
      <c r="GC1216" s="11"/>
      <c r="GD1216" s="11"/>
      <c r="GE1216" s="11"/>
      <c r="GF1216" s="11"/>
      <c r="GG1216" s="11"/>
      <c r="GH1216" s="11"/>
      <c r="GI1216" s="11"/>
      <c r="GJ1216" s="11"/>
      <c r="GK1216" s="11"/>
      <c r="GL1216" s="11"/>
      <c r="GM1216" s="11"/>
      <c r="GN1216" s="11"/>
      <c r="GO1216" s="11"/>
      <c r="GP1216" s="11"/>
      <c r="GQ1216" s="11"/>
      <c r="GR1216" s="11"/>
      <c r="GS1216" s="11"/>
      <c r="GT1216" s="11"/>
      <c r="GU1216" s="11"/>
      <c r="GV1216" s="11"/>
      <c r="GW1216" s="11"/>
      <c r="GX1216" s="11"/>
      <c r="GY1216" s="11"/>
      <c r="GZ1216" s="11"/>
      <c r="HA1216" s="11"/>
    </row>
    <row r="1217" spans="1:209" ht="23.25" customHeight="1" x14ac:dyDescent="0.15">
      <c r="A1217" s="11"/>
      <c r="B1217" s="11"/>
      <c r="C1217" s="1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/>
      <c r="R1217" s="11"/>
      <c r="S1217" s="11"/>
      <c r="T1217" s="11"/>
      <c r="U1217" s="11"/>
      <c r="V1217" s="11"/>
      <c r="W1217" s="11"/>
      <c r="X1217" s="11"/>
      <c r="Y1217" s="11"/>
      <c r="Z1217" s="11"/>
      <c r="AA1217" s="11"/>
      <c r="AB1217" s="11"/>
      <c r="AC1217" s="11"/>
      <c r="AD1217" s="11"/>
      <c r="AE1217" s="11"/>
      <c r="AF1217" s="11"/>
      <c r="AG1217" s="11"/>
      <c r="AH1217" s="11"/>
      <c r="AI1217" s="11"/>
      <c r="AJ1217" s="11"/>
      <c r="AK1217" s="11"/>
      <c r="AL1217" s="11"/>
      <c r="AM1217" s="11"/>
      <c r="AN1217" s="11"/>
      <c r="AO1217" s="11"/>
      <c r="AP1217" s="11"/>
      <c r="AQ1217" s="11"/>
      <c r="AR1217" s="11"/>
      <c r="AS1217" s="11"/>
      <c r="AT1217" s="11"/>
      <c r="AU1217" s="11"/>
      <c r="AV1217" s="11"/>
      <c r="AW1217" s="11"/>
      <c r="AX1217" s="11"/>
      <c r="AY1217" s="11"/>
      <c r="AZ1217" s="11"/>
      <c r="BA1217" s="11"/>
      <c r="BB1217" s="11"/>
      <c r="BC1217" s="11"/>
      <c r="BD1217" s="11"/>
      <c r="BE1217" s="11"/>
      <c r="BF1217" s="11"/>
      <c r="BG1217" s="11"/>
      <c r="BH1217" s="11"/>
      <c r="BI1217" s="11"/>
      <c r="BJ1217" s="11"/>
      <c r="BK1217" s="11"/>
      <c r="BL1217" s="11"/>
      <c r="BM1217" s="11"/>
      <c r="BN1217" s="11"/>
      <c r="BO1217" s="11"/>
      <c r="BP1217" s="11"/>
      <c r="BQ1217" s="11"/>
      <c r="BR1217" s="11"/>
      <c r="BS1217" s="11"/>
      <c r="BT1217" s="11"/>
      <c r="BU1217" s="11"/>
      <c r="BV1217" s="11"/>
      <c r="BW1217" s="52" t="s">
        <v>3809</v>
      </c>
      <c r="BX1217" s="52" t="s">
        <v>2150</v>
      </c>
      <c r="BY1217" s="11"/>
      <c r="BZ1217" s="52" t="s">
        <v>166</v>
      </c>
      <c r="CA1217" s="52" t="s">
        <v>2458</v>
      </c>
      <c r="CB1217" s="52" t="s">
        <v>3810</v>
      </c>
      <c r="CC1217" s="52" t="s">
        <v>970</v>
      </c>
      <c r="CD1217" s="53">
        <v>43992</v>
      </c>
      <c r="CE1217" s="53">
        <v>44032</v>
      </c>
      <c r="CF1217" s="52">
        <v>96.15</v>
      </c>
      <c r="CG1217" s="54" t="s">
        <v>3811</v>
      </c>
      <c r="CH1217" s="11"/>
      <c r="CI1217" s="11"/>
      <c r="CJ1217" s="11"/>
      <c r="CK1217" s="11"/>
      <c r="CL1217" s="11"/>
      <c r="CM1217" s="11"/>
      <c r="CN1217" s="11"/>
      <c r="CO1217" s="11"/>
      <c r="CP1217" s="11"/>
      <c r="CQ1217" s="11"/>
      <c r="CR1217" s="11"/>
      <c r="CS1217" s="11"/>
      <c r="CT1217" s="11"/>
      <c r="CU1217" s="11"/>
      <c r="CV1217" s="11"/>
      <c r="CW1217" s="11"/>
      <c r="CX1217" s="11"/>
      <c r="CY1217" s="11"/>
      <c r="CZ1217" s="11"/>
      <c r="DA1217" s="11"/>
      <c r="DB1217" s="11"/>
      <c r="DC1217" s="11"/>
      <c r="DD1217" s="11"/>
      <c r="DE1217" s="11"/>
      <c r="DF1217" s="11"/>
      <c r="DG1217" s="11"/>
      <c r="DH1217" s="11"/>
      <c r="DI1217" s="11"/>
      <c r="DJ1217" s="11"/>
      <c r="DK1217" s="11"/>
      <c r="DL1217" s="11"/>
      <c r="DM1217" s="11"/>
      <c r="DN1217" s="11"/>
      <c r="DO1217" s="11"/>
      <c r="DP1217" s="11"/>
      <c r="DQ1217" s="11"/>
      <c r="DR1217" s="11"/>
      <c r="DS1217" s="11"/>
      <c r="DT1217" s="11"/>
      <c r="DU1217" s="11"/>
      <c r="DV1217" s="11"/>
      <c r="DW1217" s="11"/>
      <c r="DX1217" s="11"/>
      <c r="DY1217" s="11"/>
      <c r="DZ1217" s="11"/>
      <c r="EA1217" s="11"/>
      <c r="EB1217" s="11"/>
      <c r="EC1217" s="11"/>
      <c r="ED1217" s="11"/>
      <c r="EE1217" s="11"/>
      <c r="EF1217" s="11"/>
      <c r="EG1217" s="11"/>
      <c r="EH1217" s="11"/>
      <c r="EI1217" s="11"/>
      <c r="EJ1217" s="11"/>
      <c r="EK1217" s="11"/>
      <c r="EL1217" s="11"/>
      <c r="EM1217" s="11"/>
      <c r="EN1217" s="11"/>
      <c r="EO1217" s="11"/>
      <c r="EP1217" s="11"/>
      <c r="EQ1217" s="11"/>
      <c r="ER1217" s="11"/>
      <c r="ES1217" s="11"/>
      <c r="ET1217" s="11"/>
      <c r="EU1217" s="11"/>
      <c r="EV1217" s="11"/>
      <c r="EW1217" s="11"/>
      <c r="EX1217" s="11"/>
      <c r="EY1217" s="11"/>
      <c r="EZ1217" s="11"/>
      <c r="FA1217" s="11"/>
      <c r="FB1217" s="11"/>
      <c r="FC1217" s="11"/>
      <c r="FD1217" s="11"/>
      <c r="FE1217" s="11"/>
      <c r="FF1217" s="11"/>
      <c r="FG1217" s="11"/>
      <c r="FH1217" s="11"/>
      <c r="FI1217" s="11"/>
      <c r="FJ1217" s="11"/>
      <c r="FK1217" s="11"/>
      <c r="FL1217" s="11"/>
      <c r="FM1217" s="11"/>
      <c r="FN1217" s="11"/>
      <c r="FO1217" s="11"/>
      <c r="FP1217" s="11"/>
      <c r="FQ1217" s="11"/>
      <c r="FR1217" s="11"/>
      <c r="FS1217" s="11"/>
      <c r="FT1217" s="11"/>
      <c r="FU1217" s="11"/>
      <c r="FV1217" s="11"/>
      <c r="FW1217" s="11"/>
      <c r="FX1217" s="11"/>
      <c r="FY1217" s="11"/>
      <c r="FZ1217" s="11"/>
      <c r="GA1217" s="11"/>
      <c r="GB1217" s="11"/>
      <c r="GC1217" s="11"/>
      <c r="GD1217" s="11"/>
      <c r="GE1217" s="11"/>
      <c r="GF1217" s="11"/>
      <c r="GG1217" s="11"/>
      <c r="GH1217" s="11"/>
      <c r="GI1217" s="11"/>
      <c r="GJ1217" s="11"/>
      <c r="GK1217" s="11"/>
      <c r="GL1217" s="11"/>
      <c r="GM1217" s="11"/>
      <c r="GN1217" s="11"/>
      <c r="GO1217" s="11"/>
      <c r="GP1217" s="11"/>
      <c r="GQ1217" s="11"/>
      <c r="GR1217" s="11"/>
      <c r="GS1217" s="11"/>
      <c r="GT1217" s="11"/>
      <c r="GU1217" s="11"/>
      <c r="GV1217" s="11"/>
      <c r="GW1217" s="11"/>
      <c r="GX1217" s="11"/>
      <c r="GY1217" s="11"/>
      <c r="GZ1217" s="11"/>
      <c r="HA1217" s="11"/>
    </row>
    <row r="1218" spans="1:209" ht="23.25" customHeight="1" x14ac:dyDescent="0.15">
      <c r="A1218" s="11"/>
      <c r="B1218" s="11"/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/>
      <c r="R1218" s="11"/>
      <c r="S1218" s="11"/>
      <c r="T1218" s="11"/>
      <c r="U1218" s="11"/>
      <c r="V1218" s="11"/>
      <c r="W1218" s="11"/>
      <c r="X1218" s="11"/>
      <c r="Y1218" s="11"/>
      <c r="Z1218" s="11"/>
      <c r="AA1218" s="11"/>
      <c r="AB1218" s="11"/>
      <c r="AC1218" s="11"/>
      <c r="AD1218" s="11"/>
      <c r="AE1218" s="11"/>
      <c r="AF1218" s="11"/>
      <c r="AG1218" s="11"/>
      <c r="AH1218" s="11"/>
      <c r="AI1218" s="11"/>
      <c r="AJ1218" s="11"/>
      <c r="AK1218" s="11"/>
      <c r="AL1218" s="11"/>
      <c r="AM1218" s="11"/>
      <c r="AN1218" s="11"/>
      <c r="AO1218" s="11"/>
      <c r="AP1218" s="11"/>
      <c r="AQ1218" s="11"/>
      <c r="AR1218" s="11"/>
      <c r="AS1218" s="11"/>
      <c r="AT1218" s="11"/>
      <c r="AU1218" s="11"/>
      <c r="AV1218" s="11"/>
      <c r="AW1218" s="11"/>
      <c r="AX1218" s="11"/>
      <c r="AY1218" s="11"/>
      <c r="AZ1218" s="11"/>
      <c r="BA1218" s="11"/>
      <c r="BB1218" s="11"/>
      <c r="BC1218" s="11"/>
      <c r="BD1218" s="11"/>
      <c r="BE1218" s="11"/>
      <c r="BF1218" s="11"/>
      <c r="BG1218" s="11"/>
      <c r="BH1218" s="11"/>
      <c r="BI1218" s="11"/>
      <c r="BJ1218" s="11"/>
      <c r="BK1218" s="11"/>
      <c r="BL1218" s="11"/>
      <c r="BM1218" s="11"/>
      <c r="BN1218" s="11"/>
      <c r="BO1218" s="11"/>
      <c r="BP1218" s="11"/>
      <c r="BQ1218" s="11"/>
      <c r="BR1218" s="11"/>
      <c r="BS1218" s="11"/>
      <c r="BT1218" s="11"/>
      <c r="BU1218" s="11"/>
      <c r="BV1218" s="11"/>
      <c r="BW1218" s="52" t="s">
        <v>2149</v>
      </c>
      <c r="BX1218" s="52" t="s">
        <v>2150</v>
      </c>
      <c r="BY1218" s="11"/>
      <c r="BZ1218" s="52" t="s">
        <v>166</v>
      </c>
      <c r="CA1218" s="52" t="s">
        <v>3812</v>
      </c>
      <c r="CB1218" s="52" t="s">
        <v>1085</v>
      </c>
      <c r="CC1218" s="52" t="s">
        <v>3813</v>
      </c>
      <c r="CD1218" s="53">
        <v>43961</v>
      </c>
      <c r="CE1218" s="53">
        <v>44004</v>
      </c>
      <c r="CF1218" s="52">
        <v>96.12</v>
      </c>
      <c r="CG1218" s="54" t="s">
        <v>3814</v>
      </c>
      <c r="CH1218" s="11"/>
      <c r="CI1218" s="11"/>
      <c r="CJ1218" s="11"/>
      <c r="CK1218" s="11"/>
      <c r="CL1218" s="11"/>
      <c r="CM1218" s="11"/>
      <c r="CN1218" s="11"/>
      <c r="CO1218" s="11"/>
      <c r="CP1218" s="11"/>
      <c r="CQ1218" s="11"/>
      <c r="CR1218" s="11"/>
      <c r="CS1218" s="11"/>
      <c r="CT1218" s="11"/>
      <c r="CU1218" s="11"/>
      <c r="CV1218" s="11"/>
      <c r="CW1218" s="11"/>
      <c r="CX1218" s="11"/>
      <c r="CY1218" s="11"/>
      <c r="CZ1218" s="11"/>
      <c r="DA1218" s="11"/>
      <c r="DB1218" s="11"/>
      <c r="DC1218" s="11"/>
      <c r="DD1218" s="11"/>
      <c r="DE1218" s="11"/>
      <c r="DF1218" s="11"/>
      <c r="DG1218" s="11"/>
      <c r="DH1218" s="11"/>
      <c r="DI1218" s="11"/>
      <c r="DJ1218" s="11"/>
      <c r="DK1218" s="11"/>
      <c r="DL1218" s="11"/>
      <c r="DM1218" s="11"/>
      <c r="DN1218" s="11"/>
      <c r="DO1218" s="11"/>
      <c r="DP1218" s="11"/>
      <c r="DQ1218" s="11"/>
      <c r="DR1218" s="11"/>
      <c r="DS1218" s="11"/>
      <c r="DT1218" s="11"/>
      <c r="DU1218" s="11"/>
      <c r="DV1218" s="11"/>
      <c r="DW1218" s="11"/>
      <c r="DX1218" s="11"/>
      <c r="DY1218" s="11"/>
      <c r="DZ1218" s="11"/>
      <c r="EA1218" s="11"/>
      <c r="EB1218" s="11"/>
      <c r="EC1218" s="11"/>
      <c r="ED1218" s="11"/>
      <c r="EE1218" s="11"/>
      <c r="EF1218" s="11"/>
      <c r="EG1218" s="11"/>
      <c r="EH1218" s="11"/>
      <c r="EI1218" s="11"/>
      <c r="EJ1218" s="11"/>
      <c r="EK1218" s="11"/>
      <c r="EL1218" s="11"/>
      <c r="EM1218" s="11"/>
      <c r="EN1218" s="11"/>
      <c r="EO1218" s="11"/>
      <c r="EP1218" s="11"/>
      <c r="EQ1218" s="11"/>
      <c r="ER1218" s="11"/>
      <c r="ES1218" s="11"/>
      <c r="ET1218" s="11"/>
      <c r="EU1218" s="11"/>
      <c r="EV1218" s="11"/>
      <c r="EW1218" s="11"/>
      <c r="EX1218" s="11"/>
      <c r="EY1218" s="11"/>
      <c r="EZ1218" s="11"/>
      <c r="FA1218" s="11"/>
      <c r="FB1218" s="11"/>
      <c r="FC1218" s="11"/>
      <c r="FD1218" s="11"/>
      <c r="FE1218" s="11"/>
      <c r="FF1218" s="11"/>
      <c r="FG1218" s="11"/>
      <c r="FH1218" s="11"/>
      <c r="FI1218" s="11"/>
      <c r="FJ1218" s="11"/>
      <c r="FK1218" s="11"/>
      <c r="FL1218" s="11"/>
      <c r="FM1218" s="11"/>
      <c r="FN1218" s="11"/>
      <c r="FO1218" s="11"/>
      <c r="FP1218" s="11"/>
      <c r="FQ1218" s="11"/>
      <c r="FR1218" s="11"/>
      <c r="FS1218" s="11"/>
      <c r="FT1218" s="11"/>
      <c r="FU1218" s="11"/>
      <c r="FV1218" s="11"/>
      <c r="FW1218" s="11"/>
      <c r="FX1218" s="11"/>
      <c r="FY1218" s="11"/>
      <c r="FZ1218" s="11"/>
      <c r="GA1218" s="11"/>
      <c r="GB1218" s="11"/>
      <c r="GC1218" s="11"/>
      <c r="GD1218" s="11"/>
      <c r="GE1218" s="11"/>
      <c r="GF1218" s="11"/>
      <c r="GG1218" s="11"/>
      <c r="GH1218" s="11"/>
      <c r="GI1218" s="11"/>
      <c r="GJ1218" s="11"/>
      <c r="GK1218" s="11"/>
      <c r="GL1218" s="11"/>
      <c r="GM1218" s="11"/>
      <c r="GN1218" s="11"/>
      <c r="GO1218" s="11"/>
      <c r="GP1218" s="11"/>
      <c r="GQ1218" s="11"/>
      <c r="GR1218" s="11"/>
      <c r="GS1218" s="11"/>
      <c r="GT1218" s="11"/>
      <c r="GU1218" s="11"/>
      <c r="GV1218" s="11"/>
      <c r="GW1218" s="11"/>
      <c r="GX1218" s="11"/>
      <c r="GY1218" s="11"/>
      <c r="GZ1218" s="11"/>
      <c r="HA1218" s="11"/>
    </row>
    <row r="1219" spans="1:209" ht="23.25" customHeight="1" x14ac:dyDescent="0.15">
      <c r="A1219" s="11"/>
      <c r="B1219" s="11"/>
      <c r="C1219" s="1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/>
      <c r="R1219" s="11"/>
      <c r="S1219" s="11"/>
      <c r="T1219" s="11"/>
      <c r="U1219" s="11"/>
      <c r="V1219" s="11"/>
      <c r="W1219" s="11"/>
      <c r="X1219" s="11"/>
      <c r="Y1219" s="11"/>
      <c r="Z1219" s="11"/>
      <c r="AA1219" s="11"/>
      <c r="AB1219" s="11"/>
      <c r="AC1219" s="11"/>
      <c r="AD1219" s="11"/>
      <c r="AE1219" s="11"/>
      <c r="AF1219" s="11"/>
      <c r="AG1219" s="11"/>
      <c r="AH1219" s="11"/>
      <c r="AI1219" s="11"/>
      <c r="AJ1219" s="11"/>
      <c r="AK1219" s="11"/>
      <c r="AL1219" s="11"/>
      <c r="AM1219" s="11"/>
      <c r="AN1219" s="11"/>
      <c r="AO1219" s="11"/>
      <c r="AP1219" s="11"/>
      <c r="AQ1219" s="11"/>
      <c r="AR1219" s="11"/>
      <c r="AS1219" s="11"/>
      <c r="AT1219" s="11"/>
      <c r="AU1219" s="11"/>
      <c r="AV1219" s="11"/>
      <c r="AW1219" s="11"/>
      <c r="AX1219" s="11"/>
      <c r="AY1219" s="11"/>
      <c r="AZ1219" s="11"/>
      <c r="BA1219" s="11"/>
      <c r="BB1219" s="11"/>
      <c r="BC1219" s="11"/>
      <c r="BD1219" s="11"/>
      <c r="BE1219" s="11"/>
      <c r="BF1219" s="11"/>
      <c r="BG1219" s="11"/>
      <c r="BH1219" s="11"/>
      <c r="BI1219" s="11"/>
      <c r="BJ1219" s="11"/>
      <c r="BK1219" s="11"/>
      <c r="BL1219" s="11"/>
      <c r="BM1219" s="11"/>
      <c r="BN1219" s="11"/>
      <c r="BO1219" s="11"/>
      <c r="BP1219" s="11"/>
      <c r="BQ1219" s="11"/>
      <c r="BR1219" s="11"/>
      <c r="BS1219" s="11"/>
      <c r="BT1219" s="11"/>
      <c r="BU1219" s="11"/>
      <c r="BV1219" s="11"/>
      <c r="BW1219" s="52" t="s">
        <v>2149</v>
      </c>
      <c r="BX1219" s="52" t="s">
        <v>2150</v>
      </c>
      <c r="BY1219" s="11"/>
      <c r="BZ1219" s="52" t="s">
        <v>154</v>
      </c>
      <c r="CA1219" s="52" t="s">
        <v>3815</v>
      </c>
      <c r="CB1219" s="54" t="s">
        <v>3816</v>
      </c>
      <c r="CC1219" s="52" t="s">
        <v>879</v>
      </c>
      <c r="CD1219" s="53">
        <v>43952</v>
      </c>
      <c r="CE1219" s="53">
        <v>43982</v>
      </c>
      <c r="CF1219" s="52">
        <v>98.25</v>
      </c>
      <c r="CG1219" s="54" t="s">
        <v>3817</v>
      </c>
      <c r="CH1219" s="11"/>
      <c r="CI1219" s="11"/>
      <c r="CJ1219" s="11"/>
      <c r="CK1219" s="11"/>
      <c r="CL1219" s="11"/>
      <c r="CM1219" s="11"/>
      <c r="CN1219" s="11"/>
      <c r="CO1219" s="11"/>
      <c r="CP1219" s="11"/>
      <c r="CQ1219" s="11"/>
      <c r="CR1219" s="11"/>
      <c r="CS1219" s="11"/>
      <c r="CT1219" s="11"/>
      <c r="CU1219" s="11"/>
      <c r="CV1219" s="11"/>
      <c r="CW1219" s="11"/>
      <c r="CX1219" s="11"/>
      <c r="CY1219" s="11"/>
      <c r="CZ1219" s="11"/>
      <c r="DA1219" s="11"/>
      <c r="DB1219" s="11"/>
      <c r="DC1219" s="11"/>
      <c r="DD1219" s="11"/>
      <c r="DE1219" s="11"/>
      <c r="DF1219" s="11"/>
      <c r="DG1219" s="11"/>
      <c r="DH1219" s="11"/>
      <c r="DI1219" s="11"/>
      <c r="DJ1219" s="11"/>
      <c r="DK1219" s="11"/>
      <c r="DL1219" s="11"/>
      <c r="DM1219" s="11"/>
      <c r="DN1219" s="11"/>
      <c r="DO1219" s="11"/>
      <c r="DP1219" s="11"/>
      <c r="DQ1219" s="11"/>
      <c r="DR1219" s="11"/>
      <c r="DS1219" s="11"/>
      <c r="DT1219" s="11"/>
      <c r="DU1219" s="11"/>
      <c r="DV1219" s="11"/>
      <c r="DW1219" s="11"/>
      <c r="DX1219" s="11"/>
      <c r="DY1219" s="11"/>
      <c r="DZ1219" s="11"/>
      <c r="EA1219" s="11"/>
      <c r="EB1219" s="11"/>
      <c r="EC1219" s="11"/>
      <c r="ED1219" s="11"/>
      <c r="EE1219" s="11"/>
      <c r="EF1219" s="11"/>
      <c r="EG1219" s="11"/>
      <c r="EH1219" s="11"/>
      <c r="EI1219" s="11"/>
      <c r="EJ1219" s="11"/>
      <c r="EK1219" s="11"/>
      <c r="EL1219" s="11"/>
      <c r="EM1219" s="11"/>
      <c r="EN1219" s="11"/>
      <c r="EO1219" s="11"/>
      <c r="EP1219" s="11"/>
      <c r="EQ1219" s="11"/>
      <c r="ER1219" s="11"/>
      <c r="ES1219" s="11"/>
      <c r="ET1219" s="11"/>
      <c r="EU1219" s="11"/>
      <c r="EV1219" s="11"/>
      <c r="EW1219" s="11"/>
      <c r="EX1219" s="11"/>
      <c r="EY1219" s="11"/>
      <c r="EZ1219" s="11"/>
      <c r="FA1219" s="11"/>
      <c r="FB1219" s="11"/>
      <c r="FC1219" s="11"/>
      <c r="FD1219" s="11"/>
      <c r="FE1219" s="11"/>
      <c r="FF1219" s="11"/>
      <c r="FG1219" s="11"/>
      <c r="FH1219" s="11"/>
      <c r="FI1219" s="11"/>
      <c r="FJ1219" s="11"/>
      <c r="FK1219" s="11"/>
      <c r="FL1219" s="11"/>
      <c r="FM1219" s="11"/>
      <c r="FN1219" s="11"/>
      <c r="FO1219" s="11"/>
      <c r="FP1219" s="11"/>
      <c r="FQ1219" s="11"/>
      <c r="FR1219" s="11"/>
      <c r="FS1219" s="11"/>
      <c r="FT1219" s="11"/>
      <c r="FU1219" s="11"/>
      <c r="FV1219" s="11"/>
      <c r="FW1219" s="11"/>
      <c r="FX1219" s="11"/>
      <c r="FY1219" s="11"/>
      <c r="FZ1219" s="11"/>
      <c r="GA1219" s="11"/>
      <c r="GB1219" s="11"/>
      <c r="GC1219" s="11"/>
      <c r="GD1219" s="11"/>
      <c r="GE1219" s="11"/>
      <c r="GF1219" s="11"/>
      <c r="GG1219" s="11"/>
      <c r="GH1219" s="11"/>
      <c r="GI1219" s="11"/>
      <c r="GJ1219" s="11"/>
      <c r="GK1219" s="11"/>
      <c r="GL1219" s="11"/>
      <c r="GM1219" s="11"/>
      <c r="GN1219" s="11"/>
      <c r="GO1219" s="11"/>
      <c r="GP1219" s="11"/>
      <c r="GQ1219" s="11"/>
      <c r="GR1219" s="11"/>
      <c r="GS1219" s="11"/>
      <c r="GT1219" s="11"/>
      <c r="GU1219" s="11"/>
      <c r="GV1219" s="11"/>
      <c r="GW1219" s="11"/>
      <c r="GX1219" s="11"/>
      <c r="GY1219" s="11"/>
      <c r="GZ1219" s="11"/>
      <c r="HA1219" s="11"/>
    </row>
    <row r="1220" spans="1:209" ht="23.25" customHeight="1" x14ac:dyDescent="0.15">
      <c r="A1220" s="11"/>
      <c r="B1220" s="11"/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/>
      <c r="R1220" s="11"/>
      <c r="S1220" s="11"/>
      <c r="T1220" s="11"/>
      <c r="U1220" s="11"/>
      <c r="V1220" s="11"/>
      <c r="W1220" s="11"/>
      <c r="X1220" s="11"/>
      <c r="Y1220" s="11"/>
      <c r="Z1220" s="11"/>
      <c r="AA1220" s="11"/>
      <c r="AB1220" s="11"/>
      <c r="AC1220" s="11"/>
      <c r="AD1220" s="11"/>
      <c r="AE1220" s="11"/>
      <c r="AF1220" s="11"/>
      <c r="AG1220" s="11"/>
      <c r="AH1220" s="11"/>
      <c r="AI1220" s="11"/>
      <c r="AJ1220" s="11"/>
      <c r="AK1220" s="11"/>
      <c r="AL1220" s="11"/>
      <c r="AM1220" s="11"/>
      <c r="AN1220" s="11"/>
      <c r="AO1220" s="11"/>
      <c r="AP1220" s="11"/>
      <c r="AQ1220" s="11"/>
      <c r="AR1220" s="11"/>
      <c r="AS1220" s="11"/>
      <c r="AT1220" s="11"/>
      <c r="AU1220" s="11"/>
      <c r="AV1220" s="11"/>
      <c r="AW1220" s="11"/>
      <c r="AX1220" s="11"/>
      <c r="AY1220" s="11"/>
      <c r="AZ1220" s="11"/>
      <c r="BA1220" s="11"/>
      <c r="BB1220" s="11"/>
      <c r="BC1220" s="11"/>
      <c r="BD1220" s="11"/>
      <c r="BE1220" s="11"/>
      <c r="BF1220" s="11"/>
      <c r="BG1220" s="11"/>
      <c r="BH1220" s="11"/>
      <c r="BI1220" s="11"/>
      <c r="BJ1220" s="11"/>
      <c r="BK1220" s="11"/>
      <c r="BL1220" s="11"/>
      <c r="BM1220" s="11"/>
      <c r="BN1220" s="11"/>
      <c r="BO1220" s="11"/>
      <c r="BP1220" s="11"/>
      <c r="BQ1220" s="11"/>
      <c r="BR1220" s="11"/>
      <c r="BS1220" s="11"/>
      <c r="BT1220" s="11"/>
      <c r="BU1220" s="11"/>
      <c r="BV1220" s="11"/>
      <c r="BW1220" s="52" t="s">
        <v>2474</v>
      </c>
      <c r="BX1220" s="52" t="s">
        <v>2475</v>
      </c>
      <c r="BY1220" s="11"/>
      <c r="BZ1220" s="52" t="s">
        <v>311</v>
      </c>
      <c r="CA1220" s="52" t="s">
        <v>1721</v>
      </c>
      <c r="CB1220" s="52" t="s">
        <v>1375</v>
      </c>
      <c r="CC1220" s="52" t="s">
        <v>1890</v>
      </c>
      <c r="CD1220" s="53">
        <v>44479</v>
      </c>
      <c r="CE1220" s="53">
        <v>44513</v>
      </c>
      <c r="CF1220" s="52">
        <v>100</v>
      </c>
      <c r="CG1220" s="54" t="s">
        <v>3818</v>
      </c>
      <c r="CH1220" s="11"/>
      <c r="CI1220" s="11"/>
      <c r="CJ1220" s="11"/>
      <c r="CK1220" s="11"/>
      <c r="CL1220" s="11"/>
      <c r="CM1220" s="11"/>
      <c r="CN1220" s="11"/>
      <c r="CO1220" s="11"/>
      <c r="CP1220" s="11"/>
      <c r="CQ1220" s="11"/>
      <c r="CR1220" s="11"/>
      <c r="CS1220" s="11"/>
      <c r="CT1220" s="11"/>
      <c r="CU1220" s="11"/>
      <c r="CV1220" s="11"/>
      <c r="CW1220" s="11"/>
      <c r="CX1220" s="11"/>
      <c r="CY1220" s="11"/>
      <c r="CZ1220" s="11"/>
      <c r="DA1220" s="11"/>
      <c r="DB1220" s="11"/>
      <c r="DC1220" s="11"/>
      <c r="DD1220" s="11"/>
      <c r="DE1220" s="11"/>
      <c r="DF1220" s="11"/>
      <c r="DG1220" s="11"/>
      <c r="DH1220" s="11"/>
      <c r="DI1220" s="11"/>
      <c r="DJ1220" s="11"/>
      <c r="DK1220" s="11"/>
      <c r="DL1220" s="11"/>
      <c r="DM1220" s="11"/>
      <c r="DN1220" s="11"/>
      <c r="DO1220" s="11"/>
      <c r="DP1220" s="11"/>
      <c r="DQ1220" s="11"/>
      <c r="DR1220" s="11"/>
      <c r="DS1220" s="11"/>
      <c r="DT1220" s="11"/>
      <c r="DU1220" s="11"/>
      <c r="DV1220" s="11"/>
      <c r="DW1220" s="11"/>
      <c r="DX1220" s="11"/>
      <c r="DY1220" s="11"/>
      <c r="DZ1220" s="11"/>
      <c r="EA1220" s="11"/>
      <c r="EB1220" s="11"/>
      <c r="EC1220" s="11"/>
      <c r="ED1220" s="11"/>
      <c r="EE1220" s="11"/>
      <c r="EF1220" s="11"/>
      <c r="EG1220" s="11"/>
      <c r="EH1220" s="11"/>
      <c r="EI1220" s="11"/>
      <c r="EJ1220" s="11"/>
      <c r="EK1220" s="11"/>
      <c r="EL1220" s="11"/>
      <c r="EM1220" s="11"/>
      <c r="EN1220" s="11"/>
      <c r="EO1220" s="11"/>
      <c r="EP1220" s="11"/>
      <c r="EQ1220" s="11"/>
      <c r="ER1220" s="11"/>
      <c r="ES1220" s="11"/>
      <c r="ET1220" s="11"/>
      <c r="EU1220" s="11"/>
      <c r="EV1220" s="11"/>
      <c r="EW1220" s="11"/>
      <c r="EX1220" s="11"/>
      <c r="EY1220" s="11"/>
      <c r="EZ1220" s="11"/>
      <c r="FA1220" s="11"/>
      <c r="FB1220" s="11"/>
      <c r="FC1220" s="11"/>
      <c r="FD1220" s="11"/>
      <c r="FE1220" s="11"/>
      <c r="FF1220" s="11"/>
      <c r="FG1220" s="11"/>
      <c r="FH1220" s="11"/>
      <c r="FI1220" s="11"/>
      <c r="FJ1220" s="11"/>
      <c r="FK1220" s="11"/>
      <c r="FL1220" s="11"/>
      <c r="FM1220" s="11"/>
      <c r="FN1220" s="11"/>
      <c r="FO1220" s="11"/>
      <c r="FP1220" s="11"/>
      <c r="FQ1220" s="11"/>
      <c r="FR1220" s="11"/>
      <c r="FS1220" s="11"/>
      <c r="FT1220" s="11"/>
      <c r="FU1220" s="11"/>
      <c r="FV1220" s="11"/>
      <c r="FW1220" s="11"/>
      <c r="FX1220" s="11"/>
      <c r="FY1220" s="11"/>
      <c r="FZ1220" s="11"/>
      <c r="GA1220" s="11"/>
      <c r="GB1220" s="11"/>
      <c r="GC1220" s="11"/>
      <c r="GD1220" s="11"/>
      <c r="GE1220" s="11"/>
      <c r="GF1220" s="11"/>
      <c r="GG1220" s="11"/>
      <c r="GH1220" s="11"/>
      <c r="GI1220" s="11"/>
      <c r="GJ1220" s="11"/>
      <c r="GK1220" s="11"/>
      <c r="GL1220" s="11"/>
      <c r="GM1220" s="11"/>
      <c r="GN1220" s="11"/>
      <c r="GO1220" s="11"/>
      <c r="GP1220" s="11"/>
      <c r="GQ1220" s="11"/>
      <c r="GR1220" s="11"/>
      <c r="GS1220" s="11"/>
      <c r="GT1220" s="11"/>
      <c r="GU1220" s="11"/>
      <c r="GV1220" s="11"/>
      <c r="GW1220" s="11"/>
      <c r="GX1220" s="11"/>
      <c r="GY1220" s="11"/>
      <c r="GZ1220" s="11"/>
      <c r="HA1220" s="11"/>
    </row>
    <row r="1221" spans="1:209" ht="23.25" customHeight="1" x14ac:dyDescent="0.15">
      <c r="A1221" s="11"/>
      <c r="B1221" s="11"/>
      <c r="C1221" s="1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/>
      <c r="R1221" s="11"/>
      <c r="S1221" s="11"/>
      <c r="T1221" s="11"/>
      <c r="U1221" s="11"/>
      <c r="V1221" s="11"/>
      <c r="W1221" s="11"/>
      <c r="X1221" s="11"/>
      <c r="Y1221" s="11"/>
      <c r="Z1221" s="11"/>
      <c r="AA1221" s="11"/>
      <c r="AB1221" s="11"/>
      <c r="AC1221" s="11"/>
      <c r="AD1221" s="11"/>
      <c r="AE1221" s="11"/>
      <c r="AF1221" s="11"/>
      <c r="AG1221" s="11"/>
      <c r="AH1221" s="11"/>
      <c r="AI1221" s="11"/>
      <c r="AJ1221" s="11"/>
      <c r="AK1221" s="11"/>
      <c r="AL1221" s="11"/>
      <c r="AM1221" s="11"/>
      <c r="AN1221" s="11"/>
      <c r="AO1221" s="11"/>
      <c r="AP1221" s="11"/>
      <c r="AQ1221" s="11"/>
      <c r="AR1221" s="11"/>
      <c r="AS1221" s="11"/>
      <c r="AT1221" s="11"/>
      <c r="AU1221" s="11"/>
      <c r="AV1221" s="11"/>
      <c r="AW1221" s="11"/>
      <c r="AX1221" s="11"/>
      <c r="AY1221" s="11"/>
      <c r="AZ1221" s="11"/>
      <c r="BA1221" s="11"/>
      <c r="BB1221" s="11"/>
      <c r="BC1221" s="11"/>
      <c r="BD1221" s="11"/>
      <c r="BE1221" s="11"/>
      <c r="BF1221" s="11"/>
      <c r="BG1221" s="11"/>
      <c r="BH1221" s="11"/>
      <c r="BI1221" s="11"/>
      <c r="BJ1221" s="11"/>
      <c r="BK1221" s="11"/>
      <c r="BL1221" s="11"/>
      <c r="BM1221" s="11"/>
      <c r="BN1221" s="11"/>
      <c r="BO1221" s="11"/>
      <c r="BP1221" s="11"/>
      <c r="BQ1221" s="11"/>
      <c r="BR1221" s="11"/>
      <c r="BS1221" s="11"/>
      <c r="BT1221" s="11"/>
      <c r="BU1221" s="11"/>
      <c r="BV1221" s="11"/>
      <c r="BW1221" s="52" t="s">
        <v>3751</v>
      </c>
      <c r="BX1221" s="52" t="s">
        <v>1133</v>
      </c>
      <c r="BY1221" s="11"/>
      <c r="BZ1221" s="52" t="s">
        <v>166</v>
      </c>
      <c r="CA1221" s="52" t="s">
        <v>3819</v>
      </c>
      <c r="CB1221" s="52" t="s">
        <v>531</v>
      </c>
      <c r="CC1221" s="52" t="s">
        <v>493</v>
      </c>
      <c r="CD1221" s="53">
        <v>44217</v>
      </c>
      <c r="CE1221" s="53">
        <v>44248</v>
      </c>
      <c r="CF1221" s="52">
        <v>100</v>
      </c>
      <c r="CG1221" s="54" t="s">
        <v>3820</v>
      </c>
      <c r="CH1221" s="11"/>
      <c r="CI1221" s="11"/>
      <c r="CJ1221" s="11"/>
      <c r="CK1221" s="11"/>
      <c r="CL1221" s="11"/>
      <c r="CM1221" s="11"/>
      <c r="CN1221" s="11"/>
      <c r="CO1221" s="11"/>
      <c r="CP1221" s="11"/>
      <c r="CQ1221" s="11"/>
      <c r="CR1221" s="11"/>
      <c r="CS1221" s="11"/>
      <c r="CT1221" s="11"/>
      <c r="CU1221" s="11"/>
      <c r="CV1221" s="11"/>
      <c r="CW1221" s="11"/>
      <c r="CX1221" s="11"/>
      <c r="CY1221" s="11"/>
      <c r="CZ1221" s="11"/>
      <c r="DA1221" s="11"/>
      <c r="DB1221" s="11"/>
      <c r="DC1221" s="11"/>
      <c r="DD1221" s="11"/>
      <c r="DE1221" s="11"/>
      <c r="DF1221" s="11"/>
      <c r="DG1221" s="11"/>
      <c r="DH1221" s="11"/>
      <c r="DI1221" s="11"/>
      <c r="DJ1221" s="11"/>
      <c r="DK1221" s="11"/>
      <c r="DL1221" s="11"/>
      <c r="DM1221" s="11"/>
      <c r="DN1221" s="11"/>
      <c r="DO1221" s="11"/>
      <c r="DP1221" s="11"/>
      <c r="DQ1221" s="11"/>
      <c r="DR1221" s="11"/>
      <c r="DS1221" s="11"/>
      <c r="DT1221" s="11"/>
      <c r="DU1221" s="11"/>
      <c r="DV1221" s="11"/>
      <c r="DW1221" s="11"/>
      <c r="DX1221" s="11"/>
      <c r="DY1221" s="11"/>
      <c r="DZ1221" s="11"/>
      <c r="EA1221" s="11"/>
      <c r="EB1221" s="11"/>
      <c r="EC1221" s="11"/>
      <c r="ED1221" s="11"/>
      <c r="EE1221" s="11"/>
      <c r="EF1221" s="11"/>
      <c r="EG1221" s="11"/>
      <c r="EH1221" s="11"/>
      <c r="EI1221" s="11"/>
      <c r="EJ1221" s="11"/>
      <c r="EK1221" s="11"/>
      <c r="EL1221" s="11"/>
      <c r="EM1221" s="11"/>
      <c r="EN1221" s="11"/>
      <c r="EO1221" s="11"/>
      <c r="EP1221" s="11"/>
      <c r="EQ1221" s="11"/>
      <c r="ER1221" s="11"/>
      <c r="ES1221" s="11"/>
      <c r="ET1221" s="11"/>
      <c r="EU1221" s="11"/>
      <c r="EV1221" s="11"/>
      <c r="EW1221" s="11"/>
      <c r="EX1221" s="11"/>
      <c r="EY1221" s="11"/>
      <c r="EZ1221" s="11"/>
      <c r="FA1221" s="11"/>
      <c r="FB1221" s="11"/>
      <c r="FC1221" s="11"/>
      <c r="FD1221" s="11"/>
      <c r="FE1221" s="11"/>
      <c r="FF1221" s="11"/>
      <c r="FG1221" s="11"/>
      <c r="FH1221" s="11"/>
      <c r="FI1221" s="11"/>
      <c r="FJ1221" s="11"/>
      <c r="FK1221" s="11"/>
      <c r="FL1221" s="11"/>
      <c r="FM1221" s="11"/>
      <c r="FN1221" s="11"/>
      <c r="FO1221" s="11"/>
      <c r="FP1221" s="11"/>
      <c r="FQ1221" s="11"/>
      <c r="FR1221" s="11"/>
      <c r="FS1221" s="11"/>
      <c r="FT1221" s="11"/>
      <c r="FU1221" s="11"/>
      <c r="FV1221" s="11"/>
      <c r="FW1221" s="11"/>
      <c r="FX1221" s="11"/>
      <c r="FY1221" s="11"/>
      <c r="FZ1221" s="11"/>
      <c r="GA1221" s="11"/>
      <c r="GB1221" s="11"/>
      <c r="GC1221" s="11"/>
      <c r="GD1221" s="11"/>
      <c r="GE1221" s="11"/>
      <c r="GF1221" s="11"/>
      <c r="GG1221" s="11"/>
      <c r="GH1221" s="11"/>
      <c r="GI1221" s="11"/>
      <c r="GJ1221" s="11"/>
      <c r="GK1221" s="11"/>
      <c r="GL1221" s="11"/>
      <c r="GM1221" s="11"/>
      <c r="GN1221" s="11"/>
      <c r="GO1221" s="11"/>
      <c r="GP1221" s="11"/>
      <c r="GQ1221" s="11"/>
      <c r="GR1221" s="11"/>
      <c r="GS1221" s="11"/>
      <c r="GT1221" s="11"/>
      <c r="GU1221" s="11"/>
      <c r="GV1221" s="11"/>
      <c r="GW1221" s="11"/>
      <c r="GX1221" s="11"/>
      <c r="GY1221" s="11"/>
      <c r="GZ1221" s="11"/>
      <c r="HA1221" s="11"/>
    </row>
    <row r="1222" spans="1:209" ht="23.25" customHeight="1" x14ac:dyDescent="0.15">
      <c r="A1222" s="11"/>
      <c r="B1222" s="11"/>
      <c r="C1222" s="1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/>
      <c r="R1222" s="11"/>
      <c r="S1222" s="11"/>
      <c r="T1222" s="11"/>
      <c r="U1222" s="11"/>
      <c r="V1222" s="11"/>
      <c r="W1222" s="11"/>
      <c r="X1222" s="11"/>
      <c r="Y1222" s="11"/>
      <c r="Z1222" s="11"/>
      <c r="AA1222" s="11"/>
      <c r="AB1222" s="11"/>
      <c r="AC1222" s="11"/>
      <c r="AD1222" s="11"/>
      <c r="AE1222" s="11"/>
      <c r="AF1222" s="11"/>
      <c r="AG1222" s="11"/>
      <c r="AH1222" s="11"/>
      <c r="AI1222" s="11"/>
      <c r="AJ1222" s="11"/>
      <c r="AK1222" s="11"/>
      <c r="AL1222" s="11"/>
      <c r="AM1222" s="11"/>
      <c r="AN1222" s="11"/>
      <c r="AO1222" s="11"/>
      <c r="AP1222" s="11"/>
      <c r="AQ1222" s="11"/>
      <c r="AR1222" s="11"/>
      <c r="AS1222" s="11"/>
      <c r="AT1222" s="11"/>
      <c r="AU1222" s="11"/>
      <c r="AV1222" s="11"/>
      <c r="AW1222" s="11"/>
      <c r="AX1222" s="11"/>
      <c r="AY1222" s="11"/>
      <c r="AZ1222" s="11"/>
      <c r="BA1222" s="11"/>
      <c r="BB1222" s="11"/>
      <c r="BC1222" s="11"/>
      <c r="BD1222" s="11"/>
      <c r="BE1222" s="11"/>
      <c r="BF1222" s="11"/>
      <c r="BG1222" s="11"/>
      <c r="BH1222" s="11"/>
      <c r="BI1222" s="11"/>
      <c r="BJ1222" s="11"/>
      <c r="BK1222" s="11"/>
      <c r="BL1222" s="11"/>
      <c r="BM1222" s="11"/>
      <c r="BN1222" s="11"/>
      <c r="BO1222" s="11"/>
      <c r="BP1222" s="11"/>
      <c r="BQ1222" s="11"/>
      <c r="BR1222" s="11"/>
      <c r="BS1222" s="11"/>
      <c r="BT1222" s="11"/>
      <c r="BU1222" s="11"/>
      <c r="BV1222" s="11"/>
      <c r="BW1222" s="52" t="s">
        <v>3751</v>
      </c>
      <c r="BX1222" s="52" t="s">
        <v>1133</v>
      </c>
      <c r="BY1222" s="11"/>
      <c r="BZ1222" s="52" t="s">
        <v>311</v>
      </c>
      <c r="CA1222" s="52" t="s">
        <v>3821</v>
      </c>
      <c r="CB1222" s="52" t="s">
        <v>579</v>
      </c>
      <c r="CC1222" s="52" t="s">
        <v>493</v>
      </c>
      <c r="CD1222" s="53">
        <v>44512</v>
      </c>
      <c r="CE1222" s="53">
        <v>44542</v>
      </c>
      <c r="CF1222" s="52">
        <v>94</v>
      </c>
      <c r="CG1222" s="54" t="s">
        <v>3822</v>
      </c>
      <c r="CH1222" s="11"/>
      <c r="CI1222" s="11"/>
      <c r="CJ1222" s="11"/>
      <c r="CK1222" s="11"/>
      <c r="CL1222" s="11"/>
      <c r="CM1222" s="11"/>
      <c r="CN1222" s="11"/>
      <c r="CO1222" s="11"/>
      <c r="CP1222" s="11"/>
      <c r="CQ1222" s="11"/>
      <c r="CR1222" s="11"/>
      <c r="CS1222" s="11"/>
      <c r="CT1222" s="11"/>
      <c r="CU1222" s="11"/>
      <c r="CV1222" s="11"/>
      <c r="CW1222" s="11"/>
      <c r="CX1222" s="11"/>
      <c r="CY1222" s="11"/>
      <c r="CZ1222" s="11"/>
      <c r="DA1222" s="11"/>
      <c r="DB1222" s="11"/>
      <c r="DC1222" s="11"/>
      <c r="DD1222" s="11"/>
      <c r="DE1222" s="11"/>
      <c r="DF1222" s="11"/>
      <c r="DG1222" s="11"/>
      <c r="DH1222" s="11"/>
      <c r="DI1222" s="11"/>
      <c r="DJ1222" s="11"/>
      <c r="DK1222" s="11"/>
      <c r="DL1222" s="11"/>
      <c r="DM1222" s="11"/>
      <c r="DN1222" s="11"/>
      <c r="DO1222" s="11"/>
      <c r="DP1222" s="11"/>
      <c r="DQ1222" s="11"/>
      <c r="DR1222" s="11"/>
      <c r="DS1222" s="11"/>
      <c r="DT1222" s="11"/>
      <c r="DU1222" s="11"/>
      <c r="DV1222" s="11"/>
      <c r="DW1222" s="11"/>
      <c r="DX1222" s="11"/>
      <c r="DY1222" s="11"/>
      <c r="DZ1222" s="11"/>
      <c r="EA1222" s="11"/>
      <c r="EB1222" s="11"/>
      <c r="EC1222" s="11"/>
      <c r="ED1222" s="11"/>
      <c r="EE1222" s="11"/>
      <c r="EF1222" s="11"/>
      <c r="EG1222" s="11"/>
      <c r="EH1222" s="11"/>
      <c r="EI1222" s="11"/>
      <c r="EJ1222" s="11"/>
      <c r="EK1222" s="11"/>
      <c r="EL1222" s="11"/>
      <c r="EM1222" s="11"/>
      <c r="EN1222" s="11"/>
      <c r="EO1222" s="11"/>
      <c r="EP1222" s="11"/>
      <c r="EQ1222" s="11"/>
      <c r="ER1222" s="11"/>
      <c r="ES1222" s="11"/>
      <c r="ET1222" s="11"/>
      <c r="EU1222" s="11"/>
      <c r="EV1222" s="11"/>
      <c r="EW1222" s="11"/>
      <c r="EX1222" s="11"/>
      <c r="EY1222" s="11"/>
      <c r="EZ1222" s="11"/>
      <c r="FA1222" s="11"/>
      <c r="FB1222" s="11"/>
      <c r="FC1222" s="11"/>
      <c r="FD1222" s="11"/>
      <c r="FE1222" s="11"/>
      <c r="FF1222" s="11"/>
      <c r="FG1222" s="11"/>
      <c r="FH1222" s="11"/>
      <c r="FI1222" s="11"/>
      <c r="FJ1222" s="11"/>
      <c r="FK1222" s="11"/>
      <c r="FL1222" s="11"/>
      <c r="FM1222" s="11"/>
      <c r="FN1222" s="11"/>
      <c r="FO1222" s="11"/>
      <c r="FP1222" s="11"/>
      <c r="FQ1222" s="11"/>
      <c r="FR1222" s="11"/>
      <c r="FS1222" s="11"/>
      <c r="FT1222" s="11"/>
      <c r="FU1222" s="11"/>
      <c r="FV1222" s="11"/>
      <c r="FW1222" s="11"/>
      <c r="FX1222" s="11"/>
      <c r="FY1222" s="11"/>
      <c r="FZ1222" s="11"/>
      <c r="GA1222" s="11"/>
      <c r="GB1222" s="11"/>
      <c r="GC1222" s="11"/>
      <c r="GD1222" s="11"/>
      <c r="GE1222" s="11"/>
      <c r="GF1222" s="11"/>
      <c r="GG1222" s="11"/>
      <c r="GH1222" s="11"/>
      <c r="GI1222" s="11"/>
      <c r="GJ1222" s="11"/>
      <c r="GK1222" s="11"/>
      <c r="GL1222" s="11"/>
      <c r="GM1222" s="11"/>
      <c r="GN1222" s="11"/>
      <c r="GO1222" s="11"/>
      <c r="GP1222" s="11"/>
      <c r="GQ1222" s="11"/>
      <c r="GR1222" s="11"/>
      <c r="GS1222" s="11"/>
      <c r="GT1222" s="11"/>
      <c r="GU1222" s="11"/>
      <c r="GV1222" s="11"/>
      <c r="GW1222" s="11"/>
      <c r="GX1222" s="11"/>
      <c r="GY1222" s="11"/>
      <c r="GZ1222" s="11"/>
      <c r="HA1222" s="11"/>
    </row>
    <row r="1223" spans="1:209" ht="23.25" customHeight="1" x14ac:dyDescent="0.15">
      <c r="A1223" s="11"/>
      <c r="B1223" s="11"/>
      <c r="C1223" s="1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/>
      <c r="R1223" s="11"/>
      <c r="S1223" s="11"/>
      <c r="T1223" s="11"/>
      <c r="U1223" s="11"/>
      <c r="V1223" s="11"/>
      <c r="W1223" s="11"/>
      <c r="X1223" s="11"/>
      <c r="Y1223" s="11"/>
      <c r="Z1223" s="11"/>
      <c r="AA1223" s="11"/>
      <c r="AB1223" s="11"/>
      <c r="AC1223" s="11"/>
      <c r="AD1223" s="11"/>
      <c r="AE1223" s="11"/>
      <c r="AF1223" s="11"/>
      <c r="AG1223" s="11"/>
      <c r="AH1223" s="11"/>
      <c r="AI1223" s="11"/>
      <c r="AJ1223" s="11"/>
      <c r="AK1223" s="11"/>
      <c r="AL1223" s="11"/>
      <c r="AM1223" s="11"/>
      <c r="AN1223" s="11"/>
      <c r="AO1223" s="11"/>
      <c r="AP1223" s="11"/>
      <c r="AQ1223" s="11"/>
      <c r="AR1223" s="11"/>
      <c r="AS1223" s="11"/>
      <c r="AT1223" s="11"/>
      <c r="AU1223" s="11"/>
      <c r="AV1223" s="11"/>
      <c r="AW1223" s="11"/>
      <c r="AX1223" s="11"/>
      <c r="AY1223" s="11"/>
      <c r="AZ1223" s="11"/>
      <c r="BA1223" s="11"/>
      <c r="BB1223" s="11"/>
      <c r="BC1223" s="11"/>
      <c r="BD1223" s="11"/>
      <c r="BE1223" s="11"/>
      <c r="BF1223" s="11"/>
      <c r="BG1223" s="11"/>
      <c r="BH1223" s="11"/>
      <c r="BI1223" s="11"/>
      <c r="BJ1223" s="11"/>
      <c r="BK1223" s="11"/>
      <c r="BL1223" s="11"/>
      <c r="BM1223" s="11"/>
      <c r="BN1223" s="11"/>
      <c r="BO1223" s="11"/>
      <c r="BP1223" s="11"/>
      <c r="BQ1223" s="11"/>
      <c r="BR1223" s="11"/>
      <c r="BS1223" s="11"/>
      <c r="BT1223" s="11"/>
      <c r="BU1223" s="11"/>
      <c r="BV1223" s="11"/>
      <c r="BW1223" s="52" t="s">
        <v>3823</v>
      </c>
      <c r="BX1223" s="52" t="s">
        <v>3824</v>
      </c>
      <c r="BY1223" s="11"/>
      <c r="BZ1223" s="52" t="s">
        <v>311</v>
      </c>
      <c r="CA1223" s="52" t="s">
        <v>3821</v>
      </c>
      <c r="CB1223" s="52" t="s">
        <v>579</v>
      </c>
      <c r="CC1223" s="52" t="s">
        <v>408</v>
      </c>
      <c r="CD1223" s="53">
        <v>44518</v>
      </c>
      <c r="CE1223" s="53">
        <v>44548</v>
      </c>
      <c r="CF1223" s="52">
        <v>93</v>
      </c>
      <c r="CG1223" s="54" t="s">
        <v>3825</v>
      </c>
      <c r="CH1223" s="11"/>
      <c r="CI1223" s="11"/>
      <c r="CJ1223" s="11"/>
      <c r="CK1223" s="11"/>
      <c r="CL1223" s="11"/>
      <c r="CM1223" s="11"/>
      <c r="CN1223" s="11"/>
      <c r="CO1223" s="11"/>
      <c r="CP1223" s="11"/>
      <c r="CQ1223" s="11"/>
      <c r="CR1223" s="11"/>
      <c r="CS1223" s="11"/>
      <c r="CT1223" s="11"/>
      <c r="CU1223" s="11"/>
      <c r="CV1223" s="11"/>
      <c r="CW1223" s="11"/>
      <c r="CX1223" s="11"/>
      <c r="CY1223" s="11"/>
      <c r="CZ1223" s="11"/>
      <c r="DA1223" s="11"/>
      <c r="DB1223" s="11"/>
      <c r="DC1223" s="11"/>
      <c r="DD1223" s="11"/>
      <c r="DE1223" s="11"/>
      <c r="DF1223" s="11"/>
      <c r="DG1223" s="11"/>
      <c r="DH1223" s="11"/>
      <c r="DI1223" s="11"/>
      <c r="DJ1223" s="11"/>
      <c r="DK1223" s="11"/>
      <c r="DL1223" s="11"/>
      <c r="DM1223" s="11"/>
      <c r="DN1223" s="11"/>
      <c r="DO1223" s="11"/>
      <c r="DP1223" s="11"/>
      <c r="DQ1223" s="11"/>
      <c r="DR1223" s="11"/>
      <c r="DS1223" s="11"/>
      <c r="DT1223" s="11"/>
      <c r="DU1223" s="11"/>
      <c r="DV1223" s="11"/>
      <c r="DW1223" s="11"/>
      <c r="DX1223" s="11"/>
      <c r="DY1223" s="11"/>
      <c r="DZ1223" s="11"/>
      <c r="EA1223" s="11"/>
      <c r="EB1223" s="11"/>
      <c r="EC1223" s="11"/>
      <c r="ED1223" s="11"/>
      <c r="EE1223" s="11"/>
      <c r="EF1223" s="11"/>
      <c r="EG1223" s="11"/>
      <c r="EH1223" s="11"/>
      <c r="EI1223" s="11"/>
      <c r="EJ1223" s="11"/>
      <c r="EK1223" s="11"/>
      <c r="EL1223" s="11"/>
      <c r="EM1223" s="11"/>
      <c r="EN1223" s="11"/>
      <c r="EO1223" s="11"/>
      <c r="EP1223" s="11"/>
      <c r="EQ1223" s="11"/>
      <c r="ER1223" s="11"/>
      <c r="ES1223" s="11"/>
      <c r="ET1223" s="11"/>
      <c r="EU1223" s="11"/>
      <c r="EV1223" s="11"/>
      <c r="EW1223" s="11"/>
      <c r="EX1223" s="11"/>
      <c r="EY1223" s="11"/>
      <c r="EZ1223" s="11"/>
      <c r="FA1223" s="11"/>
      <c r="FB1223" s="11"/>
      <c r="FC1223" s="11"/>
      <c r="FD1223" s="11"/>
      <c r="FE1223" s="11"/>
      <c r="FF1223" s="11"/>
      <c r="FG1223" s="11"/>
      <c r="FH1223" s="11"/>
      <c r="FI1223" s="11"/>
      <c r="FJ1223" s="11"/>
      <c r="FK1223" s="11"/>
      <c r="FL1223" s="11"/>
      <c r="FM1223" s="11"/>
      <c r="FN1223" s="11"/>
      <c r="FO1223" s="11"/>
      <c r="FP1223" s="11"/>
      <c r="FQ1223" s="11"/>
      <c r="FR1223" s="11"/>
      <c r="FS1223" s="11"/>
      <c r="FT1223" s="11"/>
      <c r="FU1223" s="11"/>
      <c r="FV1223" s="11"/>
      <c r="FW1223" s="11"/>
      <c r="FX1223" s="11"/>
      <c r="FY1223" s="11"/>
      <c r="FZ1223" s="11"/>
      <c r="GA1223" s="11"/>
      <c r="GB1223" s="11"/>
      <c r="GC1223" s="11"/>
      <c r="GD1223" s="11"/>
      <c r="GE1223" s="11"/>
      <c r="GF1223" s="11"/>
      <c r="GG1223" s="11"/>
      <c r="GH1223" s="11"/>
      <c r="GI1223" s="11"/>
      <c r="GJ1223" s="11"/>
      <c r="GK1223" s="11"/>
      <c r="GL1223" s="11"/>
      <c r="GM1223" s="11"/>
      <c r="GN1223" s="11"/>
      <c r="GO1223" s="11"/>
      <c r="GP1223" s="11"/>
      <c r="GQ1223" s="11"/>
      <c r="GR1223" s="11"/>
      <c r="GS1223" s="11"/>
      <c r="GT1223" s="11"/>
      <c r="GU1223" s="11"/>
      <c r="GV1223" s="11"/>
      <c r="GW1223" s="11"/>
      <c r="GX1223" s="11"/>
      <c r="GY1223" s="11"/>
      <c r="GZ1223" s="11"/>
      <c r="HA1223" s="11"/>
    </row>
    <row r="1224" spans="1:209" ht="23.25" customHeight="1" x14ac:dyDescent="0.15">
      <c r="A1224" s="11"/>
      <c r="B1224" s="11"/>
      <c r="C1224" s="1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/>
      <c r="R1224" s="11"/>
      <c r="S1224" s="11"/>
      <c r="T1224" s="11"/>
      <c r="U1224" s="11"/>
      <c r="V1224" s="11"/>
      <c r="W1224" s="11"/>
      <c r="X1224" s="11"/>
      <c r="Y1224" s="11"/>
      <c r="Z1224" s="11"/>
      <c r="AA1224" s="11"/>
      <c r="AB1224" s="11"/>
      <c r="AC1224" s="11"/>
      <c r="AD1224" s="11"/>
      <c r="AE1224" s="11"/>
      <c r="AF1224" s="11"/>
      <c r="AG1224" s="11"/>
      <c r="AH1224" s="11"/>
      <c r="AI1224" s="11"/>
      <c r="AJ1224" s="11"/>
      <c r="AK1224" s="11"/>
      <c r="AL1224" s="11"/>
      <c r="AM1224" s="11"/>
      <c r="AN1224" s="11"/>
      <c r="AO1224" s="11"/>
      <c r="AP1224" s="11"/>
      <c r="AQ1224" s="11"/>
      <c r="AR1224" s="11"/>
      <c r="AS1224" s="11"/>
      <c r="AT1224" s="11"/>
      <c r="AU1224" s="11"/>
      <c r="AV1224" s="11"/>
      <c r="AW1224" s="11"/>
      <c r="AX1224" s="11"/>
      <c r="AY1224" s="11"/>
      <c r="AZ1224" s="11"/>
      <c r="BA1224" s="11"/>
      <c r="BB1224" s="11"/>
      <c r="BC1224" s="11"/>
      <c r="BD1224" s="11"/>
      <c r="BE1224" s="11"/>
      <c r="BF1224" s="11"/>
      <c r="BG1224" s="11"/>
      <c r="BH1224" s="11"/>
      <c r="BI1224" s="11"/>
      <c r="BJ1224" s="11"/>
      <c r="BK1224" s="11"/>
      <c r="BL1224" s="11"/>
      <c r="BM1224" s="11"/>
      <c r="BN1224" s="11"/>
      <c r="BO1224" s="11"/>
      <c r="BP1224" s="11"/>
      <c r="BQ1224" s="11"/>
      <c r="BR1224" s="11"/>
      <c r="BS1224" s="11"/>
      <c r="BT1224" s="11"/>
      <c r="BU1224" s="11"/>
      <c r="BV1224" s="11"/>
      <c r="BW1224" s="52" t="s">
        <v>3823</v>
      </c>
      <c r="BX1224" s="52" t="s">
        <v>3824</v>
      </c>
      <c r="BY1224" s="11"/>
      <c r="BZ1224" s="52" t="s">
        <v>166</v>
      </c>
      <c r="CA1224" s="52" t="s">
        <v>859</v>
      </c>
      <c r="CB1224" s="52" t="s">
        <v>3826</v>
      </c>
      <c r="CC1224" s="52" t="s">
        <v>408</v>
      </c>
      <c r="CD1224" s="53">
        <v>44208</v>
      </c>
      <c r="CE1224" s="53">
        <v>44239</v>
      </c>
      <c r="CF1224" s="52">
        <v>100</v>
      </c>
      <c r="CG1224" s="54" t="s">
        <v>3827</v>
      </c>
      <c r="CH1224" s="11"/>
      <c r="CI1224" s="11"/>
      <c r="CJ1224" s="11"/>
      <c r="CK1224" s="11"/>
      <c r="CL1224" s="11"/>
      <c r="CM1224" s="11"/>
      <c r="CN1224" s="11"/>
      <c r="CO1224" s="11"/>
      <c r="CP1224" s="11"/>
      <c r="CQ1224" s="11"/>
      <c r="CR1224" s="11"/>
      <c r="CS1224" s="11"/>
      <c r="CT1224" s="11"/>
      <c r="CU1224" s="11"/>
      <c r="CV1224" s="11"/>
      <c r="CW1224" s="11"/>
      <c r="CX1224" s="11"/>
      <c r="CY1224" s="11"/>
      <c r="CZ1224" s="11"/>
      <c r="DA1224" s="11"/>
      <c r="DB1224" s="11"/>
      <c r="DC1224" s="11"/>
      <c r="DD1224" s="11"/>
      <c r="DE1224" s="11"/>
      <c r="DF1224" s="11"/>
      <c r="DG1224" s="11"/>
      <c r="DH1224" s="11"/>
      <c r="DI1224" s="11"/>
      <c r="DJ1224" s="11"/>
      <c r="DK1224" s="11"/>
      <c r="DL1224" s="11"/>
      <c r="DM1224" s="11"/>
      <c r="DN1224" s="11"/>
      <c r="DO1224" s="11"/>
      <c r="DP1224" s="11"/>
      <c r="DQ1224" s="11"/>
      <c r="DR1224" s="11"/>
      <c r="DS1224" s="11"/>
      <c r="DT1224" s="11"/>
      <c r="DU1224" s="11"/>
      <c r="DV1224" s="11"/>
      <c r="DW1224" s="11"/>
      <c r="DX1224" s="11"/>
      <c r="DY1224" s="11"/>
      <c r="DZ1224" s="11"/>
      <c r="EA1224" s="11"/>
      <c r="EB1224" s="11"/>
      <c r="EC1224" s="11"/>
      <c r="ED1224" s="11"/>
      <c r="EE1224" s="11"/>
      <c r="EF1224" s="11"/>
      <c r="EG1224" s="11"/>
      <c r="EH1224" s="11"/>
      <c r="EI1224" s="11"/>
      <c r="EJ1224" s="11"/>
      <c r="EK1224" s="11"/>
      <c r="EL1224" s="11"/>
      <c r="EM1224" s="11"/>
      <c r="EN1224" s="11"/>
      <c r="EO1224" s="11"/>
      <c r="EP1224" s="11"/>
      <c r="EQ1224" s="11"/>
      <c r="ER1224" s="11"/>
      <c r="ES1224" s="11"/>
      <c r="ET1224" s="11"/>
      <c r="EU1224" s="11"/>
      <c r="EV1224" s="11"/>
      <c r="EW1224" s="11"/>
      <c r="EX1224" s="11"/>
      <c r="EY1224" s="11"/>
      <c r="EZ1224" s="11"/>
      <c r="FA1224" s="11"/>
      <c r="FB1224" s="11"/>
      <c r="FC1224" s="11"/>
      <c r="FD1224" s="11"/>
      <c r="FE1224" s="11"/>
      <c r="FF1224" s="11"/>
      <c r="FG1224" s="11"/>
      <c r="FH1224" s="11"/>
      <c r="FI1224" s="11"/>
      <c r="FJ1224" s="11"/>
      <c r="FK1224" s="11"/>
      <c r="FL1224" s="11"/>
      <c r="FM1224" s="11"/>
      <c r="FN1224" s="11"/>
      <c r="FO1224" s="11"/>
      <c r="FP1224" s="11"/>
      <c r="FQ1224" s="11"/>
      <c r="FR1224" s="11"/>
      <c r="FS1224" s="11"/>
      <c r="FT1224" s="11"/>
      <c r="FU1224" s="11"/>
      <c r="FV1224" s="11"/>
      <c r="FW1224" s="11"/>
      <c r="FX1224" s="11"/>
      <c r="FY1224" s="11"/>
      <c r="FZ1224" s="11"/>
      <c r="GA1224" s="11"/>
      <c r="GB1224" s="11"/>
      <c r="GC1224" s="11"/>
      <c r="GD1224" s="11"/>
      <c r="GE1224" s="11"/>
      <c r="GF1224" s="11"/>
      <c r="GG1224" s="11"/>
      <c r="GH1224" s="11"/>
      <c r="GI1224" s="11"/>
      <c r="GJ1224" s="11"/>
      <c r="GK1224" s="11"/>
      <c r="GL1224" s="11"/>
      <c r="GM1224" s="11"/>
      <c r="GN1224" s="11"/>
      <c r="GO1224" s="11"/>
      <c r="GP1224" s="11"/>
      <c r="GQ1224" s="11"/>
      <c r="GR1224" s="11"/>
      <c r="GS1224" s="11"/>
      <c r="GT1224" s="11"/>
      <c r="GU1224" s="11"/>
      <c r="GV1224" s="11"/>
      <c r="GW1224" s="11"/>
      <c r="GX1224" s="11"/>
      <c r="GY1224" s="11"/>
      <c r="GZ1224" s="11"/>
      <c r="HA1224" s="11"/>
    </row>
    <row r="1225" spans="1:209" ht="23.25" customHeight="1" x14ac:dyDescent="0.15">
      <c r="A1225" s="11"/>
      <c r="B1225" s="11"/>
      <c r="C1225" s="1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/>
      <c r="R1225" s="11"/>
      <c r="S1225" s="11"/>
      <c r="T1225" s="11"/>
      <c r="U1225" s="11"/>
      <c r="V1225" s="11"/>
      <c r="W1225" s="11"/>
      <c r="X1225" s="11"/>
      <c r="Y1225" s="11"/>
      <c r="Z1225" s="11"/>
      <c r="AA1225" s="11"/>
      <c r="AB1225" s="11"/>
      <c r="AC1225" s="11"/>
      <c r="AD1225" s="11"/>
      <c r="AE1225" s="11"/>
      <c r="AF1225" s="11"/>
      <c r="AG1225" s="11"/>
      <c r="AH1225" s="11"/>
      <c r="AI1225" s="11"/>
      <c r="AJ1225" s="11"/>
      <c r="AK1225" s="11"/>
      <c r="AL1225" s="11"/>
      <c r="AM1225" s="11"/>
      <c r="AN1225" s="11"/>
      <c r="AO1225" s="11"/>
      <c r="AP1225" s="11"/>
      <c r="AQ1225" s="11"/>
      <c r="AR1225" s="11"/>
      <c r="AS1225" s="11"/>
      <c r="AT1225" s="11"/>
      <c r="AU1225" s="11"/>
      <c r="AV1225" s="11"/>
      <c r="AW1225" s="11"/>
      <c r="AX1225" s="11"/>
      <c r="AY1225" s="11"/>
      <c r="AZ1225" s="11"/>
      <c r="BA1225" s="11"/>
      <c r="BB1225" s="11"/>
      <c r="BC1225" s="11"/>
      <c r="BD1225" s="11"/>
      <c r="BE1225" s="11"/>
      <c r="BF1225" s="11"/>
      <c r="BG1225" s="11"/>
      <c r="BH1225" s="11"/>
      <c r="BI1225" s="11"/>
      <c r="BJ1225" s="11"/>
      <c r="BK1225" s="11"/>
      <c r="BL1225" s="11"/>
      <c r="BM1225" s="11"/>
      <c r="BN1225" s="11"/>
      <c r="BO1225" s="11"/>
      <c r="BP1225" s="11"/>
      <c r="BQ1225" s="11"/>
      <c r="BR1225" s="11"/>
      <c r="BS1225" s="11"/>
      <c r="BT1225" s="11"/>
      <c r="BU1225" s="11"/>
      <c r="BV1225" s="11"/>
      <c r="BW1225" s="52" t="s">
        <v>2662</v>
      </c>
      <c r="BX1225" s="52" t="s">
        <v>2663</v>
      </c>
      <c r="BY1225" s="11"/>
      <c r="BZ1225" s="52" t="s">
        <v>311</v>
      </c>
      <c r="CA1225" s="52" t="s">
        <v>3828</v>
      </c>
      <c r="CB1225" s="52" t="s">
        <v>3829</v>
      </c>
      <c r="CC1225" s="52" t="s">
        <v>448</v>
      </c>
      <c r="CD1225" s="53">
        <v>44440</v>
      </c>
      <c r="CE1225" s="53">
        <v>44537</v>
      </c>
      <c r="CF1225" s="52">
        <v>90</v>
      </c>
      <c r="CG1225" s="54" t="s">
        <v>3830</v>
      </c>
      <c r="CH1225" s="11"/>
      <c r="CI1225" s="11"/>
      <c r="CJ1225" s="11"/>
      <c r="CK1225" s="11"/>
      <c r="CL1225" s="11"/>
      <c r="CM1225" s="11"/>
      <c r="CN1225" s="11"/>
      <c r="CO1225" s="11"/>
      <c r="CP1225" s="11"/>
      <c r="CQ1225" s="11"/>
      <c r="CR1225" s="11"/>
      <c r="CS1225" s="11"/>
      <c r="CT1225" s="11"/>
      <c r="CU1225" s="11"/>
      <c r="CV1225" s="11"/>
      <c r="CW1225" s="11"/>
      <c r="CX1225" s="11"/>
      <c r="CY1225" s="11"/>
      <c r="CZ1225" s="11"/>
      <c r="DA1225" s="11"/>
      <c r="DB1225" s="11"/>
      <c r="DC1225" s="11"/>
      <c r="DD1225" s="11"/>
      <c r="DE1225" s="11"/>
      <c r="DF1225" s="11"/>
      <c r="DG1225" s="11"/>
      <c r="DH1225" s="11"/>
      <c r="DI1225" s="11"/>
      <c r="DJ1225" s="11"/>
      <c r="DK1225" s="11"/>
      <c r="DL1225" s="11"/>
      <c r="DM1225" s="11"/>
      <c r="DN1225" s="11"/>
      <c r="DO1225" s="11"/>
      <c r="DP1225" s="11"/>
      <c r="DQ1225" s="11"/>
      <c r="DR1225" s="11"/>
      <c r="DS1225" s="11"/>
      <c r="DT1225" s="11"/>
      <c r="DU1225" s="11"/>
      <c r="DV1225" s="11"/>
      <c r="DW1225" s="11"/>
      <c r="DX1225" s="11"/>
      <c r="DY1225" s="11"/>
      <c r="DZ1225" s="11"/>
      <c r="EA1225" s="11"/>
      <c r="EB1225" s="11"/>
      <c r="EC1225" s="11"/>
      <c r="ED1225" s="11"/>
      <c r="EE1225" s="11"/>
      <c r="EF1225" s="11"/>
      <c r="EG1225" s="11"/>
      <c r="EH1225" s="11"/>
      <c r="EI1225" s="11"/>
      <c r="EJ1225" s="11"/>
      <c r="EK1225" s="11"/>
      <c r="EL1225" s="11"/>
      <c r="EM1225" s="11"/>
      <c r="EN1225" s="11"/>
      <c r="EO1225" s="11"/>
      <c r="EP1225" s="11"/>
      <c r="EQ1225" s="11"/>
      <c r="ER1225" s="11"/>
      <c r="ES1225" s="11"/>
      <c r="ET1225" s="11"/>
      <c r="EU1225" s="11"/>
      <c r="EV1225" s="11"/>
      <c r="EW1225" s="11"/>
      <c r="EX1225" s="11"/>
      <c r="EY1225" s="11"/>
      <c r="EZ1225" s="11"/>
      <c r="FA1225" s="11"/>
      <c r="FB1225" s="11"/>
      <c r="FC1225" s="11"/>
      <c r="FD1225" s="11"/>
      <c r="FE1225" s="11"/>
      <c r="FF1225" s="11"/>
      <c r="FG1225" s="11"/>
      <c r="FH1225" s="11"/>
      <c r="FI1225" s="11"/>
      <c r="FJ1225" s="11"/>
      <c r="FK1225" s="11"/>
      <c r="FL1225" s="11"/>
      <c r="FM1225" s="11"/>
      <c r="FN1225" s="11"/>
      <c r="FO1225" s="11"/>
      <c r="FP1225" s="11"/>
      <c r="FQ1225" s="11"/>
      <c r="FR1225" s="11"/>
      <c r="FS1225" s="11"/>
      <c r="FT1225" s="11"/>
      <c r="FU1225" s="11"/>
      <c r="FV1225" s="11"/>
      <c r="FW1225" s="11"/>
      <c r="FX1225" s="11"/>
      <c r="FY1225" s="11"/>
      <c r="FZ1225" s="11"/>
      <c r="GA1225" s="11"/>
      <c r="GB1225" s="11"/>
      <c r="GC1225" s="11"/>
      <c r="GD1225" s="11"/>
      <c r="GE1225" s="11"/>
      <c r="GF1225" s="11"/>
      <c r="GG1225" s="11"/>
      <c r="GH1225" s="11"/>
      <c r="GI1225" s="11"/>
      <c r="GJ1225" s="11"/>
      <c r="GK1225" s="11"/>
      <c r="GL1225" s="11"/>
      <c r="GM1225" s="11"/>
      <c r="GN1225" s="11"/>
      <c r="GO1225" s="11"/>
      <c r="GP1225" s="11"/>
      <c r="GQ1225" s="11"/>
      <c r="GR1225" s="11"/>
      <c r="GS1225" s="11"/>
      <c r="GT1225" s="11"/>
      <c r="GU1225" s="11"/>
      <c r="GV1225" s="11"/>
      <c r="GW1225" s="11"/>
      <c r="GX1225" s="11"/>
      <c r="GY1225" s="11"/>
      <c r="GZ1225" s="11"/>
      <c r="HA1225" s="11"/>
    </row>
    <row r="1226" spans="1:209" ht="23.25" customHeight="1" x14ac:dyDescent="0.15">
      <c r="A1226" s="11"/>
      <c r="B1226" s="11"/>
      <c r="C1226" s="1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/>
      <c r="R1226" s="11"/>
      <c r="S1226" s="11"/>
      <c r="T1226" s="11"/>
      <c r="U1226" s="11"/>
      <c r="V1226" s="11"/>
      <c r="W1226" s="11"/>
      <c r="X1226" s="11"/>
      <c r="Y1226" s="11"/>
      <c r="Z1226" s="11"/>
      <c r="AA1226" s="11"/>
      <c r="AB1226" s="11"/>
      <c r="AC1226" s="11"/>
      <c r="AD1226" s="11"/>
      <c r="AE1226" s="11"/>
      <c r="AF1226" s="11"/>
      <c r="AG1226" s="11"/>
      <c r="AH1226" s="11"/>
      <c r="AI1226" s="11"/>
      <c r="AJ1226" s="11"/>
      <c r="AK1226" s="11"/>
      <c r="AL1226" s="11"/>
      <c r="AM1226" s="11"/>
      <c r="AN1226" s="11"/>
      <c r="AO1226" s="11"/>
      <c r="AP1226" s="11"/>
      <c r="AQ1226" s="11"/>
      <c r="AR1226" s="11"/>
      <c r="AS1226" s="11"/>
      <c r="AT1226" s="11"/>
      <c r="AU1226" s="11"/>
      <c r="AV1226" s="11"/>
      <c r="AW1226" s="11"/>
      <c r="AX1226" s="11"/>
      <c r="AY1226" s="11"/>
      <c r="AZ1226" s="11"/>
      <c r="BA1226" s="11"/>
      <c r="BB1226" s="11"/>
      <c r="BC1226" s="11"/>
      <c r="BD1226" s="11"/>
      <c r="BE1226" s="11"/>
      <c r="BF1226" s="11"/>
      <c r="BG1226" s="11"/>
      <c r="BH1226" s="11"/>
      <c r="BI1226" s="11"/>
      <c r="BJ1226" s="11"/>
      <c r="BK1226" s="11"/>
      <c r="BL1226" s="11"/>
      <c r="BM1226" s="11"/>
      <c r="BN1226" s="11"/>
      <c r="BO1226" s="11"/>
      <c r="BP1226" s="11"/>
      <c r="BQ1226" s="11"/>
      <c r="BR1226" s="11"/>
      <c r="BS1226" s="11"/>
      <c r="BT1226" s="11"/>
      <c r="BU1226" s="11"/>
      <c r="BV1226" s="11"/>
      <c r="BW1226" s="52" t="s">
        <v>2757</v>
      </c>
      <c r="BX1226" s="52" t="s">
        <v>2758</v>
      </c>
      <c r="BY1226" s="11"/>
      <c r="BZ1226" s="52" t="s">
        <v>154</v>
      </c>
      <c r="CA1226" s="52" t="s">
        <v>781</v>
      </c>
      <c r="CB1226" s="52" t="s">
        <v>343</v>
      </c>
      <c r="CC1226" s="52" t="s">
        <v>2782</v>
      </c>
      <c r="CD1226" s="53">
        <v>43923</v>
      </c>
      <c r="CE1226" s="53">
        <v>43953</v>
      </c>
      <c r="CF1226" s="52">
        <v>90</v>
      </c>
      <c r="CG1226" s="54" t="s">
        <v>3831</v>
      </c>
      <c r="CH1226" s="11"/>
      <c r="CI1226" s="11"/>
      <c r="CJ1226" s="11"/>
      <c r="CK1226" s="11"/>
      <c r="CL1226" s="11"/>
      <c r="CM1226" s="11"/>
      <c r="CN1226" s="11"/>
      <c r="CO1226" s="11"/>
      <c r="CP1226" s="11"/>
      <c r="CQ1226" s="11"/>
      <c r="CR1226" s="11"/>
      <c r="CS1226" s="11"/>
      <c r="CT1226" s="11"/>
      <c r="CU1226" s="11"/>
      <c r="CV1226" s="11"/>
      <c r="CW1226" s="11"/>
      <c r="CX1226" s="11"/>
      <c r="CY1226" s="11"/>
      <c r="CZ1226" s="11"/>
      <c r="DA1226" s="11"/>
      <c r="DB1226" s="11"/>
      <c r="DC1226" s="11"/>
      <c r="DD1226" s="11"/>
      <c r="DE1226" s="11"/>
      <c r="DF1226" s="11"/>
      <c r="DG1226" s="11"/>
      <c r="DH1226" s="11"/>
      <c r="DI1226" s="11"/>
      <c r="DJ1226" s="11"/>
      <c r="DK1226" s="11"/>
      <c r="DL1226" s="11"/>
      <c r="DM1226" s="11"/>
      <c r="DN1226" s="11"/>
      <c r="DO1226" s="11"/>
      <c r="DP1226" s="11"/>
      <c r="DQ1226" s="11"/>
      <c r="DR1226" s="11"/>
      <c r="DS1226" s="11"/>
      <c r="DT1226" s="11"/>
      <c r="DU1226" s="11"/>
      <c r="DV1226" s="11"/>
      <c r="DW1226" s="11"/>
      <c r="DX1226" s="11"/>
      <c r="DY1226" s="11"/>
      <c r="DZ1226" s="11"/>
      <c r="EA1226" s="11"/>
      <c r="EB1226" s="11"/>
      <c r="EC1226" s="11"/>
      <c r="ED1226" s="11"/>
      <c r="EE1226" s="11"/>
      <c r="EF1226" s="11"/>
      <c r="EG1226" s="11"/>
      <c r="EH1226" s="11"/>
      <c r="EI1226" s="11"/>
      <c r="EJ1226" s="11"/>
      <c r="EK1226" s="11"/>
      <c r="EL1226" s="11"/>
      <c r="EM1226" s="11"/>
      <c r="EN1226" s="11"/>
      <c r="EO1226" s="11"/>
      <c r="EP1226" s="11"/>
      <c r="EQ1226" s="11"/>
      <c r="ER1226" s="11"/>
      <c r="ES1226" s="11"/>
      <c r="ET1226" s="11"/>
      <c r="EU1226" s="11"/>
      <c r="EV1226" s="11"/>
      <c r="EW1226" s="11"/>
      <c r="EX1226" s="11"/>
      <c r="EY1226" s="11"/>
      <c r="EZ1226" s="11"/>
      <c r="FA1226" s="11"/>
      <c r="FB1226" s="11"/>
      <c r="FC1226" s="11"/>
      <c r="FD1226" s="11"/>
      <c r="FE1226" s="11"/>
      <c r="FF1226" s="11"/>
      <c r="FG1226" s="11"/>
      <c r="FH1226" s="11"/>
      <c r="FI1226" s="11"/>
      <c r="FJ1226" s="11"/>
      <c r="FK1226" s="11"/>
      <c r="FL1226" s="11"/>
      <c r="FM1226" s="11"/>
      <c r="FN1226" s="11"/>
      <c r="FO1226" s="11"/>
      <c r="FP1226" s="11"/>
      <c r="FQ1226" s="11"/>
      <c r="FR1226" s="11"/>
      <c r="FS1226" s="11"/>
      <c r="FT1226" s="11"/>
      <c r="FU1226" s="11"/>
      <c r="FV1226" s="11"/>
      <c r="FW1226" s="11"/>
      <c r="FX1226" s="11"/>
      <c r="FY1226" s="11"/>
      <c r="FZ1226" s="11"/>
      <c r="GA1226" s="11"/>
      <c r="GB1226" s="11"/>
      <c r="GC1226" s="11"/>
      <c r="GD1226" s="11"/>
      <c r="GE1226" s="11"/>
      <c r="GF1226" s="11"/>
      <c r="GG1226" s="11"/>
      <c r="GH1226" s="11"/>
      <c r="GI1226" s="11"/>
      <c r="GJ1226" s="11"/>
      <c r="GK1226" s="11"/>
      <c r="GL1226" s="11"/>
      <c r="GM1226" s="11"/>
      <c r="GN1226" s="11"/>
      <c r="GO1226" s="11"/>
      <c r="GP1226" s="11"/>
      <c r="GQ1226" s="11"/>
      <c r="GR1226" s="11"/>
      <c r="GS1226" s="11"/>
      <c r="GT1226" s="11"/>
      <c r="GU1226" s="11"/>
      <c r="GV1226" s="11"/>
      <c r="GW1226" s="11"/>
      <c r="GX1226" s="11"/>
      <c r="GY1226" s="11"/>
      <c r="GZ1226" s="11"/>
      <c r="HA1226" s="11"/>
    </row>
    <row r="1227" spans="1:209" ht="23.25" customHeight="1" x14ac:dyDescent="0.15">
      <c r="A1227" s="11"/>
      <c r="B1227" s="11"/>
      <c r="C1227" s="1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/>
      <c r="R1227" s="11"/>
      <c r="S1227" s="11"/>
      <c r="T1227" s="11"/>
      <c r="U1227" s="11"/>
      <c r="V1227" s="11"/>
      <c r="W1227" s="11"/>
      <c r="X1227" s="11"/>
      <c r="Y1227" s="11"/>
      <c r="Z1227" s="11"/>
      <c r="AA1227" s="11"/>
      <c r="AB1227" s="11"/>
      <c r="AC1227" s="11"/>
      <c r="AD1227" s="11"/>
      <c r="AE1227" s="11"/>
      <c r="AF1227" s="11"/>
      <c r="AG1227" s="11"/>
      <c r="AH1227" s="11"/>
      <c r="AI1227" s="11"/>
      <c r="AJ1227" s="11"/>
      <c r="AK1227" s="11"/>
      <c r="AL1227" s="11"/>
      <c r="AM1227" s="11"/>
      <c r="AN1227" s="11"/>
      <c r="AO1227" s="11"/>
      <c r="AP1227" s="11"/>
      <c r="AQ1227" s="11"/>
      <c r="AR1227" s="11"/>
      <c r="AS1227" s="11"/>
      <c r="AT1227" s="11"/>
      <c r="AU1227" s="11"/>
      <c r="AV1227" s="11"/>
      <c r="AW1227" s="11"/>
      <c r="AX1227" s="11"/>
      <c r="AY1227" s="11"/>
      <c r="AZ1227" s="11"/>
      <c r="BA1227" s="11"/>
      <c r="BB1227" s="11"/>
      <c r="BC1227" s="11"/>
      <c r="BD1227" s="11"/>
      <c r="BE1227" s="11"/>
      <c r="BF1227" s="11"/>
      <c r="BG1227" s="11"/>
      <c r="BH1227" s="11"/>
      <c r="BI1227" s="11"/>
      <c r="BJ1227" s="11"/>
      <c r="BK1227" s="11"/>
      <c r="BL1227" s="11"/>
      <c r="BM1227" s="11"/>
      <c r="BN1227" s="11"/>
      <c r="BO1227" s="11"/>
      <c r="BP1227" s="11"/>
      <c r="BQ1227" s="11"/>
      <c r="BR1227" s="11"/>
      <c r="BS1227" s="11"/>
      <c r="BT1227" s="11"/>
      <c r="BU1227" s="11"/>
      <c r="BV1227" s="11"/>
      <c r="BW1227" s="52" t="s">
        <v>2757</v>
      </c>
      <c r="BX1227" s="52" t="s">
        <v>2758</v>
      </c>
      <c r="BY1227" s="11"/>
      <c r="BZ1227" s="52" t="s">
        <v>154</v>
      </c>
      <c r="CA1227" s="52" t="s">
        <v>3815</v>
      </c>
      <c r="CB1227" s="52" t="s">
        <v>343</v>
      </c>
      <c r="CC1227" s="52" t="s">
        <v>2782</v>
      </c>
      <c r="CD1227" s="53">
        <v>43950</v>
      </c>
      <c r="CE1227" s="53">
        <v>43980</v>
      </c>
      <c r="CF1227" s="52">
        <v>90</v>
      </c>
      <c r="CG1227" s="54" t="s">
        <v>3832</v>
      </c>
      <c r="CH1227" s="11"/>
      <c r="CI1227" s="11"/>
      <c r="CJ1227" s="11"/>
      <c r="CK1227" s="11"/>
      <c r="CL1227" s="11"/>
      <c r="CM1227" s="11"/>
      <c r="CN1227" s="11"/>
      <c r="CO1227" s="11"/>
      <c r="CP1227" s="11"/>
      <c r="CQ1227" s="11"/>
      <c r="CR1227" s="11"/>
      <c r="CS1227" s="11"/>
      <c r="CT1227" s="11"/>
      <c r="CU1227" s="11"/>
      <c r="CV1227" s="11"/>
      <c r="CW1227" s="11"/>
      <c r="CX1227" s="11"/>
      <c r="CY1227" s="11"/>
      <c r="CZ1227" s="11"/>
      <c r="DA1227" s="11"/>
      <c r="DB1227" s="11"/>
      <c r="DC1227" s="11"/>
      <c r="DD1227" s="11"/>
      <c r="DE1227" s="11"/>
      <c r="DF1227" s="11"/>
      <c r="DG1227" s="11"/>
      <c r="DH1227" s="11"/>
      <c r="DI1227" s="11"/>
      <c r="DJ1227" s="11"/>
      <c r="DK1227" s="11"/>
      <c r="DL1227" s="11"/>
      <c r="DM1227" s="11"/>
      <c r="DN1227" s="11"/>
      <c r="DO1227" s="11"/>
      <c r="DP1227" s="11"/>
      <c r="DQ1227" s="11"/>
      <c r="DR1227" s="11"/>
      <c r="DS1227" s="11"/>
      <c r="DT1227" s="11"/>
      <c r="DU1227" s="11"/>
      <c r="DV1227" s="11"/>
      <c r="DW1227" s="11"/>
      <c r="DX1227" s="11"/>
      <c r="DY1227" s="11"/>
      <c r="DZ1227" s="11"/>
      <c r="EA1227" s="11"/>
      <c r="EB1227" s="11"/>
      <c r="EC1227" s="11"/>
      <c r="ED1227" s="11"/>
      <c r="EE1227" s="11"/>
      <c r="EF1227" s="11"/>
      <c r="EG1227" s="11"/>
      <c r="EH1227" s="11"/>
      <c r="EI1227" s="11"/>
      <c r="EJ1227" s="11"/>
      <c r="EK1227" s="11"/>
      <c r="EL1227" s="11"/>
      <c r="EM1227" s="11"/>
      <c r="EN1227" s="11"/>
      <c r="EO1227" s="11"/>
      <c r="EP1227" s="11"/>
      <c r="EQ1227" s="11"/>
      <c r="ER1227" s="11"/>
      <c r="ES1227" s="11"/>
      <c r="ET1227" s="11"/>
      <c r="EU1227" s="11"/>
      <c r="EV1227" s="11"/>
      <c r="EW1227" s="11"/>
      <c r="EX1227" s="11"/>
      <c r="EY1227" s="11"/>
      <c r="EZ1227" s="11"/>
      <c r="FA1227" s="11"/>
      <c r="FB1227" s="11"/>
      <c r="FC1227" s="11"/>
      <c r="FD1227" s="11"/>
      <c r="FE1227" s="11"/>
      <c r="FF1227" s="11"/>
      <c r="FG1227" s="11"/>
      <c r="FH1227" s="11"/>
      <c r="FI1227" s="11"/>
      <c r="FJ1227" s="11"/>
      <c r="FK1227" s="11"/>
      <c r="FL1227" s="11"/>
      <c r="FM1227" s="11"/>
      <c r="FN1227" s="11"/>
      <c r="FO1227" s="11"/>
      <c r="FP1227" s="11"/>
      <c r="FQ1227" s="11"/>
      <c r="FR1227" s="11"/>
      <c r="FS1227" s="11"/>
      <c r="FT1227" s="11"/>
      <c r="FU1227" s="11"/>
      <c r="FV1227" s="11"/>
      <c r="FW1227" s="11"/>
      <c r="FX1227" s="11"/>
      <c r="FY1227" s="11"/>
      <c r="FZ1227" s="11"/>
      <c r="GA1227" s="11"/>
      <c r="GB1227" s="11"/>
      <c r="GC1227" s="11"/>
      <c r="GD1227" s="11"/>
      <c r="GE1227" s="11"/>
      <c r="GF1227" s="11"/>
      <c r="GG1227" s="11"/>
      <c r="GH1227" s="11"/>
      <c r="GI1227" s="11"/>
      <c r="GJ1227" s="11"/>
      <c r="GK1227" s="11"/>
      <c r="GL1227" s="11"/>
      <c r="GM1227" s="11"/>
      <c r="GN1227" s="11"/>
      <c r="GO1227" s="11"/>
      <c r="GP1227" s="11"/>
      <c r="GQ1227" s="11"/>
      <c r="GR1227" s="11"/>
      <c r="GS1227" s="11"/>
      <c r="GT1227" s="11"/>
      <c r="GU1227" s="11"/>
      <c r="GV1227" s="11"/>
      <c r="GW1227" s="11"/>
      <c r="GX1227" s="11"/>
      <c r="GY1227" s="11"/>
      <c r="GZ1227" s="11"/>
      <c r="HA1227" s="11"/>
    </row>
    <row r="1228" spans="1:209" ht="23.25" customHeight="1" x14ac:dyDescent="0.15">
      <c r="A1228" s="11"/>
      <c r="B1228" s="11"/>
      <c r="C1228" s="1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/>
      <c r="R1228" s="11"/>
      <c r="S1228" s="11"/>
      <c r="T1228" s="11"/>
      <c r="U1228" s="11"/>
      <c r="V1228" s="11"/>
      <c r="W1228" s="11"/>
      <c r="X1228" s="11"/>
      <c r="Y1228" s="11"/>
      <c r="Z1228" s="11"/>
      <c r="AA1228" s="11"/>
      <c r="AB1228" s="11"/>
      <c r="AC1228" s="11"/>
      <c r="AD1228" s="11"/>
      <c r="AE1228" s="11"/>
      <c r="AF1228" s="11"/>
      <c r="AG1228" s="11"/>
      <c r="AH1228" s="11"/>
      <c r="AI1228" s="11"/>
      <c r="AJ1228" s="11"/>
      <c r="AK1228" s="11"/>
      <c r="AL1228" s="11"/>
      <c r="AM1228" s="11"/>
      <c r="AN1228" s="11"/>
      <c r="AO1228" s="11"/>
      <c r="AP1228" s="11"/>
      <c r="AQ1228" s="11"/>
      <c r="AR1228" s="11"/>
      <c r="AS1228" s="11"/>
      <c r="AT1228" s="11"/>
      <c r="AU1228" s="11"/>
      <c r="AV1228" s="11"/>
      <c r="AW1228" s="11"/>
      <c r="AX1228" s="11"/>
      <c r="AY1228" s="11"/>
      <c r="AZ1228" s="11"/>
      <c r="BA1228" s="11"/>
      <c r="BB1228" s="11"/>
      <c r="BC1228" s="11"/>
      <c r="BD1228" s="11"/>
      <c r="BE1228" s="11"/>
      <c r="BF1228" s="11"/>
      <c r="BG1228" s="11"/>
      <c r="BH1228" s="11"/>
      <c r="BI1228" s="11"/>
      <c r="BJ1228" s="11"/>
      <c r="BK1228" s="11"/>
      <c r="BL1228" s="11"/>
      <c r="BM1228" s="11"/>
      <c r="BN1228" s="11"/>
      <c r="BO1228" s="11"/>
      <c r="BP1228" s="11"/>
      <c r="BQ1228" s="11"/>
      <c r="BR1228" s="11"/>
      <c r="BS1228" s="11"/>
      <c r="BT1228" s="11"/>
      <c r="BU1228" s="11"/>
      <c r="BV1228" s="11"/>
      <c r="BW1228" s="52" t="s">
        <v>3209</v>
      </c>
      <c r="BX1228" s="52" t="s">
        <v>3213</v>
      </c>
      <c r="BY1228" s="11"/>
      <c r="BZ1228" s="52" t="s">
        <v>154</v>
      </c>
      <c r="CA1228" s="52" t="s">
        <v>2365</v>
      </c>
      <c r="CB1228" s="52" t="s">
        <v>335</v>
      </c>
      <c r="CC1228" s="52" t="s">
        <v>1808</v>
      </c>
      <c r="CD1228" s="53">
        <v>44056</v>
      </c>
      <c r="CE1228" s="53">
        <v>44070</v>
      </c>
      <c r="CF1228" s="52">
        <v>100</v>
      </c>
      <c r="CG1228" s="54" t="s">
        <v>3833</v>
      </c>
      <c r="CH1228" s="11"/>
      <c r="CI1228" s="11"/>
      <c r="CJ1228" s="11"/>
      <c r="CK1228" s="11"/>
      <c r="CL1228" s="11"/>
      <c r="CM1228" s="11"/>
      <c r="CN1228" s="11"/>
      <c r="CO1228" s="11"/>
      <c r="CP1228" s="11"/>
      <c r="CQ1228" s="11"/>
      <c r="CR1228" s="11"/>
      <c r="CS1228" s="11"/>
      <c r="CT1228" s="11"/>
      <c r="CU1228" s="11"/>
      <c r="CV1228" s="11"/>
      <c r="CW1228" s="11"/>
      <c r="CX1228" s="11"/>
      <c r="CY1228" s="11"/>
      <c r="CZ1228" s="11"/>
      <c r="DA1228" s="11"/>
      <c r="DB1228" s="11"/>
      <c r="DC1228" s="11"/>
      <c r="DD1228" s="11"/>
      <c r="DE1228" s="11"/>
      <c r="DF1228" s="11"/>
      <c r="DG1228" s="11"/>
      <c r="DH1228" s="11"/>
      <c r="DI1228" s="11"/>
      <c r="DJ1228" s="11"/>
      <c r="DK1228" s="11"/>
      <c r="DL1228" s="11"/>
      <c r="DM1228" s="11"/>
      <c r="DN1228" s="11"/>
      <c r="DO1228" s="11"/>
      <c r="DP1228" s="11"/>
      <c r="DQ1228" s="11"/>
      <c r="DR1228" s="11"/>
      <c r="DS1228" s="11"/>
      <c r="DT1228" s="11"/>
      <c r="DU1228" s="11"/>
      <c r="DV1228" s="11"/>
      <c r="DW1228" s="11"/>
      <c r="DX1228" s="11"/>
      <c r="DY1228" s="11"/>
      <c r="DZ1228" s="11"/>
      <c r="EA1228" s="11"/>
      <c r="EB1228" s="11"/>
      <c r="EC1228" s="11"/>
      <c r="ED1228" s="11"/>
      <c r="EE1228" s="11"/>
      <c r="EF1228" s="11"/>
      <c r="EG1228" s="11"/>
      <c r="EH1228" s="11"/>
      <c r="EI1228" s="11"/>
      <c r="EJ1228" s="11"/>
      <c r="EK1228" s="11"/>
      <c r="EL1228" s="11"/>
      <c r="EM1228" s="11"/>
      <c r="EN1228" s="11"/>
      <c r="EO1228" s="11"/>
      <c r="EP1228" s="11"/>
      <c r="EQ1228" s="11"/>
      <c r="ER1228" s="11"/>
      <c r="ES1228" s="11"/>
      <c r="ET1228" s="11"/>
      <c r="EU1228" s="11"/>
      <c r="EV1228" s="11"/>
      <c r="EW1228" s="11"/>
      <c r="EX1228" s="11"/>
      <c r="EY1228" s="11"/>
      <c r="EZ1228" s="11"/>
      <c r="FA1228" s="11"/>
      <c r="FB1228" s="11"/>
      <c r="FC1228" s="11"/>
      <c r="FD1228" s="11"/>
      <c r="FE1228" s="11"/>
      <c r="FF1228" s="11"/>
      <c r="FG1228" s="11"/>
      <c r="FH1228" s="11"/>
      <c r="FI1228" s="11"/>
      <c r="FJ1228" s="11"/>
      <c r="FK1228" s="11"/>
      <c r="FL1228" s="11"/>
      <c r="FM1228" s="11"/>
      <c r="FN1228" s="11"/>
      <c r="FO1228" s="11"/>
      <c r="FP1228" s="11"/>
      <c r="FQ1228" s="11"/>
      <c r="FR1228" s="11"/>
      <c r="FS1228" s="11"/>
      <c r="FT1228" s="11"/>
      <c r="FU1228" s="11"/>
      <c r="FV1228" s="11"/>
      <c r="FW1228" s="11"/>
      <c r="FX1228" s="11"/>
      <c r="FY1228" s="11"/>
      <c r="FZ1228" s="11"/>
      <c r="GA1228" s="11"/>
      <c r="GB1228" s="11"/>
      <c r="GC1228" s="11"/>
      <c r="GD1228" s="11"/>
      <c r="GE1228" s="11"/>
      <c r="GF1228" s="11"/>
      <c r="GG1228" s="11"/>
      <c r="GH1228" s="11"/>
      <c r="GI1228" s="11"/>
      <c r="GJ1228" s="11"/>
      <c r="GK1228" s="11"/>
      <c r="GL1228" s="11"/>
      <c r="GM1228" s="11"/>
      <c r="GN1228" s="11"/>
      <c r="GO1228" s="11"/>
      <c r="GP1228" s="11"/>
      <c r="GQ1228" s="11"/>
      <c r="GR1228" s="11"/>
      <c r="GS1228" s="11"/>
      <c r="GT1228" s="11"/>
      <c r="GU1228" s="11"/>
      <c r="GV1228" s="11"/>
      <c r="GW1228" s="11"/>
      <c r="GX1228" s="11"/>
      <c r="GY1228" s="11"/>
      <c r="GZ1228" s="11"/>
      <c r="HA1228" s="11"/>
    </row>
    <row r="1229" spans="1:209" ht="23.25" customHeight="1" x14ac:dyDescent="0.15">
      <c r="A1229" s="11"/>
      <c r="B1229" s="11"/>
      <c r="C1229" s="1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/>
      <c r="R1229" s="11"/>
      <c r="S1229" s="11"/>
      <c r="T1229" s="11"/>
      <c r="U1229" s="11"/>
      <c r="V1229" s="11"/>
      <c r="W1229" s="11"/>
      <c r="X1229" s="11"/>
      <c r="Y1229" s="11"/>
      <c r="Z1229" s="11"/>
      <c r="AA1229" s="11"/>
      <c r="AB1229" s="11"/>
      <c r="AC1229" s="11"/>
      <c r="AD1229" s="11"/>
      <c r="AE1229" s="11"/>
      <c r="AF1229" s="11"/>
      <c r="AG1229" s="11"/>
      <c r="AH1229" s="11"/>
      <c r="AI1229" s="11"/>
      <c r="AJ1229" s="11"/>
      <c r="AK1229" s="11"/>
      <c r="AL1229" s="11"/>
      <c r="AM1229" s="11"/>
      <c r="AN1229" s="11"/>
      <c r="AO1229" s="11"/>
      <c r="AP1229" s="11"/>
      <c r="AQ1229" s="11"/>
      <c r="AR1229" s="11"/>
      <c r="AS1229" s="11"/>
      <c r="AT1229" s="11"/>
      <c r="AU1229" s="11"/>
      <c r="AV1229" s="11"/>
      <c r="AW1229" s="11"/>
      <c r="AX1229" s="11"/>
      <c r="AY1229" s="11"/>
      <c r="AZ1229" s="11"/>
      <c r="BA1229" s="11"/>
      <c r="BB1229" s="11"/>
      <c r="BC1229" s="11"/>
      <c r="BD1229" s="11"/>
      <c r="BE1229" s="11"/>
      <c r="BF1229" s="11"/>
      <c r="BG1229" s="11"/>
      <c r="BH1229" s="11"/>
      <c r="BI1229" s="11"/>
      <c r="BJ1229" s="11"/>
      <c r="BK1229" s="11"/>
      <c r="BL1229" s="11"/>
      <c r="BM1229" s="11"/>
      <c r="BN1229" s="11"/>
      <c r="BO1229" s="11"/>
      <c r="BP1229" s="11"/>
      <c r="BQ1229" s="11"/>
      <c r="BR1229" s="11"/>
      <c r="BS1229" s="11"/>
      <c r="BT1229" s="11"/>
      <c r="BU1229" s="11"/>
      <c r="BV1229" s="11"/>
      <c r="BW1229" s="52" t="s">
        <v>3296</v>
      </c>
      <c r="BX1229" s="52" t="s">
        <v>3297</v>
      </c>
      <c r="BY1229" s="11"/>
      <c r="BZ1229" s="52" t="s">
        <v>166</v>
      </c>
      <c r="CA1229" s="52" t="s">
        <v>3834</v>
      </c>
      <c r="CB1229" s="52" t="s">
        <v>1375</v>
      </c>
      <c r="CC1229" s="52" t="s">
        <v>698</v>
      </c>
      <c r="CD1229" s="53">
        <v>43983</v>
      </c>
      <c r="CE1229" s="53">
        <v>44013</v>
      </c>
      <c r="CF1229" s="52">
        <v>100</v>
      </c>
      <c r="CG1229" s="54" t="s">
        <v>3835</v>
      </c>
      <c r="CH1229" s="11"/>
      <c r="CI1229" s="11"/>
      <c r="CJ1229" s="11"/>
      <c r="CK1229" s="11"/>
      <c r="CL1229" s="11"/>
      <c r="CM1229" s="11"/>
      <c r="CN1229" s="11"/>
      <c r="CO1229" s="11"/>
      <c r="CP1229" s="11"/>
      <c r="CQ1229" s="11"/>
      <c r="CR1229" s="11"/>
      <c r="CS1229" s="11"/>
      <c r="CT1229" s="11"/>
      <c r="CU1229" s="11"/>
      <c r="CV1229" s="11"/>
      <c r="CW1229" s="11"/>
      <c r="CX1229" s="11"/>
      <c r="CY1229" s="11"/>
      <c r="CZ1229" s="11"/>
      <c r="DA1229" s="11"/>
      <c r="DB1229" s="11"/>
      <c r="DC1229" s="11"/>
      <c r="DD1229" s="11"/>
      <c r="DE1229" s="11"/>
      <c r="DF1229" s="11"/>
      <c r="DG1229" s="11"/>
      <c r="DH1229" s="11"/>
      <c r="DI1229" s="11"/>
      <c r="DJ1229" s="11"/>
      <c r="DK1229" s="11"/>
      <c r="DL1229" s="11"/>
      <c r="DM1229" s="11"/>
      <c r="DN1229" s="11"/>
      <c r="DO1229" s="11"/>
      <c r="DP1229" s="11"/>
      <c r="DQ1229" s="11"/>
      <c r="DR1229" s="11"/>
      <c r="DS1229" s="11"/>
      <c r="DT1229" s="11"/>
      <c r="DU1229" s="11"/>
      <c r="DV1229" s="11"/>
      <c r="DW1229" s="11"/>
      <c r="DX1229" s="11"/>
      <c r="DY1229" s="11"/>
      <c r="DZ1229" s="11"/>
      <c r="EA1229" s="11"/>
      <c r="EB1229" s="11"/>
      <c r="EC1229" s="11"/>
      <c r="ED1229" s="11"/>
      <c r="EE1229" s="11"/>
      <c r="EF1229" s="11"/>
      <c r="EG1229" s="11"/>
      <c r="EH1229" s="11"/>
      <c r="EI1229" s="11"/>
      <c r="EJ1229" s="11"/>
      <c r="EK1229" s="11"/>
      <c r="EL1229" s="11"/>
      <c r="EM1229" s="11"/>
      <c r="EN1229" s="11"/>
      <c r="EO1229" s="11"/>
      <c r="EP1229" s="11"/>
      <c r="EQ1229" s="11"/>
      <c r="ER1229" s="11"/>
      <c r="ES1229" s="11"/>
      <c r="ET1229" s="11"/>
      <c r="EU1229" s="11"/>
      <c r="EV1229" s="11"/>
      <c r="EW1229" s="11"/>
      <c r="EX1229" s="11"/>
      <c r="EY1229" s="11"/>
      <c r="EZ1229" s="11"/>
      <c r="FA1229" s="11"/>
      <c r="FB1229" s="11"/>
      <c r="FC1229" s="11"/>
      <c r="FD1229" s="11"/>
      <c r="FE1229" s="11"/>
      <c r="FF1229" s="11"/>
      <c r="FG1229" s="11"/>
      <c r="FH1229" s="11"/>
      <c r="FI1229" s="11"/>
      <c r="FJ1229" s="11"/>
      <c r="FK1229" s="11"/>
      <c r="FL1229" s="11"/>
      <c r="FM1229" s="11"/>
      <c r="FN1229" s="11"/>
      <c r="FO1229" s="11"/>
      <c r="FP1229" s="11"/>
      <c r="FQ1229" s="11"/>
      <c r="FR1229" s="11"/>
      <c r="FS1229" s="11"/>
      <c r="FT1229" s="11"/>
      <c r="FU1229" s="11"/>
      <c r="FV1229" s="11"/>
      <c r="FW1229" s="11"/>
      <c r="FX1229" s="11"/>
      <c r="FY1229" s="11"/>
      <c r="FZ1229" s="11"/>
      <c r="GA1229" s="11"/>
      <c r="GB1229" s="11"/>
      <c r="GC1229" s="11"/>
      <c r="GD1229" s="11"/>
      <c r="GE1229" s="11"/>
      <c r="GF1229" s="11"/>
      <c r="GG1229" s="11"/>
      <c r="GH1229" s="11"/>
      <c r="GI1229" s="11"/>
      <c r="GJ1229" s="11"/>
      <c r="GK1229" s="11"/>
      <c r="GL1229" s="11"/>
      <c r="GM1229" s="11"/>
      <c r="GN1229" s="11"/>
      <c r="GO1229" s="11"/>
      <c r="GP1229" s="11"/>
      <c r="GQ1229" s="11"/>
      <c r="GR1229" s="11"/>
      <c r="GS1229" s="11"/>
      <c r="GT1229" s="11"/>
      <c r="GU1229" s="11"/>
      <c r="GV1229" s="11"/>
      <c r="GW1229" s="11"/>
      <c r="GX1229" s="11"/>
      <c r="GY1229" s="11"/>
      <c r="GZ1229" s="11"/>
      <c r="HA1229" s="11"/>
    </row>
    <row r="1230" spans="1:209" ht="23.25" customHeight="1" x14ac:dyDescent="0.15">
      <c r="A1230" s="11"/>
      <c r="B1230" s="11"/>
      <c r="C1230" s="1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/>
      <c r="R1230" s="11"/>
      <c r="S1230" s="11"/>
      <c r="T1230" s="11"/>
      <c r="U1230" s="11"/>
      <c r="V1230" s="11"/>
      <c r="W1230" s="11"/>
      <c r="X1230" s="11"/>
      <c r="Y1230" s="11"/>
      <c r="Z1230" s="11"/>
      <c r="AA1230" s="11"/>
      <c r="AB1230" s="11"/>
      <c r="AC1230" s="11"/>
      <c r="AD1230" s="11"/>
      <c r="AE1230" s="11"/>
      <c r="AF1230" s="11"/>
      <c r="AG1230" s="11"/>
      <c r="AH1230" s="11"/>
      <c r="AI1230" s="11"/>
      <c r="AJ1230" s="11"/>
      <c r="AK1230" s="11"/>
      <c r="AL1230" s="11"/>
      <c r="AM1230" s="11"/>
      <c r="AN1230" s="11"/>
      <c r="AO1230" s="11"/>
      <c r="AP1230" s="11"/>
      <c r="AQ1230" s="11"/>
      <c r="AR1230" s="11"/>
      <c r="AS1230" s="11"/>
      <c r="AT1230" s="11"/>
      <c r="AU1230" s="11"/>
      <c r="AV1230" s="11"/>
      <c r="AW1230" s="11"/>
      <c r="AX1230" s="11"/>
      <c r="AY1230" s="11"/>
      <c r="AZ1230" s="11"/>
      <c r="BA1230" s="11"/>
      <c r="BB1230" s="11"/>
      <c r="BC1230" s="11"/>
      <c r="BD1230" s="11"/>
      <c r="BE1230" s="11"/>
      <c r="BF1230" s="11"/>
      <c r="BG1230" s="11"/>
      <c r="BH1230" s="11"/>
      <c r="BI1230" s="11"/>
      <c r="BJ1230" s="11"/>
      <c r="BK1230" s="11"/>
      <c r="BL1230" s="11"/>
      <c r="BM1230" s="11"/>
      <c r="BN1230" s="11"/>
      <c r="BO1230" s="11"/>
      <c r="BP1230" s="11"/>
      <c r="BQ1230" s="11"/>
      <c r="BR1230" s="11"/>
      <c r="BS1230" s="11"/>
      <c r="BT1230" s="11"/>
      <c r="BU1230" s="11"/>
      <c r="BV1230" s="11"/>
      <c r="BW1230" s="52" t="s">
        <v>3296</v>
      </c>
      <c r="BX1230" s="52" t="s">
        <v>3297</v>
      </c>
      <c r="BY1230" s="11"/>
      <c r="BZ1230" s="52" t="s">
        <v>166</v>
      </c>
      <c r="CA1230" s="52" t="s">
        <v>3836</v>
      </c>
      <c r="CB1230" s="52" t="s">
        <v>1375</v>
      </c>
      <c r="CC1230" s="52" t="s">
        <v>501</v>
      </c>
      <c r="CD1230" s="53">
        <v>43872</v>
      </c>
      <c r="CE1230" s="53">
        <v>43962</v>
      </c>
      <c r="CF1230" s="52">
        <v>100</v>
      </c>
      <c r="CG1230" s="54" t="s">
        <v>3837</v>
      </c>
      <c r="CH1230" s="11"/>
      <c r="CI1230" s="11"/>
      <c r="CJ1230" s="11"/>
      <c r="CK1230" s="11"/>
      <c r="CL1230" s="11"/>
      <c r="CM1230" s="11"/>
      <c r="CN1230" s="11"/>
      <c r="CO1230" s="11"/>
      <c r="CP1230" s="11"/>
      <c r="CQ1230" s="11"/>
      <c r="CR1230" s="11"/>
      <c r="CS1230" s="11"/>
      <c r="CT1230" s="11"/>
      <c r="CU1230" s="11"/>
      <c r="CV1230" s="11"/>
      <c r="CW1230" s="11"/>
      <c r="CX1230" s="11"/>
      <c r="CY1230" s="11"/>
      <c r="CZ1230" s="11"/>
      <c r="DA1230" s="11"/>
      <c r="DB1230" s="11"/>
      <c r="DC1230" s="11"/>
      <c r="DD1230" s="11"/>
      <c r="DE1230" s="11"/>
      <c r="DF1230" s="11"/>
      <c r="DG1230" s="11"/>
      <c r="DH1230" s="11"/>
      <c r="DI1230" s="11"/>
      <c r="DJ1230" s="11"/>
      <c r="DK1230" s="11"/>
      <c r="DL1230" s="11"/>
      <c r="DM1230" s="11"/>
      <c r="DN1230" s="11"/>
      <c r="DO1230" s="11"/>
      <c r="DP1230" s="11"/>
      <c r="DQ1230" s="11"/>
      <c r="DR1230" s="11"/>
      <c r="DS1230" s="11"/>
      <c r="DT1230" s="11"/>
      <c r="DU1230" s="11"/>
      <c r="DV1230" s="11"/>
      <c r="DW1230" s="11"/>
      <c r="DX1230" s="11"/>
      <c r="DY1230" s="11"/>
      <c r="DZ1230" s="11"/>
      <c r="EA1230" s="11"/>
      <c r="EB1230" s="11"/>
      <c r="EC1230" s="11"/>
      <c r="ED1230" s="11"/>
      <c r="EE1230" s="11"/>
      <c r="EF1230" s="11"/>
      <c r="EG1230" s="11"/>
      <c r="EH1230" s="11"/>
      <c r="EI1230" s="11"/>
      <c r="EJ1230" s="11"/>
      <c r="EK1230" s="11"/>
      <c r="EL1230" s="11"/>
      <c r="EM1230" s="11"/>
      <c r="EN1230" s="11"/>
      <c r="EO1230" s="11"/>
      <c r="EP1230" s="11"/>
      <c r="EQ1230" s="11"/>
      <c r="ER1230" s="11"/>
      <c r="ES1230" s="11"/>
      <c r="ET1230" s="11"/>
      <c r="EU1230" s="11"/>
      <c r="EV1230" s="11"/>
      <c r="EW1230" s="11"/>
      <c r="EX1230" s="11"/>
      <c r="EY1230" s="11"/>
      <c r="EZ1230" s="11"/>
      <c r="FA1230" s="11"/>
      <c r="FB1230" s="11"/>
      <c r="FC1230" s="11"/>
      <c r="FD1230" s="11"/>
      <c r="FE1230" s="11"/>
      <c r="FF1230" s="11"/>
      <c r="FG1230" s="11"/>
      <c r="FH1230" s="11"/>
      <c r="FI1230" s="11"/>
      <c r="FJ1230" s="11"/>
      <c r="FK1230" s="11"/>
      <c r="FL1230" s="11"/>
      <c r="FM1230" s="11"/>
      <c r="FN1230" s="11"/>
      <c r="FO1230" s="11"/>
      <c r="FP1230" s="11"/>
      <c r="FQ1230" s="11"/>
      <c r="FR1230" s="11"/>
      <c r="FS1230" s="11"/>
      <c r="FT1230" s="11"/>
      <c r="FU1230" s="11"/>
      <c r="FV1230" s="11"/>
      <c r="FW1230" s="11"/>
      <c r="FX1230" s="11"/>
      <c r="FY1230" s="11"/>
      <c r="FZ1230" s="11"/>
      <c r="GA1230" s="11"/>
      <c r="GB1230" s="11"/>
      <c r="GC1230" s="11"/>
      <c r="GD1230" s="11"/>
      <c r="GE1230" s="11"/>
      <c r="GF1230" s="11"/>
      <c r="GG1230" s="11"/>
      <c r="GH1230" s="11"/>
      <c r="GI1230" s="11"/>
      <c r="GJ1230" s="11"/>
      <c r="GK1230" s="11"/>
      <c r="GL1230" s="11"/>
      <c r="GM1230" s="11"/>
      <c r="GN1230" s="11"/>
      <c r="GO1230" s="11"/>
      <c r="GP1230" s="11"/>
      <c r="GQ1230" s="11"/>
      <c r="GR1230" s="11"/>
      <c r="GS1230" s="11"/>
      <c r="GT1230" s="11"/>
      <c r="GU1230" s="11"/>
      <c r="GV1230" s="11"/>
      <c r="GW1230" s="11"/>
      <c r="GX1230" s="11"/>
      <c r="GY1230" s="11"/>
      <c r="GZ1230" s="11"/>
      <c r="HA1230" s="11"/>
    </row>
    <row r="1231" spans="1:209" ht="23.25" customHeight="1" x14ac:dyDescent="0.15">
      <c r="A1231" s="11"/>
      <c r="B1231" s="11"/>
      <c r="C1231" s="1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/>
      <c r="R1231" s="11"/>
      <c r="S1231" s="11"/>
      <c r="T1231" s="11"/>
      <c r="U1231" s="11"/>
      <c r="V1231" s="11"/>
      <c r="W1231" s="11"/>
      <c r="X1231" s="11"/>
      <c r="Y1231" s="11"/>
      <c r="Z1231" s="11"/>
      <c r="AA1231" s="11"/>
      <c r="AB1231" s="11"/>
      <c r="AC1231" s="11"/>
      <c r="AD1231" s="11"/>
      <c r="AE1231" s="11"/>
      <c r="AF1231" s="11"/>
      <c r="AG1231" s="11"/>
      <c r="AH1231" s="11"/>
      <c r="AI1231" s="11"/>
      <c r="AJ1231" s="11"/>
      <c r="AK1231" s="11"/>
      <c r="AL1231" s="11"/>
      <c r="AM1231" s="11"/>
      <c r="AN1231" s="11"/>
      <c r="AO1231" s="11"/>
      <c r="AP1231" s="11"/>
      <c r="AQ1231" s="11"/>
      <c r="AR1231" s="11"/>
      <c r="AS1231" s="11"/>
      <c r="AT1231" s="11"/>
      <c r="AU1231" s="11"/>
      <c r="AV1231" s="11"/>
      <c r="AW1231" s="11"/>
      <c r="AX1231" s="11"/>
      <c r="AY1231" s="11"/>
      <c r="AZ1231" s="11"/>
      <c r="BA1231" s="11"/>
      <c r="BB1231" s="11"/>
      <c r="BC1231" s="11"/>
      <c r="BD1231" s="11"/>
      <c r="BE1231" s="11"/>
      <c r="BF1231" s="11"/>
      <c r="BG1231" s="11"/>
      <c r="BH1231" s="11"/>
      <c r="BI1231" s="11"/>
      <c r="BJ1231" s="11"/>
      <c r="BK1231" s="11"/>
      <c r="BL1231" s="11"/>
      <c r="BM1231" s="11"/>
      <c r="BN1231" s="11"/>
      <c r="BO1231" s="11"/>
      <c r="BP1231" s="11"/>
      <c r="BQ1231" s="11"/>
      <c r="BR1231" s="11"/>
      <c r="BS1231" s="11"/>
      <c r="BT1231" s="11"/>
      <c r="BU1231" s="11"/>
      <c r="BV1231" s="11"/>
      <c r="BW1231" s="52" t="s">
        <v>3296</v>
      </c>
      <c r="BX1231" s="52" t="s">
        <v>3297</v>
      </c>
      <c r="BY1231" s="11"/>
      <c r="BZ1231" s="52" t="s">
        <v>166</v>
      </c>
      <c r="CA1231" s="52" t="s">
        <v>3838</v>
      </c>
      <c r="CB1231" s="52" t="s">
        <v>1375</v>
      </c>
      <c r="CC1231" s="52" t="s">
        <v>698</v>
      </c>
      <c r="CD1231" s="53">
        <v>44334</v>
      </c>
      <c r="CE1231" s="53">
        <v>44365</v>
      </c>
      <c r="CF1231" s="52">
        <v>100</v>
      </c>
      <c r="CG1231" s="54" t="s">
        <v>3839</v>
      </c>
      <c r="CH1231" s="11"/>
      <c r="CI1231" s="11"/>
      <c r="CJ1231" s="11"/>
      <c r="CK1231" s="11"/>
      <c r="CL1231" s="11"/>
      <c r="CM1231" s="11"/>
      <c r="CN1231" s="11"/>
      <c r="CO1231" s="11"/>
      <c r="CP1231" s="11"/>
      <c r="CQ1231" s="11"/>
      <c r="CR1231" s="11"/>
      <c r="CS1231" s="11"/>
      <c r="CT1231" s="11"/>
      <c r="CU1231" s="11"/>
      <c r="CV1231" s="11"/>
      <c r="CW1231" s="11"/>
      <c r="CX1231" s="11"/>
      <c r="CY1231" s="11"/>
      <c r="CZ1231" s="11"/>
      <c r="DA1231" s="11"/>
      <c r="DB1231" s="11"/>
      <c r="DC1231" s="11"/>
      <c r="DD1231" s="11"/>
      <c r="DE1231" s="11"/>
      <c r="DF1231" s="11"/>
      <c r="DG1231" s="11"/>
      <c r="DH1231" s="11"/>
      <c r="DI1231" s="11"/>
      <c r="DJ1231" s="11"/>
      <c r="DK1231" s="11"/>
      <c r="DL1231" s="11"/>
      <c r="DM1231" s="11"/>
      <c r="DN1231" s="11"/>
      <c r="DO1231" s="11"/>
      <c r="DP1231" s="11"/>
      <c r="DQ1231" s="11"/>
      <c r="DR1231" s="11"/>
      <c r="DS1231" s="11"/>
      <c r="DT1231" s="11"/>
      <c r="DU1231" s="11"/>
      <c r="DV1231" s="11"/>
      <c r="DW1231" s="11"/>
      <c r="DX1231" s="11"/>
      <c r="DY1231" s="11"/>
      <c r="DZ1231" s="11"/>
      <c r="EA1231" s="11"/>
      <c r="EB1231" s="11"/>
      <c r="EC1231" s="11"/>
      <c r="ED1231" s="11"/>
      <c r="EE1231" s="11"/>
      <c r="EF1231" s="11"/>
      <c r="EG1231" s="11"/>
      <c r="EH1231" s="11"/>
      <c r="EI1231" s="11"/>
      <c r="EJ1231" s="11"/>
      <c r="EK1231" s="11"/>
      <c r="EL1231" s="11"/>
      <c r="EM1231" s="11"/>
      <c r="EN1231" s="11"/>
      <c r="EO1231" s="11"/>
      <c r="EP1231" s="11"/>
      <c r="EQ1231" s="11"/>
      <c r="ER1231" s="11"/>
      <c r="ES1231" s="11"/>
      <c r="ET1231" s="11"/>
      <c r="EU1231" s="11"/>
      <c r="EV1231" s="11"/>
      <c r="EW1231" s="11"/>
      <c r="EX1231" s="11"/>
      <c r="EY1231" s="11"/>
      <c r="EZ1231" s="11"/>
      <c r="FA1231" s="11"/>
      <c r="FB1231" s="11"/>
      <c r="FC1231" s="11"/>
      <c r="FD1231" s="11"/>
      <c r="FE1231" s="11"/>
      <c r="FF1231" s="11"/>
      <c r="FG1231" s="11"/>
      <c r="FH1231" s="11"/>
      <c r="FI1231" s="11"/>
      <c r="FJ1231" s="11"/>
      <c r="FK1231" s="11"/>
      <c r="FL1231" s="11"/>
      <c r="FM1231" s="11"/>
      <c r="FN1231" s="11"/>
      <c r="FO1231" s="11"/>
      <c r="FP1231" s="11"/>
      <c r="FQ1231" s="11"/>
      <c r="FR1231" s="11"/>
      <c r="FS1231" s="11"/>
      <c r="FT1231" s="11"/>
      <c r="FU1231" s="11"/>
      <c r="FV1231" s="11"/>
      <c r="FW1231" s="11"/>
      <c r="FX1231" s="11"/>
      <c r="FY1231" s="11"/>
      <c r="FZ1231" s="11"/>
      <c r="GA1231" s="11"/>
      <c r="GB1231" s="11"/>
      <c r="GC1231" s="11"/>
      <c r="GD1231" s="11"/>
      <c r="GE1231" s="11"/>
      <c r="GF1231" s="11"/>
      <c r="GG1231" s="11"/>
      <c r="GH1231" s="11"/>
      <c r="GI1231" s="11"/>
      <c r="GJ1231" s="11"/>
      <c r="GK1231" s="11"/>
      <c r="GL1231" s="11"/>
      <c r="GM1231" s="11"/>
      <c r="GN1231" s="11"/>
      <c r="GO1231" s="11"/>
      <c r="GP1231" s="11"/>
      <c r="GQ1231" s="11"/>
      <c r="GR1231" s="11"/>
      <c r="GS1231" s="11"/>
      <c r="GT1231" s="11"/>
      <c r="GU1231" s="11"/>
      <c r="GV1231" s="11"/>
      <c r="GW1231" s="11"/>
      <c r="GX1231" s="11"/>
      <c r="GY1231" s="11"/>
      <c r="GZ1231" s="11"/>
      <c r="HA1231" s="11"/>
    </row>
    <row r="1232" spans="1:209" ht="23.25" customHeight="1" x14ac:dyDescent="0.15">
      <c r="A1232" s="11"/>
      <c r="B1232" s="11"/>
      <c r="C1232" s="1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/>
      <c r="R1232" s="11"/>
      <c r="S1232" s="11"/>
      <c r="T1232" s="11"/>
      <c r="U1232" s="11"/>
      <c r="V1232" s="11"/>
      <c r="W1232" s="11"/>
      <c r="X1232" s="11"/>
      <c r="Y1232" s="11"/>
      <c r="Z1232" s="11"/>
      <c r="AA1232" s="11"/>
      <c r="AB1232" s="11"/>
      <c r="AC1232" s="11"/>
      <c r="AD1232" s="11"/>
      <c r="AE1232" s="11"/>
      <c r="AF1232" s="11"/>
      <c r="AG1232" s="11"/>
      <c r="AH1232" s="11"/>
      <c r="AI1232" s="11"/>
      <c r="AJ1232" s="11"/>
      <c r="AK1232" s="11"/>
      <c r="AL1232" s="11"/>
      <c r="AM1232" s="11"/>
      <c r="AN1232" s="11"/>
      <c r="AO1232" s="11"/>
      <c r="AP1232" s="11"/>
      <c r="AQ1232" s="11"/>
      <c r="AR1232" s="11"/>
      <c r="AS1232" s="11"/>
      <c r="AT1232" s="11"/>
      <c r="AU1232" s="11"/>
      <c r="AV1232" s="11"/>
      <c r="AW1232" s="11"/>
      <c r="AX1232" s="11"/>
      <c r="AY1232" s="11"/>
      <c r="AZ1232" s="11"/>
      <c r="BA1232" s="11"/>
      <c r="BB1232" s="11"/>
      <c r="BC1232" s="11"/>
      <c r="BD1232" s="11"/>
      <c r="BE1232" s="11"/>
      <c r="BF1232" s="11"/>
      <c r="BG1232" s="11"/>
      <c r="BH1232" s="11"/>
      <c r="BI1232" s="11"/>
      <c r="BJ1232" s="11"/>
      <c r="BK1232" s="11"/>
      <c r="BL1232" s="11"/>
      <c r="BM1232" s="11"/>
      <c r="BN1232" s="11"/>
      <c r="BO1232" s="11"/>
      <c r="BP1232" s="11"/>
      <c r="BQ1232" s="11"/>
      <c r="BR1232" s="11"/>
      <c r="BS1232" s="11"/>
      <c r="BT1232" s="11"/>
      <c r="BU1232" s="11"/>
      <c r="BV1232" s="11"/>
      <c r="BW1232" s="52" t="s">
        <v>3434</v>
      </c>
      <c r="BX1232" s="52" t="s">
        <v>3435</v>
      </c>
      <c r="BY1232" s="11"/>
      <c r="BZ1232" s="52" t="s">
        <v>154</v>
      </c>
      <c r="CA1232" s="52" t="s">
        <v>3840</v>
      </c>
      <c r="CB1232" s="52" t="s">
        <v>343</v>
      </c>
      <c r="CC1232" s="52" t="s">
        <v>3841</v>
      </c>
      <c r="CD1232" s="53">
        <v>44060</v>
      </c>
      <c r="CE1232" s="53">
        <v>44127</v>
      </c>
      <c r="CF1232" s="52">
        <v>100</v>
      </c>
      <c r="CG1232" s="54" t="s">
        <v>3842</v>
      </c>
      <c r="CH1232" s="11"/>
      <c r="CI1232" s="11"/>
      <c r="CJ1232" s="11"/>
      <c r="CK1232" s="11"/>
      <c r="CL1232" s="11"/>
      <c r="CM1232" s="11"/>
      <c r="CN1232" s="11"/>
      <c r="CO1232" s="11"/>
      <c r="CP1232" s="11"/>
      <c r="CQ1232" s="11"/>
      <c r="CR1232" s="11"/>
      <c r="CS1232" s="11"/>
      <c r="CT1232" s="11"/>
      <c r="CU1232" s="11"/>
      <c r="CV1232" s="11"/>
      <c r="CW1232" s="11"/>
      <c r="CX1232" s="11"/>
      <c r="CY1232" s="11"/>
      <c r="CZ1232" s="11"/>
      <c r="DA1232" s="11"/>
      <c r="DB1232" s="11"/>
      <c r="DC1232" s="11"/>
      <c r="DD1232" s="11"/>
      <c r="DE1232" s="11"/>
      <c r="DF1232" s="11"/>
      <c r="DG1232" s="11"/>
      <c r="DH1232" s="11"/>
      <c r="DI1232" s="11"/>
      <c r="DJ1232" s="11"/>
      <c r="DK1232" s="11"/>
      <c r="DL1232" s="11"/>
      <c r="DM1232" s="11"/>
      <c r="DN1232" s="11"/>
      <c r="DO1232" s="11"/>
      <c r="DP1232" s="11"/>
      <c r="DQ1232" s="11"/>
      <c r="DR1232" s="11"/>
      <c r="DS1232" s="11"/>
      <c r="DT1232" s="11"/>
      <c r="DU1232" s="11"/>
      <c r="DV1232" s="11"/>
      <c r="DW1232" s="11"/>
      <c r="DX1232" s="11"/>
      <c r="DY1232" s="11"/>
      <c r="DZ1232" s="11"/>
      <c r="EA1232" s="11"/>
      <c r="EB1232" s="11"/>
      <c r="EC1232" s="11"/>
      <c r="ED1232" s="11"/>
      <c r="EE1232" s="11"/>
      <c r="EF1232" s="11"/>
      <c r="EG1232" s="11"/>
      <c r="EH1232" s="11"/>
      <c r="EI1232" s="11"/>
      <c r="EJ1232" s="11"/>
      <c r="EK1232" s="11"/>
      <c r="EL1232" s="11"/>
      <c r="EM1232" s="11"/>
      <c r="EN1232" s="11"/>
      <c r="EO1232" s="11"/>
      <c r="EP1232" s="11"/>
      <c r="EQ1232" s="11"/>
      <c r="ER1232" s="11"/>
      <c r="ES1232" s="11"/>
      <c r="ET1232" s="11"/>
      <c r="EU1232" s="11"/>
      <c r="EV1232" s="11"/>
      <c r="EW1232" s="11"/>
      <c r="EX1232" s="11"/>
      <c r="EY1232" s="11"/>
      <c r="EZ1232" s="11"/>
      <c r="FA1232" s="11"/>
      <c r="FB1232" s="11"/>
      <c r="FC1232" s="11"/>
      <c r="FD1232" s="11"/>
      <c r="FE1232" s="11"/>
      <c r="FF1232" s="11"/>
      <c r="FG1232" s="11"/>
      <c r="FH1232" s="11"/>
      <c r="FI1232" s="11"/>
      <c r="FJ1232" s="11"/>
      <c r="FK1232" s="11"/>
      <c r="FL1232" s="11"/>
      <c r="FM1232" s="11"/>
      <c r="FN1232" s="11"/>
      <c r="FO1232" s="11"/>
      <c r="FP1232" s="11"/>
      <c r="FQ1232" s="11"/>
      <c r="FR1232" s="11"/>
      <c r="FS1232" s="11"/>
      <c r="FT1232" s="11"/>
      <c r="FU1232" s="11"/>
      <c r="FV1232" s="11"/>
      <c r="FW1232" s="11"/>
      <c r="FX1232" s="11"/>
      <c r="FY1232" s="11"/>
      <c r="FZ1232" s="11"/>
      <c r="GA1232" s="11"/>
      <c r="GB1232" s="11"/>
      <c r="GC1232" s="11"/>
      <c r="GD1232" s="11"/>
      <c r="GE1232" s="11"/>
      <c r="GF1232" s="11"/>
      <c r="GG1232" s="11"/>
      <c r="GH1232" s="11"/>
      <c r="GI1232" s="11"/>
      <c r="GJ1232" s="11"/>
      <c r="GK1232" s="11"/>
      <c r="GL1232" s="11"/>
      <c r="GM1232" s="11"/>
      <c r="GN1232" s="11"/>
      <c r="GO1232" s="11"/>
      <c r="GP1232" s="11"/>
      <c r="GQ1232" s="11"/>
      <c r="GR1232" s="11"/>
      <c r="GS1232" s="11"/>
      <c r="GT1232" s="11"/>
      <c r="GU1232" s="11"/>
      <c r="GV1232" s="11"/>
      <c r="GW1232" s="11"/>
      <c r="GX1232" s="11"/>
      <c r="GY1232" s="11"/>
      <c r="GZ1232" s="11"/>
      <c r="HA1232" s="11"/>
    </row>
    <row r="1233" spans="1:209" ht="23.25" customHeight="1" x14ac:dyDescent="0.15">
      <c r="A1233" s="11"/>
      <c r="B1233" s="11"/>
      <c r="C1233" s="1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/>
      <c r="R1233" s="11"/>
      <c r="S1233" s="11"/>
      <c r="T1233" s="11"/>
      <c r="U1233" s="11"/>
      <c r="V1233" s="11"/>
      <c r="W1233" s="11"/>
      <c r="X1233" s="11"/>
      <c r="Y1233" s="11"/>
      <c r="Z1233" s="11"/>
      <c r="AA1233" s="11"/>
      <c r="AB1233" s="11"/>
      <c r="AC1233" s="11"/>
      <c r="AD1233" s="11"/>
      <c r="AE1233" s="11"/>
      <c r="AF1233" s="11"/>
      <c r="AG1233" s="11"/>
      <c r="AH1233" s="11"/>
      <c r="AI1233" s="11"/>
      <c r="AJ1233" s="11"/>
      <c r="AK1233" s="11"/>
      <c r="AL1233" s="11"/>
      <c r="AM1233" s="11"/>
      <c r="AN1233" s="11"/>
      <c r="AO1233" s="11"/>
      <c r="AP1233" s="11"/>
      <c r="AQ1233" s="11"/>
      <c r="AR1233" s="11"/>
      <c r="AS1233" s="11"/>
      <c r="AT1233" s="11"/>
      <c r="AU1233" s="11"/>
      <c r="AV1233" s="11"/>
      <c r="AW1233" s="11"/>
      <c r="AX1233" s="11"/>
      <c r="AY1233" s="11"/>
      <c r="AZ1233" s="11"/>
      <c r="BA1233" s="11"/>
      <c r="BB1233" s="11"/>
      <c r="BC1233" s="11"/>
      <c r="BD1233" s="11"/>
      <c r="BE1233" s="11"/>
      <c r="BF1233" s="11"/>
      <c r="BG1233" s="11"/>
      <c r="BH1233" s="11"/>
      <c r="BI1233" s="11"/>
      <c r="BJ1233" s="11"/>
      <c r="BK1233" s="11"/>
      <c r="BL1233" s="11"/>
      <c r="BM1233" s="11"/>
      <c r="BN1233" s="11"/>
      <c r="BO1233" s="11"/>
      <c r="BP1233" s="11"/>
      <c r="BQ1233" s="11"/>
      <c r="BR1233" s="11"/>
      <c r="BS1233" s="11"/>
      <c r="BT1233" s="11"/>
      <c r="BU1233" s="11"/>
      <c r="BV1233" s="11"/>
      <c r="BW1233" s="52" t="s">
        <v>3434</v>
      </c>
      <c r="BX1233" s="52" t="s">
        <v>3435</v>
      </c>
      <c r="BY1233" s="11"/>
      <c r="BZ1233" s="52" t="s">
        <v>154</v>
      </c>
      <c r="CA1233" s="52" t="s">
        <v>1348</v>
      </c>
      <c r="CB1233" s="52" t="s">
        <v>3843</v>
      </c>
      <c r="CC1233" s="52" t="s">
        <v>879</v>
      </c>
      <c r="CD1233" s="53">
        <v>43866</v>
      </c>
      <c r="CE1233" s="53">
        <v>43895</v>
      </c>
      <c r="CF1233" s="52">
        <v>100</v>
      </c>
      <c r="CG1233" s="54" t="s">
        <v>3844</v>
      </c>
      <c r="CH1233" s="11"/>
      <c r="CI1233" s="11"/>
      <c r="CJ1233" s="11"/>
      <c r="CK1233" s="11"/>
      <c r="CL1233" s="11"/>
      <c r="CM1233" s="11"/>
      <c r="CN1233" s="11"/>
      <c r="CO1233" s="11"/>
      <c r="CP1233" s="11"/>
      <c r="CQ1233" s="11"/>
      <c r="CR1233" s="11"/>
      <c r="CS1233" s="11"/>
      <c r="CT1233" s="11"/>
      <c r="CU1233" s="11"/>
      <c r="CV1233" s="11"/>
      <c r="CW1233" s="11"/>
      <c r="CX1233" s="11"/>
      <c r="CY1233" s="11"/>
      <c r="CZ1233" s="11"/>
      <c r="DA1233" s="11"/>
      <c r="DB1233" s="11"/>
      <c r="DC1233" s="11"/>
      <c r="DD1233" s="11"/>
      <c r="DE1233" s="11"/>
      <c r="DF1233" s="11"/>
      <c r="DG1233" s="11"/>
      <c r="DH1233" s="11"/>
      <c r="DI1233" s="11"/>
      <c r="DJ1233" s="11"/>
      <c r="DK1233" s="11"/>
      <c r="DL1233" s="11"/>
      <c r="DM1233" s="11"/>
      <c r="DN1233" s="11"/>
      <c r="DO1233" s="11"/>
      <c r="DP1233" s="11"/>
      <c r="DQ1233" s="11"/>
      <c r="DR1233" s="11"/>
      <c r="DS1233" s="11"/>
      <c r="DT1233" s="11"/>
      <c r="DU1233" s="11"/>
      <c r="DV1233" s="11"/>
      <c r="DW1233" s="11"/>
      <c r="DX1233" s="11"/>
      <c r="DY1233" s="11"/>
      <c r="DZ1233" s="11"/>
      <c r="EA1233" s="11"/>
      <c r="EB1233" s="11"/>
      <c r="EC1233" s="11"/>
      <c r="ED1233" s="11"/>
      <c r="EE1233" s="11"/>
      <c r="EF1233" s="11"/>
      <c r="EG1233" s="11"/>
      <c r="EH1233" s="11"/>
      <c r="EI1233" s="11"/>
      <c r="EJ1233" s="11"/>
      <c r="EK1233" s="11"/>
      <c r="EL1233" s="11"/>
      <c r="EM1233" s="11"/>
      <c r="EN1233" s="11"/>
      <c r="EO1233" s="11"/>
      <c r="EP1233" s="11"/>
      <c r="EQ1233" s="11"/>
      <c r="ER1233" s="11"/>
      <c r="ES1233" s="11"/>
      <c r="ET1233" s="11"/>
      <c r="EU1233" s="11"/>
      <c r="EV1233" s="11"/>
      <c r="EW1233" s="11"/>
      <c r="EX1233" s="11"/>
      <c r="EY1233" s="11"/>
      <c r="EZ1233" s="11"/>
      <c r="FA1233" s="11"/>
      <c r="FB1233" s="11"/>
      <c r="FC1233" s="11"/>
      <c r="FD1233" s="11"/>
      <c r="FE1233" s="11"/>
      <c r="FF1233" s="11"/>
      <c r="FG1233" s="11"/>
      <c r="FH1233" s="11"/>
      <c r="FI1233" s="11"/>
      <c r="FJ1233" s="11"/>
      <c r="FK1233" s="11"/>
      <c r="FL1233" s="11"/>
      <c r="FM1233" s="11"/>
      <c r="FN1233" s="11"/>
      <c r="FO1233" s="11"/>
      <c r="FP1233" s="11"/>
      <c r="FQ1233" s="11"/>
      <c r="FR1233" s="11"/>
      <c r="FS1233" s="11"/>
      <c r="FT1233" s="11"/>
      <c r="FU1233" s="11"/>
      <c r="FV1233" s="11"/>
      <c r="FW1233" s="11"/>
      <c r="FX1233" s="11"/>
      <c r="FY1233" s="11"/>
      <c r="FZ1233" s="11"/>
      <c r="GA1233" s="11"/>
      <c r="GB1233" s="11"/>
      <c r="GC1233" s="11"/>
      <c r="GD1233" s="11"/>
      <c r="GE1233" s="11"/>
      <c r="GF1233" s="11"/>
      <c r="GG1233" s="11"/>
      <c r="GH1233" s="11"/>
      <c r="GI1233" s="11"/>
      <c r="GJ1233" s="11"/>
      <c r="GK1233" s="11"/>
      <c r="GL1233" s="11"/>
      <c r="GM1233" s="11"/>
      <c r="GN1233" s="11"/>
      <c r="GO1233" s="11"/>
      <c r="GP1233" s="11"/>
      <c r="GQ1233" s="11"/>
      <c r="GR1233" s="11"/>
      <c r="GS1233" s="11"/>
      <c r="GT1233" s="11"/>
      <c r="GU1233" s="11"/>
      <c r="GV1233" s="11"/>
      <c r="GW1233" s="11"/>
      <c r="GX1233" s="11"/>
      <c r="GY1233" s="11"/>
      <c r="GZ1233" s="11"/>
      <c r="HA1233" s="11"/>
    </row>
    <row r="1234" spans="1:209" ht="23.25" customHeight="1" x14ac:dyDescent="0.15">
      <c r="A1234" s="11"/>
      <c r="B1234" s="11"/>
      <c r="C1234" s="1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/>
      <c r="R1234" s="11"/>
      <c r="S1234" s="11"/>
      <c r="T1234" s="11"/>
      <c r="U1234" s="11"/>
      <c r="V1234" s="11"/>
      <c r="W1234" s="11"/>
      <c r="X1234" s="11"/>
      <c r="Y1234" s="11"/>
      <c r="Z1234" s="11"/>
      <c r="AA1234" s="11"/>
      <c r="AB1234" s="11"/>
      <c r="AC1234" s="11"/>
      <c r="AD1234" s="11"/>
      <c r="AE1234" s="11"/>
      <c r="AF1234" s="11"/>
      <c r="AG1234" s="11"/>
      <c r="AH1234" s="11"/>
      <c r="AI1234" s="11"/>
      <c r="AJ1234" s="11"/>
      <c r="AK1234" s="11"/>
      <c r="AL1234" s="11"/>
      <c r="AM1234" s="11"/>
      <c r="AN1234" s="11"/>
      <c r="AO1234" s="11"/>
      <c r="AP1234" s="11"/>
      <c r="AQ1234" s="11"/>
      <c r="AR1234" s="11"/>
      <c r="AS1234" s="11"/>
      <c r="AT1234" s="11"/>
      <c r="AU1234" s="11"/>
      <c r="AV1234" s="11"/>
      <c r="AW1234" s="11"/>
      <c r="AX1234" s="11"/>
      <c r="AY1234" s="11"/>
      <c r="AZ1234" s="11"/>
      <c r="BA1234" s="11"/>
      <c r="BB1234" s="11"/>
      <c r="BC1234" s="11"/>
      <c r="BD1234" s="11"/>
      <c r="BE1234" s="11"/>
      <c r="BF1234" s="11"/>
      <c r="BG1234" s="11"/>
      <c r="BH1234" s="11"/>
      <c r="BI1234" s="11"/>
      <c r="BJ1234" s="11"/>
      <c r="BK1234" s="11"/>
      <c r="BL1234" s="11"/>
      <c r="BM1234" s="11"/>
      <c r="BN1234" s="11"/>
      <c r="BO1234" s="11"/>
      <c r="BP1234" s="11"/>
      <c r="BQ1234" s="11"/>
      <c r="BR1234" s="11"/>
      <c r="BS1234" s="11"/>
      <c r="BT1234" s="11"/>
      <c r="BU1234" s="11"/>
      <c r="BV1234" s="11"/>
      <c r="BW1234" s="52" t="s">
        <v>3434</v>
      </c>
      <c r="BX1234" s="52" t="s">
        <v>3435</v>
      </c>
      <c r="BY1234" s="11"/>
      <c r="BZ1234" s="52" t="s">
        <v>154</v>
      </c>
      <c r="CA1234" s="52" t="s">
        <v>3845</v>
      </c>
      <c r="CB1234" s="52" t="s">
        <v>3846</v>
      </c>
      <c r="CC1234" s="52" t="s">
        <v>970</v>
      </c>
      <c r="CD1234" s="53">
        <v>43913</v>
      </c>
      <c r="CE1234" s="53">
        <v>43957</v>
      </c>
      <c r="CF1234" s="52">
        <v>100</v>
      </c>
      <c r="CG1234" s="54" t="s">
        <v>3847</v>
      </c>
      <c r="CH1234" s="11"/>
      <c r="CI1234" s="11"/>
      <c r="CJ1234" s="11"/>
      <c r="CK1234" s="11"/>
      <c r="CL1234" s="11"/>
      <c r="CM1234" s="11"/>
      <c r="CN1234" s="11"/>
      <c r="CO1234" s="11"/>
      <c r="CP1234" s="11"/>
      <c r="CQ1234" s="11"/>
      <c r="CR1234" s="11"/>
      <c r="CS1234" s="11"/>
      <c r="CT1234" s="11"/>
      <c r="CU1234" s="11"/>
      <c r="CV1234" s="11"/>
      <c r="CW1234" s="11"/>
      <c r="CX1234" s="11"/>
      <c r="CY1234" s="11"/>
      <c r="CZ1234" s="11"/>
      <c r="DA1234" s="11"/>
      <c r="DB1234" s="11"/>
      <c r="DC1234" s="11"/>
      <c r="DD1234" s="11"/>
      <c r="DE1234" s="11"/>
      <c r="DF1234" s="11"/>
      <c r="DG1234" s="11"/>
      <c r="DH1234" s="11"/>
      <c r="DI1234" s="11"/>
      <c r="DJ1234" s="11"/>
      <c r="DK1234" s="11"/>
      <c r="DL1234" s="11"/>
      <c r="DM1234" s="11"/>
      <c r="DN1234" s="11"/>
      <c r="DO1234" s="11"/>
      <c r="DP1234" s="11"/>
      <c r="DQ1234" s="11"/>
      <c r="DR1234" s="11"/>
      <c r="DS1234" s="11"/>
      <c r="DT1234" s="11"/>
      <c r="DU1234" s="11"/>
      <c r="DV1234" s="11"/>
      <c r="DW1234" s="11"/>
      <c r="DX1234" s="11"/>
      <c r="DY1234" s="11"/>
      <c r="DZ1234" s="11"/>
      <c r="EA1234" s="11"/>
      <c r="EB1234" s="11"/>
      <c r="EC1234" s="11"/>
      <c r="ED1234" s="11"/>
      <c r="EE1234" s="11"/>
      <c r="EF1234" s="11"/>
      <c r="EG1234" s="11"/>
      <c r="EH1234" s="11"/>
      <c r="EI1234" s="11"/>
      <c r="EJ1234" s="11"/>
      <c r="EK1234" s="11"/>
      <c r="EL1234" s="11"/>
      <c r="EM1234" s="11"/>
      <c r="EN1234" s="11"/>
      <c r="EO1234" s="11"/>
      <c r="EP1234" s="11"/>
      <c r="EQ1234" s="11"/>
      <c r="ER1234" s="11"/>
      <c r="ES1234" s="11"/>
      <c r="ET1234" s="11"/>
      <c r="EU1234" s="11"/>
      <c r="EV1234" s="11"/>
      <c r="EW1234" s="11"/>
      <c r="EX1234" s="11"/>
      <c r="EY1234" s="11"/>
      <c r="EZ1234" s="11"/>
      <c r="FA1234" s="11"/>
      <c r="FB1234" s="11"/>
      <c r="FC1234" s="11"/>
      <c r="FD1234" s="11"/>
      <c r="FE1234" s="11"/>
      <c r="FF1234" s="11"/>
      <c r="FG1234" s="11"/>
      <c r="FH1234" s="11"/>
      <c r="FI1234" s="11"/>
      <c r="FJ1234" s="11"/>
      <c r="FK1234" s="11"/>
      <c r="FL1234" s="11"/>
      <c r="FM1234" s="11"/>
      <c r="FN1234" s="11"/>
      <c r="FO1234" s="11"/>
      <c r="FP1234" s="11"/>
      <c r="FQ1234" s="11"/>
      <c r="FR1234" s="11"/>
      <c r="FS1234" s="11"/>
      <c r="FT1234" s="11"/>
      <c r="FU1234" s="11"/>
      <c r="FV1234" s="11"/>
      <c r="FW1234" s="11"/>
      <c r="FX1234" s="11"/>
      <c r="FY1234" s="11"/>
      <c r="FZ1234" s="11"/>
      <c r="GA1234" s="11"/>
      <c r="GB1234" s="11"/>
      <c r="GC1234" s="11"/>
      <c r="GD1234" s="11"/>
      <c r="GE1234" s="11"/>
      <c r="GF1234" s="11"/>
      <c r="GG1234" s="11"/>
      <c r="GH1234" s="11"/>
      <c r="GI1234" s="11"/>
      <c r="GJ1234" s="11"/>
      <c r="GK1234" s="11"/>
      <c r="GL1234" s="11"/>
      <c r="GM1234" s="11"/>
      <c r="GN1234" s="11"/>
      <c r="GO1234" s="11"/>
      <c r="GP1234" s="11"/>
      <c r="GQ1234" s="11"/>
      <c r="GR1234" s="11"/>
      <c r="GS1234" s="11"/>
      <c r="GT1234" s="11"/>
      <c r="GU1234" s="11"/>
      <c r="GV1234" s="11"/>
      <c r="GW1234" s="11"/>
      <c r="GX1234" s="11"/>
      <c r="GY1234" s="11"/>
      <c r="GZ1234" s="11"/>
      <c r="HA1234" s="11"/>
    </row>
    <row r="1235" spans="1:209" ht="23.25" customHeight="1" x14ac:dyDescent="0.15">
      <c r="A1235" s="11"/>
      <c r="B1235" s="11"/>
      <c r="C1235" s="1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/>
      <c r="R1235" s="11"/>
      <c r="S1235" s="11"/>
      <c r="T1235" s="11"/>
      <c r="U1235" s="11"/>
      <c r="V1235" s="11"/>
      <c r="W1235" s="11"/>
      <c r="X1235" s="11"/>
      <c r="Y1235" s="11"/>
      <c r="Z1235" s="11"/>
      <c r="AA1235" s="11"/>
      <c r="AB1235" s="11"/>
      <c r="AC1235" s="11"/>
      <c r="AD1235" s="11"/>
      <c r="AE1235" s="11"/>
      <c r="AF1235" s="11"/>
      <c r="AG1235" s="11"/>
      <c r="AH1235" s="11"/>
      <c r="AI1235" s="11"/>
      <c r="AJ1235" s="11"/>
      <c r="AK1235" s="11"/>
      <c r="AL1235" s="11"/>
      <c r="AM1235" s="11"/>
      <c r="AN1235" s="11"/>
      <c r="AO1235" s="11"/>
      <c r="AP1235" s="11"/>
      <c r="AQ1235" s="11"/>
      <c r="AR1235" s="11"/>
      <c r="AS1235" s="11"/>
      <c r="AT1235" s="11"/>
      <c r="AU1235" s="11"/>
      <c r="AV1235" s="11"/>
      <c r="AW1235" s="11"/>
      <c r="AX1235" s="11"/>
      <c r="AY1235" s="11"/>
      <c r="AZ1235" s="11"/>
      <c r="BA1235" s="11"/>
      <c r="BB1235" s="11"/>
      <c r="BC1235" s="11"/>
      <c r="BD1235" s="11"/>
      <c r="BE1235" s="11"/>
      <c r="BF1235" s="11"/>
      <c r="BG1235" s="11"/>
      <c r="BH1235" s="11"/>
      <c r="BI1235" s="11"/>
      <c r="BJ1235" s="11"/>
      <c r="BK1235" s="11"/>
      <c r="BL1235" s="11"/>
      <c r="BM1235" s="11"/>
      <c r="BN1235" s="11"/>
      <c r="BO1235" s="11"/>
      <c r="BP1235" s="11"/>
      <c r="BQ1235" s="11"/>
      <c r="BR1235" s="11"/>
      <c r="BS1235" s="11"/>
      <c r="BT1235" s="11"/>
      <c r="BU1235" s="11"/>
      <c r="BV1235" s="11"/>
      <c r="BW1235" s="52" t="s">
        <v>3434</v>
      </c>
      <c r="BX1235" s="52" t="s">
        <v>3435</v>
      </c>
      <c r="BY1235" s="11"/>
      <c r="BZ1235" s="52" t="s">
        <v>154</v>
      </c>
      <c r="CA1235" s="52" t="s">
        <v>1751</v>
      </c>
      <c r="CB1235" s="52" t="s">
        <v>3848</v>
      </c>
      <c r="CC1235" s="52" t="s">
        <v>2169</v>
      </c>
      <c r="CD1235" s="53">
        <v>43891</v>
      </c>
      <c r="CE1235" s="53">
        <v>43952</v>
      </c>
      <c r="CF1235" s="52">
        <v>100</v>
      </c>
      <c r="CG1235" s="54" t="s">
        <v>3849</v>
      </c>
      <c r="CH1235" s="11"/>
      <c r="CI1235" s="11"/>
      <c r="CJ1235" s="11"/>
      <c r="CK1235" s="11"/>
      <c r="CL1235" s="11"/>
      <c r="CM1235" s="11"/>
      <c r="CN1235" s="11"/>
      <c r="CO1235" s="11"/>
      <c r="CP1235" s="11"/>
      <c r="CQ1235" s="11"/>
      <c r="CR1235" s="11"/>
      <c r="CS1235" s="11"/>
      <c r="CT1235" s="11"/>
      <c r="CU1235" s="11"/>
      <c r="CV1235" s="11"/>
      <c r="CW1235" s="11"/>
      <c r="CX1235" s="11"/>
      <c r="CY1235" s="11"/>
      <c r="CZ1235" s="11"/>
      <c r="DA1235" s="11"/>
      <c r="DB1235" s="11"/>
      <c r="DC1235" s="11"/>
      <c r="DD1235" s="11"/>
      <c r="DE1235" s="11"/>
      <c r="DF1235" s="11"/>
      <c r="DG1235" s="11"/>
      <c r="DH1235" s="11"/>
      <c r="DI1235" s="11"/>
      <c r="DJ1235" s="11"/>
      <c r="DK1235" s="11"/>
      <c r="DL1235" s="11"/>
      <c r="DM1235" s="11"/>
      <c r="DN1235" s="11"/>
      <c r="DO1235" s="11"/>
      <c r="DP1235" s="11"/>
      <c r="DQ1235" s="11"/>
      <c r="DR1235" s="11"/>
      <c r="DS1235" s="11"/>
      <c r="DT1235" s="11"/>
      <c r="DU1235" s="11"/>
      <c r="DV1235" s="11"/>
      <c r="DW1235" s="11"/>
      <c r="DX1235" s="11"/>
      <c r="DY1235" s="11"/>
      <c r="DZ1235" s="11"/>
      <c r="EA1235" s="11"/>
      <c r="EB1235" s="11"/>
      <c r="EC1235" s="11"/>
      <c r="ED1235" s="11"/>
      <c r="EE1235" s="11"/>
      <c r="EF1235" s="11"/>
      <c r="EG1235" s="11"/>
      <c r="EH1235" s="11"/>
      <c r="EI1235" s="11"/>
      <c r="EJ1235" s="11"/>
      <c r="EK1235" s="11"/>
      <c r="EL1235" s="11"/>
      <c r="EM1235" s="11"/>
      <c r="EN1235" s="11"/>
      <c r="EO1235" s="11"/>
      <c r="EP1235" s="11"/>
      <c r="EQ1235" s="11"/>
      <c r="ER1235" s="11"/>
      <c r="ES1235" s="11"/>
      <c r="ET1235" s="11"/>
      <c r="EU1235" s="11"/>
      <c r="EV1235" s="11"/>
      <c r="EW1235" s="11"/>
      <c r="EX1235" s="11"/>
      <c r="EY1235" s="11"/>
      <c r="EZ1235" s="11"/>
      <c r="FA1235" s="11"/>
      <c r="FB1235" s="11"/>
      <c r="FC1235" s="11"/>
      <c r="FD1235" s="11"/>
      <c r="FE1235" s="11"/>
      <c r="FF1235" s="11"/>
      <c r="FG1235" s="11"/>
      <c r="FH1235" s="11"/>
      <c r="FI1235" s="11"/>
      <c r="FJ1235" s="11"/>
      <c r="FK1235" s="11"/>
      <c r="FL1235" s="11"/>
      <c r="FM1235" s="11"/>
      <c r="FN1235" s="11"/>
      <c r="FO1235" s="11"/>
      <c r="FP1235" s="11"/>
      <c r="FQ1235" s="11"/>
      <c r="FR1235" s="11"/>
      <c r="FS1235" s="11"/>
      <c r="FT1235" s="11"/>
      <c r="FU1235" s="11"/>
      <c r="FV1235" s="11"/>
      <c r="FW1235" s="11"/>
      <c r="FX1235" s="11"/>
      <c r="FY1235" s="11"/>
      <c r="FZ1235" s="11"/>
      <c r="GA1235" s="11"/>
      <c r="GB1235" s="11"/>
      <c r="GC1235" s="11"/>
      <c r="GD1235" s="11"/>
      <c r="GE1235" s="11"/>
      <c r="GF1235" s="11"/>
      <c r="GG1235" s="11"/>
      <c r="GH1235" s="11"/>
      <c r="GI1235" s="11"/>
      <c r="GJ1235" s="11"/>
      <c r="GK1235" s="11"/>
      <c r="GL1235" s="11"/>
      <c r="GM1235" s="11"/>
      <c r="GN1235" s="11"/>
      <c r="GO1235" s="11"/>
      <c r="GP1235" s="11"/>
      <c r="GQ1235" s="11"/>
      <c r="GR1235" s="11"/>
      <c r="GS1235" s="11"/>
      <c r="GT1235" s="11"/>
      <c r="GU1235" s="11"/>
      <c r="GV1235" s="11"/>
      <c r="GW1235" s="11"/>
      <c r="GX1235" s="11"/>
      <c r="GY1235" s="11"/>
      <c r="GZ1235" s="11"/>
      <c r="HA1235" s="11"/>
    </row>
    <row r="1236" spans="1:209" ht="23.25" customHeight="1" x14ac:dyDescent="0.15">
      <c r="A1236" s="11"/>
      <c r="B1236" s="11"/>
      <c r="C1236" s="1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/>
      <c r="R1236" s="11"/>
      <c r="S1236" s="11"/>
      <c r="T1236" s="11"/>
      <c r="U1236" s="11"/>
      <c r="V1236" s="11"/>
      <c r="W1236" s="11"/>
      <c r="X1236" s="11"/>
      <c r="Y1236" s="11"/>
      <c r="Z1236" s="11"/>
      <c r="AA1236" s="11"/>
      <c r="AB1236" s="11"/>
      <c r="AC1236" s="11"/>
      <c r="AD1236" s="11"/>
      <c r="AE1236" s="11"/>
      <c r="AF1236" s="11"/>
      <c r="AG1236" s="11"/>
      <c r="AH1236" s="11"/>
      <c r="AI1236" s="11"/>
      <c r="AJ1236" s="11"/>
      <c r="AK1236" s="11"/>
      <c r="AL1236" s="11"/>
      <c r="AM1236" s="11"/>
      <c r="AN1236" s="11"/>
      <c r="AO1236" s="11"/>
      <c r="AP1236" s="11"/>
      <c r="AQ1236" s="11"/>
      <c r="AR1236" s="11"/>
      <c r="AS1236" s="11"/>
      <c r="AT1236" s="11"/>
      <c r="AU1236" s="11"/>
      <c r="AV1236" s="11"/>
      <c r="AW1236" s="11"/>
      <c r="AX1236" s="11"/>
      <c r="AY1236" s="11"/>
      <c r="AZ1236" s="11"/>
      <c r="BA1236" s="11"/>
      <c r="BB1236" s="11"/>
      <c r="BC1236" s="11"/>
      <c r="BD1236" s="11"/>
      <c r="BE1236" s="11"/>
      <c r="BF1236" s="11"/>
      <c r="BG1236" s="11"/>
      <c r="BH1236" s="11"/>
      <c r="BI1236" s="11"/>
      <c r="BJ1236" s="11"/>
      <c r="BK1236" s="11"/>
      <c r="BL1236" s="11"/>
      <c r="BM1236" s="11"/>
      <c r="BN1236" s="11"/>
      <c r="BO1236" s="11"/>
      <c r="BP1236" s="11"/>
      <c r="BQ1236" s="11"/>
      <c r="BR1236" s="11"/>
      <c r="BS1236" s="11"/>
      <c r="BT1236" s="11"/>
      <c r="BU1236" s="11"/>
      <c r="BV1236" s="11"/>
      <c r="BW1236" s="52" t="s">
        <v>3434</v>
      </c>
      <c r="BX1236" s="52" t="s">
        <v>3435</v>
      </c>
      <c r="BY1236" s="11"/>
      <c r="BZ1236" s="52" t="s">
        <v>154</v>
      </c>
      <c r="CA1236" s="52" t="s">
        <v>540</v>
      </c>
      <c r="CB1236" s="52" t="s">
        <v>3848</v>
      </c>
      <c r="CC1236" s="52" t="s">
        <v>550</v>
      </c>
      <c r="CD1236" s="53">
        <v>43891</v>
      </c>
      <c r="CE1236" s="53">
        <v>43952</v>
      </c>
      <c r="CF1236" s="52">
        <v>100</v>
      </c>
      <c r="CG1236" s="54" t="s">
        <v>3850</v>
      </c>
      <c r="CH1236" s="11"/>
      <c r="CI1236" s="11"/>
      <c r="CJ1236" s="11"/>
      <c r="CK1236" s="11"/>
      <c r="CL1236" s="11"/>
      <c r="CM1236" s="11"/>
      <c r="CN1236" s="11"/>
      <c r="CO1236" s="11"/>
      <c r="CP1236" s="11"/>
      <c r="CQ1236" s="11"/>
      <c r="CR1236" s="11"/>
      <c r="CS1236" s="11"/>
      <c r="CT1236" s="11"/>
      <c r="CU1236" s="11"/>
      <c r="CV1236" s="11"/>
      <c r="CW1236" s="11"/>
      <c r="CX1236" s="11"/>
      <c r="CY1236" s="11"/>
      <c r="CZ1236" s="11"/>
      <c r="DA1236" s="11"/>
      <c r="DB1236" s="11"/>
      <c r="DC1236" s="11"/>
      <c r="DD1236" s="11"/>
      <c r="DE1236" s="11"/>
      <c r="DF1236" s="11"/>
      <c r="DG1236" s="11"/>
      <c r="DH1236" s="11"/>
      <c r="DI1236" s="11"/>
      <c r="DJ1236" s="11"/>
      <c r="DK1236" s="11"/>
      <c r="DL1236" s="11"/>
      <c r="DM1236" s="11"/>
      <c r="DN1236" s="11"/>
      <c r="DO1236" s="11"/>
      <c r="DP1236" s="11"/>
      <c r="DQ1236" s="11"/>
      <c r="DR1236" s="11"/>
      <c r="DS1236" s="11"/>
      <c r="DT1236" s="11"/>
      <c r="DU1236" s="11"/>
      <c r="DV1236" s="11"/>
      <c r="DW1236" s="11"/>
      <c r="DX1236" s="11"/>
      <c r="DY1236" s="11"/>
      <c r="DZ1236" s="11"/>
      <c r="EA1236" s="11"/>
      <c r="EB1236" s="11"/>
      <c r="EC1236" s="11"/>
      <c r="ED1236" s="11"/>
      <c r="EE1236" s="11"/>
      <c r="EF1236" s="11"/>
      <c r="EG1236" s="11"/>
      <c r="EH1236" s="11"/>
      <c r="EI1236" s="11"/>
      <c r="EJ1236" s="11"/>
      <c r="EK1236" s="11"/>
      <c r="EL1236" s="11"/>
      <c r="EM1236" s="11"/>
      <c r="EN1236" s="11"/>
      <c r="EO1236" s="11"/>
      <c r="EP1236" s="11"/>
      <c r="EQ1236" s="11"/>
      <c r="ER1236" s="11"/>
      <c r="ES1236" s="11"/>
      <c r="ET1236" s="11"/>
      <c r="EU1236" s="11"/>
      <c r="EV1236" s="11"/>
      <c r="EW1236" s="11"/>
      <c r="EX1236" s="11"/>
      <c r="EY1236" s="11"/>
      <c r="EZ1236" s="11"/>
      <c r="FA1236" s="11"/>
      <c r="FB1236" s="11"/>
      <c r="FC1236" s="11"/>
      <c r="FD1236" s="11"/>
      <c r="FE1236" s="11"/>
      <c r="FF1236" s="11"/>
      <c r="FG1236" s="11"/>
      <c r="FH1236" s="11"/>
      <c r="FI1236" s="11"/>
      <c r="FJ1236" s="11"/>
      <c r="FK1236" s="11"/>
      <c r="FL1236" s="11"/>
      <c r="FM1236" s="11"/>
      <c r="FN1236" s="11"/>
      <c r="FO1236" s="11"/>
      <c r="FP1236" s="11"/>
      <c r="FQ1236" s="11"/>
      <c r="FR1236" s="11"/>
      <c r="FS1236" s="11"/>
      <c r="FT1236" s="11"/>
      <c r="FU1236" s="11"/>
      <c r="FV1236" s="11"/>
      <c r="FW1236" s="11"/>
      <c r="FX1236" s="11"/>
      <c r="FY1236" s="11"/>
      <c r="FZ1236" s="11"/>
      <c r="GA1236" s="11"/>
      <c r="GB1236" s="11"/>
      <c r="GC1236" s="11"/>
      <c r="GD1236" s="11"/>
      <c r="GE1236" s="11"/>
      <c r="GF1236" s="11"/>
      <c r="GG1236" s="11"/>
      <c r="GH1236" s="11"/>
      <c r="GI1236" s="11"/>
      <c r="GJ1236" s="11"/>
      <c r="GK1236" s="11"/>
      <c r="GL1236" s="11"/>
      <c r="GM1236" s="11"/>
      <c r="GN1236" s="11"/>
      <c r="GO1236" s="11"/>
      <c r="GP1236" s="11"/>
      <c r="GQ1236" s="11"/>
      <c r="GR1236" s="11"/>
      <c r="GS1236" s="11"/>
      <c r="GT1236" s="11"/>
      <c r="GU1236" s="11"/>
      <c r="GV1236" s="11"/>
      <c r="GW1236" s="11"/>
      <c r="GX1236" s="11"/>
      <c r="GY1236" s="11"/>
      <c r="GZ1236" s="11"/>
      <c r="HA1236" s="11"/>
    </row>
    <row r="1237" spans="1:209" ht="23.25" customHeight="1" x14ac:dyDescent="0.15">
      <c r="A1237" s="11"/>
      <c r="B1237" s="11"/>
      <c r="C1237" s="1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/>
      <c r="R1237" s="11"/>
      <c r="S1237" s="11"/>
      <c r="T1237" s="11"/>
      <c r="U1237" s="11"/>
      <c r="V1237" s="11"/>
      <c r="W1237" s="11"/>
      <c r="X1237" s="11"/>
      <c r="Y1237" s="11"/>
      <c r="Z1237" s="11"/>
      <c r="AA1237" s="11"/>
      <c r="AB1237" s="11"/>
      <c r="AC1237" s="11"/>
      <c r="AD1237" s="11"/>
      <c r="AE1237" s="11"/>
      <c r="AF1237" s="11"/>
      <c r="AG1237" s="11"/>
      <c r="AH1237" s="11"/>
      <c r="AI1237" s="11"/>
      <c r="AJ1237" s="11"/>
      <c r="AK1237" s="11"/>
      <c r="AL1237" s="11"/>
      <c r="AM1237" s="11"/>
      <c r="AN1237" s="11"/>
      <c r="AO1237" s="11"/>
      <c r="AP1237" s="11"/>
      <c r="AQ1237" s="11"/>
      <c r="AR1237" s="11"/>
      <c r="AS1237" s="11"/>
      <c r="AT1237" s="11"/>
      <c r="AU1237" s="11"/>
      <c r="AV1237" s="11"/>
      <c r="AW1237" s="11"/>
      <c r="AX1237" s="11"/>
      <c r="AY1237" s="11"/>
      <c r="AZ1237" s="11"/>
      <c r="BA1237" s="11"/>
      <c r="BB1237" s="11"/>
      <c r="BC1237" s="11"/>
      <c r="BD1237" s="11"/>
      <c r="BE1237" s="11"/>
      <c r="BF1237" s="11"/>
      <c r="BG1237" s="11"/>
      <c r="BH1237" s="11"/>
      <c r="BI1237" s="11"/>
      <c r="BJ1237" s="11"/>
      <c r="BK1237" s="11"/>
      <c r="BL1237" s="11"/>
      <c r="BM1237" s="11"/>
      <c r="BN1237" s="11"/>
      <c r="BO1237" s="11"/>
      <c r="BP1237" s="11"/>
      <c r="BQ1237" s="11"/>
      <c r="BR1237" s="11"/>
      <c r="BS1237" s="11"/>
      <c r="BT1237" s="11"/>
      <c r="BU1237" s="11"/>
      <c r="BV1237" s="11"/>
      <c r="BW1237" s="52" t="s">
        <v>3434</v>
      </c>
      <c r="BX1237" s="52" t="s">
        <v>3435</v>
      </c>
      <c r="BY1237" s="11"/>
      <c r="BZ1237" s="52" t="s">
        <v>154</v>
      </c>
      <c r="CA1237" s="52" t="s">
        <v>3812</v>
      </c>
      <c r="CB1237" s="52" t="s">
        <v>3848</v>
      </c>
      <c r="CC1237" s="52" t="s">
        <v>550</v>
      </c>
      <c r="CD1237" s="53">
        <v>43891</v>
      </c>
      <c r="CE1237" s="53">
        <v>43952</v>
      </c>
      <c r="CF1237" s="52">
        <v>100</v>
      </c>
      <c r="CG1237" s="54" t="s">
        <v>3851</v>
      </c>
      <c r="CH1237" s="11"/>
      <c r="CI1237" s="11"/>
      <c r="CJ1237" s="11"/>
      <c r="CK1237" s="11"/>
      <c r="CL1237" s="11"/>
      <c r="CM1237" s="11"/>
      <c r="CN1237" s="11"/>
      <c r="CO1237" s="11"/>
      <c r="CP1237" s="11"/>
      <c r="CQ1237" s="11"/>
      <c r="CR1237" s="11"/>
      <c r="CS1237" s="11"/>
      <c r="CT1237" s="11"/>
      <c r="CU1237" s="11"/>
      <c r="CV1237" s="11"/>
      <c r="CW1237" s="11"/>
      <c r="CX1237" s="11"/>
      <c r="CY1237" s="11"/>
      <c r="CZ1237" s="11"/>
      <c r="DA1237" s="11"/>
      <c r="DB1237" s="11"/>
      <c r="DC1237" s="11"/>
      <c r="DD1237" s="11"/>
      <c r="DE1237" s="11"/>
      <c r="DF1237" s="11"/>
      <c r="DG1237" s="11"/>
      <c r="DH1237" s="11"/>
      <c r="DI1237" s="11"/>
      <c r="DJ1237" s="11"/>
      <c r="DK1237" s="11"/>
      <c r="DL1237" s="11"/>
      <c r="DM1237" s="11"/>
      <c r="DN1237" s="11"/>
      <c r="DO1237" s="11"/>
      <c r="DP1237" s="11"/>
      <c r="DQ1237" s="11"/>
      <c r="DR1237" s="11"/>
      <c r="DS1237" s="11"/>
      <c r="DT1237" s="11"/>
      <c r="DU1237" s="11"/>
      <c r="DV1237" s="11"/>
      <c r="DW1237" s="11"/>
      <c r="DX1237" s="11"/>
      <c r="DY1237" s="11"/>
      <c r="DZ1237" s="11"/>
      <c r="EA1237" s="11"/>
      <c r="EB1237" s="11"/>
      <c r="EC1237" s="11"/>
      <c r="ED1237" s="11"/>
      <c r="EE1237" s="11"/>
      <c r="EF1237" s="11"/>
      <c r="EG1237" s="11"/>
      <c r="EH1237" s="11"/>
      <c r="EI1237" s="11"/>
      <c r="EJ1237" s="11"/>
      <c r="EK1237" s="11"/>
      <c r="EL1237" s="11"/>
      <c r="EM1237" s="11"/>
      <c r="EN1237" s="11"/>
      <c r="EO1237" s="11"/>
      <c r="EP1237" s="11"/>
      <c r="EQ1237" s="11"/>
      <c r="ER1237" s="11"/>
      <c r="ES1237" s="11"/>
      <c r="ET1237" s="11"/>
      <c r="EU1237" s="11"/>
      <c r="EV1237" s="11"/>
      <c r="EW1237" s="11"/>
      <c r="EX1237" s="11"/>
      <c r="EY1237" s="11"/>
      <c r="EZ1237" s="11"/>
      <c r="FA1237" s="11"/>
      <c r="FB1237" s="11"/>
      <c r="FC1237" s="11"/>
      <c r="FD1237" s="11"/>
      <c r="FE1237" s="11"/>
      <c r="FF1237" s="11"/>
      <c r="FG1237" s="11"/>
      <c r="FH1237" s="11"/>
      <c r="FI1237" s="11"/>
      <c r="FJ1237" s="11"/>
      <c r="FK1237" s="11"/>
      <c r="FL1237" s="11"/>
      <c r="FM1237" s="11"/>
      <c r="FN1237" s="11"/>
      <c r="FO1237" s="11"/>
      <c r="FP1237" s="11"/>
      <c r="FQ1237" s="11"/>
      <c r="FR1237" s="11"/>
      <c r="FS1237" s="11"/>
      <c r="FT1237" s="11"/>
      <c r="FU1237" s="11"/>
      <c r="FV1237" s="11"/>
      <c r="FW1237" s="11"/>
      <c r="FX1237" s="11"/>
      <c r="FY1237" s="11"/>
      <c r="FZ1237" s="11"/>
      <c r="GA1237" s="11"/>
      <c r="GB1237" s="11"/>
      <c r="GC1237" s="11"/>
      <c r="GD1237" s="11"/>
      <c r="GE1237" s="11"/>
      <c r="GF1237" s="11"/>
      <c r="GG1237" s="11"/>
      <c r="GH1237" s="11"/>
      <c r="GI1237" s="11"/>
      <c r="GJ1237" s="11"/>
      <c r="GK1237" s="11"/>
      <c r="GL1237" s="11"/>
      <c r="GM1237" s="11"/>
      <c r="GN1237" s="11"/>
      <c r="GO1237" s="11"/>
      <c r="GP1237" s="11"/>
      <c r="GQ1237" s="11"/>
      <c r="GR1237" s="11"/>
      <c r="GS1237" s="11"/>
      <c r="GT1237" s="11"/>
      <c r="GU1237" s="11"/>
      <c r="GV1237" s="11"/>
      <c r="GW1237" s="11"/>
      <c r="GX1237" s="11"/>
      <c r="GY1237" s="11"/>
      <c r="GZ1237" s="11"/>
      <c r="HA1237" s="11"/>
    </row>
    <row r="1238" spans="1:209" ht="23.25" customHeight="1" x14ac:dyDescent="0.15">
      <c r="A1238" s="11"/>
      <c r="B1238" s="11"/>
      <c r="C1238" s="1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/>
      <c r="R1238" s="11"/>
      <c r="S1238" s="11"/>
      <c r="T1238" s="11"/>
      <c r="U1238" s="11"/>
      <c r="V1238" s="11"/>
      <c r="W1238" s="11"/>
      <c r="X1238" s="11"/>
      <c r="Y1238" s="11"/>
      <c r="Z1238" s="11"/>
      <c r="AA1238" s="11"/>
      <c r="AB1238" s="11"/>
      <c r="AC1238" s="11"/>
      <c r="AD1238" s="11"/>
      <c r="AE1238" s="11"/>
      <c r="AF1238" s="11"/>
      <c r="AG1238" s="11"/>
      <c r="AH1238" s="11"/>
      <c r="AI1238" s="11"/>
      <c r="AJ1238" s="11"/>
      <c r="AK1238" s="11"/>
      <c r="AL1238" s="11"/>
      <c r="AM1238" s="11"/>
      <c r="AN1238" s="11"/>
      <c r="AO1238" s="11"/>
      <c r="AP1238" s="11"/>
      <c r="AQ1238" s="11"/>
      <c r="AR1238" s="11"/>
      <c r="AS1238" s="11"/>
      <c r="AT1238" s="11"/>
      <c r="AU1238" s="11"/>
      <c r="AV1238" s="11"/>
      <c r="AW1238" s="11"/>
      <c r="AX1238" s="11"/>
      <c r="AY1238" s="11"/>
      <c r="AZ1238" s="11"/>
      <c r="BA1238" s="11"/>
      <c r="BB1238" s="11"/>
      <c r="BC1238" s="11"/>
      <c r="BD1238" s="11"/>
      <c r="BE1238" s="11"/>
      <c r="BF1238" s="11"/>
      <c r="BG1238" s="11"/>
      <c r="BH1238" s="11"/>
      <c r="BI1238" s="11"/>
      <c r="BJ1238" s="11"/>
      <c r="BK1238" s="11"/>
      <c r="BL1238" s="11"/>
      <c r="BM1238" s="11"/>
      <c r="BN1238" s="11"/>
      <c r="BO1238" s="11"/>
      <c r="BP1238" s="11"/>
      <c r="BQ1238" s="11"/>
      <c r="BR1238" s="11"/>
      <c r="BS1238" s="11"/>
      <c r="BT1238" s="11"/>
      <c r="BU1238" s="11"/>
      <c r="BV1238" s="11"/>
      <c r="BW1238" s="52" t="s">
        <v>3434</v>
      </c>
      <c r="BX1238" s="52" t="s">
        <v>3435</v>
      </c>
      <c r="BY1238" s="11"/>
      <c r="BZ1238" s="52" t="s">
        <v>154</v>
      </c>
      <c r="CA1238" s="52" t="s">
        <v>3806</v>
      </c>
      <c r="CB1238" s="52" t="s">
        <v>3848</v>
      </c>
      <c r="CC1238" s="52" t="s">
        <v>550</v>
      </c>
      <c r="CD1238" s="53">
        <v>43891</v>
      </c>
      <c r="CE1238" s="53">
        <v>43952</v>
      </c>
      <c r="CF1238" s="52">
        <v>100</v>
      </c>
      <c r="CG1238" s="54" t="s">
        <v>3852</v>
      </c>
      <c r="CH1238" s="11"/>
      <c r="CI1238" s="11"/>
      <c r="CJ1238" s="11"/>
      <c r="CK1238" s="11"/>
      <c r="CL1238" s="11"/>
      <c r="CM1238" s="11"/>
      <c r="CN1238" s="11"/>
      <c r="CO1238" s="11"/>
      <c r="CP1238" s="11"/>
      <c r="CQ1238" s="11"/>
      <c r="CR1238" s="11"/>
      <c r="CS1238" s="11"/>
      <c r="CT1238" s="11"/>
      <c r="CU1238" s="11"/>
      <c r="CV1238" s="11"/>
      <c r="CW1238" s="11"/>
      <c r="CX1238" s="11"/>
      <c r="CY1238" s="11"/>
      <c r="CZ1238" s="11"/>
      <c r="DA1238" s="11"/>
      <c r="DB1238" s="11"/>
      <c r="DC1238" s="11"/>
      <c r="DD1238" s="11"/>
      <c r="DE1238" s="11"/>
      <c r="DF1238" s="11"/>
      <c r="DG1238" s="11"/>
      <c r="DH1238" s="11"/>
      <c r="DI1238" s="11"/>
      <c r="DJ1238" s="11"/>
      <c r="DK1238" s="11"/>
      <c r="DL1238" s="11"/>
      <c r="DM1238" s="11"/>
      <c r="DN1238" s="11"/>
      <c r="DO1238" s="11"/>
      <c r="DP1238" s="11"/>
      <c r="DQ1238" s="11"/>
      <c r="DR1238" s="11"/>
      <c r="DS1238" s="11"/>
      <c r="DT1238" s="11"/>
      <c r="DU1238" s="11"/>
      <c r="DV1238" s="11"/>
      <c r="DW1238" s="11"/>
      <c r="DX1238" s="11"/>
      <c r="DY1238" s="11"/>
      <c r="DZ1238" s="11"/>
      <c r="EA1238" s="11"/>
      <c r="EB1238" s="11"/>
      <c r="EC1238" s="11"/>
      <c r="ED1238" s="11"/>
      <c r="EE1238" s="11"/>
      <c r="EF1238" s="11"/>
      <c r="EG1238" s="11"/>
      <c r="EH1238" s="11"/>
      <c r="EI1238" s="11"/>
      <c r="EJ1238" s="11"/>
      <c r="EK1238" s="11"/>
      <c r="EL1238" s="11"/>
      <c r="EM1238" s="11"/>
      <c r="EN1238" s="11"/>
      <c r="EO1238" s="11"/>
      <c r="EP1238" s="11"/>
      <c r="EQ1238" s="11"/>
      <c r="ER1238" s="11"/>
      <c r="ES1238" s="11"/>
      <c r="ET1238" s="11"/>
      <c r="EU1238" s="11"/>
      <c r="EV1238" s="11"/>
      <c r="EW1238" s="11"/>
      <c r="EX1238" s="11"/>
      <c r="EY1238" s="11"/>
      <c r="EZ1238" s="11"/>
      <c r="FA1238" s="11"/>
      <c r="FB1238" s="11"/>
      <c r="FC1238" s="11"/>
      <c r="FD1238" s="11"/>
      <c r="FE1238" s="11"/>
      <c r="FF1238" s="11"/>
      <c r="FG1238" s="11"/>
      <c r="FH1238" s="11"/>
      <c r="FI1238" s="11"/>
      <c r="FJ1238" s="11"/>
      <c r="FK1238" s="11"/>
      <c r="FL1238" s="11"/>
      <c r="FM1238" s="11"/>
      <c r="FN1238" s="11"/>
      <c r="FO1238" s="11"/>
      <c r="FP1238" s="11"/>
      <c r="FQ1238" s="11"/>
      <c r="FR1238" s="11"/>
      <c r="FS1238" s="11"/>
      <c r="FT1238" s="11"/>
      <c r="FU1238" s="11"/>
      <c r="FV1238" s="11"/>
      <c r="FW1238" s="11"/>
      <c r="FX1238" s="11"/>
      <c r="FY1238" s="11"/>
      <c r="FZ1238" s="11"/>
      <c r="GA1238" s="11"/>
      <c r="GB1238" s="11"/>
      <c r="GC1238" s="11"/>
      <c r="GD1238" s="11"/>
      <c r="GE1238" s="11"/>
      <c r="GF1238" s="11"/>
      <c r="GG1238" s="11"/>
      <c r="GH1238" s="11"/>
      <c r="GI1238" s="11"/>
      <c r="GJ1238" s="11"/>
      <c r="GK1238" s="11"/>
      <c r="GL1238" s="11"/>
      <c r="GM1238" s="11"/>
      <c r="GN1238" s="11"/>
      <c r="GO1238" s="11"/>
      <c r="GP1238" s="11"/>
      <c r="GQ1238" s="11"/>
      <c r="GR1238" s="11"/>
      <c r="GS1238" s="11"/>
      <c r="GT1238" s="11"/>
      <c r="GU1238" s="11"/>
      <c r="GV1238" s="11"/>
      <c r="GW1238" s="11"/>
      <c r="GX1238" s="11"/>
      <c r="GY1238" s="11"/>
      <c r="GZ1238" s="11"/>
      <c r="HA1238" s="11"/>
    </row>
    <row r="1239" spans="1:209" ht="23.25" customHeight="1" x14ac:dyDescent="0.15">
      <c r="A1239" s="11"/>
      <c r="B1239" s="11"/>
      <c r="C1239" s="1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/>
      <c r="R1239" s="11"/>
      <c r="S1239" s="11"/>
      <c r="T1239" s="11"/>
      <c r="U1239" s="11"/>
      <c r="V1239" s="11"/>
      <c r="W1239" s="11"/>
      <c r="X1239" s="11"/>
      <c r="Y1239" s="11"/>
      <c r="Z1239" s="11"/>
      <c r="AA1239" s="11"/>
      <c r="AB1239" s="11"/>
      <c r="AC1239" s="11"/>
      <c r="AD1239" s="11"/>
      <c r="AE1239" s="11"/>
      <c r="AF1239" s="11"/>
      <c r="AG1239" s="11"/>
      <c r="AH1239" s="11"/>
      <c r="AI1239" s="11"/>
      <c r="AJ1239" s="11"/>
      <c r="AK1239" s="11"/>
      <c r="AL1239" s="11"/>
      <c r="AM1239" s="11"/>
      <c r="AN1239" s="11"/>
      <c r="AO1239" s="11"/>
      <c r="AP1239" s="11"/>
      <c r="AQ1239" s="11"/>
      <c r="AR1239" s="11"/>
      <c r="AS1239" s="11"/>
      <c r="AT1239" s="11"/>
      <c r="AU1239" s="11"/>
      <c r="AV1239" s="11"/>
      <c r="AW1239" s="11"/>
      <c r="AX1239" s="11"/>
      <c r="AY1239" s="11"/>
      <c r="AZ1239" s="11"/>
      <c r="BA1239" s="11"/>
      <c r="BB1239" s="11"/>
      <c r="BC1239" s="11"/>
      <c r="BD1239" s="11"/>
      <c r="BE1239" s="11"/>
      <c r="BF1239" s="11"/>
      <c r="BG1239" s="11"/>
      <c r="BH1239" s="11"/>
      <c r="BI1239" s="11"/>
      <c r="BJ1239" s="11"/>
      <c r="BK1239" s="11"/>
      <c r="BL1239" s="11"/>
      <c r="BM1239" s="11"/>
      <c r="BN1239" s="11"/>
      <c r="BO1239" s="11"/>
      <c r="BP1239" s="11"/>
      <c r="BQ1239" s="11"/>
      <c r="BR1239" s="11"/>
      <c r="BS1239" s="11"/>
      <c r="BT1239" s="11"/>
      <c r="BU1239" s="11"/>
      <c r="BV1239" s="11"/>
      <c r="BW1239" s="52" t="s">
        <v>3434</v>
      </c>
      <c r="BX1239" s="52" t="s">
        <v>3435</v>
      </c>
      <c r="BY1239" s="11"/>
      <c r="BZ1239" s="52" t="s">
        <v>154</v>
      </c>
      <c r="CA1239" s="52" t="s">
        <v>2458</v>
      </c>
      <c r="CB1239" s="52" t="s">
        <v>3848</v>
      </c>
      <c r="CC1239" s="52" t="s">
        <v>550</v>
      </c>
      <c r="CD1239" s="53">
        <v>43891</v>
      </c>
      <c r="CE1239" s="53">
        <v>43952</v>
      </c>
      <c r="CF1239" s="52">
        <v>100</v>
      </c>
      <c r="CG1239" s="54" t="s">
        <v>3853</v>
      </c>
      <c r="CH1239" s="11"/>
      <c r="CI1239" s="11"/>
      <c r="CJ1239" s="11"/>
      <c r="CK1239" s="11"/>
      <c r="CL1239" s="11"/>
      <c r="CM1239" s="11"/>
      <c r="CN1239" s="11"/>
      <c r="CO1239" s="11"/>
      <c r="CP1239" s="11"/>
      <c r="CQ1239" s="11"/>
      <c r="CR1239" s="11"/>
      <c r="CS1239" s="11"/>
      <c r="CT1239" s="11"/>
      <c r="CU1239" s="11"/>
      <c r="CV1239" s="11"/>
      <c r="CW1239" s="11"/>
      <c r="CX1239" s="11"/>
      <c r="CY1239" s="11"/>
      <c r="CZ1239" s="11"/>
      <c r="DA1239" s="11"/>
      <c r="DB1239" s="11"/>
      <c r="DC1239" s="11"/>
      <c r="DD1239" s="11"/>
      <c r="DE1239" s="11"/>
      <c r="DF1239" s="11"/>
      <c r="DG1239" s="11"/>
      <c r="DH1239" s="11"/>
      <c r="DI1239" s="11"/>
      <c r="DJ1239" s="11"/>
      <c r="DK1239" s="11"/>
      <c r="DL1239" s="11"/>
      <c r="DM1239" s="11"/>
      <c r="DN1239" s="11"/>
      <c r="DO1239" s="11"/>
      <c r="DP1239" s="11"/>
      <c r="DQ1239" s="11"/>
      <c r="DR1239" s="11"/>
      <c r="DS1239" s="11"/>
      <c r="DT1239" s="11"/>
      <c r="DU1239" s="11"/>
      <c r="DV1239" s="11"/>
      <c r="DW1239" s="11"/>
      <c r="DX1239" s="11"/>
      <c r="DY1239" s="11"/>
      <c r="DZ1239" s="11"/>
      <c r="EA1239" s="11"/>
      <c r="EB1239" s="11"/>
      <c r="EC1239" s="11"/>
      <c r="ED1239" s="11"/>
      <c r="EE1239" s="11"/>
      <c r="EF1239" s="11"/>
      <c r="EG1239" s="11"/>
      <c r="EH1239" s="11"/>
      <c r="EI1239" s="11"/>
      <c r="EJ1239" s="11"/>
      <c r="EK1239" s="11"/>
      <c r="EL1239" s="11"/>
      <c r="EM1239" s="11"/>
      <c r="EN1239" s="11"/>
      <c r="EO1239" s="11"/>
      <c r="EP1239" s="11"/>
      <c r="EQ1239" s="11"/>
      <c r="ER1239" s="11"/>
      <c r="ES1239" s="11"/>
      <c r="ET1239" s="11"/>
      <c r="EU1239" s="11"/>
      <c r="EV1239" s="11"/>
      <c r="EW1239" s="11"/>
      <c r="EX1239" s="11"/>
      <c r="EY1239" s="11"/>
      <c r="EZ1239" s="11"/>
      <c r="FA1239" s="11"/>
      <c r="FB1239" s="11"/>
      <c r="FC1239" s="11"/>
      <c r="FD1239" s="11"/>
      <c r="FE1239" s="11"/>
      <c r="FF1239" s="11"/>
      <c r="FG1239" s="11"/>
      <c r="FH1239" s="11"/>
      <c r="FI1239" s="11"/>
      <c r="FJ1239" s="11"/>
      <c r="FK1239" s="11"/>
      <c r="FL1239" s="11"/>
      <c r="FM1239" s="11"/>
      <c r="FN1239" s="11"/>
      <c r="FO1239" s="11"/>
      <c r="FP1239" s="11"/>
      <c r="FQ1239" s="11"/>
      <c r="FR1239" s="11"/>
      <c r="FS1239" s="11"/>
      <c r="FT1239" s="11"/>
      <c r="FU1239" s="11"/>
      <c r="FV1239" s="11"/>
      <c r="FW1239" s="11"/>
      <c r="FX1239" s="11"/>
      <c r="FY1239" s="11"/>
      <c r="FZ1239" s="11"/>
      <c r="GA1239" s="11"/>
      <c r="GB1239" s="11"/>
      <c r="GC1239" s="11"/>
      <c r="GD1239" s="11"/>
      <c r="GE1239" s="11"/>
      <c r="GF1239" s="11"/>
      <c r="GG1239" s="11"/>
      <c r="GH1239" s="11"/>
      <c r="GI1239" s="11"/>
      <c r="GJ1239" s="11"/>
      <c r="GK1239" s="11"/>
      <c r="GL1239" s="11"/>
      <c r="GM1239" s="11"/>
      <c r="GN1239" s="11"/>
      <c r="GO1239" s="11"/>
      <c r="GP1239" s="11"/>
      <c r="GQ1239" s="11"/>
      <c r="GR1239" s="11"/>
      <c r="GS1239" s="11"/>
      <c r="GT1239" s="11"/>
      <c r="GU1239" s="11"/>
      <c r="GV1239" s="11"/>
      <c r="GW1239" s="11"/>
      <c r="GX1239" s="11"/>
      <c r="GY1239" s="11"/>
      <c r="GZ1239" s="11"/>
      <c r="HA1239" s="11"/>
    </row>
    <row r="1240" spans="1:209" ht="23.25" customHeight="1" x14ac:dyDescent="0.15">
      <c r="A1240" s="11"/>
      <c r="B1240" s="11"/>
      <c r="C1240" s="1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/>
      <c r="R1240" s="11"/>
      <c r="S1240" s="11"/>
      <c r="T1240" s="11"/>
      <c r="U1240" s="11"/>
      <c r="V1240" s="11"/>
      <c r="W1240" s="11"/>
      <c r="X1240" s="11"/>
      <c r="Y1240" s="11"/>
      <c r="Z1240" s="11"/>
      <c r="AA1240" s="11"/>
      <c r="AB1240" s="11"/>
      <c r="AC1240" s="11"/>
      <c r="AD1240" s="11"/>
      <c r="AE1240" s="11"/>
      <c r="AF1240" s="11"/>
      <c r="AG1240" s="11"/>
      <c r="AH1240" s="11"/>
      <c r="AI1240" s="11"/>
      <c r="AJ1240" s="11"/>
      <c r="AK1240" s="11"/>
      <c r="AL1240" s="11"/>
      <c r="AM1240" s="11"/>
      <c r="AN1240" s="11"/>
      <c r="AO1240" s="11"/>
      <c r="AP1240" s="11"/>
      <c r="AQ1240" s="11"/>
      <c r="AR1240" s="11"/>
      <c r="AS1240" s="11"/>
      <c r="AT1240" s="11"/>
      <c r="AU1240" s="11"/>
      <c r="AV1240" s="11"/>
      <c r="AW1240" s="11"/>
      <c r="AX1240" s="11"/>
      <c r="AY1240" s="11"/>
      <c r="AZ1240" s="11"/>
      <c r="BA1240" s="11"/>
      <c r="BB1240" s="11"/>
      <c r="BC1240" s="11"/>
      <c r="BD1240" s="11"/>
      <c r="BE1240" s="11"/>
      <c r="BF1240" s="11"/>
      <c r="BG1240" s="11"/>
      <c r="BH1240" s="11"/>
      <c r="BI1240" s="11"/>
      <c r="BJ1240" s="11"/>
      <c r="BK1240" s="11"/>
      <c r="BL1240" s="11"/>
      <c r="BM1240" s="11"/>
      <c r="BN1240" s="11"/>
      <c r="BO1240" s="11"/>
      <c r="BP1240" s="11"/>
      <c r="BQ1240" s="11"/>
      <c r="BR1240" s="11"/>
      <c r="BS1240" s="11"/>
      <c r="BT1240" s="11"/>
      <c r="BU1240" s="11"/>
      <c r="BV1240" s="11"/>
      <c r="BW1240" s="52" t="s">
        <v>3434</v>
      </c>
      <c r="BX1240" s="52" t="s">
        <v>3435</v>
      </c>
      <c r="BY1240" s="11"/>
      <c r="BZ1240" s="52" t="s">
        <v>154</v>
      </c>
      <c r="CA1240" s="52" t="s">
        <v>3854</v>
      </c>
      <c r="CB1240" s="52" t="s">
        <v>3855</v>
      </c>
      <c r="CC1240" s="52" t="s">
        <v>550</v>
      </c>
      <c r="CD1240" s="53">
        <v>43922</v>
      </c>
      <c r="CE1240" s="53">
        <v>43971</v>
      </c>
      <c r="CF1240" s="52">
        <v>100</v>
      </c>
      <c r="CG1240" s="54" t="s">
        <v>3856</v>
      </c>
      <c r="CH1240" s="11"/>
      <c r="CI1240" s="11"/>
      <c r="CJ1240" s="11"/>
      <c r="CK1240" s="11"/>
      <c r="CL1240" s="11"/>
      <c r="CM1240" s="11"/>
      <c r="CN1240" s="11"/>
      <c r="CO1240" s="11"/>
      <c r="CP1240" s="11"/>
      <c r="CQ1240" s="11"/>
      <c r="CR1240" s="11"/>
      <c r="CS1240" s="11"/>
      <c r="CT1240" s="11"/>
      <c r="CU1240" s="11"/>
      <c r="CV1240" s="11"/>
      <c r="CW1240" s="11"/>
      <c r="CX1240" s="11"/>
      <c r="CY1240" s="11"/>
      <c r="CZ1240" s="11"/>
      <c r="DA1240" s="11"/>
      <c r="DB1240" s="11"/>
      <c r="DC1240" s="11"/>
      <c r="DD1240" s="11"/>
      <c r="DE1240" s="11"/>
      <c r="DF1240" s="11"/>
      <c r="DG1240" s="11"/>
      <c r="DH1240" s="11"/>
      <c r="DI1240" s="11"/>
      <c r="DJ1240" s="11"/>
      <c r="DK1240" s="11"/>
      <c r="DL1240" s="11"/>
      <c r="DM1240" s="11"/>
      <c r="DN1240" s="11"/>
      <c r="DO1240" s="11"/>
      <c r="DP1240" s="11"/>
      <c r="DQ1240" s="11"/>
      <c r="DR1240" s="11"/>
      <c r="DS1240" s="11"/>
      <c r="DT1240" s="11"/>
      <c r="DU1240" s="11"/>
      <c r="DV1240" s="11"/>
      <c r="DW1240" s="11"/>
      <c r="DX1240" s="11"/>
      <c r="DY1240" s="11"/>
      <c r="DZ1240" s="11"/>
      <c r="EA1240" s="11"/>
      <c r="EB1240" s="11"/>
      <c r="EC1240" s="11"/>
      <c r="ED1240" s="11"/>
      <c r="EE1240" s="11"/>
      <c r="EF1240" s="11"/>
      <c r="EG1240" s="11"/>
      <c r="EH1240" s="11"/>
      <c r="EI1240" s="11"/>
      <c r="EJ1240" s="11"/>
      <c r="EK1240" s="11"/>
      <c r="EL1240" s="11"/>
      <c r="EM1240" s="11"/>
      <c r="EN1240" s="11"/>
      <c r="EO1240" s="11"/>
      <c r="EP1240" s="11"/>
      <c r="EQ1240" s="11"/>
      <c r="ER1240" s="11"/>
      <c r="ES1240" s="11"/>
      <c r="ET1240" s="11"/>
      <c r="EU1240" s="11"/>
      <c r="EV1240" s="11"/>
      <c r="EW1240" s="11"/>
      <c r="EX1240" s="11"/>
      <c r="EY1240" s="11"/>
      <c r="EZ1240" s="11"/>
      <c r="FA1240" s="11"/>
      <c r="FB1240" s="11"/>
      <c r="FC1240" s="11"/>
      <c r="FD1240" s="11"/>
      <c r="FE1240" s="11"/>
      <c r="FF1240" s="11"/>
      <c r="FG1240" s="11"/>
      <c r="FH1240" s="11"/>
      <c r="FI1240" s="11"/>
      <c r="FJ1240" s="11"/>
      <c r="FK1240" s="11"/>
      <c r="FL1240" s="11"/>
      <c r="FM1240" s="11"/>
      <c r="FN1240" s="11"/>
      <c r="FO1240" s="11"/>
      <c r="FP1240" s="11"/>
      <c r="FQ1240" s="11"/>
      <c r="FR1240" s="11"/>
      <c r="FS1240" s="11"/>
      <c r="FT1240" s="11"/>
      <c r="FU1240" s="11"/>
      <c r="FV1240" s="11"/>
      <c r="FW1240" s="11"/>
      <c r="FX1240" s="11"/>
      <c r="FY1240" s="11"/>
      <c r="FZ1240" s="11"/>
      <c r="GA1240" s="11"/>
      <c r="GB1240" s="11"/>
      <c r="GC1240" s="11"/>
      <c r="GD1240" s="11"/>
      <c r="GE1240" s="11"/>
      <c r="GF1240" s="11"/>
      <c r="GG1240" s="11"/>
      <c r="GH1240" s="11"/>
      <c r="GI1240" s="11"/>
      <c r="GJ1240" s="11"/>
      <c r="GK1240" s="11"/>
      <c r="GL1240" s="11"/>
      <c r="GM1240" s="11"/>
      <c r="GN1240" s="11"/>
      <c r="GO1240" s="11"/>
      <c r="GP1240" s="11"/>
      <c r="GQ1240" s="11"/>
      <c r="GR1240" s="11"/>
      <c r="GS1240" s="11"/>
      <c r="GT1240" s="11"/>
      <c r="GU1240" s="11"/>
      <c r="GV1240" s="11"/>
      <c r="GW1240" s="11"/>
      <c r="GX1240" s="11"/>
      <c r="GY1240" s="11"/>
      <c r="GZ1240" s="11"/>
      <c r="HA1240" s="11"/>
    </row>
    <row r="1241" spans="1:209" ht="23.25" customHeight="1" x14ac:dyDescent="0.15">
      <c r="A1241" s="11"/>
      <c r="B1241" s="11"/>
      <c r="C1241" s="11"/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/>
      <c r="R1241" s="11"/>
      <c r="S1241" s="11"/>
      <c r="T1241" s="11"/>
      <c r="U1241" s="11"/>
      <c r="V1241" s="11"/>
      <c r="W1241" s="11"/>
      <c r="X1241" s="11"/>
      <c r="Y1241" s="11"/>
      <c r="Z1241" s="11"/>
      <c r="AA1241" s="11"/>
      <c r="AB1241" s="11"/>
      <c r="AC1241" s="11"/>
      <c r="AD1241" s="11"/>
      <c r="AE1241" s="11"/>
      <c r="AF1241" s="11"/>
      <c r="AG1241" s="11"/>
      <c r="AH1241" s="11"/>
      <c r="AI1241" s="11"/>
      <c r="AJ1241" s="11"/>
      <c r="AK1241" s="11"/>
      <c r="AL1241" s="11"/>
      <c r="AM1241" s="11"/>
      <c r="AN1241" s="11"/>
      <c r="AO1241" s="11"/>
      <c r="AP1241" s="11"/>
      <c r="AQ1241" s="11"/>
      <c r="AR1241" s="11"/>
      <c r="AS1241" s="11"/>
      <c r="AT1241" s="11"/>
      <c r="AU1241" s="11"/>
      <c r="AV1241" s="11"/>
      <c r="AW1241" s="11"/>
      <c r="AX1241" s="11"/>
      <c r="AY1241" s="11"/>
      <c r="AZ1241" s="11"/>
      <c r="BA1241" s="11"/>
      <c r="BB1241" s="11"/>
      <c r="BC1241" s="11"/>
      <c r="BD1241" s="11"/>
      <c r="BE1241" s="11"/>
      <c r="BF1241" s="11"/>
      <c r="BG1241" s="11"/>
      <c r="BH1241" s="11"/>
      <c r="BI1241" s="11"/>
      <c r="BJ1241" s="11"/>
      <c r="BK1241" s="11"/>
      <c r="BL1241" s="11"/>
      <c r="BM1241" s="11"/>
      <c r="BN1241" s="11"/>
      <c r="BO1241" s="11"/>
      <c r="BP1241" s="11"/>
      <c r="BQ1241" s="11"/>
      <c r="BR1241" s="11"/>
      <c r="BS1241" s="11"/>
      <c r="BT1241" s="11"/>
      <c r="BU1241" s="11"/>
      <c r="BV1241" s="11"/>
      <c r="BW1241" s="52" t="s">
        <v>3434</v>
      </c>
      <c r="BX1241" s="52" t="s">
        <v>3435</v>
      </c>
      <c r="BY1241" s="11"/>
      <c r="BZ1241" s="52" t="s">
        <v>154</v>
      </c>
      <c r="CA1241" s="52" t="s">
        <v>3857</v>
      </c>
      <c r="CB1241" s="52" t="s">
        <v>3855</v>
      </c>
      <c r="CC1241" s="52" t="s">
        <v>550</v>
      </c>
      <c r="CD1241" s="53">
        <v>43891</v>
      </c>
      <c r="CE1241" s="53">
        <v>43952</v>
      </c>
      <c r="CF1241" s="52">
        <v>100</v>
      </c>
      <c r="CG1241" s="54" t="s">
        <v>3858</v>
      </c>
      <c r="CH1241" s="11"/>
      <c r="CI1241" s="11"/>
      <c r="CJ1241" s="11"/>
      <c r="CK1241" s="11"/>
      <c r="CL1241" s="11"/>
      <c r="CM1241" s="11"/>
      <c r="CN1241" s="11"/>
      <c r="CO1241" s="11"/>
      <c r="CP1241" s="11"/>
      <c r="CQ1241" s="11"/>
      <c r="CR1241" s="11"/>
      <c r="CS1241" s="11"/>
      <c r="CT1241" s="11"/>
      <c r="CU1241" s="11"/>
      <c r="CV1241" s="11"/>
      <c r="CW1241" s="11"/>
      <c r="CX1241" s="11"/>
      <c r="CY1241" s="11"/>
      <c r="CZ1241" s="11"/>
      <c r="DA1241" s="11"/>
      <c r="DB1241" s="11"/>
      <c r="DC1241" s="11"/>
      <c r="DD1241" s="11"/>
      <c r="DE1241" s="11"/>
      <c r="DF1241" s="11"/>
      <c r="DG1241" s="11"/>
      <c r="DH1241" s="11"/>
      <c r="DI1241" s="11"/>
      <c r="DJ1241" s="11"/>
      <c r="DK1241" s="11"/>
      <c r="DL1241" s="11"/>
      <c r="DM1241" s="11"/>
      <c r="DN1241" s="11"/>
      <c r="DO1241" s="11"/>
      <c r="DP1241" s="11"/>
      <c r="DQ1241" s="11"/>
      <c r="DR1241" s="11"/>
      <c r="DS1241" s="11"/>
      <c r="DT1241" s="11"/>
      <c r="DU1241" s="11"/>
      <c r="DV1241" s="11"/>
      <c r="DW1241" s="11"/>
      <c r="DX1241" s="11"/>
      <c r="DY1241" s="11"/>
      <c r="DZ1241" s="11"/>
      <c r="EA1241" s="11"/>
      <c r="EB1241" s="11"/>
      <c r="EC1241" s="11"/>
      <c r="ED1241" s="11"/>
      <c r="EE1241" s="11"/>
      <c r="EF1241" s="11"/>
      <c r="EG1241" s="11"/>
      <c r="EH1241" s="11"/>
      <c r="EI1241" s="11"/>
      <c r="EJ1241" s="11"/>
      <c r="EK1241" s="11"/>
      <c r="EL1241" s="11"/>
      <c r="EM1241" s="11"/>
      <c r="EN1241" s="11"/>
      <c r="EO1241" s="11"/>
      <c r="EP1241" s="11"/>
      <c r="EQ1241" s="11"/>
      <c r="ER1241" s="11"/>
      <c r="ES1241" s="11"/>
      <c r="ET1241" s="11"/>
      <c r="EU1241" s="11"/>
      <c r="EV1241" s="11"/>
      <c r="EW1241" s="11"/>
      <c r="EX1241" s="11"/>
      <c r="EY1241" s="11"/>
      <c r="EZ1241" s="11"/>
      <c r="FA1241" s="11"/>
      <c r="FB1241" s="11"/>
      <c r="FC1241" s="11"/>
      <c r="FD1241" s="11"/>
      <c r="FE1241" s="11"/>
      <c r="FF1241" s="11"/>
      <c r="FG1241" s="11"/>
      <c r="FH1241" s="11"/>
      <c r="FI1241" s="11"/>
      <c r="FJ1241" s="11"/>
      <c r="FK1241" s="11"/>
      <c r="FL1241" s="11"/>
      <c r="FM1241" s="11"/>
      <c r="FN1241" s="11"/>
      <c r="FO1241" s="11"/>
      <c r="FP1241" s="11"/>
      <c r="FQ1241" s="11"/>
      <c r="FR1241" s="11"/>
      <c r="FS1241" s="11"/>
      <c r="FT1241" s="11"/>
      <c r="FU1241" s="11"/>
      <c r="FV1241" s="11"/>
      <c r="FW1241" s="11"/>
      <c r="FX1241" s="11"/>
      <c r="FY1241" s="11"/>
      <c r="FZ1241" s="11"/>
      <c r="GA1241" s="11"/>
      <c r="GB1241" s="11"/>
      <c r="GC1241" s="11"/>
      <c r="GD1241" s="11"/>
      <c r="GE1241" s="11"/>
      <c r="GF1241" s="11"/>
      <c r="GG1241" s="11"/>
      <c r="GH1241" s="11"/>
      <c r="GI1241" s="11"/>
      <c r="GJ1241" s="11"/>
      <c r="GK1241" s="11"/>
      <c r="GL1241" s="11"/>
      <c r="GM1241" s="11"/>
      <c r="GN1241" s="11"/>
      <c r="GO1241" s="11"/>
      <c r="GP1241" s="11"/>
      <c r="GQ1241" s="11"/>
      <c r="GR1241" s="11"/>
      <c r="GS1241" s="11"/>
      <c r="GT1241" s="11"/>
      <c r="GU1241" s="11"/>
      <c r="GV1241" s="11"/>
      <c r="GW1241" s="11"/>
      <c r="GX1241" s="11"/>
      <c r="GY1241" s="11"/>
      <c r="GZ1241" s="11"/>
      <c r="HA1241" s="11"/>
    </row>
    <row r="1242" spans="1:209" ht="23.25" customHeight="1" x14ac:dyDescent="0.15">
      <c r="A1242" s="11"/>
      <c r="B1242" s="11"/>
      <c r="C1242" s="1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/>
      <c r="R1242" s="11"/>
      <c r="S1242" s="11"/>
      <c r="T1242" s="11"/>
      <c r="U1242" s="11"/>
      <c r="V1242" s="11"/>
      <c r="W1242" s="11"/>
      <c r="X1242" s="11"/>
      <c r="Y1242" s="11"/>
      <c r="Z1242" s="11"/>
      <c r="AA1242" s="11"/>
      <c r="AB1242" s="11"/>
      <c r="AC1242" s="11"/>
      <c r="AD1242" s="11"/>
      <c r="AE1242" s="11"/>
      <c r="AF1242" s="11"/>
      <c r="AG1242" s="11"/>
      <c r="AH1242" s="11"/>
      <c r="AI1242" s="11"/>
      <c r="AJ1242" s="11"/>
      <c r="AK1242" s="11"/>
      <c r="AL1242" s="11"/>
      <c r="AM1242" s="11"/>
      <c r="AN1242" s="11"/>
      <c r="AO1242" s="11"/>
      <c r="AP1242" s="11"/>
      <c r="AQ1242" s="11"/>
      <c r="AR1242" s="11"/>
      <c r="AS1242" s="11"/>
      <c r="AT1242" s="11"/>
      <c r="AU1242" s="11"/>
      <c r="AV1242" s="11"/>
      <c r="AW1242" s="11"/>
      <c r="AX1242" s="11"/>
      <c r="AY1242" s="11"/>
      <c r="AZ1242" s="11"/>
      <c r="BA1242" s="11"/>
      <c r="BB1242" s="11"/>
      <c r="BC1242" s="11"/>
      <c r="BD1242" s="11"/>
      <c r="BE1242" s="11"/>
      <c r="BF1242" s="11"/>
      <c r="BG1242" s="11"/>
      <c r="BH1242" s="11"/>
      <c r="BI1242" s="11"/>
      <c r="BJ1242" s="11"/>
      <c r="BK1242" s="11"/>
      <c r="BL1242" s="11"/>
      <c r="BM1242" s="11"/>
      <c r="BN1242" s="11"/>
      <c r="BO1242" s="11"/>
      <c r="BP1242" s="11"/>
      <c r="BQ1242" s="11"/>
      <c r="BR1242" s="11"/>
      <c r="BS1242" s="11"/>
      <c r="BT1242" s="11"/>
      <c r="BU1242" s="11"/>
      <c r="BV1242" s="11"/>
      <c r="BW1242" s="52" t="s">
        <v>3434</v>
      </c>
      <c r="BX1242" s="52" t="s">
        <v>3435</v>
      </c>
      <c r="BY1242" s="11"/>
      <c r="BZ1242" s="52" t="s">
        <v>154</v>
      </c>
      <c r="CA1242" s="52" t="s">
        <v>3775</v>
      </c>
      <c r="CB1242" s="52" t="s">
        <v>3859</v>
      </c>
      <c r="CC1242" s="52" t="s">
        <v>879</v>
      </c>
      <c r="CD1242" s="53">
        <v>43952</v>
      </c>
      <c r="CE1242" s="53">
        <v>44013</v>
      </c>
      <c r="CF1242" s="52">
        <v>100</v>
      </c>
      <c r="CG1242" s="54" t="s">
        <v>3860</v>
      </c>
      <c r="CH1242" s="11"/>
      <c r="CI1242" s="11"/>
      <c r="CJ1242" s="11"/>
      <c r="CK1242" s="11"/>
      <c r="CL1242" s="11"/>
      <c r="CM1242" s="11"/>
      <c r="CN1242" s="11"/>
      <c r="CO1242" s="11"/>
      <c r="CP1242" s="11"/>
      <c r="CQ1242" s="11"/>
      <c r="CR1242" s="11"/>
      <c r="CS1242" s="11"/>
      <c r="CT1242" s="11"/>
      <c r="CU1242" s="11"/>
      <c r="CV1242" s="11"/>
      <c r="CW1242" s="11"/>
      <c r="CX1242" s="11"/>
      <c r="CY1242" s="11"/>
      <c r="CZ1242" s="11"/>
      <c r="DA1242" s="11"/>
      <c r="DB1242" s="11"/>
      <c r="DC1242" s="11"/>
      <c r="DD1242" s="11"/>
      <c r="DE1242" s="11"/>
      <c r="DF1242" s="11"/>
      <c r="DG1242" s="11"/>
      <c r="DH1242" s="11"/>
      <c r="DI1242" s="11"/>
      <c r="DJ1242" s="11"/>
      <c r="DK1242" s="11"/>
      <c r="DL1242" s="11"/>
      <c r="DM1242" s="11"/>
      <c r="DN1242" s="11"/>
      <c r="DO1242" s="11"/>
      <c r="DP1242" s="11"/>
      <c r="DQ1242" s="11"/>
      <c r="DR1242" s="11"/>
      <c r="DS1242" s="11"/>
      <c r="DT1242" s="11"/>
      <c r="DU1242" s="11"/>
      <c r="DV1242" s="11"/>
      <c r="DW1242" s="11"/>
      <c r="DX1242" s="11"/>
      <c r="DY1242" s="11"/>
      <c r="DZ1242" s="11"/>
      <c r="EA1242" s="11"/>
      <c r="EB1242" s="11"/>
      <c r="EC1242" s="11"/>
      <c r="ED1242" s="11"/>
      <c r="EE1242" s="11"/>
      <c r="EF1242" s="11"/>
      <c r="EG1242" s="11"/>
      <c r="EH1242" s="11"/>
      <c r="EI1242" s="11"/>
      <c r="EJ1242" s="11"/>
      <c r="EK1242" s="11"/>
      <c r="EL1242" s="11"/>
      <c r="EM1242" s="11"/>
      <c r="EN1242" s="11"/>
      <c r="EO1242" s="11"/>
      <c r="EP1242" s="11"/>
      <c r="EQ1242" s="11"/>
      <c r="ER1242" s="11"/>
      <c r="ES1242" s="11"/>
      <c r="ET1242" s="11"/>
      <c r="EU1242" s="11"/>
      <c r="EV1242" s="11"/>
      <c r="EW1242" s="11"/>
      <c r="EX1242" s="11"/>
      <c r="EY1242" s="11"/>
      <c r="EZ1242" s="11"/>
      <c r="FA1242" s="11"/>
      <c r="FB1242" s="11"/>
      <c r="FC1242" s="11"/>
      <c r="FD1242" s="11"/>
      <c r="FE1242" s="11"/>
      <c r="FF1242" s="11"/>
      <c r="FG1242" s="11"/>
      <c r="FH1242" s="11"/>
      <c r="FI1242" s="11"/>
      <c r="FJ1242" s="11"/>
      <c r="FK1242" s="11"/>
      <c r="FL1242" s="11"/>
      <c r="FM1242" s="11"/>
      <c r="FN1242" s="11"/>
      <c r="FO1242" s="11"/>
      <c r="FP1242" s="11"/>
      <c r="FQ1242" s="11"/>
      <c r="FR1242" s="11"/>
      <c r="FS1242" s="11"/>
      <c r="FT1242" s="11"/>
      <c r="FU1242" s="11"/>
      <c r="FV1242" s="11"/>
      <c r="FW1242" s="11"/>
      <c r="FX1242" s="11"/>
      <c r="FY1242" s="11"/>
      <c r="FZ1242" s="11"/>
      <c r="GA1242" s="11"/>
      <c r="GB1242" s="11"/>
      <c r="GC1242" s="11"/>
      <c r="GD1242" s="11"/>
      <c r="GE1242" s="11"/>
      <c r="GF1242" s="11"/>
      <c r="GG1242" s="11"/>
      <c r="GH1242" s="11"/>
      <c r="GI1242" s="11"/>
      <c r="GJ1242" s="11"/>
      <c r="GK1242" s="11"/>
      <c r="GL1242" s="11"/>
      <c r="GM1242" s="11"/>
      <c r="GN1242" s="11"/>
      <c r="GO1242" s="11"/>
      <c r="GP1242" s="11"/>
      <c r="GQ1242" s="11"/>
      <c r="GR1242" s="11"/>
      <c r="GS1242" s="11"/>
      <c r="GT1242" s="11"/>
      <c r="GU1242" s="11"/>
      <c r="GV1242" s="11"/>
      <c r="GW1242" s="11"/>
      <c r="GX1242" s="11"/>
      <c r="GY1242" s="11"/>
      <c r="GZ1242" s="11"/>
      <c r="HA1242" s="11"/>
    </row>
    <row r="1243" spans="1:209" ht="23.25" customHeight="1" x14ac:dyDescent="0.15">
      <c r="A1243" s="11"/>
      <c r="B1243" s="11"/>
      <c r="C1243" s="1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/>
      <c r="R1243" s="11"/>
      <c r="S1243" s="11"/>
      <c r="T1243" s="11"/>
      <c r="U1243" s="11"/>
      <c r="V1243" s="11"/>
      <c r="W1243" s="11"/>
      <c r="X1243" s="11"/>
      <c r="Y1243" s="11"/>
      <c r="Z1243" s="11"/>
      <c r="AA1243" s="11"/>
      <c r="AB1243" s="11"/>
      <c r="AC1243" s="11"/>
      <c r="AD1243" s="11"/>
      <c r="AE1243" s="11"/>
      <c r="AF1243" s="11"/>
      <c r="AG1243" s="11"/>
      <c r="AH1243" s="11"/>
      <c r="AI1243" s="11"/>
      <c r="AJ1243" s="11"/>
      <c r="AK1243" s="11"/>
      <c r="AL1243" s="11"/>
      <c r="AM1243" s="11"/>
      <c r="AN1243" s="11"/>
      <c r="AO1243" s="11"/>
      <c r="AP1243" s="11"/>
      <c r="AQ1243" s="11"/>
      <c r="AR1243" s="11"/>
      <c r="AS1243" s="11"/>
      <c r="AT1243" s="11"/>
      <c r="AU1243" s="11"/>
      <c r="AV1243" s="11"/>
      <c r="AW1243" s="11"/>
      <c r="AX1243" s="11"/>
      <c r="AY1243" s="11"/>
      <c r="AZ1243" s="11"/>
      <c r="BA1243" s="11"/>
      <c r="BB1243" s="11"/>
      <c r="BC1243" s="11"/>
      <c r="BD1243" s="11"/>
      <c r="BE1243" s="11"/>
      <c r="BF1243" s="11"/>
      <c r="BG1243" s="11"/>
      <c r="BH1243" s="11"/>
      <c r="BI1243" s="11"/>
      <c r="BJ1243" s="11"/>
      <c r="BK1243" s="11"/>
      <c r="BL1243" s="11"/>
      <c r="BM1243" s="11"/>
      <c r="BN1243" s="11"/>
      <c r="BO1243" s="11"/>
      <c r="BP1243" s="11"/>
      <c r="BQ1243" s="11"/>
      <c r="BR1243" s="11"/>
      <c r="BS1243" s="11"/>
      <c r="BT1243" s="11"/>
      <c r="BU1243" s="11"/>
      <c r="BV1243" s="11"/>
      <c r="BW1243" s="52" t="s">
        <v>3434</v>
      </c>
      <c r="BX1243" s="52" t="s">
        <v>3435</v>
      </c>
      <c r="BY1243" s="11"/>
      <c r="BZ1243" s="52" t="s">
        <v>154</v>
      </c>
      <c r="CA1243" s="52" t="s">
        <v>3861</v>
      </c>
      <c r="CB1243" s="52" t="s">
        <v>3859</v>
      </c>
      <c r="CC1243" s="52" t="s">
        <v>879</v>
      </c>
      <c r="CD1243" s="53">
        <v>43983</v>
      </c>
      <c r="CE1243" s="53">
        <v>44013</v>
      </c>
      <c r="CF1243" s="52">
        <v>100</v>
      </c>
      <c r="CG1243" s="54" t="s">
        <v>3862</v>
      </c>
      <c r="CH1243" s="11"/>
      <c r="CI1243" s="11"/>
      <c r="CJ1243" s="11"/>
      <c r="CK1243" s="11"/>
      <c r="CL1243" s="11"/>
      <c r="CM1243" s="11"/>
      <c r="CN1243" s="11"/>
      <c r="CO1243" s="11"/>
      <c r="CP1243" s="11"/>
      <c r="CQ1243" s="11"/>
      <c r="CR1243" s="11"/>
      <c r="CS1243" s="11"/>
      <c r="CT1243" s="11"/>
      <c r="CU1243" s="11"/>
      <c r="CV1243" s="11"/>
      <c r="CW1243" s="11"/>
      <c r="CX1243" s="11"/>
      <c r="CY1243" s="11"/>
      <c r="CZ1243" s="11"/>
      <c r="DA1243" s="11"/>
      <c r="DB1243" s="11"/>
      <c r="DC1243" s="11"/>
      <c r="DD1243" s="11"/>
      <c r="DE1243" s="11"/>
      <c r="DF1243" s="11"/>
      <c r="DG1243" s="11"/>
      <c r="DH1243" s="11"/>
      <c r="DI1243" s="11"/>
      <c r="DJ1243" s="11"/>
      <c r="DK1243" s="11"/>
      <c r="DL1243" s="11"/>
      <c r="DM1243" s="11"/>
      <c r="DN1243" s="11"/>
      <c r="DO1243" s="11"/>
      <c r="DP1243" s="11"/>
      <c r="DQ1243" s="11"/>
      <c r="DR1243" s="11"/>
      <c r="DS1243" s="11"/>
      <c r="DT1243" s="11"/>
      <c r="DU1243" s="11"/>
      <c r="DV1243" s="11"/>
      <c r="DW1243" s="11"/>
      <c r="DX1243" s="11"/>
      <c r="DY1243" s="11"/>
      <c r="DZ1243" s="11"/>
      <c r="EA1243" s="11"/>
      <c r="EB1243" s="11"/>
      <c r="EC1243" s="11"/>
      <c r="ED1243" s="11"/>
      <c r="EE1243" s="11"/>
      <c r="EF1243" s="11"/>
      <c r="EG1243" s="11"/>
      <c r="EH1243" s="11"/>
      <c r="EI1243" s="11"/>
      <c r="EJ1243" s="11"/>
      <c r="EK1243" s="11"/>
      <c r="EL1243" s="11"/>
      <c r="EM1243" s="11"/>
      <c r="EN1243" s="11"/>
      <c r="EO1243" s="11"/>
      <c r="EP1243" s="11"/>
      <c r="EQ1243" s="11"/>
      <c r="ER1243" s="11"/>
      <c r="ES1243" s="11"/>
      <c r="ET1243" s="11"/>
      <c r="EU1243" s="11"/>
      <c r="EV1243" s="11"/>
      <c r="EW1243" s="11"/>
      <c r="EX1243" s="11"/>
      <c r="EY1243" s="11"/>
      <c r="EZ1243" s="11"/>
      <c r="FA1243" s="11"/>
      <c r="FB1243" s="11"/>
      <c r="FC1243" s="11"/>
      <c r="FD1243" s="11"/>
      <c r="FE1243" s="11"/>
      <c r="FF1243" s="11"/>
      <c r="FG1243" s="11"/>
      <c r="FH1243" s="11"/>
      <c r="FI1243" s="11"/>
      <c r="FJ1243" s="11"/>
      <c r="FK1243" s="11"/>
      <c r="FL1243" s="11"/>
      <c r="FM1243" s="11"/>
      <c r="FN1243" s="11"/>
      <c r="FO1243" s="11"/>
      <c r="FP1243" s="11"/>
      <c r="FQ1243" s="11"/>
      <c r="FR1243" s="11"/>
      <c r="FS1243" s="11"/>
      <c r="FT1243" s="11"/>
      <c r="FU1243" s="11"/>
      <c r="FV1243" s="11"/>
      <c r="FW1243" s="11"/>
      <c r="FX1243" s="11"/>
      <c r="FY1243" s="11"/>
      <c r="FZ1243" s="11"/>
      <c r="GA1243" s="11"/>
      <c r="GB1243" s="11"/>
      <c r="GC1243" s="11"/>
      <c r="GD1243" s="11"/>
      <c r="GE1243" s="11"/>
      <c r="GF1243" s="11"/>
      <c r="GG1243" s="11"/>
      <c r="GH1243" s="11"/>
      <c r="GI1243" s="11"/>
      <c r="GJ1243" s="11"/>
      <c r="GK1243" s="11"/>
      <c r="GL1243" s="11"/>
      <c r="GM1243" s="11"/>
      <c r="GN1243" s="11"/>
      <c r="GO1243" s="11"/>
      <c r="GP1243" s="11"/>
      <c r="GQ1243" s="11"/>
      <c r="GR1243" s="11"/>
      <c r="GS1243" s="11"/>
      <c r="GT1243" s="11"/>
      <c r="GU1243" s="11"/>
      <c r="GV1243" s="11"/>
      <c r="GW1243" s="11"/>
      <c r="GX1243" s="11"/>
      <c r="GY1243" s="11"/>
      <c r="GZ1243" s="11"/>
      <c r="HA1243" s="11"/>
    </row>
    <row r="1244" spans="1:209" ht="23.25" customHeight="1" x14ac:dyDescent="0.15">
      <c r="A1244" s="11"/>
      <c r="B1244" s="11"/>
      <c r="C1244" s="1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/>
      <c r="R1244" s="11"/>
      <c r="S1244" s="11"/>
      <c r="T1244" s="11"/>
      <c r="U1244" s="11"/>
      <c r="V1244" s="11"/>
      <c r="W1244" s="11"/>
      <c r="X1244" s="11"/>
      <c r="Y1244" s="11"/>
      <c r="Z1244" s="11"/>
      <c r="AA1244" s="11"/>
      <c r="AB1244" s="11"/>
      <c r="AC1244" s="11"/>
      <c r="AD1244" s="11"/>
      <c r="AE1244" s="11"/>
      <c r="AF1244" s="11"/>
      <c r="AG1244" s="11"/>
      <c r="AH1244" s="11"/>
      <c r="AI1244" s="11"/>
      <c r="AJ1244" s="11"/>
      <c r="AK1244" s="11"/>
      <c r="AL1244" s="11"/>
      <c r="AM1244" s="11"/>
      <c r="AN1244" s="11"/>
      <c r="AO1244" s="11"/>
      <c r="AP1244" s="11"/>
      <c r="AQ1244" s="11"/>
      <c r="AR1244" s="11"/>
      <c r="AS1244" s="11"/>
      <c r="AT1244" s="11"/>
      <c r="AU1244" s="11"/>
      <c r="AV1244" s="11"/>
      <c r="AW1244" s="11"/>
      <c r="AX1244" s="11"/>
      <c r="AY1244" s="11"/>
      <c r="AZ1244" s="11"/>
      <c r="BA1244" s="11"/>
      <c r="BB1244" s="11"/>
      <c r="BC1244" s="11"/>
      <c r="BD1244" s="11"/>
      <c r="BE1244" s="11"/>
      <c r="BF1244" s="11"/>
      <c r="BG1244" s="11"/>
      <c r="BH1244" s="11"/>
      <c r="BI1244" s="11"/>
      <c r="BJ1244" s="11"/>
      <c r="BK1244" s="11"/>
      <c r="BL1244" s="11"/>
      <c r="BM1244" s="11"/>
      <c r="BN1244" s="11"/>
      <c r="BO1244" s="11"/>
      <c r="BP1244" s="11"/>
      <c r="BQ1244" s="11"/>
      <c r="BR1244" s="11"/>
      <c r="BS1244" s="11"/>
      <c r="BT1244" s="11"/>
      <c r="BU1244" s="11"/>
      <c r="BV1244" s="11"/>
      <c r="BW1244" s="52" t="s">
        <v>3456</v>
      </c>
      <c r="BX1244" s="52" t="s">
        <v>3457</v>
      </c>
      <c r="BY1244" s="11"/>
      <c r="BZ1244" s="52" t="s">
        <v>145</v>
      </c>
      <c r="CA1244" s="52" t="s">
        <v>3863</v>
      </c>
      <c r="CB1244" s="52" t="s">
        <v>1449</v>
      </c>
      <c r="CC1244" s="52" t="s">
        <v>3605</v>
      </c>
      <c r="CD1244" s="53">
        <v>43551</v>
      </c>
      <c r="CE1244" s="53">
        <v>43551</v>
      </c>
      <c r="CF1244" s="52">
        <v>100</v>
      </c>
      <c r="CG1244" s="54" t="s">
        <v>3864</v>
      </c>
      <c r="CH1244" s="11"/>
      <c r="CI1244" s="11"/>
      <c r="CJ1244" s="11"/>
      <c r="CK1244" s="11"/>
      <c r="CL1244" s="11"/>
      <c r="CM1244" s="11"/>
      <c r="CN1244" s="11"/>
      <c r="CO1244" s="11"/>
      <c r="CP1244" s="11"/>
      <c r="CQ1244" s="11"/>
      <c r="CR1244" s="11"/>
      <c r="CS1244" s="11"/>
      <c r="CT1244" s="11"/>
      <c r="CU1244" s="11"/>
      <c r="CV1244" s="11"/>
      <c r="CW1244" s="11"/>
      <c r="CX1244" s="11"/>
      <c r="CY1244" s="11"/>
      <c r="CZ1244" s="11"/>
      <c r="DA1244" s="11"/>
      <c r="DB1244" s="11"/>
      <c r="DC1244" s="11"/>
      <c r="DD1244" s="11"/>
      <c r="DE1244" s="11"/>
      <c r="DF1244" s="11"/>
      <c r="DG1244" s="11"/>
      <c r="DH1244" s="11"/>
      <c r="DI1244" s="11"/>
      <c r="DJ1244" s="11"/>
      <c r="DK1244" s="11"/>
      <c r="DL1244" s="11"/>
      <c r="DM1244" s="11"/>
      <c r="DN1244" s="11"/>
      <c r="DO1244" s="11"/>
      <c r="DP1244" s="11"/>
      <c r="DQ1244" s="11"/>
      <c r="DR1244" s="11"/>
      <c r="DS1244" s="11"/>
      <c r="DT1244" s="11"/>
      <c r="DU1244" s="11"/>
      <c r="DV1244" s="11"/>
      <c r="DW1244" s="11"/>
      <c r="DX1244" s="11"/>
      <c r="DY1244" s="11"/>
      <c r="DZ1244" s="11"/>
      <c r="EA1244" s="11"/>
      <c r="EB1244" s="11"/>
      <c r="EC1244" s="11"/>
      <c r="ED1244" s="11"/>
      <c r="EE1244" s="11"/>
      <c r="EF1244" s="11"/>
      <c r="EG1244" s="11"/>
      <c r="EH1244" s="11"/>
      <c r="EI1244" s="11"/>
      <c r="EJ1244" s="11"/>
      <c r="EK1244" s="11"/>
      <c r="EL1244" s="11"/>
      <c r="EM1244" s="11"/>
      <c r="EN1244" s="11"/>
      <c r="EO1244" s="11"/>
      <c r="EP1244" s="11"/>
      <c r="EQ1244" s="11"/>
      <c r="ER1244" s="11"/>
      <c r="ES1244" s="11"/>
      <c r="ET1244" s="11"/>
      <c r="EU1244" s="11"/>
      <c r="EV1244" s="11"/>
      <c r="EW1244" s="11"/>
      <c r="EX1244" s="11"/>
      <c r="EY1244" s="11"/>
      <c r="EZ1244" s="11"/>
      <c r="FA1244" s="11"/>
      <c r="FB1244" s="11"/>
      <c r="FC1244" s="11"/>
      <c r="FD1244" s="11"/>
      <c r="FE1244" s="11"/>
      <c r="FF1244" s="11"/>
      <c r="FG1244" s="11"/>
      <c r="FH1244" s="11"/>
      <c r="FI1244" s="11"/>
      <c r="FJ1244" s="11"/>
      <c r="FK1244" s="11"/>
      <c r="FL1244" s="11"/>
      <c r="FM1244" s="11"/>
      <c r="FN1244" s="11"/>
      <c r="FO1244" s="11"/>
      <c r="FP1244" s="11"/>
      <c r="FQ1244" s="11"/>
      <c r="FR1244" s="11"/>
      <c r="FS1244" s="11"/>
      <c r="FT1244" s="11"/>
      <c r="FU1244" s="11"/>
      <c r="FV1244" s="11"/>
      <c r="FW1244" s="11"/>
      <c r="FX1244" s="11"/>
      <c r="FY1244" s="11"/>
      <c r="FZ1244" s="11"/>
      <c r="GA1244" s="11"/>
      <c r="GB1244" s="11"/>
      <c r="GC1244" s="11"/>
      <c r="GD1244" s="11"/>
      <c r="GE1244" s="11"/>
      <c r="GF1244" s="11"/>
      <c r="GG1244" s="11"/>
      <c r="GH1244" s="11"/>
      <c r="GI1244" s="11"/>
      <c r="GJ1244" s="11"/>
      <c r="GK1244" s="11"/>
      <c r="GL1244" s="11"/>
      <c r="GM1244" s="11"/>
      <c r="GN1244" s="11"/>
      <c r="GO1244" s="11"/>
      <c r="GP1244" s="11"/>
      <c r="GQ1244" s="11"/>
      <c r="GR1244" s="11"/>
      <c r="GS1244" s="11"/>
      <c r="GT1244" s="11"/>
      <c r="GU1244" s="11"/>
      <c r="GV1244" s="11"/>
      <c r="GW1244" s="11"/>
      <c r="GX1244" s="11"/>
      <c r="GY1244" s="11"/>
      <c r="GZ1244" s="11"/>
      <c r="HA1244" s="11"/>
    </row>
    <row r="1245" spans="1:209" ht="23.25" customHeight="1" x14ac:dyDescent="0.15">
      <c r="A1245" s="11"/>
      <c r="B1245" s="11"/>
      <c r="C1245" s="1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/>
      <c r="R1245" s="11"/>
      <c r="S1245" s="11"/>
      <c r="T1245" s="11"/>
      <c r="U1245" s="11"/>
      <c r="V1245" s="11"/>
      <c r="W1245" s="11"/>
      <c r="X1245" s="11"/>
      <c r="Y1245" s="11"/>
      <c r="Z1245" s="11"/>
      <c r="AA1245" s="11"/>
      <c r="AB1245" s="11"/>
      <c r="AC1245" s="11"/>
      <c r="AD1245" s="11"/>
      <c r="AE1245" s="11"/>
      <c r="AF1245" s="11"/>
      <c r="AG1245" s="11"/>
      <c r="AH1245" s="11"/>
      <c r="AI1245" s="11"/>
      <c r="AJ1245" s="11"/>
      <c r="AK1245" s="11"/>
      <c r="AL1245" s="11"/>
      <c r="AM1245" s="11"/>
      <c r="AN1245" s="11"/>
      <c r="AO1245" s="11"/>
      <c r="AP1245" s="11"/>
      <c r="AQ1245" s="11"/>
      <c r="AR1245" s="11"/>
      <c r="AS1245" s="11"/>
      <c r="AT1245" s="11"/>
      <c r="AU1245" s="11"/>
      <c r="AV1245" s="11"/>
      <c r="AW1245" s="11"/>
      <c r="AX1245" s="11"/>
      <c r="AY1245" s="11"/>
      <c r="AZ1245" s="11"/>
      <c r="BA1245" s="11"/>
      <c r="BB1245" s="11"/>
      <c r="BC1245" s="11"/>
      <c r="BD1245" s="11"/>
      <c r="BE1245" s="11"/>
      <c r="BF1245" s="11"/>
      <c r="BG1245" s="11"/>
      <c r="BH1245" s="11"/>
      <c r="BI1245" s="11"/>
      <c r="BJ1245" s="11"/>
      <c r="BK1245" s="11"/>
      <c r="BL1245" s="11"/>
      <c r="BM1245" s="11"/>
      <c r="BN1245" s="11"/>
      <c r="BO1245" s="11"/>
      <c r="BP1245" s="11"/>
      <c r="BQ1245" s="11"/>
      <c r="BR1245" s="11"/>
      <c r="BS1245" s="11"/>
      <c r="BT1245" s="11"/>
      <c r="BU1245" s="11"/>
      <c r="BV1245" s="11"/>
      <c r="BW1245" s="52" t="s">
        <v>3456</v>
      </c>
      <c r="BX1245" s="52" t="s">
        <v>3457</v>
      </c>
      <c r="BY1245" s="11"/>
      <c r="BZ1245" s="52" t="s">
        <v>166</v>
      </c>
      <c r="CA1245" s="52" t="s">
        <v>1751</v>
      </c>
      <c r="CB1245" s="52" t="s">
        <v>343</v>
      </c>
      <c r="CC1245" s="52" t="s">
        <v>2114</v>
      </c>
      <c r="CD1245" s="53">
        <v>43995</v>
      </c>
      <c r="CE1245" s="53">
        <v>44025</v>
      </c>
      <c r="CF1245" s="52">
        <v>100</v>
      </c>
      <c r="CG1245" s="54" t="s">
        <v>3865</v>
      </c>
      <c r="CH1245" s="11"/>
      <c r="CI1245" s="11"/>
      <c r="CJ1245" s="11"/>
      <c r="CK1245" s="11"/>
      <c r="CL1245" s="11"/>
      <c r="CM1245" s="11"/>
      <c r="CN1245" s="11"/>
      <c r="CO1245" s="11"/>
      <c r="CP1245" s="11"/>
      <c r="CQ1245" s="11"/>
      <c r="CR1245" s="11"/>
      <c r="CS1245" s="11"/>
      <c r="CT1245" s="11"/>
      <c r="CU1245" s="11"/>
      <c r="CV1245" s="11"/>
      <c r="CW1245" s="11"/>
      <c r="CX1245" s="11"/>
      <c r="CY1245" s="11"/>
      <c r="CZ1245" s="11"/>
      <c r="DA1245" s="11"/>
      <c r="DB1245" s="11"/>
      <c r="DC1245" s="11"/>
      <c r="DD1245" s="11"/>
      <c r="DE1245" s="11"/>
      <c r="DF1245" s="11"/>
      <c r="DG1245" s="11"/>
      <c r="DH1245" s="11"/>
      <c r="DI1245" s="11"/>
      <c r="DJ1245" s="11"/>
      <c r="DK1245" s="11"/>
      <c r="DL1245" s="11"/>
      <c r="DM1245" s="11"/>
      <c r="DN1245" s="11"/>
      <c r="DO1245" s="11"/>
      <c r="DP1245" s="11"/>
      <c r="DQ1245" s="11"/>
      <c r="DR1245" s="11"/>
      <c r="DS1245" s="11"/>
      <c r="DT1245" s="11"/>
      <c r="DU1245" s="11"/>
      <c r="DV1245" s="11"/>
      <c r="DW1245" s="11"/>
      <c r="DX1245" s="11"/>
      <c r="DY1245" s="11"/>
      <c r="DZ1245" s="11"/>
      <c r="EA1245" s="11"/>
      <c r="EB1245" s="11"/>
      <c r="EC1245" s="11"/>
      <c r="ED1245" s="11"/>
      <c r="EE1245" s="11"/>
      <c r="EF1245" s="11"/>
      <c r="EG1245" s="11"/>
      <c r="EH1245" s="11"/>
      <c r="EI1245" s="11"/>
      <c r="EJ1245" s="11"/>
      <c r="EK1245" s="11"/>
      <c r="EL1245" s="11"/>
      <c r="EM1245" s="11"/>
      <c r="EN1245" s="11"/>
      <c r="EO1245" s="11"/>
      <c r="EP1245" s="11"/>
      <c r="EQ1245" s="11"/>
      <c r="ER1245" s="11"/>
      <c r="ES1245" s="11"/>
      <c r="ET1245" s="11"/>
      <c r="EU1245" s="11"/>
      <c r="EV1245" s="11"/>
      <c r="EW1245" s="11"/>
      <c r="EX1245" s="11"/>
      <c r="EY1245" s="11"/>
      <c r="EZ1245" s="11"/>
      <c r="FA1245" s="11"/>
      <c r="FB1245" s="11"/>
      <c r="FC1245" s="11"/>
      <c r="FD1245" s="11"/>
      <c r="FE1245" s="11"/>
      <c r="FF1245" s="11"/>
      <c r="FG1245" s="11"/>
      <c r="FH1245" s="11"/>
      <c r="FI1245" s="11"/>
      <c r="FJ1245" s="11"/>
      <c r="FK1245" s="11"/>
      <c r="FL1245" s="11"/>
      <c r="FM1245" s="11"/>
      <c r="FN1245" s="11"/>
      <c r="FO1245" s="11"/>
      <c r="FP1245" s="11"/>
      <c r="FQ1245" s="11"/>
      <c r="FR1245" s="11"/>
      <c r="FS1245" s="11"/>
      <c r="FT1245" s="11"/>
      <c r="FU1245" s="11"/>
      <c r="FV1245" s="11"/>
      <c r="FW1245" s="11"/>
      <c r="FX1245" s="11"/>
      <c r="FY1245" s="11"/>
      <c r="FZ1245" s="11"/>
      <c r="GA1245" s="11"/>
      <c r="GB1245" s="11"/>
      <c r="GC1245" s="11"/>
      <c r="GD1245" s="11"/>
      <c r="GE1245" s="11"/>
      <c r="GF1245" s="11"/>
      <c r="GG1245" s="11"/>
      <c r="GH1245" s="11"/>
      <c r="GI1245" s="11"/>
      <c r="GJ1245" s="11"/>
      <c r="GK1245" s="11"/>
      <c r="GL1245" s="11"/>
      <c r="GM1245" s="11"/>
      <c r="GN1245" s="11"/>
      <c r="GO1245" s="11"/>
      <c r="GP1245" s="11"/>
      <c r="GQ1245" s="11"/>
      <c r="GR1245" s="11"/>
      <c r="GS1245" s="11"/>
      <c r="GT1245" s="11"/>
      <c r="GU1245" s="11"/>
      <c r="GV1245" s="11"/>
      <c r="GW1245" s="11"/>
      <c r="GX1245" s="11"/>
      <c r="GY1245" s="11"/>
      <c r="GZ1245" s="11"/>
      <c r="HA1245" s="11"/>
    </row>
    <row r="1246" spans="1:209" ht="23.25" customHeight="1" x14ac:dyDescent="0.15">
      <c r="A1246" s="11"/>
      <c r="B1246" s="11"/>
      <c r="C1246" s="1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/>
      <c r="R1246" s="11"/>
      <c r="S1246" s="11"/>
      <c r="T1246" s="11"/>
      <c r="U1246" s="11"/>
      <c r="V1246" s="11"/>
      <c r="W1246" s="11"/>
      <c r="X1246" s="11"/>
      <c r="Y1246" s="11"/>
      <c r="Z1246" s="11"/>
      <c r="AA1246" s="11"/>
      <c r="AB1246" s="11"/>
      <c r="AC1246" s="11"/>
      <c r="AD1246" s="11"/>
      <c r="AE1246" s="11"/>
      <c r="AF1246" s="11"/>
      <c r="AG1246" s="11"/>
      <c r="AH1246" s="11"/>
      <c r="AI1246" s="11"/>
      <c r="AJ1246" s="11"/>
      <c r="AK1246" s="11"/>
      <c r="AL1246" s="11"/>
      <c r="AM1246" s="11"/>
      <c r="AN1246" s="11"/>
      <c r="AO1246" s="11"/>
      <c r="AP1246" s="11"/>
      <c r="AQ1246" s="11"/>
      <c r="AR1246" s="11"/>
      <c r="AS1246" s="11"/>
      <c r="AT1246" s="11"/>
      <c r="AU1246" s="11"/>
      <c r="AV1246" s="11"/>
      <c r="AW1246" s="11"/>
      <c r="AX1246" s="11"/>
      <c r="AY1246" s="11"/>
      <c r="AZ1246" s="11"/>
      <c r="BA1246" s="11"/>
      <c r="BB1246" s="11"/>
      <c r="BC1246" s="11"/>
      <c r="BD1246" s="11"/>
      <c r="BE1246" s="11"/>
      <c r="BF1246" s="11"/>
      <c r="BG1246" s="11"/>
      <c r="BH1246" s="11"/>
      <c r="BI1246" s="11"/>
      <c r="BJ1246" s="11"/>
      <c r="BK1246" s="11"/>
      <c r="BL1246" s="11"/>
      <c r="BM1246" s="11"/>
      <c r="BN1246" s="11"/>
      <c r="BO1246" s="11"/>
      <c r="BP1246" s="11"/>
      <c r="BQ1246" s="11"/>
      <c r="BR1246" s="11"/>
      <c r="BS1246" s="11"/>
      <c r="BT1246" s="11"/>
      <c r="BU1246" s="11"/>
      <c r="BV1246" s="11"/>
      <c r="BW1246" s="52" t="s">
        <v>3456</v>
      </c>
      <c r="BX1246" s="52" t="s">
        <v>3457</v>
      </c>
      <c r="BY1246" s="11"/>
      <c r="BZ1246" s="52" t="s">
        <v>166</v>
      </c>
      <c r="CA1246" s="52" t="s">
        <v>1348</v>
      </c>
      <c r="CB1246" s="52" t="s">
        <v>343</v>
      </c>
      <c r="CC1246" s="52" t="s">
        <v>2114</v>
      </c>
      <c r="CD1246" s="53">
        <v>44022</v>
      </c>
      <c r="CE1246" s="53">
        <v>44053</v>
      </c>
      <c r="CF1246" s="52">
        <v>100</v>
      </c>
      <c r="CG1246" s="54" t="s">
        <v>3866</v>
      </c>
      <c r="CH1246" s="11"/>
      <c r="CI1246" s="11"/>
      <c r="CJ1246" s="11"/>
      <c r="CK1246" s="11"/>
      <c r="CL1246" s="11"/>
      <c r="CM1246" s="11"/>
      <c r="CN1246" s="11"/>
      <c r="CO1246" s="11"/>
      <c r="CP1246" s="11"/>
      <c r="CQ1246" s="11"/>
      <c r="CR1246" s="11"/>
      <c r="CS1246" s="11"/>
      <c r="CT1246" s="11"/>
      <c r="CU1246" s="11"/>
      <c r="CV1246" s="11"/>
      <c r="CW1246" s="11"/>
      <c r="CX1246" s="11"/>
      <c r="CY1246" s="11"/>
      <c r="CZ1246" s="11"/>
      <c r="DA1246" s="11"/>
      <c r="DB1246" s="11"/>
      <c r="DC1246" s="11"/>
      <c r="DD1246" s="11"/>
      <c r="DE1246" s="11"/>
      <c r="DF1246" s="11"/>
      <c r="DG1246" s="11"/>
      <c r="DH1246" s="11"/>
      <c r="DI1246" s="11"/>
      <c r="DJ1246" s="11"/>
      <c r="DK1246" s="11"/>
      <c r="DL1246" s="11"/>
      <c r="DM1246" s="11"/>
      <c r="DN1246" s="11"/>
      <c r="DO1246" s="11"/>
      <c r="DP1246" s="11"/>
      <c r="DQ1246" s="11"/>
      <c r="DR1246" s="11"/>
      <c r="DS1246" s="11"/>
      <c r="DT1246" s="11"/>
      <c r="DU1246" s="11"/>
      <c r="DV1246" s="11"/>
      <c r="DW1246" s="11"/>
      <c r="DX1246" s="11"/>
      <c r="DY1246" s="11"/>
      <c r="DZ1246" s="11"/>
      <c r="EA1246" s="11"/>
      <c r="EB1246" s="11"/>
      <c r="EC1246" s="11"/>
      <c r="ED1246" s="11"/>
      <c r="EE1246" s="11"/>
      <c r="EF1246" s="11"/>
      <c r="EG1246" s="11"/>
      <c r="EH1246" s="11"/>
      <c r="EI1246" s="11"/>
      <c r="EJ1246" s="11"/>
      <c r="EK1246" s="11"/>
      <c r="EL1246" s="11"/>
      <c r="EM1246" s="11"/>
      <c r="EN1246" s="11"/>
      <c r="EO1246" s="11"/>
      <c r="EP1246" s="11"/>
      <c r="EQ1246" s="11"/>
      <c r="ER1246" s="11"/>
      <c r="ES1246" s="11"/>
      <c r="ET1246" s="11"/>
      <c r="EU1246" s="11"/>
      <c r="EV1246" s="11"/>
      <c r="EW1246" s="11"/>
      <c r="EX1246" s="11"/>
      <c r="EY1246" s="11"/>
      <c r="EZ1246" s="11"/>
      <c r="FA1246" s="11"/>
      <c r="FB1246" s="11"/>
      <c r="FC1246" s="11"/>
      <c r="FD1246" s="11"/>
      <c r="FE1246" s="11"/>
      <c r="FF1246" s="11"/>
      <c r="FG1246" s="11"/>
      <c r="FH1246" s="11"/>
      <c r="FI1246" s="11"/>
      <c r="FJ1246" s="11"/>
      <c r="FK1246" s="11"/>
      <c r="FL1246" s="11"/>
      <c r="FM1246" s="11"/>
      <c r="FN1246" s="11"/>
      <c r="FO1246" s="11"/>
      <c r="FP1246" s="11"/>
      <c r="FQ1246" s="11"/>
      <c r="FR1246" s="11"/>
      <c r="FS1246" s="11"/>
      <c r="FT1246" s="11"/>
      <c r="FU1246" s="11"/>
      <c r="FV1246" s="11"/>
      <c r="FW1246" s="11"/>
      <c r="FX1246" s="11"/>
      <c r="FY1246" s="11"/>
      <c r="FZ1246" s="11"/>
      <c r="GA1246" s="11"/>
      <c r="GB1246" s="11"/>
      <c r="GC1246" s="11"/>
      <c r="GD1246" s="11"/>
      <c r="GE1246" s="11"/>
      <c r="GF1246" s="11"/>
      <c r="GG1246" s="11"/>
      <c r="GH1246" s="11"/>
      <c r="GI1246" s="11"/>
      <c r="GJ1246" s="11"/>
      <c r="GK1246" s="11"/>
      <c r="GL1246" s="11"/>
      <c r="GM1246" s="11"/>
      <c r="GN1246" s="11"/>
      <c r="GO1246" s="11"/>
      <c r="GP1246" s="11"/>
      <c r="GQ1246" s="11"/>
      <c r="GR1246" s="11"/>
      <c r="GS1246" s="11"/>
      <c r="GT1246" s="11"/>
      <c r="GU1246" s="11"/>
      <c r="GV1246" s="11"/>
      <c r="GW1246" s="11"/>
      <c r="GX1246" s="11"/>
      <c r="GY1246" s="11"/>
      <c r="GZ1246" s="11"/>
      <c r="HA1246" s="11"/>
    </row>
    <row r="1247" spans="1:209" ht="23.25" customHeight="1" x14ac:dyDescent="0.15">
      <c r="A1247" s="11"/>
      <c r="B1247" s="11"/>
      <c r="C1247" s="33" t="s">
        <v>11</v>
      </c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/>
      <c r="R1247" s="11"/>
      <c r="S1247" s="11"/>
      <c r="T1247" s="11"/>
      <c r="U1247" s="11"/>
      <c r="V1247" s="11"/>
      <c r="W1247" s="11"/>
      <c r="X1247" s="11"/>
      <c r="Y1247" s="11"/>
      <c r="Z1247" s="11"/>
      <c r="AA1247" s="11"/>
      <c r="AB1247" s="11"/>
      <c r="AC1247" s="11"/>
      <c r="AD1247" s="11"/>
      <c r="AE1247" s="11"/>
      <c r="AF1247" s="11"/>
      <c r="AG1247" s="11"/>
      <c r="AH1247" s="11"/>
      <c r="AI1247" s="11"/>
      <c r="AJ1247" s="11"/>
      <c r="AK1247" s="11"/>
      <c r="AL1247" s="11"/>
      <c r="AM1247" s="11"/>
      <c r="AN1247" s="11"/>
      <c r="AO1247" s="11"/>
      <c r="AP1247" s="11"/>
      <c r="AQ1247" s="11"/>
      <c r="AR1247" s="11"/>
      <c r="AS1247" s="11"/>
      <c r="AT1247" s="11"/>
      <c r="AU1247" s="11"/>
      <c r="AV1247" s="11"/>
      <c r="AW1247" s="11"/>
      <c r="AX1247" s="52" t="s">
        <v>439</v>
      </c>
      <c r="AY1247" s="52" t="s">
        <v>144</v>
      </c>
      <c r="AZ1247" s="52" t="s">
        <v>3690</v>
      </c>
      <c r="BA1247" s="52" t="s">
        <v>343</v>
      </c>
      <c r="BB1247" s="52" t="s">
        <v>3691</v>
      </c>
      <c r="BC1247" s="53">
        <v>43971</v>
      </c>
      <c r="BD1247" s="53">
        <v>44102</v>
      </c>
      <c r="BE1247" s="11"/>
      <c r="BF1247" s="55">
        <v>100</v>
      </c>
      <c r="BG1247" s="11"/>
      <c r="BH1247" s="54" t="s">
        <v>3692</v>
      </c>
      <c r="BI1247" s="11"/>
      <c r="BJ1247" s="11"/>
      <c r="BK1247" s="11"/>
      <c r="BL1247" s="11"/>
      <c r="BM1247" s="11"/>
      <c r="BN1247" s="11"/>
      <c r="BO1247" s="11"/>
      <c r="BP1247" s="11"/>
      <c r="BQ1247" s="11"/>
      <c r="BR1247" s="11"/>
      <c r="BS1247" s="11"/>
      <c r="BT1247" s="11"/>
      <c r="BU1247" s="11"/>
      <c r="BV1247" s="11"/>
      <c r="BW1247" s="52"/>
      <c r="BX1247" s="52"/>
      <c r="BY1247" s="11"/>
      <c r="BZ1247" s="52"/>
      <c r="CA1247" s="52"/>
      <c r="CB1247" s="52"/>
      <c r="CC1247" s="52"/>
      <c r="CD1247" s="53"/>
      <c r="CE1247" s="53"/>
      <c r="CF1247" s="52"/>
      <c r="CG1247" s="52"/>
      <c r="CH1247" s="11"/>
      <c r="CI1247" s="11"/>
      <c r="CJ1247" s="11"/>
      <c r="CK1247" s="11"/>
      <c r="CL1247" s="11"/>
      <c r="CM1247" s="11"/>
      <c r="CN1247" s="11"/>
      <c r="CO1247" s="11"/>
      <c r="CP1247" s="11"/>
      <c r="CQ1247" s="11"/>
      <c r="CR1247" s="11"/>
      <c r="CS1247" s="11"/>
      <c r="CT1247" s="11"/>
      <c r="CU1247" s="11"/>
      <c r="CV1247" s="11"/>
      <c r="CW1247" s="11"/>
      <c r="CX1247" s="11"/>
      <c r="CY1247" s="11"/>
      <c r="CZ1247" s="11"/>
      <c r="DA1247" s="11"/>
      <c r="DB1247" s="11"/>
      <c r="DC1247" s="11"/>
      <c r="DD1247" s="11"/>
      <c r="DE1247" s="11"/>
      <c r="DF1247" s="11"/>
      <c r="DG1247" s="11"/>
      <c r="DH1247" s="11"/>
      <c r="DI1247" s="11"/>
      <c r="DJ1247" s="11"/>
      <c r="DK1247" s="11"/>
      <c r="DL1247" s="11"/>
      <c r="DM1247" s="11"/>
      <c r="DN1247" s="11"/>
      <c r="DO1247" s="11"/>
      <c r="DP1247" s="11"/>
      <c r="DQ1247" s="11"/>
      <c r="DR1247" s="11"/>
      <c r="DS1247" s="11"/>
      <c r="DT1247" s="11"/>
      <c r="DU1247" s="11"/>
      <c r="DV1247" s="11"/>
      <c r="DW1247" s="11"/>
      <c r="DX1247" s="11"/>
      <c r="DY1247" s="11"/>
      <c r="DZ1247" s="11"/>
      <c r="EA1247" s="11"/>
      <c r="EB1247" s="11"/>
      <c r="EC1247" s="11"/>
      <c r="ED1247" s="11"/>
      <c r="EE1247" s="11"/>
      <c r="EF1247" s="11"/>
      <c r="EG1247" s="11"/>
      <c r="EH1247" s="11"/>
      <c r="EI1247" s="11"/>
      <c r="EJ1247" s="11"/>
      <c r="EK1247" s="11"/>
      <c r="EL1247" s="11"/>
      <c r="EM1247" s="11"/>
      <c r="EN1247" s="11"/>
      <c r="EO1247" s="11"/>
      <c r="EP1247" s="11"/>
      <c r="EQ1247" s="11"/>
      <c r="ER1247" s="11"/>
      <c r="ES1247" s="11"/>
      <c r="ET1247" s="11"/>
      <c r="EU1247" s="11"/>
      <c r="EV1247" s="11"/>
      <c r="EW1247" s="11"/>
      <c r="EX1247" s="11"/>
      <c r="EY1247" s="11"/>
      <c r="EZ1247" s="11"/>
      <c r="FA1247" s="11"/>
      <c r="FB1247" s="11"/>
      <c r="FC1247" s="11"/>
      <c r="FD1247" s="11"/>
      <c r="FE1247" s="11"/>
      <c r="FF1247" s="11"/>
      <c r="FG1247" s="11"/>
      <c r="FH1247" s="11"/>
      <c r="FI1247" s="11"/>
      <c r="FJ1247" s="11"/>
      <c r="FK1247" s="11"/>
      <c r="FL1247" s="52" t="s">
        <v>445</v>
      </c>
      <c r="FM1247" s="52" t="s">
        <v>255</v>
      </c>
      <c r="FN1247" s="11"/>
      <c r="FO1247" s="11"/>
      <c r="FP1247" s="11"/>
      <c r="FQ1247" s="11"/>
      <c r="FR1247" s="11"/>
      <c r="FS1247" s="11"/>
      <c r="FT1247" s="11"/>
      <c r="FU1247" s="11"/>
      <c r="FV1247" s="11"/>
      <c r="FW1247" s="11"/>
      <c r="FX1247" s="11"/>
      <c r="FY1247" s="11"/>
      <c r="FZ1247" s="11"/>
      <c r="GA1247" s="11"/>
      <c r="GB1247" s="11"/>
      <c r="GC1247" s="11"/>
      <c r="GD1247" s="11"/>
      <c r="GE1247" s="11"/>
      <c r="GF1247" s="11"/>
      <c r="GG1247" s="11"/>
      <c r="GH1247" s="11"/>
      <c r="GI1247" s="11"/>
      <c r="GJ1247" s="11"/>
      <c r="GK1247" s="11"/>
      <c r="GL1247" s="11"/>
      <c r="GM1247" s="11"/>
      <c r="GN1247" s="11"/>
      <c r="GO1247" s="11"/>
      <c r="GP1247" s="11"/>
      <c r="GQ1247" s="11"/>
      <c r="GR1247" s="11"/>
      <c r="GS1247" s="11"/>
      <c r="GT1247" s="11"/>
      <c r="GU1247" s="11"/>
      <c r="GV1247" s="11"/>
      <c r="GW1247" s="11"/>
      <c r="GX1247" s="11"/>
      <c r="GY1247" s="11"/>
      <c r="GZ1247" s="11"/>
      <c r="HA1247" s="11"/>
    </row>
    <row r="1248" spans="1:209" ht="23.25" customHeight="1" x14ac:dyDescent="0.15">
      <c r="A1248" s="11"/>
      <c r="B1248" s="11"/>
      <c r="C1248" s="33" t="s">
        <v>11</v>
      </c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/>
      <c r="R1248" s="11"/>
      <c r="S1248" s="11"/>
      <c r="T1248" s="11"/>
      <c r="U1248" s="11"/>
      <c r="V1248" s="11"/>
      <c r="W1248" s="11"/>
      <c r="X1248" s="11"/>
      <c r="Y1248" s="11"/>
      <c r="Z1248" s="11"/>
      <c r="AA1248" s="11"/>
      <c r="AB1248" s="11"/>
      <c r="AC1248" s="11"/>
      <c r="AD1248" s="11"/>
      <c r="AE1248" s="11"/>
      <c r="AF1248" s="11"/>
      <c r="AG1248" s="11"/>
      <c r="AH1248" s="11"/>
      <c r="AI1248" s="11"/>
      <c r="AJ1248" s="11"/>
      <c r="AK1248" s="11"/>
      <c r="AL1248" s="11"/>
      <c r="AM1248" s="11"/>
      <c r="AN1248" s="11"/>
      <c r="AO1248" s="11"/>
      <c r="AP1248" s="11"/>
      <c r="AQ1248" s="11"/>
      <c r="AR1248" s="11"/>
      <c r="AS1248" s="11"/>
      <c r="AT1248" s="11"/>
      <c r="AU1248" s="11"/>
      <c r="AV1248" s="11"/>
      <c r="AW1248" s="11"/>
      <c r="AX1248" s="52" t="s">
        <v>446</v>
      </c>
      <c r="AY1248" s="52" t="s">
        <v>447</v>
      </c>
      <c r="AZ1248" s="52" t="s">
        <v>3693</v>
      </c>
      <c r="BA1248" s="52" t="s">
        <v>343</v>
      </c>
      <c r="BB1248" s="52" t="s">
        <v>493</v>
      </c>
      <c r="BC1248" s="53">
        <v>43953</v>
      </c>
      <c r="BD1248" s="53">
        <v>43984</v>
      </c>
      <c r="BE1248" s="11"/>
      <c r="BF1248" s="55">
        <v>100</v>
      </c>
      <c r="BG1248" s="11"/>
      <c r="BH1248" s="54" t="s">
        <v>3694</v>
      </c>
      <c r="BI1248" s="11"/>
      <c r="BJ1248" s="11"/>
      <c r="BK1248" s="11"/>
      <c r="BL1248" s="11"/>
      <c r="BM1248" s="11"/>
      <c r="BN1248" s="11"/>
      <c r="BO1248" s="11"/>
      <c r="BP1248" s="11"/>
      <c r="BQ1248" s="11"/>
      <c r="BR1248" s="11"/>
      <c r="BS1248" s="11"/>
      <c r="BT1248" s="11"/>
      <c r="BU1248" s="11"/>
      <c r="BV1248" s="11"/>
      <c r="BW1248" s="52"/>
      <c r="BX1248" s="52"/>
      <c r="BY1248" s="11"/>
      <c r="BZ1248" s="52"/>
      <c r="CA1248" s="52"/>
      <c r="CB1248" s="52"/>
      <c r="CC1248" s="52"/>
      <c r="CD1248" s="53"/>
      <c r="CE1248" s="53"/>
      <c r="CF1248" s="52"/>
      <c r="CG1248" s="52"/>
      <c r="CH1248" s="11"/>
      <c r="CI1248" s="11"/>
      <c r="CJ1248" s="11"/>
      <c r="CK1248" s="11"/>
      <c r="CL1248" s="11"/>
      <c r="CM1248" s="11"/>
      <c r="CN1248" s="11"/>
      <c r="CO1248" s="11"/>
      <c r="CP1248" s="11"/>
      <c r="CQ1248" s="11"/>
      <c r="CR1248" s="11"/>
      <c r="CS1248" s="11"/>
      <c r="CT1248" s="11"/>
      <c r="CU1248" s="11"/>
      <c r="CV1248" s="11"/>
      <c r="CW1248" s="11"/>
      <c r="CX1248" s="11"/>
      <c r="CY1248" s="11"/>
      <c r="CZ1248" s="11"/>
      <c r="DA1248" s="11"/>
      <c r="DB1248" s="11"/>
      <c r="DC1248" s="11"/>
      <c r="DD1248" s="11"/>
      <c r="DE1248" s="11"/>
      <c r="DF1248" s="11"/>
      <c r="DG1248" s="11"/>
      <c r="DH1248" s="11"/>
      <c r="DI1248" s="11"/>
      <c r="DJ1248" s="11"/>
      <c r="DK1248" s="11"/>
      <c r="DL1248" s="11"/>
      <c r="DM1248" s="11"/>
      <c r="DN1248" s="11"/>
      <c r="DO1248" s="11"/>
      <c r="DP1248" s="11"/>
      <c r="DQ1248" s="11"/>
      <c r="DR1248" s="11"/>
      <c r="DS1248" s="11"/>
      <c r="DT1248" s="11"/>
      <c r="DU1248" s="11"/>
      <c r="DV1248" s="11"/>
      <c r="DW1248" s="11"/>
      <c r="DX1248" s="11"/>
      <c r="DY1248" s="11"/>
      <c r="DZ1248" s="11"/>
      <c r="EA1248" s="11"/>
      <c r="EB1248" s="11"/>
      <c r="EC1248" s="11"/>
      <c r="ED1248" s="11"/>
      <c r="EE1248" s="11"/>
      <c r="EF1248" s="11"/>
      <c r="EG1248" s="11"/>
      <c r="EH1248" s="11"/>
      <c r="EI1248" s="11"/>
      <c r="EJ1248" s="11"/>
      <c r="EK1248" s="11"/>
      <c r="EL1248" s="11"/>
      <c r="EM1248" s="11"/>
      <c r="EN1248" s="11"/>
      <c r="EO1248" s="11"/>
      <c r="EP1248" s="11"/>
      <c r="EQ1248" s="11"/>
      <c r="ER1248" s="11"/>
      <c r="ES1248" s="11"/>
      <c r="ET1248" s="11"/>
      <c r="EU1248" s="11"/>
      <c r="EV1248" s="11"/>
      <c r="EW1248" s="11"/>
      <c r="EX1248" s="11"/>
      <c r="EY1248" s="11"/>
      <c r="EZ1248" s="11"/>
      <c r="FA1248" s="11"/>
      <c r="FB1248" s="11"/>
      <c r="FC1248" s="11"/>
      <c r="FD1248" s="11"/>
      <c r="FE1248" s="11"/>
      <c r="FF1248" s="11"/>
      <c r="FG1248" s="11"/>
      <c r="FH1248" s="11"/>
      <c r="FI1248" s="11"/>
      <c r="FJ1248" s="11"/>
      <c r="FK1248" s="11"/>
      <c r="FL1248" s="52" t="s">
        <v>450</v>
      </c>
      <c r="FM1248" s="52" t="s">
        <v>255</v>
      </c>
      <c r="FN1248" s="11"/>
      <c r="FO1248" s="11"/>
      <c r="FP1248" s="11"/>
      <c r="FQ1248" s="11"/>
      <c r="FR1248" s="11"/>
      <c r="FS1248" s="11"/>
      <c r="FT1248" s="11"/>
      <c r="FU1248" s="11"/>
      <c r="FV1248" s="11"/>
      <c r="FW1248" s="11"/>
      <c r="FX1248" s="11"/>
      <c r="FY1248" s="11"/>
      <c r="FZ1248" s="11"/>
      <c r="GA1248" s="11"/>
      <c r="GB1248" s="11"/>
      <c r="GC1248" s="11"/>
      <c r="GD1248" s="11"/>
      <c r="GE1248" s="11"/>
      <c r="GF1248" s="11"/>
      <c r="GG1248" s="11"/>
      <c r="GH1248" s="11"/>
      <c r="GI1248" s="11"/>
      <c r="GJ1248" s="11"/>
      <c r="GK1248" s="11"/>
      <c r="GL1248" s="11"/>
      <c r="GM1248" s="11"/>
      <c r="GN1248" s="11"/>
      <c r="GO1248" s="11"/>
      <c r="GP1248" s="11"/>
      <c r="GQ1248" s="11"/>
      <c r="GR1248" s="11"/>
      <c r="GS1248" s="11"/>
      <c r="GT1248" s="11"/>
      <c r="GU1248" s="11"/>
      <c r="GV1248" s="11"/>
      <c r="GW1248" s="11"/>
      <c r="GX1248" s="11"/>
      <c r="GY1248" s="11"/>
      <c r="GZ1248" s="11"/>
      <c r="HA1248" s="11"/>
    </row>
    <row r="1249" spans="1:209" ht="23.25" customHeight="1" x14ac:dyDescent="0.15">
      <c r="A1249" s="11"/>
      <c r="B1249" s="11"/>
      <c r="C1249" s="33" t="s">
        <v>11</v>
      </c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/>
      <c r="R1249" s="11"/>
      <c r="S1249" s="11"/>
      <c r="T1249" s="11"/>
      <c r="U1249" s="11"/>
      <c r="V1249" s="11"/>
      <c r="W1249" s="11"/>
      <c r="X1249" s="11"/>
      <c r="Y1249" s="11"/>
      <c r="Z1249" s="11"/>
      <c r="AA1249" s="11"/>
      <c r="AB1249" s="11"/>
      <c r="AC1249" s="11"/>
      <c r="AD1249" s="11"/>
      <c r="AE1249" s="11"/>
      <c r="AF1249" s="11"/>
      <c r="AG1249" s="11"/>
      <c r="AH1249" s="11"/>
      <c r="AI1249" s="11"/>
      <c r="AJ1249" s="11"/>
      <c r="AK1249" s="11"/>
      <c r="AL1249" s="11"/>
      <c r="AM1249" s="11"/>
      <c r="AN1249" s="11"/>
      <c r="AO1249" s="11"/>
      <c r="AP1249" s="11"/>
      <c r="AQ1249" s="11"/>
      <c r="AR1249" s="11"/>
      <c r="AS1249" s="11"/>
      <c r="AT1249" s="11"/>
      <c r="AU1249" s="11"/>
      <c r="AV1249" s="11"/>
      <c r="AW1249" s="11"/>
      <c r="AX1249" s="52" t="s">
        <v>439</v>
      </c>
      <c r="AY1249" s="52" t="s">
        <v>144</v>
      </c>
      <c r="AZ1249" s="52" t="s">
        <v>3695</v>
      </c>
      <c r="BA1249" s="52" t="s">
        <v>343</v>
      </c>
      <c r="BB1249" s="52" t="s">
        <v>3696</v>
      </c>
      <c r="BC1249" s="53">
        <v>43983</v>
      </c>
      <c r="BD1249" s="53">
        <v>44068</v>
      </c>
      <c r="BE1249" s="11"/>
      <c r="BF1249" s="55">
        <v>100</v>
      </c>
      <c r="BG1249" s="11"/>
      <c r="BH1249" s="54" t="s">
        <v>3697</v>
      </c>
      <c r="BI1249" s="11"/>
      <c r="BJ1249" s="11"/>
      <c r="BK1249" s="11"/>
      <c r="BL1249" s="11"/>
      <c r="BM1249" s="11"/>
      <c r="BN1249" s="11"/>
      <c r="BO1249" s="11"/>
      <c r="BP1249" s="11"/>
      <c r="BQ1249" s="11"/>
      <c r="BR1249" s="11"/>
      <c r="BS1249" s="11"/>
      <c r="BT1249" s="11"/>
      <c r="BU1249" s="11"/>
      <c r="BV1249" s="11"/>
      <c r="BW1249" s="52"/>
      <c r="BX1249" s="52"/>
      <c r="BY1249" s="11"/>
      <c r="BZ1249" s="52"/>
      <c r="CA1249" s="52"/>
      <c r="CB1249" s="52"/>
      <c r="CC1249" s="52"/>
      <c r="CD1249" s="53"/>
      <c r="CE1249" s="53"/>
      <c r="CF1249" s="52"/>
      <c r="CG1249" s="52"/>
      <c r="CH1249" s="11"/>
      <c r="CI1249" s="11"/>
      <c r="CJ1249" s="11"/>
      <c r="CK1249" s="11"/>
      <c r="CL1249" s="11"/>
      <c r="CM1249" s="11"/>
      <c r="CN1249" s="11"/>
      <c r="CO1249" s="11"/>
      <c r="CP1249" s="11"/>
      <c r="CQ1249" s="11"/>
      <c r="CR1249" s="11"/>
      <c r="CS1249" s="11"/>
      <c r="CT1249" s="11"/>
      <c r="CU1249" s="11"/>
      <c r="CV1249" s="11"/>
      <c r="CW1249" s="11"/>
      <c r="CX1249" s="11"/>
      <c r="CY1249" s="11"/>
      <c r="CZ1249" s="11"/>
      <c r="DA1249" s="11"/>
      <c r="DB1249" s="11"/>
      <c r="DC1249" s="11"/>
      <c r="DD1249" s="11"/>
      <c r="DE1249" s="11"/>
      <c r="DF1249" s="11"/>
      <c r="DG1249" s="11"/>
      <c r="DH1249" s="11"/>
      <c r="DI1249" s="11"/>
      <c r="DJ1249" s="11"/>
      <c r="DK1249" s="11"/>
      <c r="DL1249" s="11"/>
      <c r="DM1249" s="11"/>
      <c r="DN1249" s="11"/>
      <c r="DO1249" s="11"/>
      <c r="DP1249" s="11"/>
      <c r="DQ1249" s="11"/>
      <c r="DR1249" s="11"/>
      <c r="DS1249" s="11"/>
      <c r="DT1249" s="11"/>
      <c r="DU1249" s="11"/>
      <c r="DV1249" s="11"/>
      <c r="DW1249" s="11"/>
      <c r="DX1249" s="11"/>
      <c r="DY1249" s="11"/>
      <c r="DZ1249" s="11"/>
      <c r="EA1249" s="11"/>
      <c r="EB1249" s="11"/>
      <c r="EC1249" s="11"/>
      <c r="ED1249" s="11"/>
      <c r="EE1249" s="11"/>
      <c r="EF1249" s="11"/>
      <c r="EG1249" s="11"/>
      <c r="EH1249" s="11"/>
      <c r="EI1249" s="11"/>
      <c r="EJ1249" s="11"/>
      <c r="EK1249" s="11"/>
      <c r="EL1249" s="11"/>
      <c r="EM1249" s="11"/>
      <c r="EN1249" s="11"/>
      <c r="EO1249" s="11"/>
      <c r="EP1249" s="11"/>
      <c r="EQ1249" s="11"/>
      <c r="ER1249" s="11"/>
      <c r="ES1249" s="11"/>
      <c r="ET1249" s="11"/>
      <c r="EU1249" s="11"/>
      <c r="EV1249" s="11"/>
      <c r="EW1249" s="11"/>
      <c r="EX1249" s="11"/>
      <c r="EY1249" s="11"/>
      <c r="EZ1249" s="11"/>
      <c r="FA1249" s="11"/>
      <c r="FB1249" s="11"/>
      <c r="FC1249" s="11"/>
      <c r="FD1249" s="11"/>
      <c r="FE1249" s="11"/>
      <c r="FF1249" s="11"/>
      <c r="FG1249" s="11"/>
      <c r="FH1249" s="11"/>
      <c r="FI1249" s="11"/>
      <c r="FJ1249" s="11"/>
      <c r="FK1249" s="11"/>
      <c r="FL1249" s="52" t="s">
        <v>445</v>
      </c>
      <c r="FM1249" s="52" t="s">
        <v>255</v>
      </c>
      <c r="FN1249" s="11"/>
      <c r="FO1249" s="11"/>
      <c r="FP1249" s="11"/>
      <c r="FQ1249" s="11"/>
      <c r="FR1249" s="11"/>
      <c r="FS1249" s="11"/>
      <c r="FT1249" s="11"/>
      <c r="FU1249" s="11"/>
      <c r="FV1249" s="11"/>
      <c r="FW1249" s="11"/>
      <c r="FX1249" s="11"/>
      <c r="FY1249" s="11"/>
      <c r="FZ1249" s="11"/>
      <c r="GA1249" s="11"/>
      <c r="GB1249" s="11"/>
      <c r="GC1249" s="11"/>
      <c r="GD1249" s="11"/>
      <c r="GE1249" s="11"/>
      <c r="GF1249" s="11"/>
      <c r="GG1249" s="11"/>
      <c r="GH1249" s="11"/>
      <c r="GI1249" s="11"/>
      <c r="GJ1249" s="11"/>
      <c r="GK1249" s="11"/>
      <c r="GL1249" s="11"/>
      <c r="GM1249" s="11"/>
      <c r="GN1249" s="11"/>
      <c r="GO1249" s="11"/>
      <c r="GP1249" s="11"/>
      <c r="GQ1249" s="11"/>
      <c r="GR1249" s="11"/>
      <c r="GS1249" s="11"/>
      <c r="GT1249" s="11"/>
      <c r="GU1249" s="11"/>
      <c r="GV1249" s="11"/>
      <c r="GW1249" s="11"/>
      <c r="GX1249" s="11"/>
      <c r="GY1249" s="11"/>
      <c r="GZ1249" s="11"/>
      <c r="HA1249" s="11"/>
    </row>
    <row r="1250" spans="1:209" ht="23.25" customHeight="1" x14ac:dyDescent="0.15">
      <c r="A1250" s="11"/>
      <c r="B1250" s="11"/>
      <c r="C1250" s="33" t="s">
        <v>11</v>
      </c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/>
      <c r="R1250" s="11"/>
      <c r="S1250" s="11"/>
      <c r="T1250" s="11"/>
      <c r="U1250" s="11"/>
      <c r="V1250" s="11"/>
      <c r="W1250" s="11"/>
      <c r="X1250" s="11"/>
      <c r="Y1250" s="11"/>
      <c r="Z1250" s="11"/>
      <c r="AA1250" s="11"/>
      <c r="AB1250" s="11"/>
      <c r="AC1250" s="11"/>
      <c r="AD1250" s="11"/>
      <c r="AE1250" s="11"/>
      <c r="AF1250" s="11"/>
      <c r="AG1250" s="11"/>
      <c r="AH1250" s="11"/>
      <c r="AI1250" s="11"/>
      <c r="AJ1250" s="11"/>
      <c r="AK1250" s="11"/>
      <c r="AL1250" s="11"/>
      <c r="AM1250" s="11"/>
      <c r="AN1250" s="11"/>
      <c r="AO1250" s="11"/>
      <c r="AP1250" s="11"/>
      <c r="AQ1250" s="11"/>
      <c r="AR1250" s="11"/>
      <c r="AS1250" s="11"/>
      <c r="AT1250" s="11"/>
      <c r="AU1250" s="11"/>
      <c r="AV1250" s="11"/>
      <c r="AW1250" s="11"/>
      <c r="AX1250" s="52" t="s">
        <v>446</v>
      </c>
      <c r="AY1250" s="52" t="s">
        <v>447</v>
      </c>
      <c r="AZ1250" s="52" t="s">
        <v>1397</v>
      </c>
      <c r="BA1250" s="52" t="s">
        <v>343</v>
      </c>
      <c r="BB1250" s="52" t="s">
        <v>493</v>
      </c>
      <c r="BC1250" s="53">
        <v>43983</v>
      </c>
      <c r="BD1250" s="53">
        <v>44013</v>
      </c>
      <c r="BE1250" s="11"/>
      <c r="BF1250" s="55">
        <v>100</v>
      </c>
      <c r="BG1250" s="11"/>
      <c r="BH1250" s="54" t="s">
        <v>3698</v>
      </c>
      <c r="BI1250" s="11"/>
      <c r="BJ1250" s="11"/>
      <c r="BK1250" s="11"/>
      <c r="BL1250" s="11"/>
      <c r="BM1250" s="11"/>
      <c r="BN1250" s="11"/>
      <c r="BO1250" s="11"/>
      <c r="BP1250" s="11"/>
      <c r="BQ1250" s="11"/>
      <c r="BR1250" s="11"/>
      <c r="BS1250" s="11"/>
      <c r="BT1250" s="11"/>
      <c r="BU1250" s="11"/>
      <c r="BV1250" s="11"/>
      <c r="BW1250" s="52"/>
      <c r="BX1250" s="52"/>
      <c r="BY1250" s="11"/>
      <c r="BZ1250" s="52"/>
      <c r="CA1250" s="52"/>
      <c r="CB1250" s="52"/>
      <c r="CC1250" s="52"/>
      <c r="CD1250" s="53"/>
      <c r="CE1250" s="53"/>
      <c r="CF1250" s="52"/>
      <c r="CG1250" s="52"/>
      <c r="CH1250" s="11"/>
      <c r="CI1250" s="11"/>
      <c r="CJ1250" s="11"/>
      <c r="CK1250" s="11"/>
      <c r="CL1250" s="11"/>
      <c r="CM1250" s="11"/>
      <c r="CN1250" s="11"/>
      <c r="CO1250" s="11"/>
      <c r="CP1250" s="11"/>
      <c r="CQ1250" s="11"/>
      <c r="CR1250" s="11"/>
      <c r="CS1250" s="11"/>
      <c r="CT1250" s="11"/>
      <c r="CU1250" s="11"/>
      <c r="CV1250" s="11"/>
      <c r="CW1250" s="11"/>
      <c r="CX1250" s="11"/>
      <c r="CY1250" s="11"/>
      <c r="CZ1250" s="11"/>
      <c r="DA1250" s="11"/>
      <c r="DB1250" s="11"/>
      <c r="DC1250" s="11"/>
      <c r="DD1250" s="11"/>
      <c r="DE1250" s="11"/>
      <c r="DF1250" s="11"/>
      <c r="DG1250" s="11"/>
      <c r="DH1250" s="11"/>
      <c r="DI1250" s="11"/>
      <c r="DJ1250" s="11"/>
      <c r="DK1250" s="11"/>
      <c r="DL1250" s="11"/>
      <c r="DM1250" s="11"/>
      <c r="DN1250" s="11"/>
      <c r="DO1250" s="11"/>
      <c r="DP1250" s="11"/>
      <c r="DQ1250" s="11"/>
      <c r="DR1250" s="11"/>
      <c r="DS1250" s="11"/>
      <c r="DT1250" s="11"/>
      <c r="DU1250" s="11"/>
      <c r="DV1250" s="11"/>
      <c r="DW1250" s="11"/>
      <c r="DX1250" s="11"/>
      <c r="DY1250" s="11"/>
      <c r="DZ1250" s="11"/>
      <c r="EA1250" s="11"/>
      <c r="EB1250" s="11"/>
      <c r="EC1250" s="11"/>
      <c r="ED1250" s="11"/>
      <c r="EE1250" s="11"/>
      <c r="EF1250" s="11"/>
      <c r="EG1250" s="11"/>
      <c r="EH1250" s="11"/>
      <c r="EI1250" s="11"/>
      <c r="EJ1250" s="11"/>
      <c r="EK1250" s="11"/>
      <c r="EL1250" s="11"/>
      <c r="EM1250" s="11"/>
      <c r="EN1250" s="11"/>
      <c r="EO1250" s="11"/>
      <c r="EP1250" s="11"/>
      <c r="EQ1250" s="11"/>
      <c r="ER1250" s="11"/>
      <c r="ES1250" s="11"/>
      <c r="ET1250" s="11"/>
      <c r="EU1250" s="11"/>
      <c r="EV1250" s="11"/>
      <c r="EW1250" s="11"/>
      <c r="EX1250" s="11"/>
      <c r="EY1250" s="11"/>
      <c r="EZ1250" s="11"/>
      <c r="FA1250" s="11"/>
      <c r="FB1250" s="11"/>
      <c r="FC1250" s="11"/>
      <c r="FD1250" s="11"/>
      <c r="FE1250" s="11"/>
      <c r="FF1250" s="11"/>
      <c r="FG1250" s="11"/>
      <c r="FH1250" s="11"/>
      <c r="FI1250" s="11"/>
      <c r="FJ1250" s="11"/>
      <c r="FK1250" s="11"/>
      <c r="FL1250" s="52" t="s">
        <v>450</v>
      </c>
      <c r="FM1250" s="52" t="s">
        <v>255</v>
      </c>
      <c r="FN1250" s="11"/>
      <c r="FO1250" s="11"/>
      <c r="FP1250" s="11"/>
      <c r="FQ1250" s="11"/>
      <c r="FR1250" s="11"/>
      <c r="FS1250" s="11"/>
      <c r="FT1250" s="11"/>
      <c r="FU1250" s="11"/>
      <c r="FV1250" s="11"/>
      <c r="FW1250" s="11"/>
      <c r="FX1250" s="11"/>
      <c r="FY1250" s="11"/>
      <c r="FZ1250" s="11"/>
      <c r="GA1250" s="11"/>
      <c r="GB1250" s="11"/>
      <c r="GC1250" s="11"/>
      <c r="GD1250" s="11"/>
      <c r="GE1250" s="11"/>
      <c r="GF1250" s="11"/>
      <c r="GG1250" s="11"/>
      <c r="GH1250" s="11"/>
      <c r="GI1250" s="11"/>
      <c r="GJ1250" s="11"/>
      <c r="GK1250" s="11"/>
      <c r="GL1250" s="11"/>
      <c r="GM1250" s="11"/>
      <c r="GN1250" s="11"/>
      <c r="GO1250" s="11"/>
      <c r="GP1250" s="11"/>
      <c r="GQ1250" s="11"/>
      <c r="GR1250" s="11"/>
      <c r="GS1250" s="11"/>
      <c r="GT1250" s="11"/>
      <c r="GU1250" s="11"/>
      <c r="GV1250" s="11"/>
      <c r="GW1250" s="11"/>
      <c r="GX1250" s="11"/>
      <c r="GY1250" s="11"/>
      <c r="GZ1250" s="11"/>
      <c r="HA1250" s="11"/>
    </row>
    <row r="1251" spans="1:209" ht="23.25" customHeight="1" x14ac:dyDescent="0.15">
      <c r="A1251" s="11"/>
      <c r="B1251" s="11"/>
      <c r="C1251" s="33" t="s">
        <v>11</v>
      </c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/>
      <c r="R1251" s="11"/>
      <c r="S1251" s="11"/>
      <c r="T1251" s="11"/>
      <c r="U1251" s="11"/>
      <c r="V1251" s="11"/>
      <c r="W1251" s="11"/>
      <c r="X1251" s="11"/>
      <c r="Y1251" s="11"/>
      <c r="Z1251" s="11"/>
      <c r="AA1251" s="11"/>
      <c r="AB1251" s="11"/>
      <c r="AC1251" s="11"/>
      <c r="AD1251" s="11"/>
      <c r="AE1251" s="11"/>
      <c r="AF1251" s="11"/>
      <c r="AG1251" s="11"/>
      <c r="AH1251" s="11"/>
      <c r="AI1251" s="11"/>
      <c r="AJ1251" s="11"/>
      <c r="AK1251" s="11"/>
      <c r="AL1251" s="11"/>
      <c r="AM1251" s="11"/>
      <c r="AN1251" s="11"/>
      <c r="AO1251" s="11"/>
      <c r="AP1251" s="11"/>
      <c r="AQ1251" s="11"/>
      <c r="AR1251" s="11"/>
      <c r="AS1251" s="11"/>
      <c r="AT1251" s="11"/>
      <c r="AU1251" s="11"/>
      <c r="AV1251" s="11"/>
      <c r="AW1251" s="11"/>
      <c r="AX1251" s="52" t="s">
        <v>439</v>
      </c>
      <c r="AY1251" s="52" t="s">
        <v>144</v>
      </c>
      <c r="AZ1251" s="52" t="s">
        <v>3699</v>
      </c>
      <c r="BA1251" s="52" t="s">
        <v>343</v>
      </c>
      <c r="BB1251" s="52" t="s">
        <v>3700</v>
      </c>
      <c r="BC1251" s="53">
        <v>43983</v>
      </c>
      <c r="BD1251" s="53">
        <v>44028</v>
      </c>
      <c r="BE1251" s="11"/>
      <c r="BF1251" s="55">
        <v>100</v>
      </c>
      <c r="BG1251" s="11"/>
      <c r="BH1251" s="54" t="s">
        <v>3701</v>
      </c>
      <c r="BI1251" s="11"/>
      <c r="BJ1251" s="11"/>
      <c r="BK1251" s="11"/>
      <c r="BL1251" s="11"/>
      <c r="BM1251" s="11"/>
      <c r="BN1251" s="11"/>
      <c r="BO1251" s="11"/>
      <c r="BP1251" s="11"/>
      <c r="BQ1251" s="11"/>
      <c r="BR1251" s="11"/>
      <c r="BS1251" s="11"/>
      <c r="BT1251" s="11"/>
      <c r="BU1251" s="11"/>
      <c r="BV1251" s="11"/>
      <c r="BW1251" s="52"/>
      <c r="BX1251" s="52"/>
      <c r="BY1251" s="11"/>
      <c r="BZ1251" s="52"/>
      <c r="CA1251" s="52"/>
      <c r="CB1251" s="52"/>
      <c r="CC1251" s="52"/>
      <c r="CD1251" s="53"/>
      <c r="CE1251" s="53"/>
      <c r="CF1251" s="52"/>
      <c r="CG1251" s="52"/>
      <c r="CH1251" s="11"/>
      <c r="CI1251" s="11"/>
      <c r="CJ1251" s="11"/>
      <c r="CK1251" s="11"/>
      <c r="CL1251" s="11"/>
      <c r="CM1251" s="11"/>
      <c r="CN1251" s="11"/>
      <c r="CO1251" s="11"/>
      <c r="CP1251" s="11"/>
      <c r="CQ1251" s="11"/>
      <c r="CR1251" s="11"/>
      <c r="CS1251" s="11"/>
      <c r="CT1251" s="11"/>
      <c r="CU1251" s="11"/>
      <c r="CV1251" s="11"/>
      <c r="CW1251" s="11"/>
      <c r="CX1251" s="11"/>
      <c r="CY1251" s="11"/>
      <c r="CZ1251" s="11"/>
      <c r="DA1251" s="11"/>
      <c r="DB1251" s="11"/>
      <c r="DC1251" s="11"/>
      <c r="DD1251" s="11"/>
      <c r="DE1251" s="11"/>
      <c r="DF1251" s="11"/>
      <c r="DG1251" s="11"/>
      <c r="DH1251" s="11"/>
      <c r="DI1251" s="11"/>
      <c r="DJ1251" s="11"/>
      <c r="DK1251" s="11"/>
      <c r="DL1251" s="11"/>
      <c r="DM1251" s="11"/>
      <c r="DN1251" s="11"/>
      <c r="DO1251" s="11"/>
      <c r="DP1251" s="11"/>
      <c r="DQ1251" s="11"/>
      <c r="DR1251" s="11"/>
      <c r="DS1251" s="11"/>
      <c r="DT1251" s="11"/>
      <c r="DU1251" s="11"/>
      <c r="DV1251" s="11"/>
      <c r="DW1251" s="11"/>
      <c r="DX1251" s="11"/>
      <c r="DY1251" s="11"/>
      <c r="DZ1251" s="11"/>
      <c r="EA1251" s="11"/>
      <c r="EB1251" s="11"/>
      <c r="EC1251" s="11"/>
      <c r="ED1251" s="11"/>
      <c r="EE1251" s="11"/>
      <c r="EF1251" s="11"/>
      <c r="EG1251" s="11"/>
      <c r="EH1251" s="11"/>
      <c r="EI1251" s="11"/>
      <c r="EJ1251" s="11"/>
      <c r="EK1251" s="11"/>
      <c r="EL1251" s="11"/>
      <c r="EM1251" s="11"/>
      <c r="EN1251" s="11"/>
      <c r="EO1251" s="11"/>
      <c r="EP1251" s="11"/>
      <c r="EQ1251" s="11"/>
      <c r="ER1251" s="11"/>
      <c r="ES1251" s="11"/>
      <c r="ET1251" s="11"/>
      <c r="EU1251" s="11"/>
      <c r="EV1251" s="11"/>
      <c r="EW1251" s="11"/>
      <c r="EX1251" s="11"/>
      <c r="EY1251" s="11"/>
      <c r="EZ1251" s="11"/>
      <c r="FA1251" s="11"/>
      <c r="FB1251" s="11"/>
      <c r="FC1251" s="11"/>
      <c r="FD1251" s="11"/>
      <c r="FE1251" s="11"/>
      <c r="FF1251" s="11"/>
      <c r="FG1251" s="11"/>
      <c r="FH1251" s="11"/>
      <c r="FI1251" s="11"/>
      <c r="FJ1251" s="11"/>
      <c r="FK1251" s="11"/>
      <c r="FL1251" s="52" t="s">
        <v>445</v>
      </c>
      <c r="FM1251" s="52" t="s">
        <v>255</v>
      </c>
      <c r="FN1251" s="11"/>
      <c r="FO1251" s="11"/>
      <c r="FP1251" s="11"/>
      <c r="FQ1251" s="11"/>
      <c r="FR1251" s="11"/>
      <c r="FS1251" s="11"/>
      <c r="FT1251" s="11"/>
      <c r="FU1251" s="11"/>
      <c r="FV1251" s="11"/>
      <c r="FW1251" s="11"/>
      <c r="FX1251" s="11"/>
      <c r="FY1251" s="11"/>
      <c r="FZ1251" s="11"/>
      <c r="GA1251" s="11"/>
      <c r="GB1251" s="11"/>
      <c r="GC1251" s="11"/>
      <c r="GD1251" s="11"/>
      <c r="GE1251" s="11"/>
      <c r="GF1251" s="11"/>
      <c r="GG1251" s="11"/>
      <c r="GH1251" s="11"/>
      <c r="GI1251" s="11"/>
      <c r="GJ1251" s="11"/>
      <c r="GK1251" s="11"/>
      <c r="GL1251" s="11"/>
      <c r="GM1251" s="11"/>
      <c r="GN1251" s="11"/>
      <c r="GO1251" s="11"/>
      <c r="GP1251" s="11"/>
      <c r="GQ1251" s="11"/>
      <c r="GR1251" s="11"/>
      <c r="GS1251" s="11"/>
      <c r="GT1251" s="11"/>
      <c r="GU1251" s="11"/>
      <c r="GV1251" s="11"/>
      <c r="GW1251" s="11"/>
      <c r="GX1251" s="11"/>
      <c r="GY1251" s="11"/>
      <c r="GZ1251" s="11"/>
      <c r="HA1251" s="11"/>
    </row>
    <row r="1252" spans="1:209" ht="23.25" customHeight="1" x14ac:dyDescent="0.15">
      <c r="A1252" s="11"/>
      <c r="B1252" s="11"/>
      <c r="C1252" s="33" t="s">
        <v>11</v>
      </c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/>
      <c r="R1252" s="11"/>
      <c r="S1252" s="11"/>
      <c r="T1252" s="11"/>
      <c r="U1252" s="11"/>
      <c r="V1252" s="11"/>
      <c r="W1252" s="11"/>
      <c r="X1252" s="11"/>
      <c r="Y1252" s="11"/>
      <c r="Z1252" s="11"/>
      <c r="AA1252" s="11"/>
      <c r="AB1252" s="11"/>
      <c r="AC1252" s="11"/>
      <c r="AD1252" s="11"/>
      <c r="AE1252" s="11"/>
      <c r="AF1252" s="11"/>
      <c r="AG1252" s="11"/>
      <c r="AH1252" s="11"/>
      <c r="AI1252" s="11"/>
      <c r="AJ1252" s="11"/>
      <c r="AK1252" s="11"/>
      <c r="AL1252" s="11"/>
      <c r="AM1252" s="11"/>
      <c r="AN1252" s="11"/>
      <c r="AO1252" s="11"/>
      <c r="AP1252" s="11"/>
      <c r="AQ1252" s="11"/>
      <c r="AR1252" s="11"/>
      <c r="AS1252" s="11"/>
      <c r="AT1252" s="11"/>
      <c r="AU1252" s="11"/>
      <c r="AV1252" s="11"/>
      <c r="AW1252" s="11"/>
      <c r="AX1252" s="52" t="s">
        <v>439</v>
      </c>
      <c r="AY1252" s="52" t="s">
        <v>144</v>
      </c>
      <c r="AZ1252" s="52" t="s">
        <v>3702</v>
      </c>
      <c r="BA1252" s="52" t="s">
        <v>343</v>
      </c>
      <c r="BB1252" s="52" t="s">
        <v>3703</v>
      </c>
      <c r="BC1252" s="53">
        <v>43949</v>
      </c>
      <c r="BD1252" s="53">
        <v>44132</v>
      </c>
      <c r="BE1252" s="11"/>
      <c r="BF1252" s="55">
        <v>100</v>
      </c>
      <c r="BG1252" s="11"/>
      <c r="BH1252" s="54" t="s">
        <v>3704</v>
      </c>
      <c r="BI1252" s="11"/>
      <c r="BJ1252" s="11"/>
      <c r="BK1252" s="11"/>
      <c r="BL1252" s="11"/>
      <c r="BM1252" s="11"/>
      <c r="BN1252" s="11"/>
      <c r="BO1252" s="11"/>
      <c r="BP1252" s="11"/>
      <c r="BQ1252" s="11"/>
      <c r="BR1252" s="11"/>
      <c r="BS1252" s="11"/>
      <c r="BT1252" s="11"/>
      <c r="BU1252" s="11"/>
      <c r="BV1252" s="11"/>
      <c r="BW1252" s="52"/>
      <c r="BX1252" s="52"/>
      <c r="BY1252" s="11"/>
      <c r="BZ1252" s="52"/>
      <c r="CA1252" s="52"/>
      <c r="CB1252" s="52"/>
      <c r="CC1252" s="52"/>
      <c r="CD1252" s="53"/>
      <c r="CE1252" s="53"/>
      <c r="CF1252" s="52"/>
      <c r="CG1252" s="52"/>
      <c r="CH1252" s="11"/>
      <c r="CI1252" s="11"/>
      <c r="CJ1252" s="11"/>
      <c r="CK1252" s="11"/>
      <c r="CL1252" s="11"/>
      <c r="CM1252" s="11"/>
      <c r="CN1252" s="11"/>
      <c r="CO1252" s="11"/>
      <c r="CP1252" s="11"/>
      <c r="CQ1252" s="11"/>
      <c r="CR1252" s="11"/>
      <c r="CS1252" s="11"/>
      <c r="CT1252" s="11"/>
      <c r="CU1252" s="11"/>
      <c r="CV1252" s="11"/>
      <c r="CW1252" s="11"/>
      <c r="CX1252" s="11"/>
      <c r="CY1252" s="11"/>
      <c r="CZ1252" s="11"/>
      <c r="DA1252" s="11"/>
      <c r="DB1252" s="11"/>
      <c r="DC1252" s="11"/>
      <c r="DD1252" s="11"/>
      <c r="DE1252" s="11"/>
      <c r="DF1252" s="11"/>
      <c r="DG1252" s="11"/>
      <c r="DH1252" s="11"/>
      <c r="DI1252" s="11"/>
      <c r="DJ1252" s="11"/>
      <c r="DK1252" s="11"/>
      <c r="DL1252" s="11"/>
      <c r="DM1252" s="11"/>
      <c r="DN1252" s="11"/>
      <c r="DO1252" s="11"/>
      <c r="DP1252" s="11"/>
      <c r="DQ1252" s="11"/>
      <c r="DR1252" s="11"/>
      <c r="DS1252" s="11"/>
      <c r="DT1252" s="11"/>
      <c r="DU1252" s="11"/>
      <c r="DV1252" s="11"/>
      <c r="DW1252" s="11"/>
      <c r="DX1252" s="11"/>
      <c r="DY1252" s="11"/>
      <c r="DZ1252" s="11"/>
      <c r="EA1252" s="11"/>
      <c r="EB1252" s="11"/>
      <c r="EC1252" s="11"/>
      <c r="ED1252" s="11"/>
      <c r="EE1252" s="11"/>
      <c r="EF1252" s="11"/>
      <c r="EG1252" s="11"/>
      <c r="EH1252" s="11"/>
      <c r="EI1252" s="11"/>
      <c r="EJ1252" s="11"/>
      <c r="EK1252" s="11"/>
      <c r="EL1252" s="11"/>
      <c r="EM1252" s="11"/>
      <c r="EN1252" s="11"/>
      <c r="EO1252" s="11"/>
      <c r="EP1252" s="11"/>
      <c r="EQ1252" s="11"/>
      <c r="ER1252" s="11"/>
      <c r="ES1252" s="11"/>
      <c r="ET1252" s="11"/>
      <c r="EU1252" s="11"/>
      <c r="EV1252" s="11"/>
      <c r="EW1252" s="11"/>
      <c r="EX1252" s="11"/>
      <c r="EY1252" s="11"/>
      <c r="EZ1252" s="11"/>
      <c r="FA1252" s="11"/>
      <c r="FB1252" s="11"/>
      <c r="FC1252" s="11"/>
      <c r="FD1252" s="11"/>
      <c r="FE1252" s="11"/>
      <c r="FF1252" s="11"/>
      <c r="FG1252" s="11"/>
      <c r="FH1252" s="11"/>
      <c r="FI1252" s="11"/>
      <c r="FJ1252" s="11"/>
      <c r="FK1252" s="11"/>
      <c r="FL1252" s="52" t="s">
        <v>445</v>
      </c>
      <c r="FM1252" s="52" t="s">
        <v>255</v>
      </c>
      <c r="FN1252" s="11"/>
      <c r="FO1252" s="11"/>
      <c r="FP1252" s="11"/>
      <c r="FQ1252" s="11"/>
      <c r="FR1252" s="11"/>
      <c r="FS1252" s="11"/>
      <c r="FT1252" s="11"/>
      <c r="FU1252" s="11"/>
      <c r="FV1252" s="11"/>
      <c r="FW1252" s="11"/>
      <c r="FX1252" s="11"/>
      <c r="FY1252" s="11"/>
      <c r="FZ1252" s="11"/>
      <c r="GA1252" s="11"/>
      <c r="GB1252" s="11"/>
      <c r="GC1252" s="11"/>
      <c r="GD1252" s="11"/>
      <c r="GE1252" s="11"/>
      <c r="GF1252" s="11"/>
      <c r="GG1252" s="11"/>
      <c r="GH1252" s="11"/>
      <c r="GI1252" s="11"/>
      <c r="GJ1252" s="11"/>
      <c r="GK1252" s="11"/>
      <c r="GL1252" s="11"/>
      <c r="GM1252" s="11"/>
      <c r="GN1252" s="11"/>
      <c r="GO1252" s="11"/>
      <c r="GP1252" s="11"/>
      <c r="GQ1252" s="11"/>
      <c r="GR1252" s="11"/>
      <c r="GS1252" s="11"/>
      <c r="GT1252" s="11"/>
      <c r="GU1252" s="11"/>
      <c r="GV1252" s="11"/>
      <c r="GW1252" s="11"/>
      <c r="GX1252" s="11"/>
      <c r="GY1252" s="11"/>
      <c r="GZ1252" s="11"/>
      <c r="HA1252" s="11"/>
    </row>
    <row r="1253" spans="1:209" ht="23.25" customHeight="1" x14ac:dyDescent="0.15">
      <c r="A1253" s="11"/>
      <c r="B1253" s="11"/>
      <c r="C1253" s="33" t="s">
        <v>11</v>
      </c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/>
      <c r="R1253" s="11"/>
      <c r="S1253" s="11"/>
      <c r="T1253" s="11"/>
      <c r="U1253" s="11"/>
      <c r="V1253" s="11"/>
      <c r="W1253" s="11"/>
      <c r="X1253" s="11"/>
      <c r="Y1253" s="11"/>
      <c r="Z1253" s="11"/>
      <c r="AA1253" s="11"/>
      <c r="AB1253" s="11"/>
      <c r="AC1253" s="11"/>
      <c r="AD1253" s="11"/>
      <c r="AE1253" s="11"/>
      <c r="AF1253" s="11"/>
      <c r="AG1253" s="11"/>
      <c r="AH1253" s="11"/>
      <c r="AI1253" s="11"/>
      <c r="AJ1253" s="11"/>
      <c r="AK1253" s="11"/>
      <c r="AL1253" s="11"/>
      <c r="AM1253" s="11"/>
      <c r="AN1253" s="11"/>
      <c r="AO1253" s="11"/>
      <c r="AP1253" s="11"/>
      <c r="AQ1253" s="11"/>
      <c r="AR1253" s="11"/>
      <c r="AS1253" s="11"/>
      <c r="AT1253" s="11"/>
      <c r="AU1253" s="11"/>
      <c r="AV1253" s="11"/>
      <c r="AW1253" s="11"/>
      <c r="AX1253" s="52" t="s">
        <v>247</v>
      </c>
      <c r="AY1253" s="52" t="s">
        <v>248</v>
      </c>
      <c r="AZ1253" s="52" t="s">
        <v>3705</v>
      </c>
      <c r="BA1253" s="52" t="s">
        <v>3706</v>
      </c>
      <c r="BB1253" s="52" t="s">
        <v>308</v>
      </c>
      <c r="BC1253" s="53">
        <v>44166</v>
      </c>
      <c r="BD1253" s="53">
        <v>44223</v>
      </c>
      <c r="BE1253" s="11"/>
      <c r="BF1253" s="55">
        <v>100</v>
      </c>
      <c r="BG1253" s="11"/>
      <c r="BH1253" s="54" t="s">
        <v>3707</v>
      </c>
      <c r="BI1253" s="11"/>
      <c r="BJ1253" s="11"/>
      <c r="BK1253" s="11"/>
      <c r="BL1253" s="11"/>
      <c r="BM1253" s="11"/>
      <c r="BN1253" s="11"/>
      <c r="BO1253" s="11"/>
      <c r="BP1253" s="11"/>
      <c r="BQ1253" s="11"/>
      <c r="BR1253" s="11"/>
      <c r="BS1253" s="11"/>
      <c r="BT1253" s="11"/>
      <c r="BU1253" s="11"/>
      <c r="BV1253" s="11"/>
      <c r="BW1253" s="52"/>
      <c r="BX1253" s="52"/>
      <c r="BY1253" s="11"/>
      <c r="BZ1253" s="52"/>
      <c r="CA1253" s="52"/>
      <c r="CB1253" s="52"/>
      <c r="CC1253" s="52"/>
      <c r="CD1253" s="53"/>
      <c r="CE1253" s="53"/>
      <c r="CF1253" s="52"/>
      <c r="CG1253" s="52"/>
      <c r="CH1253" s="11"/>
      <c r="CI1253" s="11"/>
      <c r="CJ1253" s="11"/>
      <c r="CK1253" s="11"/>
      <c r="CL1253" s="11"/>
      <c r="CM1253" s="11"/>
      <c r="CN1253" s="11"/>
      <c r="CO1253" s="11"/>
      <c r="CP1253" s="11"/>
      <c r="CQ1253" s="11"/>
      <c r="CR1253" s="11"/>
      <c r="CS1253" s="11"/>
      <c r="CT1253" s="11"/>
      <c r="CU1253" s="11"/>
      <c r="CV1253" s="11"/>
      <c r="CW1253" s="11"/>
      <c r="CX1253" s="11"/>
      <c r="CY1253" s="11"/>
      <c r="CZ1253" s="11"/>
      <c r="DA1253" s="11"/>
      <c r="DB1253" s="11"/>
      <c r="DC1253" s="11"/>
      <c r="DD1253" s="11"/>
      <c r="DE1253" s="11"/>
      <c r="DF1253" s="11"/>
      <c r="DG1253" s="11"/>
      <c r="DH1253" s="11"/>
      <c r="DI1253" s="11"/>
      <c r="DJ1253" s="11"/>
      <c r="DK1253" s="11"/>
      <c r="DL1253" s="11"/>
      <c r="DM1253" s="11"/>
      <c r="DN1253" s="11"/>
      <c r="DO1253" s="11"/>
      <c r="DP1253" s="11"/>
      <c r="DQ1253" s="11"/>
      <c r="DR1253" s="11"/>
      <c r="DS1253" s="11"/>
      <c r="DT1253" s="11"/>
      <c r="DU1253" s="11"/>
      <c r="DV1253" s="11"/>
      <c r="DW1253" s="11"/>
      <c r="DX1253" s="11"/>
      <c r="DY1253" s="11"/>
      <c r="DZ1253" s="11"/>
      <c r="EA1253" s="11"/>
      <c r="EB1253" s="11"/>
      <c r="EC1253" s="11"/>
      <c r="ED1253" s="11"/>
      <c r="EE1253" s="11"/>
      <c r="EF1253" s="11"/>
      <c r="EG1253" s="11"/>
      <c r="EH1253" s="11"/>
      <c r="EI1253" s="11"/>
      <c r="EJ1253" s="11"/>
      <c r="EK1253" s="11"/>
      <c r="EL1253" s="11"/>
      <c r="EM1253" s="11"/>
      <c r="EN1253" s="11"/>
      <c r="EO1253" s="11"/>
      <c r="EP1253" s="11"/>
      <c r="EQ1253" s="11"/>
      <c r="ER1253" s="11"/>
      <c r="ES1253" s="11"/>
      <c r="ET1253" s="11"/>
      <c r="EU1253" s="11"/>
      <c r="EV1253" s="11"/>
      <c r="EW1253" s="11"/>
      <c r="EX1253" s="11"/>
      <c r="EY1253" s="11"/>
      <c r="EZ1253" s="11"/>
      <c r="FA1253" s="11"/>
      <c r="FB1253" s="11"/>
      <c r="FC1253" s="11"/>
      <c r="FD1253" s="11"/>
      <c r="FE1253" s="11"/>
      <c r="FF1253" s="11"/>
      <c r="FG1253" s="11"/>
      <c r="FH1253" s="11"/>
      <c r="FI1253" s="11"/>
      <c r="FJ1253" s="11"/>
      <c r="FK1253" s="11"/>
      <c r="FL1253" s="52" t="s">
        <v>254</v>
      </c>
      <c r="FM1253" s="52" t="s">
        <v>339</v>
      </c>
      <c r="FN1253" s="11"/>
      <c r="FO1253" s="11"/>
      <c r="FP1253" s="11"/>
      <c r="FQ1253" s="11"/>
      <c r="FR1253" s="11"/>
      <c r="FS1253" s="11"/>
      <c r="FT1253" s="11"/>
      <c r="FU1253" s="11"/>
      <c r="FV1253" s="11"/>
      <c r="FW1253" s="11"/>
      <c r="FX1253" s="11"/>
      <c r="FY1253" s="11"/>
      <c r="FZ1253" s="11"/>
      <c r="GA1253" s="11"/>
      <c r="GB1253" s="11"/>
      <c r="GC1253" s="11"/>
      <c r="GD1253" s="11"/>
      <c r="GE1253" s="11"/>
      <c r="GF1253" s="11"/>
      <c r="GG1253" s="11"/>
      <c r="GH1253" s="11"/>
      <c r="GI1253" s="11"/>
      <c r="GJ1253" s="11"/>
      <c r="GK1253" s="11"/>
      <c r="GL1253" s="11"/>
      <c r="GM1253" s="11"/>
      <c r="GN1253" s="11"/>
      <c r="GO1253" s="11"/>
      <c r="GP1253" s="11"/>
      <c r="GQ1253" s="11"/>
      <c r="GR1253" s="11"/>
      <c r="GS1253" s="11"/>
      <c r="GT1253" s="11"/>
      <c r="GU1253" s="11"/>
      <c r="GV1253" s="11"/>
      <c r="GW1253" s="11"/>
      <c r="GX1253" s="11"/>
      <c r="GY1253" s="11"/>
      <c r="GZ1253" s="11"/>
      <c r="HA1253" s="11"/>
    </row>
    <row r="1254" spans="1:209" ht="23.25" customHeight="1" x14ac:dyDescent="0.15">
      <c r="A1254" s="11"/>
      <c r="B1254" s="11"/>
      <c r="C1254" s="33" t="s">
        <v>11</v>
      </c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/>
      <c r="R1254" s="11"/>
      <c r="S1254" s="11"/>
      <c r="T1254" s="11"/>
      <c r="U1254" s="11"/>
      <c r="V1254" s="11"/>
      <c r="W1254" s="11"/>
      <c r="X1254" s="11"/>
      <c r="Y1254" s="11"/>
      <c r="Z1254" s="11"/>
      <c r="AA1254" s="11"/>
      <c r="AB1254" s="11"/>
      <c r="AC1254" s="11"/>
      <c r="AD1254" s="11"/>
      <c r="AE1254" s="11"/>
      <c r="AF1254" s="11"/>
      <c r="AG1254" s="11"/>
      <c r="AH1254" s="11"/>
      <c r="AI1254" s="11"/>
      <c r="AJ1254" s="11"/>
      <c r="AK1254" s="11"/>
      <c r="AL1254" s="11"/>
      <c r="AM1254" s="11"/>
      <c r="AN1254" s="11"/>
      <c r="AO1254" s="11"/>
      <c r="AP1254" s="11"/>
      <c r="AQ1254" s="11"/>
      <c r="AR1254" s="11"/>
      <c r="AS1254" s="11"/>
      <c r="AT1254" s="11"/>
      <c r="AU1254" s="11"/>
      <c r="AV1254" s="11"/>
      <c r="AW1254" s="11"/>
      <c r="AX1254" s="52" t="s">
        <v>247</v>
      </c>
      <c r="AY1254" s="52" t="s">
        <v>248</v>
      </c>
      <c r="AZ1254" s="52" t="s">
        <v>3708</v>
      </c>
      <c r="BA1254" s="52" t="s">
        <v>1383</v>
      </c>
      <c r="BB1254" s="52" t="s">
        <v>3709</v>
      </c>
      <c r="BC1254" s="53">
        <v>44317</v>
      </c>
      <c r="BD1254" s="53">
        <v>44404</v>
      </c>
      <c r="BE1254" s="11"/>
      <c r="BF1254" s="55">
        <v>100</v>
      </c>
      <c r="BG1254" s="11"/>
      <c r="BH1254" s="54" t="s">
        <v>3710</v>
      </c>
      <c r="BI1254" s="11"/>
      <c r="BJ1254" s="11"/>
      <c r="BK1254" s="11"/>
      <c r="BL1254" s="11"/>
      <c r="BM1254" s="11"/>
      <c r="BN1254" s="11"/>
      <c r="BO1254" s="11"/>
      <c r="BP1254" s="11"/>
      <c r="BQ1254" s="11"/>
      <c r="BR1254" s="11"/>
      <c r="BS1254" s="11"/>
      <c r="BT1254" s="11"/>
      <c r="BU1254" s="11"/>
      <c r="BV1254" s="11"/>
      <c r="BW1254" s="52"/>
      <c r="BX1254" s="52"/>
      <c r="BY1254" s="11"/>
      <c r="BZ1254" s="52"/>
      <c r="CA1254" s="52"/>
      <c r="CB1254" s="52"/>
      <c r="CC1254" s="52"/>
      <c r="CD1254" s="53"/>
      <c r="CE1254" s="53"/>
      <c r="CF1254" s="52"/>
      <c r="CG1254" s="52"/>
      <c r="CH1254" s="11"/>
      <c r="CI1254" s="11"/>
      <c r="CJ1254" s="11"/>
      <c r="CK1254" s="11"/>
      <c r="CL1254" s="11"/>
      <c r="CM1254" s="11"/>
      <c r="CN1254" s="11"/>
      <c r="CO1254" s="11"/>
      <c r="CP1254" s="11"/>
      <c r="CQ1254" s="11"/>
      <c r="CR1254" s="11"/>
      <c r="CS1254" s="11"/>
      <c r="CT1254" s="11"/>
      <c r="CU1254" s="11"/>
      <c r="CV1254" s="11"/>
      <c r="CW1254" s="11"/>
      <c r="CX1254" s="11"/>
      <c r="CY1254" s="11"/>
      <c r="CZ1254" s="11"/>
      <c r="DA1254" s="11"/>
      <c r="DB1254" s="11"/>
      <c r="DC1254" s="11"/>
      <c r="DD1254" s="11"/>
      <c r="DE1254" s="11"/>
      <c r="DF1254" s="11"/>
      <c r="DG1254" s="11"/>
      <c r="DH1254" s="11"/>
      <c r="DI1254" s="11"/>
      <c r="DJ1254" s="11"/>
      <c r="DK1254" s="11"/>
      <c r="DL1254" s="11"/>
      <c r="DM1254" s="11"/>
      <c r="DN1254" s="11"/>
      <c r="DO1254" s="11"/>
      <c r="DP1254" s="11"/>
      <c r="DQ1254" s="11"/>
      <c r="DR1254" s="11"/>
      <c r="DS1254" s="11"/>
      <c r="DT1254" s="11"/>
      <c r="DU1254" s="11"/>
      <c r="DV1254" s="11"/>
      <c r="DW1254" s="11"/>
      <c r="DX1254" s="11"/>
      <c r="DY1254" s="11"/>
      <c r="DZ1254" s="11"/>
      <c r="EA1254" s="11"/>
      <c r="EB1254" s="11"/>
      <c r="EC1254" s="11"/>
      <c r="ED1254" s="11"/>
      <c r="EE1254" s="11"/>
      <c r="EF1254" s="11"/>
      <c r="EG1254" s="11"/>
      <c r="EH1254" s="11"/>
      <c r="EI1254" s="11"/>
      <c r="EJ1254" s="11"/>
      <c r="EK1254" s="11"/>
      <c r="EL1254" s="11"/>
      <c r="EM1254" s="11"/>
      <c r="EN1254" s="11"/>
      <c r="EO1254" s="11"/>
      <c r="EP1254" s="11"/>
      <c r="EQ1254" s="11"/>
      <c r="ER1254" s="11"/>
      <c r="ES1254" s="11"/>
      <c r="ET1254" s="11"/>
      <c r="EU1254" s="11"/>
      <c r="EV1254" s="11"/>
      <c r="EW1254" s="11"/>
      <c r="EX1254" s="11"/>
      <c r="EY1254" s="11"/>
      <c r="EZ1254" s="11"/>
      <c r="FA1254" s="11"/>
      <c r="FB1254" s="11"/>
      <c r="FC1254" s="11"/>
      <c r="FD1254" s="11"/>
      <c r="FE1254" s="11"/>
      <c r="FF1254" s="11"/>
      <c r="FG1254" s="11"/>
      <c r="FH1254" s="11"/>
      <c r="FI1254" s="11"/>
      <c r="FJ1254" s="11"/>
      <c r="FK1254" s="11"/>
      <c r="FL1254" s="52" t="s">
        <v>254</v>
      </c>
      <c r="FM1254" s="52" t="s">
        <v>339</v>
      </c>
      <c r="FN1254" s="11"/>
      <c r="FO1254" s="11"/>
      <c r="FP1254" s="11"/>
      <c r="FQ1254" s="11"/>
      <c r="FR1254" s="11"/>
      <c r="FS1254" s="11"/>
      <c r="FT1254" s="11"/>
      <c r="FU1254" s="11"/>
      <c r="FV1254" s="11"/>
      <c r="FW1254" s="11"/>
      <c r="FX1254" s="11"/>
      <c r="FY1254" s="11"/>
      <c r="FZ1254" s="11"/>
      <c r="GA1254" s="11"/>
      <c r="GB1254" s="11"/>
      <c r="GC1254" s="11"/>
      <c r="GD1254" s="11"/>
      <c r="GE1254" s="11"/>
      <c r="GF1254" s="11"/>
      <c r="GG1254" s="11"/>
      <c r="GH1254" s="11"/>
      <c r="GI1254" s="11"/>
      <c r="GJ1254" s="11"/>
      <c r="GK1254" s="11"/>
      <c r="GL1254" s="11"/>
      <c r="GM1254" s="11"/>
      <c r="GN1254" s="11"/>
      <c r="GO1254" s="11"/>
      <c r="GP1254" s="11"/>
      <c r="GQ1254" s="11"/>
      <c r="GR1254" s="11"/>
      <c r="GS1254" s="11"/>
      <c r="GT1254" s="11"/>
      <c r="GU1254" s="11"/>
      <c r="GV1254" s="11"/>
      <c r="GW1254" s="11"/>
      <c r="GX1254" s="11"/>
      <c r="GY1254" s="11"/>
      <c r="GZ1254" s="11"/>
      <c r="HA1254" s="11"/>
    </row>
    <row r="1255" spans="1:209" ht="23.25" customHeight="1" x14ac:dyDescent="0.15">
      <c r="A1255" s="11"/>
      <c r="B1255" s="11"/>
      <c r="C1255" s="33" t="s">
        <v>11</v>
      </c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/>
      <c r="R1255" s="11"/>
      <c r="S1255" s="11"/>
      <c r="T1255" s="11"/>
      <c r="U1255" s="11"/>
      <c r="V1255" s="11"/>
      <c r="W1255" s="11"/>
      <c r="X1255" s="11"/>
      <c r="Y1255" s="11"/>
      <c r="Z1255" s="11"/>
      <c r="AA1255" s="11"/>
      <c r="AB1255" s="11"/>
      <c r="AC1255" s="11"/>
      <c r="AD1255" s="11"/>
      <c r="AE1255" s="11"/>
      <c r="AF1255" s="11"/>
      <c r="AG1255" s="11"/>
      <c r="AH1255" s="11"/>
      <c r="AI1255" s="11"/>
      <c r="AJ1255" s="11"/>
      <c r="AK1255" s="11"/>
      <c r="AL1255" s="11"/>
      <c r="AM1255" s="11"/>
      <c r="AN1255" s="11"/>
      <c r="AO1255" s="11"/>
      <c r="AP1255" s="11"/>
      <c r="AQ1255" s="11"/>
      <c r="AR1255" s="11"/>
      <c r="AS1255" s="11"/>
      <c r="AT1255" s="11"/>
      <c r="AU1255" s="11"/>
      <c r="AV1255" s="11"/>
      <c r="AW1255" s="11"/>
      <c r="AX1255" s="52" t="s">
        <v>247</v>
      </c>
      <c r="AY1255" s="52" t="s">
        <v>248</v>
      </c>
      <c r="AZ1255" s="52" t="s">
        <v>3711</v>
      </c>
      <c r="BA1255" s="52" t="s">
        <v>1383</v>
      </c>
      <c r="BB1255" s="52" t="s">
        <v>970</v>
      </c>
      <c r="BC1255" s="53">
        <v>43983</v>
      </c>
      <c r="BD1255" s="53">
        <v>44025</v>
      </c>
      <c r="BE1255" s="11"/>
      <c r="BF1255" s="55">
        <v>100</v>
      </c>
      <c r="BG1255" s="11"/>
      <c r="BH1255" s="54" t="s">
        <v>3712</v>
      </c>
      <c r="BI1255" s="11"/>
      <c r="BJ1255" s="11"/>
      <c r="BK1255" s="11"/>
      <c r="BL1255" s="11"/>
      <c r="BM1255" s="11"/>
      <c r="BN1255" s="11"/>
      <c r="BO1255" s="11"/>
      <c r="BP1255" s="11"/>
      <c r="BQ1255" s="11"/>
      <c r="BR1255" s="11"/>
      <c r="BS1255" s="11"/>
      <c r="BT1255" s="11"/>
      <c r="BU1255" s="11"/>
      <c r="BV1255" s="11"/>
      <c r="BW1255" s="52"/>
      <c r="BX1255" s="52"/>
      <c r="BY1255" s="11"/>
      <c r="BZ1255" s="52"/>
      <c r="CA1255" s="52"/>
      <c r="CB1255" s="52"/>
      <c r="CC1255" s="52"/>
      <c r="CD1255" s="53"/>
      <c r="CE1255" s="53"/>
      <c r="CF1255" s="52"/>
      <c r="CG1255" s="52"/>
      <c r="CH1255" s="11"/>
      <c r="CI1255" s="11"/>
      <c r="CJ1255" s="11"/>
      <c r="CK1255" s="11"/>
      <c r="CL1255" s="11"/>
      <c r="CM1255" s="11"/>
      <c r="CN1255" s="11"/>
      <c r="CO1255" s="11"/>
      <c r="CP1255" s="11"/>
      <c r="CQ1255" s="11"/>
      <c r="CR1255" s="11"/>
      <c r="CS1255" s="11"/>
      <c r="CT1255" s="11"/>
      <c r="CU1255" s="11"/>
      <c r="CV1255" s="11"/>
      <c r="CW1255" s="11"/>
      <c r="CX1255" s="11"/>
      <c r="CY1255" s="11"/>
      <c r="CZ1255" s="11"/>
      <c r="DA1255" s="11"/>
      <c r="DB1255" s="11"/>
      <c r="DC1255" s="11"/>
      <c r="DD1255" s="11"/>
      <c r="DE1255" s="11"/>
      <c r="DF1255" s="11"/>
      <c r="DG1255" s="11"/>
      <c r="DH1255" s="11"/>
      <c r="DI1255" s="11"/>
      <c r="DJ1255" s="11"/>
      <c r="DK1255" s="11"/>
      <c r="DL1255" s="11"/>
      <c r="DM1255" s="11"/>
      <c r="DN1255" s="11"/>
      <c r="DO1255" s="11"/>
      <c r="DP1255" s="11"/>
      <c r="DQ1255" s="11"/>
      <c r="DR1255" s="11"/>
      <c r="DS1255" s="11"/>
      <c r="DT1255" s="11"/>
      <c r="DU1255" s="11"/>
      <c r="DV1255" s="11"/>
      <c r="DW1255" s="11"/>
      <c r="DX1255" s="11"/>
      <c r="DY1255" s="11"/>
      <c r="DZ1255" s="11"/>
      <c r="EA1255" s="11"/>
      <c r="EB1255" s="11"/>
      <c r="EC1255" s="11"/>
      <c r="ED1255" s="11"/>
      <c r="EE1255" s="11"/>
      <c r="EF1255" s="11"/>
      <c r="EG1255" s="11"/>
      <c r="EH1255" s="11"/>
      <c r="EI1255" s="11"/>
      <c r="EJ1255" s="11"/>
      <c r="EK1255" s="11"/>
      <c r="EL1255" s="11"/>
      <c r="EM1255" s="11"/>
      <c r="EN1255" s="11"/>
      <c r="EO1255" s="11"/>
      <c r="EP1255" s="11"/>
      <c r="EQ1255" s="11"/>
      <c r="ER1255" s="11"/>
      <c r="ES1255" s="11"/>
      <c r="ET1255" s="11"/>
      <c r="EU1255" s="11"/>
      <c r="EV1255" s="11"/>
      <c r="EW1255" s="11"/>
      <c r="EX1255" s="11"/>
      <c r="EY1255" s="11"/>
      <c r="EZ1255" s="11"/>
      <c r="FA1255" s="11"/>
      <c r="FB1255" s="11"/>
      <c r="FC1255" s="11"/>
      <c r="FD1255" s="11"/>
      <c r="FE1255" s="11"/>
      <c r="FF1255" s="11"/>
      <c r="FG1255" s="11"/>
      <c r="FH1255" s="11"/>
      <c r="FI1255" s="11"/>
      <c r="FJ1255" s="11"/>
      <c r="FK1255" s="11"/>
      <c r="FL1255" s="52" t="s">
        <v>254</v>
      </c>
      <c r="FM1255" s="52" t="s">
        <v>339</v>
      </c>
      <c r="FN1255" s="11"/>
      <c r="FO1255" s="11"/>
      <c r="FP1255" s="11"/>
      <c r="FQ1255" s="11"/>
      <c r="FR1255" s="11"/>
      <c r="FS1255" s="11"/>
      <c r="FT1255" s="11"/>
      <c r="FU1255" s="11"/>
      <c r="FV1255" s="11"/>
      <c r="FW1255" s="11"/>
      <c r="FX1255" s="11"/>
      <c r="FY1255" s="11"/>
      <c r="FZ1255" s="11"/>
      <c r="GA1255" s="11"/>
      <c r="GB1255" s="11"/>
      <c r="GC1255" s="11"/>
      <c r="GD1255" s="11"/>
      <c r="GE1255" s="11"/>
      <c r="GF1255" s="11"/>
      <c r="GG1255" s="11"/>
      <c r="GH1255" s="11"/>
      <c r="GI1255" s="11"/>
      <c r="GJ1255" s="11"/>
      <c r="GK1255" s="11"/>
      <c r="GL1255" s="11"/>
      <c r="GM1255" s="11"/>
      <c r="GN1255" s="11"/>
      <c r="GO1255" s="11"/>
      <c r="GP1255" s="11"/>
      <c r="GQ1255" s="11"/>
      <c r="GR1255" s="11"/>
      <c r="GS1255" s="11"/>
      <c r="GT1255" s="11"/>
      <c r="GU1255" s="11"/>
      <c r="GV1255" s="11"/>
      <c r="GW1255" s="11"/>
      <c r="GX1255" s="11"/>
      <c r="GY1255" s="11"/>
      <c r="GZ1255" s="11"/>
      <c r="HA1255" s="11"/>
    </row>
    <row r="1256" spans="1:209" ht="23.25" customHeight="1" x14ac:dyDescent="0.15">
      <c r="A1256" s="11"/>
      <c r="B1256" s="11"/>
      <c r="C1256" s="33" t="s">
        <v>11</v>
      </c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/>
      <c r="R1256" s="11"/>
      <c r="S1256" s="11"/>
      <c r="T1256" s="11"/>
      <c r="U1256" s="11"/>
      <c r="V1256" s="11"/>
      <c r="W1256" s="11"/>
      <c r="X1256" s="11"/>
      <c r="Y1256" s="11"/>
      <c r="Z1256" s="11"/>
      <c r="AA1256" s="11"/>
      <c r="AB1256" s="11"/>
      <c r="AC1256" s="11"/>
      <c r="AD1256" s="11"/>
      <c r="AE1256" s="11"/>
      <c r="AF1256" s="11"/>
      <c r="AG1256" s="11"/>
      <c r="AH1256" s="11"/>
      <c r="AI1256" s="11"/>
      <c r="AJ1256" s="11"/>
      <c r="AK1256" s="11"/>
      <c r="AL1256" s="11"/>
      <c r="AM1256" s="11"/>
      <c r="AN1256" s="11"/>
      <c r="AO1256" s="11"/>
      <c r="AP1256" s="11"/>
      <c r="AQ1256" s="11"/>
      <c r="AR1256" s="11"/>
      <c r="AS1256" s="11"/>
      <c r="AT1256" s="11"/>
      <c r="AU1256" s="11"/>
      <c r="AV1256" s="11"/>
      <c r="AW1256" s="11"/>
      <c r="AX1256" s="52" t="s">
        <v>428</v>
      </c>
      <c r="AY1256" s="52" t="s">
        <v>429</v>
      </c>
      <c r="AZ1256" s="52" t="s">
        <v>3713</v>
      </c>
      <c r="BA1256" s="52" t="s">
        <v>1090</v>
      </c>
      <c r="BB1256" s="52" t="s">
        <v>624</v>
      </c>
      <c r="BC1256" s="53">
        <v>43956</v>
      </c>
      <c r="BD1256" s="53">
        <v>43987</v>
      </c>
      <c r="BE1256" s="11"/>
      <c r="BF1256" s="55">
        <v>95</v>
      </c>
      <c r="BG1256" s="11"/>
      <c r="BH1256" s="54" t="s">
        <v>3714</v>
      </c>
      <c r="BI1256" s="11"/>
      <c r="BJ1256" s="11"/>
      <c r="BK1256" s="11"/>
      <c r="BL1256" s="11"/>
      <c r="BM1256" s="11"/>
      <c r="BN1256" s="11"/>
      <c r="BO1256" s="11"/>
      <c r="BP1256" s="11"/>
      <c r="BQ1256" s="11"/>
      <c r="BR1256" s="11"/>
      <c r="BS1256" s="11"/>
      <c r="BT1256" s="11"/>
      <c r="BU1256" s="11"/>
      <c r="BV1256" s="11"/>
      <c r="BW1256" s="52"/>
      <c r="BX1256" s="52"/>
      <c r="BY1256" s="11"/>
      <c r="BZ1256" s="52"/>
      <c r="CA1256" s="52"/>
      <c r="CB1256" s="52"/>
      <c r="CC1256" s="52"/>
      <c r="CD1256" s="53"/>
      <c r="CE1256" s="53"/>
      <c r="CF1256" s="52"/>
      <c r="CG1256" s="52"/>
      <c r="CH1256" s="11"/>
      <c r="CI1256" s="11"/>
      <c r="CJ1256" s="11"/>
      <c r="CK1256" s="11"/>
      <c r="CL1256" s="11"/>
      <c r="CM1256" s="11"/>
      <c r="CN1256" s="11"/>
      <c r="CO1256" s="11"/>
      <c r="CP1256" s="11"/>
      <c r="CQ1256" s="11"/>
      <c r="CR1256" s="11"/>
      <c r="CS1256" s="11"/>
      <c r="CT1256" s="11"/>
      <c r="CU1256" s="11"/>
      <c r="CV1256" s="11"/>
      <c r="CW1256" s="11"/>
      <c r="CX1256" s="11"/>
      <c r="CY1256" s="11"/>
      <c r="CZ1256" s="11"/>
      <c r="DA1256" s="11"/>
      <c r="DB1256" s="11"/>
      <c r="DC1256" s="11"/>
      <c r="DD1256" s="11"/>
      <c r="DE1256" s="11"/>
      <c r="DF1256" s="11"/>
      <c r="DG1256" s="11"/>
      <c r="DH1256" s="11"/>
      <c r="DI1256" s="11"/>
      <c r="DJ1256" s="11"/>
      <c r="DK1256" s="11"/>
      <c r="DL1256" s="11"/>
      <c r="DM1256" s="11"/>
      <c r="DN1256" s="11"/>
      <c r="DO1256" s="11"/>
      <c r="DP1256" s="11"/>
      <c r="DQ1256" s="11"/>
      <c r="DR1256" s="11"/>
      <c r="DS1256" s="11"/>
      <c r="DT1256" s="11"/>
      <c r="DU1256" s="11"/>
      <c r="DV1256" s="11"/>
      <c r="DW1256" s="11"/>
      <c r="DX1256" s="11"/>
      <c r="DY1256" s="11"/>
      <c r="DZ1256" s="11"/>
      <c r="EA1256" s="11"/>
      <c r="EB1256" s="11"/>
      <c r="EC1256" s="11"/>
      <c r="ED1256" s="11"/>
      <c r="EE1256" s="11"/>
      <c r="EF1256" s="11"/>
      <c r="EG1256" s="11"/>
      <c r="EH1256" s="11"/>
      <c r="EI1256" s="11"/>
      <c r="EJ1256" s="11"/>
      <c r="EK1256" s="11"/>
      <c r="EL1256" s="11"/>
      <c r="EM1256" s="11"/>
      <c r="EN1256" s="11"/>
      <c r="EO1256" s="11"/>
      <c r="EP1256" s="11"/>
      <c r="EQ1256" s="11"/>
      <c r="ER1256" s="11"/>
      <c r="ES1256" s="11"/>
      <c r="ET1256" s="11"/>
      <c r="EU1256" s="11"/>
      <c r="EV1256" s="11"/>
      <c r="EW1256" s="11"/>
      <c r="EX1256" s="11"/>
      <c r="EY1256" s="11"/>
      <c r="EZ1256" s="11"/>
      <c r="FA1256" s="11"/>
      <c r="FB1256" s="11"/>
      <c r="FC1256" s="11"/>
      <c r="FD1256" s="11"/>
      <c r="FE1256" s="11"/>
      <c r="FF1256" s="11"/>
      <c r="FG1256" s="11"/>
      <c r="FH1256" s="11"/>
      <c r="FI1256" s="11"/>
      <c r="FJ1256" s="11"/>
      <c r="FK1256" s="11"/>
      <c r="FL1256" s="52" t="s">
        <v>434</v>
      </c>
      <c r="FM1256" s="52" t="s">
        <v>321</v>
      </c>
      <c r="FN1256" s="11"/>
      <c r="FO1256" s="11"/>
      <c r="FP1256" s="11"/>
      <c r="FQ1256" s="11"/>
      <c r="FR1256" s="11"/>
      <c r="FS1256" s="11"/>
      <c r="FT1256" s="11"/>
      <c r="FU1256" s="11"/>
      <c r="FV1256" s="11"/>
      <c r="FW1256" s="11"/>
      <c r="FX1256" s="11"/>
      <c r="FY1256" s="11"/>
      <c r="FZ1256" s="11"/>
      <c r="GA1256" s="11"/>
      <c r="GB1256" s="11"/>
      <c r="GC1256" s="11"/>
      <c r="GD1256" s="11"/>
      <c r="GE1256" s="11"/>
      <c r="GF1256" s="11"/>
      <c r="GG1256" s="11"/>
      <c r="GH1256" s="11"/>
      <c r="GI1256" s="11"/>
      <c r="GJ1256" s="11"/>
      <c r="GK1256" s="11"/>
      <c r="GL1256" s="11"/>
      <c r="GM1256" s="11"/>
      <c r="GN1256" s="11"/>
      <c r="GO1256" s="11"/>
      <c r="GP1256" s="11"/>
      <c r="GQ1256" s="11"/>
      <c r="GR1256" s="11"/>
      <c r="GS1256" s="11"/>
      <c r="GT1256" s="11"/>
      <c r="GU1256" s="11"/>
      <c r="GV1256" s="11"/>
      <c r="GW1256" s="11"/>
      <c r="GX1256" s="11"/>
      <c r="GY1256" s="11"/>
      <c r="GZ1256" s="11"/>
      <c r="HA1256" s="11"/>
    </row>
    <row r="1257" spans="1:209" ht="23.25" customHeight="1" x14ac:dyDescent="0.15">
      <c r="A1257" s="11"/>
      <c r="B1257" s="11"/>
      <c r="C1257" s="33" t="s">
        <v>11</v>
      </c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/>
      <c r="R1257" s="11"/>
      <c r="S1257" s="11"/>
      <c r="T1257" s="11"/>
      <c r="U1257" s="11"/>
      <c r="V1257" s="11"/>
      <c r="W1257" s="11"/>
      <c r="X1257" s="11"/>
      <c r="Y1257" s="11"/>
      <c r="Z1257" s="11"/>
      <c r="AA1257" s="11"/>
      <c r="AB1257" s="11"/>
      <c r="AC1257" s="11"/>
      <c r="AD1257" s="11"/>
      <c r="AE1257" s="11"/>
      <c r="AF1257" s="11"/>
      <c r="AG1257" s="11"/>
      <c r="AH1257" s="11"/>
      <c r="AI1257" s="11"/>
      <c r="AJ1257" s="11"/>
      <c r="AK1257" s="11"/>
      <c r="AL1257" s="11"/>
      <c r="AM1257" s="11"/>
      <c r="AN1257" s="11"/>
      <c r="AO1257" s="11"/>
      <c r="AP1257" s="11"/>
      <c r="AQ1257" s="11"/>
      <c r="AR1257" s="11"/>
      <c r="AS1257" s="11"/>
      <c r="AT1257" s="11"/>
      <c r="AU1257" s="11"/>
      <c r="AV1257" s="11"/>
      <c r="AW1257" s="11"/>
      <c r="AX1257" s="52" t="s">
        <v>247</v>
      </c>
      <c r="AY1257" s="52" t="s">
        <v>248</v>
      </c>
      <c r="AZ1257" s="52" t="s">
        <v>3715</v>
      </c>
      <c r="BA1257" s="52" t="s">
        <v>3716</v>
      </c>
      <c r="BB1257" s="52" t="s">
        <v>493</v>
      </c>
      <c r="BC1257" s="53">
        <v>44624</v>
      </c>
      <c r="BD1257" s="53">
        <v>44651</v>
      </c>
      <c r="BE1257" s="11"/>
      <c r="BF1257" s="55">
        <v>100</v>
      </c>
      <c r="BG1257" s="11"/>
      <c r="BH1257" s="54" t="s">
        <v>3717</v>
      </c>
      <c r="BI1257" s="11"/>
      <c r="BJ1257" s="11"/>
      <c r="BK1257" s="11"/>
      <c r="BL1257" s="11"/>
      <c r="BM1257" s="11"/>
      <c r="BN1257" s="11"/>
      <c r="BO1257" s="11"/>
      <c r="BP1257" s="11"/>
      <c r="BQ1257" s="11"/>
      <c r="BR1257" s="11"/>
      <c r="BS1257" s="11"/>
      <c r="BT1257" s="11"/>
      <c r="BU1257" s="11"/>
      <c r="BV1257" s="11"/>
      <c r="BW1257" s="52"/>
      <c r="BX1257" s="52"/>
      <c r="BY1257" s="11"/>
      <c r="BZ1257" s="52"/>
      <c r="CA1257" s="52"/>
      <c r="CB1257" s="52"/>
      <c r="CC1257" s="52"/>
      <c r="CD1257" s="53"/>
      <c r="CE1257" s="53"/>
      <c r="CF1257" s="52"/>
      <c r="CG1257" s="52"/>
      <c r="CH1257" s="11"/>
      <c r="CI1257" s="11"/>
      <c r="CJ1257" s="11"/>
      <c r="CK1257" s="11"/>
      <c r="CL1257" s="11"/>
      <c r="CM1257" s="11"/>
      <c r="CN1257" s="11"/>
      <c r="CO1257" s="11"/>
      <c r="CP1257" s="11"/>
      <c r="CQ1257" s="11"/>
      <c r="CR1257" s="11"/>
      <c r="CS1257" s="11"/>
      <c r="CT1257" s="11"/>
      <c r="CU1257" s="11"/>
      <c r="CV1257" s="11"/>
      <c r="CW1257" s="11"/>
      <c r="CX1257" s="11"/>
      <c r="CY1257" s="11"/>
      <c r="CZ1257" s="11"/>
      <c r="DA1257" s="11"/>
      <c r="DB1257" s="11"/>
      <c r="DC1257" s="11"/>
      <c r="DD1257" s="11"/>
      <c r="DE1257" s="11"/>
      <c r="DF1257" s="11"/>
      <c r="DG1257" s="11"/>
      <c r="DH1257" s="11"/>
      <c r="DI1257" s="11"/>
      <c r="DJ1257" s="11"/>
      <c r="DK1257" s="11"/>
      <c r="DL1257" s="11"/>
      <c r="DM1257" s="11"/>
      <c r="DN1257" s="11"/>
      <c r="DO1257" s="11"/>
      <c r="DP1257" s="11"/>
      <c r="DQ1257" s="11"/>
      <c r="DR1257" s="11"/>
      <c r="DS1257" s="11"/>
      <c r="DT1257" s="11"/>
      <c r="DU1257" s="11"/>
      <c r="DV1257" s="11"/>
      <c r="DW1257" s="11"/>
      <c r="DX1257" s="11"/>
      <c r="DY1257" s="11"/>
      <c r="DZ1257" s="11"/>
      <c r="EA1257" s="11"/>
      <c r="EB1257" s="11"/>
      <c r="EC1257" s="11"/>
      <c r="ED1257" s="11"/>
      <c r="EE1257" s="11"/>
      <c r="EF1257" s="11"/>
      <c r="EG1257" s="11"/>
      <c r="EH1257" s="11"/>
      <c r="EI1257" s="11"/>
      <c r="EJ1257" s="11"/>
      <c r="EK1257" s="11"/>
      <c r="EL1257" s="11"/>
      <c r="EM1257" s="11"/>
      <c r="EN1257" s="11"/>
      <c r="EO1257" s="11"/>
      <c r="EP1257" s="11"/>
      <c r="EQ1257" s="11"/>
      <c r="ER1257" s="11"/>
      <c r="ES1257" s="11"/>
      <c r="ET1257" s="11"/>
      <c r="EU1257" s="11"/>
      <c r="EV1257" s="11"/>
      <c r="EW1257" s="11"/>
      <c r="EX1257" s="11"/>
      <c r="EY1257" s="11"/>
      <c r="EZ1257" s="11"/>
      <c r="FA1257" s="11"/>
      <c r="FB1257" s="11"/>
      <c r="FC1257" s="11"/>
      <c r="FD1257" s="11"/>
      <c r="FE1257" s="11"/>
      <c r="FF1257" s="11"/>
      <c r="FG1257" s="11"/>
      <c r="FH1257" s="11"/>
      <c r="FI1257" s="11"/>
      <c r="FJ1257" s="11"/>
      <c r="FK1257" s="11"/>
      <c r="FL1257" s="52" t="s">
        <v>254</v>
      </c>
      <c r="FM1257" s="52" t="s">
        <v>255</v>
      </c>
      <c r="FN1257" s="11"/>
      <c r="FO1257" s="11"/>
      <c r="FP1257" s="11"/>
      <c r="FQ1257" s="11"/>
      <c r="FR1257" s="11"/>
      <c r="FS1257" s="11"/>
      <c r="FT1257" s="11"/>
      <c r="FU1257" s="11"/>
      <c r="FV1257" s="11"/>
      <c r="FW1257" s="11"/>
      <c r="FX1257" s="11"/>
      <c r="FY1257" s="11"/>
      <c r="FZ1257" s="11"/>
      <c r="GA1257" s="11"/>
      <c r="GB1257" s="11"/>
      <c r="GC1257" s="11"/>
      <c r="GD1257" s="11"/>
      <c r="GE1257" s="11"/>
      <c r="GF1257" s="11"/>
      <c r="GG1257" s="11"/>
      <c r="GH1257" s="11"/>
      <c r="GI1257" s="11"/>
      <c r="GJ1257" s="11"/>
      <c r="GK1257" s="11"/>
      <c r="GL1257" s="11"/>
      <c r="GM1257" s="11"/>
      <c r="GN1257" s="11"/>
      <c r="GO1257" s="11"/>
      <c r="GP1257" s="11"/>
      <c r="GQ1257" s="11"/>
      <c r="GR1257" s="11"/>
      <c r="GS1257" s="11"/>
      <c r="GT1257" s="11"/>
      <c r="GU1257" s="11"/>
      <c r="GV1257" s="11"/>
      <c r="GW1257" s="11"/>
      <c r="GX1257" s="11"/>
      <c r="GY1257" s="11"/>
      <c r="GZ1257" s="11"/>
      <c r="HA1257" s="11"/>
    </row>
    <row r="1258" spans="1:209" ht="23.25" customHeight="1" x14ac:dyDescent="0.15">
      <c r="A1258" s="11"/>
      <c r="B1258" s="11"/>
      <c r="C1258" s="33" t="s">
        <v>11</v>
      </c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/>
      <c r="R1258" s="11"/>
      <c r="S1258" s="11"/>
      <c r="T1258" s="11"/>
      <c r="U1258" s="11"/>
      <c r="V1258" s="11"/>
      <c r="W1258" s="11"/>
      <c r="X1258" s="11"/>
      <c r="Y1258" s="11"/>
      <c r="Z1258" s="11"/>
      <c r="AA1258" s="11"/>
      <c r="AB1258" s="11"/>
      <c r="AC1258" s="11"/>
      <c r="AD1258" s="11"/>
      <c r="AE1258" s="11"/>
      <c r="AF1258" s="11"/>
      <c r="AG1258" s="11"/>
      <c r="AH1258" s="11"/>
      <c r="AI1258" s="11"/>
      <c r="AJ1258" s="11"/>
      <c r="AK1258" s="11"/>
      <c r="AL1258" s="11"/>
      <c r="AM1258" s="11"/>
      <c r="AN1258" s="11"/>
      <c r="AO1258" s="11"/>
      <c r="AP1258" s="11"/>
      <c r="AQ1258" s="11"/>
      <c r="AR1258" s="11"/>
      <c r="AS1258" s="11"/>
      <c r="AT1258" s="11"/>
      <c r="AU1258" s="11"/>
      <c r="AV1258" s="11"/>
      <c r="AW1258" s="11"/>
      <c r="AX1258" s="52" t="s">
        <v>428</v>
      </c>
      <c r="AY1258" s="52" t="s">
        <v>429</v>
      </c>
      <c r="AZ1258" s="52" t="s">
        <v>3718</v>
      </c>
      <c r="BA1258" s="52" t="s">
        <v>3719</v>
      </c>
      <c r="BB1258" s="52" t="s">
        <v>624</v>
      </c>
      <c r="BC1258" s="53">
        <v>43947</v>
      </c>
      <c r="BD1258" s="53">
        <v>43977</v>
      </c>
      <c r="BE1258" s="11"/>
      <c r="BF1258" s="55">
        <v>90</v>
      </c>
      <c r="BG1258" s="11"/>
      <c r="BH1258" s="54" t="s">
        <v>3720</v>
      </c>
      <c r="BI1258" s="11"/>
      <c r="BJ1258" s="11"/>
      <c r="BK1258" s="11"/>
      <c r="BL1258" s="11"/>
      <c r="BM1258" s="11"/>
      <c r="BN1258" s="11"/>
      <c r="BO1258" s="11"/>
      <c r="BP1258" s="11"/>
      <c r="BQ1258" s="11"/>
      <c r="BR1258" s="11"/>
      <c r="BS1258" s="11"/>
      <c r="BT1258" s="11"/>
      <c r="BU1258" s="11"/>
      <c r="BV1258" s="11"/>
      <c r="BW1258" s="52"/>
      <c r="BX1258" s="52"/>
      <c r="BY1258" s="11"/>
      <c r="BZ1258" s="52"/>
      <c r="CA1258" s="52"/>
      <c r="CB1258" s="52"/>
      <c r="CC1258" s="52"/>
      <c r="CD1258" s="53"/>
      <c r="CE1258" s="53"/>
      <c r="CF1258" s="52"/>
      <c r="CG1258" s="52"/>
      <c r="CH1258" s="11"/>
      <c r="CI1258" s="11"/>
      <c r="CJ1258" s="11"/>
      <c r="CK1258" s="11"/>
      <c r="CL1258" s="11"/>
      <c r="CM1258" s="11"/>
      <c r="CN1258" s="11"/>
      <c r="CO1258" s="11"/>
      <c r="CP1258" s="11"/>
      <c r="CQ1258" s="11"/>
      <c r="CR1258" s="11"/>
      <c r="CS1258" s="11"/>
      <c r="CT1258" s="11"/>
      <c r="CU1258" s="11"/>
      <c r="CV1258" s="11"/>
      <c r="CW1258" s="11"/>
      <c r="CX1258" s="11"/>
      <c r="CY1258" s="11"/>
      <c r="CZ1258" s="11"/>
      <c r="DA1258" s="11"/>
      <c r="DB1258" s="11"/>
      <c r="DC1258" s="11"/>
      <c r="DD1258" s="11"/>
      <c r="DE1258" s="11"/>
      <c r="DF1258" s="11"/>
      <c r="DG1258" s="11"/>
      <c r="DH1258" s="11"/>
      <c r="DI1258" s="11"/>
      <c r="DJ1258" s="11"/>
      <c r="DK1258" s="11"/>
      <c r="DL1258" s="11"/>
      <c r="DM1258" s="11"/>
      <c r="DN1258" s="11"/>
      <c r="DO1258" s="11"/>
      <c r="DP1258" s="11"/>
      <c r="DQ1258" s="11"/>
      <c r="DR1258" s="11"/>
      <c r="DS1258" s="11"/>
      <c r="DT1258" s="11"/>
      <c r="DU1258" s="11"/>
      <c r="DV1258" s="11"/>
      <c r="DW1258" s="11"/>
      <c r="DX1258" s="11"/>
      <c r="DY1258" s="11"/>
      <c r="DZ1258" s="11"/>
      <c r="EA1258" s="11"/>
      <c r="EB1258" s="11"/>
      <c r="EC1258" s="11"/>
      <c r="ED1258" s="11"/>
      <c r="EE1258" s="11"/>
      <c r="EF1258" s="11"/>
      <c r="EG1258" s="11"/>
      <c r="EH1258" s="11"/>
      <c r="EI1258" s="11"/>
      <c r="EJ1258" s="11"/>
      <c r="EK1258" s="11"/>
      <c r="EL1258" s="11"/>
      <c r="EM1258" s="11"/>
      <c r="EN1258" s="11"/>
      <c r="EO1258" s="11"/>
      <c r="EP1258" s="11"/>
      <c r="EQ1258" s="11"/>
      <c r="ER1258" s="11"/>
      <c r="ES1258" s="11"/>
      <c r="ET1258" s="11"/>
      <c r="EU1258" s="11"/>
      <c r="EV1258" s="11"/>
      <c r="EW1258" s="11"/>
      <c r="EX1258" s="11"/>
      <c r="EY1258" s="11"/>
      <c r="EZ1258" s="11"/>
      <c r="FA1258" s="11"/>
      <c r="FB1258" s="11"/>
      <c r="FC1258" s="11"/>
      <c r="FD1258" s="11"/>
      <c r="FE1258" s="11"/>
      <c r="FF1258" s="11"/>
      <c r="FG1258" s="11"/>
      <c r="FH1258" s="11"/>
      <c r="FI1258" s="11"/>
      <c r="FJ1258" s="11"/>
      <c r="FK1258" s="11"/>
      <c r="FL1258" s="52" t="s">
        <v>434</v>
      </c>
      <c r="FM1258" s="52" t="s">
        <v>321</v>
      </c>
      <c r="FN1258" s="11"/>
      <c r="FO1258" s="11"/>
      <c r="FP1258" s="11"/>
      <c r="FQ1258" s="11"/>
      <c r="FR1258" s="11"/>
      <c r="FS1258" s="11"/>
      <c r="FT1258" s="11"/>
      <c r="FU1258" s="11"/>
      <c r="FV1258" s="11"/>
      <c r="FW1258" s="11"/>
      <c r="FX1258" s="11"/>
      <c r="FY1258" s="11"/>
      <c r="FZ1258" s="11"/>
      <c r="GA1258" s="11"/>
      <c r="GB1258" s="11"/>
      <c r="GC1258" s="11"/>
      <c r="GD1258" s="11"/>
      <c r="GE1258" s="11"/>
      <c r="GF1258" s="11"/>
      <c r="GG1258" s="11"/>
      <c r="GH1258" s="11"/>
      <c r="GI1258" s="11"/>
      <c r="GJ1258" s="11"/>
      <c r="GK1258" s="11"/>
      <c r="GL1258" s="11"/>
      <c r="GM1258" s="11"/>
      <c r="GN1258" s="11"/>
      <c r="GO1258" s="11"/>
      <c r="GP1258" s="11"/>
      <c r="GQ1258" s="11"/>
      <c r="GR1258" s="11"/>
      <c r="GS1258" s="11"/>
      <c r="GT1258" s="11"/>
      <c r="GU1258" s="11"/>
      <c r="GV1258" s="11"/>
      <c r="GW1258" s="11"/>
      <c r="GX1258" s="11"/>
      <c r="GY1258" s="11"/>
      <c r="GZ1258" s="11"/>
      <c r="HA1258" s="11"/>
    </row>
    <row r="1259" spans="1:209" ht="23.25" customHeight="1" x14ac:dyDescent="0.15">
      <c r="A1259" s="11"/>
      <c r="B1259" s="11"/>
      <c r="C1259" s="33" t="s">
        <v>11</v>
      </c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/>
      <c r="R1259" s="11"/>
      <c r="S1259" s="11"/>
      <c r="T1259" s="11"/>
      <c r="U1259" s="11"/>
      <c r="V1259" s="11"/>
      <c r="W1259" s="11"/>
      <c r="X1259" s="11"/>
      <c r="Y1259" s="11"/>
      <c r="Z1259" s="11"/>
      <c r="AA1259" s="11"/>
      <c r="AB1259" s="11"/>
      <c r="AC1259" s="11"/>
      <c r="AD1259" s="11"/>
      <c r="AE1259" s="11"/>
      <c r="AF1259" s="11"/>
      <c r="AG1259" s="11"/>
      <c r="AH1259" s="11"/>
      <c r="AI1259" s="11"/>
      <c r="AJ1259" s="11"/>
      <c r="AK1259" s="11"/>
      <c r="AL1259" s="11"/>
      <c r="AM1259" s="11"/>
      <c r="AN1259" s="11"/>
      <c r="AO1259" s="11"/>
      <c r="AP1259" s="11"/>
      <c r="AQ1259" s="11"/>
      <c r="AR1259" s="11"/>
      <c r="AS1259" s="11"/>
      <c r="AT1259" s="11"/>
      <c r="AU1259" s="11"/>
      <c r="AV1259" s="11"/>
      <c r="AW1259" s="11"/>
      <c r="AX1259" s="52" t="s">
        <v>247</v>
      </c>
      <c r="AY1259" s="52" t="s">
        <v>248</v>
      </c>
      <c r="AZ1259" s="52" t="s">
        <v>3721</v>
      </c>
      <c r="BA1259" s="52" t="s">
        <v>3722</v>
      </c>
      <c r="BB1259" s="52" t="s">
        <v>493</v>
      </c>
      <c r="BC1259" s="53">
        <v>44625</v>
      </c>
      <c r="BD1259" s="53">
        <v>44651</v>
      </c>
      <c r="BE1259" s="11"/>
      <c r="BF1259" s="55">
        <v>98</v>
      </c>
      <c r="BG1259" s="11"/>
      <c r="BH1259" s="54" t="s">
        <v>3723</v>
      </c>
      <c r="BI1259" s="11"/>
      <c r="BJ1259" s="11"/>
      <c r="BK1259" s="11"/>
      <c r="BL1259" s="11"/>
      <c r="BM1259" s="11"/>
      <c r="BN1259" s="11"/>
      <c r="BO1259" s="11"/>
      <c r="BP1259" s="11"/>
      <c r="BQ1259" s="11"/>
      <c r="BR1259" s="11"/>
      <c r="BS1259" s="11"/>
      <c r="BT1259" s="11"/>
      <c r="BU1259" s="11"/>
      <c r="BV1259" s="11"/>
      <c r="BW1259" s="52"/>
      <c r="BX1259" s="52"/>
      <c r="BY1259" s="11"/>
      <c r="BZ1259" s="52"/>
      <c r="CA1259" s="52"/>
      <c r="CB1259" s="52"/>
      <c r="CC1259" s="52"/>
      <c r="CD1259" s="53"/>
      <c r="CE1259" s="53"/>
      <c r="CF1259" s="52"/>
      <c r="CG1259" s="52"/>
      <c r="CH1259" s="11"/>
      <c r="CI1259" s="11"/>
      <c r="CJ1259" s="11"/>
      <c r="CK1259" s="11"/>
      <c r="CL1259" s="11"/>
      <c r="CM1259" s="11"/>
      <c r="CN1259" s="11"/>
      <c r="CO1259" s="11"/>
      <c r="CP1259" s="11"/>
      <c r="CQ1259" s="11"/>
      <c r="CR1259" s="11"/>
      <c r="CS1259" s="11"/>
      <c r="CT1259" s="11"/>
      <c r="CU1259" s="11"/>
      <c r="CV1259" s="11"/>
      <c r="CW1259" s="11"/>
      <c r="CX1259" s="11"/>
      <c r="CY1259" s="11"/>
      <c r="CZ1259" s="11"/>
      <c r="DA1259" s="11"/>
      <c r="DB1259" s="11"/>
      <c r="DC1259" s="11"/>
      <c r="DD1259" s="11"/>
      <c r="DE1259" s="11"/>
      <c r="DF1259" s="11"/>
      <c r="DG1259" s="11"/>
      <c r="DH1259" s="11"/>
      <c r="DI1259" s="11"/>
      <c r="DJ1259" s="11"/>
      <c r="DK1259" s="11"/>
      <c r="DL1259" s="11"/>
      <c r="DM1259" s="11"/>
      <c r="DN1259" s="11"/>
      <c r="DO1259" s="11"/>
      <c r="DP1259" s="11"/>
      <c r="DQ1259" s="11"/>
      <c r="DR1259" s="11"/>
      <c r="DS1259" s="11"/>
      <c r="DT1259" s="11"/>
      <c r="DU1259" s="11"/>
      <c r="DV1259" s="11"/>
      <c r="DW1259" s="11"/>
      <c r="DX1259" s="11"/>
      <c r="DY1259" s="11"/>
      <c r="DZ1259" s="11"/>
      <c r="EA1259" s="11"/>
      <c r="EB1259" s="11"/>
      <c r="EC1259" s="11"/>
      <c r="ED1259" s="11"/>
      <c r="EE1259" s="11"/>
      <c r="EF1259" s="11"/>
      <c r="EG1259" s="11"/>
      <c r="EH1259" s="11"/>
      <c r="EI1259" s="11"/>
      <c r="EJ1259" s="11"/>
      <c r="EK1259" s="11"/>
      <c r="EL1259" s="11"/>
      <c r="EM1259" s="11"/>
      <c r="EN1259" s="11"/>
      <c r="EO1259" s="11"/>
      <c r="EP1259" s="11"/>
      <c r="EQ1259" s="11"/>
      <c r="ER1259" s="11"/>
      <c r="ES1259" s="11"/>
      <c r="ET1259" s="11"/>
      <c r="EU1259" s="11"/>
      <c r="EV1259" s="11"/>
      <c r="EW1259" s="11"/>
      <c r="EX1259" s="11"/>
      <c r="EY1259" s="11"/>
      <c r="EZ1259" s="11"/>
      <c r="FA1259" s="11"/>
      <c r="FB1259" s="11"/>
      <c r="FC1259" s="11"/>
      <c r="FD1259" s="11"/>
      <c r="FE1259" s="11"/>
      <c r="FF1259" s="11"/>
      <c r="FG1259" s="11"/>
      <c r="FH1259" s="11"/>
      <c r="FI1259" s="11"/>
      <c r="FJ1259" s="11"/>
      <c r="FK1259" s="11"/>
      <c r="FL1259" s="52" t="s">
        <v>254</v>
      </c>
      <c r="FM1259" s="52" t="s">
        <v>255</v>
      </c>
      <c r="FN1259" s="11"/>
      <c r="FO1259" s="11"/>
      <c r="FP1259" s="11"/>
      <c r="FQ1259" s="11"/>
      <c r="FR1259" s="11"/>
      <c r="FS1259" s="11"/>
      <c r="FT1259" s="11"/>
      <c r="FU1259" s="11"/>
      <c r="FV1259" s="11"/>
      <c r="FW1259" s="11"/>
      <c r="FX1259" s="11"/>
      <c r="FY1259" s="11"/>
      <c r="FZ1259" s="11"/>
      <c r="GA1259" s="11"/>
      <c r="GB1259" s="11"/>
      <c r="GC1259" s="11"/>
      <c r="GD1259" s="11"/>
      <c r="GE1259" s="11"/>
      <c r="GF1259" s="11"/>
      <c r="GG1259" s="11"/>
      <c r="GH1259" s="11"/>
      <c r="GI1259" s="11"/>
      <c r="GJ1259" s="11"/>
      <c r="GK1259" s="11"/>
      <c r="GL1259" s="11"/>
      <c r="GM1259" s="11"/>
      <c r="GN1259" s="11"/>
      <c r="GO1259" s="11"/>
      <c r="GP1259" s="11"/>
      <c r="GQ1259" s="11"/>
      <c r="GR1259" s="11"/>
      <c r="GS1259" s="11"/>
      <c r="GT1259" s="11"/>
      <c r="GU1259" s="11"/>
      <c r="GV1259" s="11"/>
      <c r="GW1259" s="11"/>
      <c r="GX1259" s="11"/>
      <c r="GY1259" s="11"/>
      <c r="GZ1259" s="11"/>
      <c r="HA1259" s="11"/>
    </row>
    <row r="1260" spans="1:209" ht="23.25" customHeight="1" x14ac:dyDescent="0.15">
      <c r="A1260" s="11"/>
      <c r="B1260" s="11"/>
      <c r="C1260" s="33" t="s">
        <v>11</v>
      </c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/>
      <c r="R1260" s="11"/>
      <c r="S1260" s="11"/>
      <c r="T1260" s="11"/>
      <c r="U1260" s="11"/>
      <c r="V1260" s="11"/>
      <c r="W1260" s="11"/>
      <c r="X1260" s="11"/>
      <c r="Y1260" s="11"/>
      <c r="Z1260" s="11"/>
      <c r="AA1260" s="11"/>
      <c r="AB1260" s="11"/>
      <c r="AC1260" s="11"/>
      <c r="AD1260" s="11"/>
      <c r="AE1260" s="11"/>
      <c r="AF1260" s="11"/>
      <c r="AG1260" s="11"/>
      <c r="AH1260" s="11"/>
      <c r="AI1260" s="11"/>
      <c r="AJ1260" s="11"/>
      <c r="AK1260" s="11"/>
      <c r="AL1260" s="11"/>
      <c r="AM1260" s="11"/>
      <c r="AN1260" s="11"/>
      <c r="AO1260" s="11"/>
      <c r="AP1260" s="11"/>
      <c r="AQ1260" s="11"/>
      <c r="AR1260" s="11"/>
      <c r="AS1260" s="11"/>
      <c r="AT1260" s="11"/>
      <c r="AU1260" s="11"/>
      <c r="AV1260" s="11"/>
      <c r="AW1260" s="11"/>
      <c r="AX1260" s="52" t="s">
        <v>428</v>
      </c>
      <c r="AY1260" s="52" t="s">
        <v>429</v>
      </c>
      <c r="AZ1260" s="52" t="s">
        <v>3724</v>
      </c>
      <c r="BA1260" s="52" t="s">
        <v>3725</v>
      </c>
      <c r="BB1260" s="52" t="s">
        <v>442</v>
      </c>
      <c r="BC1260" s="53">
        <v>43872</v>
      </c>
      <c r="BD1260" s="53">
        <v>43962</v>
      </c>
      <c r="BE1260" s="11"/>
      <c r="BF1260" s="55">
        <v>89</v>
      </c>
      <c r="BG1260" s="11"/>
      <c r="BH1260" s="54" t="s">
        <v>3726</v>
      </c>
      <c r="BI1260" s="11"/>
      <c r="BJ1260" s="11"/>
      <c r="BK1260" s="11"/>
      <c r="BL1260" s="11"/>
      <c r="BM1260" s="11"/>
      <c r="BN1260" s="11"/>
      <c r="BO1260" s="11"/>
      <c r="BP1260" s="11"/>
      <c r="BQ1260" s="11"/>
      <c r="BR1260" s="11"/>
      <c r="BS1260" s="11"/>
      <c r="BT1260" s="11"/>
      <c r="BU1260" s="11"/>
      <c r="BV1260" s="11"/>
      <c r="BW1260" s="52"/>
      <c r="BX1260" s="52"/>
      <c r="BY1260" s="11"/>
      <c r="BZ1260" s="52"/>
      <c r="CA1260" s="52"/>
      <c r="CB1260" s="52"/>
      <c r="CC1260" s="52"/>
      <c r="CD1260" s="53"/>
      <c r="CE1260" s="53"/>
      <c r="CF1260" s="52"/>
      <c r="CG1260" s="52"/>
      <c r="CH1260" s="11"/>
      <c r="CI1260" s="11"/>
      <c r="CJ1260" s="11"/>
      <c r="CK1260" s="11"/>
      <c r="CL1260" s="11"/>
      <c r="CM1260" s="11"/>
      <c r="CN1260" s="11"/>
      <c r="CO1260" s="11"/>
      <c r="CP1260" s="11"/>
      <c r="CQ1260" s="11"/>
      <c r="CR1260" s="11"/>
      <c r="CS1260" s="11"/>
      <c r="CT1260" s="11"/>
      <c r="CU1260" s="11"/>
      <c r="CV1260" s="11"/>
      <c r="CW1260" s="11"/>
      <c r="CX1260" s="11"/>
      <c r="CY1260" s="11"/>
      <c r="CZ1260" s="11"/>
      <c r="DA1260" s="11"/>
      <c r="DB1260" s="11"/>
      <c r="DC1260" s="11"/>
      <c r="DD1260" s="11"/>
      <c r="DE1260" s="11"/>
      <c r="DF1260" s="11"/>
      <c r="DG1260" s="11"/>
      <c r="DH1260" s="11"/>
      <c r="DI1260" s="11"/>
      <c r="DJ1260" s="11"/>
      <c r="DK1260" s="11"/>
      <c r="DL1260" s="11"/>
      <c r="DM1260" s="11"/>
      <c r="DN1260" s="11"/>
      <c r="DO1260" s="11"/>
      <c r="DP1260" s="11"/>
      <c r="DQ1260" s="11"/>
      <c r="DR1260" s="11"/>
      <c r="DS1260" s="11"/>
      <c r="DT1260" s="11"/>
      <c r="DU1260" s="11"/>
      <c r="DV1260" s="11"/>
      <c r="DW1260" s="11"/>
      <c r="DX1260" s="11"/>
      <c r="DY1260" s="11"/>
      <c r="DZ1260" s="11"/>
      <c r="EA1260" s="11"/>
      <c r="EB1260" s="11"/>
      <c r="EC1260" s="11"/>
      <c r="ED1260" s="11"/>
      <c r="EE1260" s="11"/>
      <c r="EF1260" s="11"/>
      <c r="EG1260" s="11"/>
      <c r="EH1260" s="11"/>
      <c r="EI1260" s="11"/>
      <c r="EJ1260" s="11"/>
      <c r="EK1260" s="11"/>
      <c r="EL1260" s="11"/>
      <c r="EM1260" s="11"/>
      <c r="EN1260" s="11"/>
      <c r="EO1260" s="11"/>
      <c r="EP1260" s="11"/>
      <c r="EQ1260" s="11"/>
      <c r="ER1260" s="11"/>
      <c r="ES1260" s="11"/>
      <c r="ET1260" s="11"/>
      <c r="EU1260" s="11"/>
      <c r="EV1260" s="11"/>
      <c r="EW1260" s="11"/>
      <c r="EX1260" s="11"/>
      <c r="EY1260" s="11"/>
      <c r="EZ1260" s="11"/>
      <c r="FA1260" s="11"/>
      <c r="FB1260" s="11"/>
      <c r="FC1260" s="11"/>
      <c r="FD1260" s="11"/>
      <c r="FE1260" s="11"/>
      <c r="FF1260" s="11"/>
      <c r="FG1260" s="11"/>
      <c r="FH1260" s="11"/>
      <c r="FI1260" s="11"/>
      <c r="FJ1260" s="11"/>
      <c r="FK1260" s="11"/>
      <c r="FL1260" s="52" t="s">
        <v>434</v>
      </c>
      <c r="FM1260" s="52" t="s">
        <v>321</v>
      </c>
      <c r="FN1260" s="11"/>
      <c r="FO1260" s="11"/>
      <c r="FP1260" s="11"/>
      <c r="FQ1260" s="11"/>
      <c r="FR1260" s="11"/>
      <c r="FS1260" s="11"/>
      <c r="FT1260" s="11"/>
      <c r="FU1260" s="11"/>
      <c r="FV1260" s="11"/>
      <c r="FW1260" s="11"/>
      <c r="FX1260" s="11"/>
      <c r="FY1260" s="11"/>
      <c r="FZ1260" s="11"/>
      <c r="GA1260" s="11"/>
      <c r="GB1260" s="11"/>
      <c r="GC1260" s="11"/>
      <c r="GD1260" s="11"/>
      <c r="GE1260" s="11"/>
      <c r="GF1260" s="11"/>
      <c r="GG1260" s="11"/>
      <c r="GH1260" s="11"/>
      <c r="GI1260" s="11"/>
      <c r="GJ1260" s="11"/>
      <c r="GK1260" s="11"/>
      <c r="GL1260" s="11"/>
      <c r="GM1260" s="11"/>
      <c r="GN1260" s="11"/>
      <c r="GO1260" s="11"/>
      <c r="GP1260" s="11"/>
      <c r="GQ1260" s="11"/>
      <c r="GR1260" s="11"/>
      <c r="GS1260" s="11"/>
      <c r="GT1260" s="11"/>
      <c r="GU1260" s="11"/>
      <c r="GV1260" s="11"/>
      <c r="GW1260" s="11"/>
      <c r="GX1260" s="11"/>
      <c r="GY1260" s="11"/>
      <c r="GZ1260" s="11"/>
      <c r="HA1260" s="11"/>
    </row>
    <row r="1261" spans="1:209" ht="23.25" customHeight="1" x14ac:dyDescent="0.15">
      <c r="A1261" s="11"/>
      <c r="B1261" s="11"/>
      <c r="C1261" s="33" t="s">
        <v>11</v>
      </c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/>
      <c r="R1261" s="11"/>
      <c r="S1261" s="11"/>
      <c r="T1261" s="11"/>
      <c r="U1261" s="11"/>
      <c r="V1261" s="11"/>
      <c r="W1261" s="11"/>
      <c r="X1261" s="11"/>
      <c r="Y1261" s="11"/>
      <c r="Z1261" s="11"/>
      <c r="AA1261" s="11"/>
      <c r="AB1261" s="11"/>
      <c r="AC1261" s="11"/>
      <c r="AD1261" s="11"/>
      <c r="AE1261" s="11"/>
      <c r="AF1261" s="11"/>
      <c r="AG1261" s="11"/>
      <c r="AH1261" s="11"/>
      <c r="AI1261" s="11"/>
      <c r="AJ1261" s="11"/>
      <c r="AK1261" s="11"/>
      <c r="AL1261" s="11"/>
      <c r="AM1261" s="11"/>
      <c r="AN1261" s="11"/>
      <c r="AO1261" s="11"/>
      <c r="AP1261" s="11"/>
      <c r="AQ1261" s="11"/>
      <c r="AR1261" s="11"/>
      <c r="AS1261" s="11"/>
      <c r="AT1261" s="11"/>
      <c r="AU1261" s="11"/>
      <c r="AV1261" s="11"/>
      <c r="AW1261" s="11"/>
      <c r="AX1261" s="52" t="s">
        <v>428</v>
      </c>
      <c r="AY1261" s="52" t="s">
        <v>429</v>
      </c>
      <c r="AZ1261" s="52" t="s">
        <v>3727</v>
      </c>
      <c r="BA1261" s="52" t="s">
        <v>3725</v>
      </c>
      <c r="BB1261" s="52" t="s">
        <v>318</v>
      </c>
      <c r="BC1261" s="53">
        <v>43889</v>
      </c>
      <c r="BD1261" s="53">
        <v>43952</v>
      </c>
      <c r="BE1261" s="11"/>
      <c r="BF1261" s="55">
        <v>90</v>
      </c>
      <c r="BG1261" s="11"/>
      <c r="BH1261" s="54" t="s">
        <v>3728</v>
      </c>
      <c r="BI1261" s="11"/>
      <c r="BJ1261" s="11"/>
      <c r="BK1261" s="11"/>
      <c r="BL1261" s="11"/>
      <c r="BM1261" s="11"/>
      <c r="BN1261" s="11"/>
      <c r="BO1261" s="11"/>
      <c r="BP1261" s="11"/>
      <c r="BQ1261" s="11"/>
      <c r="BR1261" s="11"/>
      <c r="BS1261" s="11"/>
      <c r="BT1261" s="11"/>
      <c r="BU1261" s="11"/>
      <c r="BV1261" s="11"/>
      <c r="BW1261" s="52"/>
      <c r="BX1261" s="52"/>
      <c r="BY1261" s="11"/>
      <c r="BZ1261" s="52"/>
      <c r="CA1261" s="52"/>
      <c r="CB1261" s="52"/>
      <c r="CC1261" s="52"/>
      <c r="CD1261" s="53"/>
      <c r="CE1261" s="53"/>
      <c r="CF1261" s="52"/>
      <c r="CG1261" s="52"/>
      <c r="CH1261" s="11"/>
      <c r="CI1261" s="11"/>
      <c r="CJ1261" s="11"/>
      <c r="CK1261" s="11"/>
      <c r="CL1261" s="11"/>
      <c r="CM1261" s="11"/>
      <c r="CN1261" s="11"/>
      <c r="CO1261" s="11"/>
      <c r="CP1261" s="11"/>
      <c r="CQ1261" s="11"/>
      <c r="CR1261" s="11"/>
      <c r="CS1261" s="11"/>
      <c r="CT1261" s="11"/>
      <c r="CU1261" s="11"/>
      <c r="CV1261" s="11"/>
      <c r="CW1261" s="11"/>
      <c r="CX1261" s="11"/>
      <c r="CY1261" s="11"/>
      <c r="CZ1261" s="11"/>
      <c r="DA1261" s="11"/>
      <c r="DB1261" s="11"/>
      <c r="DC1261" s="11"/>
      <c r="DD1261" s="11"/>
      <c r="DE1261" s="11"/>
      <c r="DF1261" s="11"/>
      <c r="DG1261" s="11"/>
      <c r="DH1261" s="11"/>
      <c r="DI1261" s="11"/>
      <c r="DJ1261" s="11"/>
      <c r="DK1261" s="11"/>
      <c r="DL1261" s="11"/>
      <c r="DM1261" s="11"/>
      <c r="DN1261" s="11"/>
      <c r="DO1261" s="11"/>
      <c r="DP1261" s="11"/>
      <c r="DQ1261" s="11"/>
      <c r="DR1261" s="11"/>
      <c r="DS1261" s="11"/>
      <c r="DT1261" s="11"/>
      <c r="DU1261" s="11"/>
      <c r="DV1261" s="11"/>
      <c r="DW1261" s="11"/>
      <c r="DX1261" s="11"/>
      <c r="DY1261" s="11"/>
      <c r="DZ1261" s="11"/>
      <c r="EA1261" s="11"/>
      <c r="EB1261" s="11"/>
      <c r="EC1261" s="11"/>
      <c r="ED1261" s="11"/>
      <c r="EE1261" s="11"/>
      <c r="EF1261" s="11"/>
      <c r="EG1261" s="11"/>
      <c r="EH1261" s="11"/>
      <c r="EI1261" s="11"/>
      <c r="EJ1261" s="11"/>
      <c r="EK1261" s="11"/>
      <c r="EL1261" s="11"/>
      <c r="EM1261" s="11"/>
      <c r="EN1261" s="11"/>
      <c r="EO1261" s="11"/>
      <c r="EP1261" s="11"/>
      <c r="EQ1261" s="11"/>
      <c r="ER1261" s="11"/>
      <c r="ES1261" s="11"/>
      <c r="ET1261" s="11"/>
      <c r="EU1261" s="11"/>
      <c r="EV1261" s="11"/>
      <c r="EW1261" s="11"/>
      <c r="EX1261" s="11"/>
      <c r="EY1261" s="11"/>
      <c r="EZ1261" s="11"/>
      <c r="FA1261" s="11"/>
      <c r="FB1261" s="11"/>
      <c r="FC1261" s="11"/>
      <c r="FD1261" s="11"/>
      <c r="FE1261" s="11"/>
      <c r="FF1261" s="11"/>
      <c r="FG1261" s="11"/>
      <c r="FH1261" s="11"/>
      <c r="FI1261" s="11"/>
      <c r="FJ1261" s="11"/>
      <c r="FK1261" s="11"/>
      <c r="FL1261" s="52" t="s">
        <v>434</v>
      </c>
      <c r="FM1261" s="52" t="s">
        <v>321</v>
      </c>
      <c r="FN1261" s="11"/>
      <c r="FO1261" s="11"/>
      <c r="FP1261" s="11"/>
      <c r="FQ1261" s="11"/>
      <c r="FR1261" s="11"/>
      <c r="FS1261" s="11"/>
      <c r="FT1261" s="11"/>
      <c r="FU1261" s="11"/>
      <c r="FV1261" s="11"/>
      <c r="FW1261" s="11"/>
      <c r="FX1261" s="11"/>
      <c r="FY1261" s="11"/>
      <c r="FZ1261" s="11"/>
      <c r="GA1261" s="11"/>
      <c r="GB1261" s="11"/>
      <c r="GC1261" s="11"/>
      <c r="GD1261" s="11"/>
      <c r="GE1261" s="11"/>
      <c r="GF1261" s="11"/>
      <c r="GG1261" s="11"/>
      <c r="GH1261" s="11"/>
      <c r="GI1261" s="11"/>
      <c r="GJ1261" s="11"/>
      <c r="GK1261" s="11"/>
      <c r="GL1261" s="11"/>
      <c r="GM1261" s="11"/>
      <c r="GN1261" s="11"/>
      <c r="GO1261" s="11"/>
      <c r="GP1261" s="11"/>
      <c r="GQ1261" s="11"/>
      <c r="GR1261" s="11"/>
      <c r="GS1261" s="11"/>
      <c r="GT1261" s="11"/>
      <c r="GU1261" s="11"/>
      <c r="GV1261" s="11"/>
      <c r="GW1261" s="11"/>
      <c r="GX1261" s="11"/>
      <c r="GY1261" s="11"/>
      <c r="GZ1261" s="11"/>
      <c r="HA1261" s="11"/>
    </row>
    <row r="1262" spans="1:209" ht="23.25" customHeight="1" x14ac:dyDescent="0.15">
      <c r="A1262" s="11"/>
      <c r="B1262" s="11"/>
      <c r="C1262" s="33" t="s">
        <v>11</v>
      </c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/>
      <c r="R1262" s="11"/>
      <c r="S1262" s="11"/>
      <c r="T1262" s="11"/>
      <c r="U1262" s="11"/>
      <c r="V1262" s="11"/>
      <c r="W1262" s="11"/>
      <c r="X1262" s="11"/>
      <c r="Y1262" s="11"/>
      <c r="Z1262" s="11"/>
      <c r="AA1262" s="11"/>
      <c r="AB1262" s="11"/>
      <c r="AC1262" s="11"/>
      <c r="AD1262" s="11"/>
      <c r="AE1262" s="11"/>
      <c r="AF1262" s="11"/>
      <c r="AG1262" s="11"/>
      <c r="AH1262" s="11"/>
      <c r="AI1262" s="11"/>
      <c r="AJ1262" s="11"/>
      <c r="AK1262" s="11"/>
      <c r="AL1262" s="11"/>
      <c r="AM1262" s="11"/>
      <c r="AN1262" s="11"/>
      <c r="AO1262" s="11"/>
      <c r="AP1262" s="11"/>
      <c r="AQ1262" s="11"/>
      <c r="AR1262" s="11"/>
      <c r="AS1262" s="11"/>
      <c r="AT1262" s="11"/>
      <c r="AU1262" s="11"/>
      <c r="AV1262" s="11"/>
      <c r="AW1262" s="11"/>
      <c r="AX1262" s="52" t="s">
        <v>428</v>
      </c>
      <c r="AY1262" s="52" t="s">
        <v>429</v>
      </c>
      <c r="AZ1262" s="52" t="s">
        <v>3729</v>
      </c>
      <c r="BA1262" s="52" t="s">
        <v>3730</v>
      </c>
      <c r="BB1262" s="52" t="s">
        <v>442</v>
      </c>
      <c r="BC1262" s="53">
        <v>43845</v>
      </c>
      <c r="BD1262" s="53">
        <v>43951</v>
      </c>
      <c r="BE1262" s="11"/>
      <c r="BF1262" s="55">
        <v>85</v>
      </c>
      <c r="BG1262" s="11"/>
      <c r="BH1262" s="54" t="s">
        <v>3731</v>
      </c>
      <c r="BI1262" s="11"/>
      <c r="BJ1262" s="11"/>
      <c r="BK1262" s="11"/>
      <c r="BL1262" s="11"/>
      <c r="BM1262" s="11"/>
      <c r="BN1262" s="11"/>
      <c r="BO1262" s="11"/>
      <c r="BP1262" s="11"/>
      <c r="BQ1262" s="11"/>
      <c r="BR1262" s="11"/>
      <c r="BS1262" s="11"/>
      <c r="BT1262" s="11"/>
      <c r="BU1262" s="11"/>
      <c r="BV1262" s="11"/>
      <c r="BW1262" s="52"/>
      <c r="BX1262" s="52"/>
      <c r="BY1262" s="11"/>
      <c r="BZ1262" s="52"/>
      <c r="CA1262" s="52"/>
      <c r="CB1262" s="52"/>
      <c r="CC1262" s="52"/>
      <c r="CD1262" s="53"/>
      <c r="CE1262" s="53"/>
      <c r="CF1262" s="52"/>
      <c r="CG1262" s="52"/>
      <c r="CH1262" s="11"/>
      <c r="CI1262" s="11"/>
      <c r="CJ1262" s="11"/>
      <c r="CK1262" s="11"/>
      <c r="CL1262" s="11"/>
      <c r="CM1262" s="11"/>
      <c r="CN1262" s="11"/>
      <c r="CO1262" s="11"/>
      <c r="CP1262" s="11"/>
      <c r="CQ1262" s="11"/>
      <c r="CR1262" s="11"/>
      <c r="CS1262" s="11"/>
      <c r="CT1262" s="11"/>
      <c r="CU1262" s="11"/>
      <c r="CV1262" s="11"/>
      <c r="CW1262" s="11"/>
      <c r="CX1262" s="11"/>
      <c r="CY1262" s="11"/>
      <c r="CZ1262" s="11"/>
      <c r="DA1262" s="11"/>
      <c r="DB1262" s="11"/>
      <c r="DC1262" s="11"/>
      <c r="DD1262" s="11"/>
      <c r="DE1262" s="11"/>
      <c r="DF1262" s="11"/>
      <c r="DG1262" s="11"/>
      <c r="DH1262" s="11"/>
      <c r="DI1262" s="11"/>
      <c r="DJ1262" s="11"/>
      <c r="DK1262" s="11"/>
      <c r="DL1262" s="11"/>
      <c r="DM1262" s="11"/>
      <c r="DN1262" s="11"/>
      <c r="DO1262" s="11"/>
      <c r="DP1262" s="11"/>
      <c r="DQ1262" s="11"/>
      <c r="DR1262" s="11"/>
      <c r="DS1262" s="11"/>
      <c r="DT1262" s="11"/>
      <c r="DU1262" s="11"/>
      <c r="DV1262" s="11"/>
      <c r="DW1262" s="11"/>
      <c r="DX1262" s="11"/>
      <c r="DY1262" s="11"/>
      <c r="DZ1262" s="11"/>
      <c r="EA1262" s="11"/>
      <c r="EB1262" s="11"/>
      <c r="EC1262" s="11"/>
      <c r="ED1262" s="11"/>
      <c r="EE1262" s="11"/>
      <c r="EF1262" s="11"/>
      <c r="EG1262" s="11"/>
      <c r="EH1262" s="11"/>
      <c r="EI1262" s="11"/>
      <c r="EJ1262" s="11"/>
      <c r="EK1262" s="11"/>
      <c r="EL1262" s="11"/>
      <c r="EM1262" s="11"/>
      <c r="EN1262" s="11"/>
      <c r="EO1262" s="11"/>
      <c r="EP1262" s="11"/>
      <c r="EQ1262" s="11"/>
      <c r="ER1262" s="11"/>
      <c r="ES1262" s="11"/>
      <c r="ET1262" s="11"/>
      <c r="EU1262" s="11"/>
      <c r="EV1262" s="11"/>
      <c r="EW1262" s="11"/>
      <c r="EX1262" s="11"/>
      <c r="EY1262" s="11"/>
      <c r="EZ1262" s="11"/>
      <c r="FA1262" s="11"/>
      <c r="FB1262" s="11"/>
      <c r="FC1262" s="11"/>
      <c r="FD1262" s="11"/>
      <c r="FE1262" s="11"/>
      <c r="FF1262" s="11"/>
      <c r="FG1262" s="11"/>
      <c r="FH1262" s="11"/>
      <c r="FI1262" s="11"/>
      <c r="FJ1262" s="11"/>
      <c r="FK1262" s="11"/>
      <c r="FL1262" s="52" t="s">
        <v>434</v>
      </c>
      <c r="FM1262" s="52" t="s">
        <v>321</v>
      </c>
      <c r="FN1262" s="11"/>
      <c r="FO1262" s="11"/>
      <c r="FP1262" s="11"/>
      <c r="FQ1262" s="11"/>
      <c r="FR1262" s="11"/>
      <c r="FS1262" s="11"/>
      <c r="FT1262" s="11"/>
      <c r="FU1262" s="11"/>
      <c r="FV1262" s="11"/>
      <c r="FW1262" s="11"/>
      <c r="FX1262" s="11"/>
      <c r="FY1262" s="11"/>
      <c r="FZ1262" s="11"/>
      <c r="GA1262" s="11"/>
      <c r="GB1262" s="11"/>
      <c r="GC1262" s="11"/>
      <c r="GD1262" s="11"/>
      <c r="GE1262" s="11"/>
      <c r="GF1262" s="11"/>
      <c r="GG1262" s="11"/>
      <c r="GH1262" s="11"/>
      <c r="GI1262" s="11"/>
      <c r="GJ1262" s="11"/>
      <c r="GK1262" s="11"/>
      <c r="GL1262" s="11"/>
      <c r="GM1262" s="11"/>
      <c r="GN1262" s="11"/>
      <c r="GO1262" s="11"/>
      <c r="GP1262" s="11"/>
      <c r="GQ1262" s="11"/>
      <c r="GR1262" s="11"/>
      <c r="GS1262" s="11"/>
      <c r="GT1262" s="11"/>
      <c r="GU1262" s="11"/>
      <c r="GV1262" s="11"/>
      <c r="GW1262" s="11"/>
      <c r="GX1262" s="11"/>
      <c r="GY1262" s="11"/>
      <c r="GZ1262" s="11"/>
      <c r="HA1262" s="11"/>
    </row>
    <row r="1263" spans="1:209" ht="23.25" customHeight="1" x14ac:dyDescent="0.15">
      <c r="A1263" s="11"/>
      <c r="B1263" s="11"/>
      <c r="C1263" s="33" t="s">
        <v>11</v>
      </c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/>
      <c r="R1263" s="11"/>
      <c r="S1263" s="11"/>
      <c r="T1263" s="11"/>
      <c r="U1263" s="11"/>
      <c r="V1263" s="11"/>
      <c r="W1263" s="11"/>
      <c r="X1263" s="11"/>
      <c r="Y1263" s="11"/>
      <c r="Z1263" s="11"/>
      <c r="AA1263" s="11"/>
      <c r="AB1263" s="11"/>
      <c r="AC1263" s="11"/>
      <c r="AD1263" s="11"/>
      <c r="AE1263" s="11"/>
      <c r="AF1263" s="11"/>
      <c r="AG1263" s="11"/>
      <c r="AH1263" s="11"/>
      <c r="AI1263" s="11"/>
      <c r="AJ1263" s="11"/>
      <c r="AK1263" s="11"/>
      <c r="AL1263" s="11"/>
      <c r="AM1263" s="11"/>
      <c r="AN1263" s="11"/>
      <c r="AO1263" s="11"/>
      <c r="AP1263" s="11"/>
      <c r="AQ1263" s="11"/>
      <c r="AR1263" s="11"/>
      <c r="AS1263" s="11"/>
      <c r="AT1263" s="11"/>
      <c r="AU1263" s="11"/>
      <c r="AV1263" s="11"/>
      <c r="AW1263" s="11"/>
      <c r="AX1263" s="52" t="s">
        <v>428</v>
      </c>
      <c r="AY1263" s="52" t="s">
        <v>429</v>
      </c>
      <c r="AZ1263" s="52" t="s">
        <v>3732</v>
      </c>
      <c r="BA1263" s="52" t="s">
        <v>3730</v>
      </c>
      <c r="BB1263" s="52" t="s">
        <v>442</v>
      </c>
      <c r="BC1263" s="53">
        <v>43836</v>
      </c>
      <c r="BD1263" s="53">
        <v>43959</v>
      </c>
      <c r="BE1263" s="11"/>
      <c r="BF1263" s="55">
        <v>85</v>
      </c>
      <c r="BG1263" s="11"/>
      <c r="BH1263" s="54" t="s">
        <v>3733</v>
      </c>
      <c r="BI1263" s="11"/>
      <c r="BJ1263" s="11"/>
      <c r="BK1263" s="11"/>
      <c r="BL1263" s="11"/>
      <c r="BM1263" s="11"/>
      <c r="BN1263" s="11"/>
      <c r="BO1263" s="11"/>
      <c r="BP1263" s="11"/>
      <c r="BQ1263" s="11"/>
      <c r="BR1263" s="11"/>
      <c r="BS1263" s="11"/>
      <c r="BT1263" s="11"/>
      <c r="BU1263" s="11"/>
      <c r="BV1263" s="11"/>
      <c r="BW1263" s="52"/>
      <c r="BX1263" s="52"/>
      <c r="BY1263" s="11"/>
      <c r="BZ1263" s="52"/>
      <c r="CA1263" s="52"/>
      <c r="CB1263" s="52"/>
      <c r="CC1263" s="52"/>
      <c r="CD1263" s="53"/>
      <c r="CE1263" s="53"/>
      <c r="CF1263" s="52"/>
      <c r="CG1263" s="52"/>
      <c r="CH1263" s="11"/>
      <c r="CI1263" s="11"/>
      <c r="CJ1263" s="11"/>
      <c r="CK1263" s="11"/>
      <c r="CL1263" s="11"/>
      <c r="CM1263" s="11"/>
      <c r="CN1263" s="11"/>
      <c r="CO1263" s="11"/>
      <c r="CP1263" s="11"/>
      <c r="CQ1263" s="11"/>
      <c r="CR1263" s="11"/>
      <c r="CS1263" s="11"/>
      <c r="CT1263" s="11"/>
      <c r="CU1263" s="11"/>
      <c r="CV1263" s="11"/>
      <c r="CW1263" s="11"/>
      <c r="CX1263" s="11"/>
      <c r="CY1263" s="11"/>
      <c r="CZ1263" s="11"/>
      <c r="DA1263" s="11"/>
      <c r="DB1263" s="11"/>
      <c r="DC1263" s="11"/>
      <c r="DD1263" s="11"/>
      <c r="DE1263" s="11"/>
      <c r="DF1263" s="11"/>
      <c r="DG1263" s="11"/>
      <c r="DH1263" s="11"/>
      <c r="DI1263" s="11"/>
      <c r="DJ1263" s="11"/>
      <c r="DK1263" s="11"/>
      <c r="DL1263" s="11"/>
      <c r="DM1263" s="11"/>
      <c r="DN1263" s="11"/>
      <c r="DO1263" s="11"/>
      <c r="DP1263" s="11"/>
      <c r="DQ1263" s="11"/>
      <c r="DR1263" s="11"/>
      <c r="DS1263" s="11"/>
      <c r="DT1263" s="11"/>
      <c r="DU1263" s="11"/>
      <c r="DV1263" s="11"/>
      <c r="DW1263" s="11"/>
      <c r="DX1263" s="11"/>
      <c r="DY1263" s="11"/>
      <c r="DZ1263" s="11"/>
      <c r="EA1263" s="11"/>
      <c r="EB1263" s="11"/>
      <c r="EC1263" s="11"/>
      <c r="ED1263" s="11"/>
      <c r="EE1263" s="11"/>
      <c r="EF1263" s="11"/>
      <c r="EG1263" s="11"/>
      <c r="EH1263" s="11"/>
      <c r="EI1263" s="11"/>
      <c r="EJ1263" s="11"/>
      <c r="EK1263" s="11"/>
      <c r="EL1263" s="11"/>
      <c r="EM1263" s="11"/>
      <c r="EN1263" s="11"/>
      <c r="EO1263" s="11"/>
      <c r="EP1263" s="11"/>
      <c r="EQ1263" s="11"/>
      <c r="ER1263" s="11"/>
      <c r="ES1263" s="11"/>
      <c r="ET1263" s="11"/>
      <c r="EU1263" s="11"/>
      <c r="EV1263" s="11"/>
      <c r="EW1263" s="11"/>
      <c r="EX1263" s="11"/>
      <c r="EY1263" s="11"/>
      <c r="EZ1263" s="11"/>
      <c r="FA1263" s="11"/>
      <c r="FB1263" s="11"/>
      <c r="FC1263" s="11"/>
      <c r="FD1263" s="11"/>
      <c r="FE1263" s="11"/>
      <c r="FF1263" s="11"/>
      <c r="FG1263" s="11"/>
      <c r="FH1263" s="11"/>
      <c r="FI1263" s="11"/>
      <c r="FJ1263" s="11"/>
      <c r="FK1263" s="11"/>
      <c r="FL1263" s="52" t="s">
        <v>434</v>
      </c>
      <c r="FM1263" s="52" t="s">
        <v>321</v>
      </c>
      <c r="FN1263" s="11"/>
      <c r="FO1263" s="11"/>
      <c r="FP1263" s="11"/>
      <c r="FQ1263" s="11"/>
      <c r="FR1263" s="11"/>
      <c r="FS1263" s="11"/>
      <c r="FT1263" s="11"/>
      <c r="FU1263" s="11"/>
      <c r="FV1263" s="11"/>
      <c r="FW1263" s="11"/>
      <c r="FX1263" s="11"/>
      <c r="FY1263" s="11"/>
      <c r="FZ1263" s="11"/>
      <c r="GA1263" s="11"/>
      <c r="GB1263" s="11"/>
      <c r="GC1263" s="11"/>
      <c r="GD1263" s="11"/>
      <c r="GE1263" s="11"/>
      <c r="GF1263" s="11"/>
      <c r="GG1263" s="11"/>
      <c r="GH1263" s="11"/>
      <c r="GI1263" s="11"/>
      <c r="GJ1263" s="11"/>
      <c r="GK1263" s="11"/>
      <c r="GL1263" s="11"/>
      <c r="GM1263" s="11"/>
      <c r="GN1263" s="11"/>
      <c r="GO1263" s="11"/>
      <c r="GP1263" s="11"/>
      <c r="GQ1263" s="11"/>
      <c r="GR1263" s="11"/>
      <c r="GS1263" s="11"/>
      <c r="GT1263" s="11"/>
      <c r="GU1263" s="11"/>
      <c r="GV1263" s="11"/>
      <c r="GW1263" s="11"/>
      <c r="GX1263" s="11"/>
      <c r="GY1263" s="11"/>
      <c r="GZ1263" s="11"/>
      <c r="HA1263" s="11"/>
    </row>
    <row r="1264" spans="1:209" ht="23.25" customHeight="1" x14ac:dyDescent="0.15">
      <c r="A1264" s="11"/>
      <c r="B1264" s="11"/>
      <c r="C1264" s="33" t="s">
        <v>11</v>
      </c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/>
      <c r="R1264" s="11"/>
      <c r="S1264" s="11"/>
      <c r="T1264" s="11"/>
      <c r="U1264" s="11"/>
      <c r="V1264" s="11"/>
      <c r="W1264" s="11"/>
      <c r="X1264" s="11"/>
      <c r="Y1264" s="11"/>
      <c r="Z1264" s="11"/>
      <c r="AA1264" s="11"/>
      <c r="AB1264" s="11"/>
      <c r="AC1264" s="11"/>
      <c r="AD1264" s="11"/>
      <c r="AE1264" s="11"/>
      <c r="AF1264" s="11"/>
      <c r="AG1264" s="11"/>
      <c r="AH1264" s="11"/>
      <c r="AI1264" s="11"/>
      <c r="AJ1264" s="11"/>
      <c r="AK1264" s="11"/>
      <c r="AL1264" s="11"/>
      <c r="AM1264" s="11"/>
      <c r="AN1264" s="11"/>
      <c r="AO1264" s="11"/>
      <c r="AP1264" s="11"/>
      <c r="AQ1264" s="11"/>
      <c r="AR1264" s="11"/>
      <c r="AS1264" s="11"/>
      <c r="AT1264" s="11"/>
      <c r="AU1264" s="11"/>
      <c r="AV1264" s="11"/>
      <c r="AW1264" s="11"/>
      <c r="AX1264" s="52" t="s">
        <v>439</v>
      </c>
      <c r="AY1264" s="52" t="s">
        <v>144</v>
      </c>
      <c r="AZ1264" s="52" t="s">
        <v>684</v>
      </c>
      <c r="BA1264" s="52" t="s">
        <v>375</v>
      </c>
      <c r="BB1264" s="52" t="s">
        <v>3411</v>
      </c>
      <c r="BC1264" s="53">
        <v>44348</v>
      </c>
      <c r="BD1264" s="53">
        <v>44379</v>
      </c>
      <c r="BE1264" s="11"/>
      <c r="BF1264" s="55">
        <v>100</v>
      </c>
      <c r="BG1264" s="11"/>
      <c r="BH1264" s="54" t="s">
        <v>3734</v>
      </c>
      <c r="BI1264" s="11"/>
      <c r="BJ1264" s="11"/>
      <c r="BK1264" s="11"/>
      <c r="BL1264" s="11"/>
      <c r="BM1264" s="11"/>
      <c r="BN1264" s="11"/>
      <c r="BO1264" s="11"/>
      <c r="BP1264" s="11"/>
      <c r="BQ1264" s="11"/>
      <c r="BR1264" s="11"/>
      <c r="BS1264" s="11"/>
      <c r="BT1264" s="11"/>
      <c r="BU1264" s="11"/>
      <c r="BV1264" s="11"/>
      <c r="BW1264" s="52"/>
      <c r="BX1264" s="52"/>
      <c r="BY1264" s="11"/>
      <c r="BZ1264" s="52"/>
      <c r="CA1264" s="52"/>
      <c r="CB1264" s="52"/>
      <c r="CC1264" s="52"/>
      <c r="CD1264" s="53"/>
      <c r="CE1264" s="53"/>
      <c r="CF1264" s="52"/>
      <c r="CG1264" s="52"/>
      <c r="CH1264" s="11"/>
      <c r="CI1264" s="11"/>
      <c r="CJ1264" s="11"/>
      <c r="CK1264" s="11"/>
      <c r="CL1264" s="11"/>
      <c r="CM1264" s="11"/>
      <c r="CN1264" s="11"/>
      <c r="CO1264" s="11"/>
      <c r="CP1264" s="11"/>
      <c r="CQ1264" s="11"/>
      <c r="CR1264" s="11"/>
      <c r="CS1264" s="11"/>
      <c r="CT1264" s="11"/>
      <c r="CU1264" s="11"/>
      <c r="CV1264" s="11"/>
      <c r="CW1264" s="11"/>
      <c r="CX1264" s="11"/>
      <c r="CY1264" s="11"/>
      <c r="CZ1264" s="11"/>
      <c r="DA1264" s="11"/>
      <c r="DB1264" s="11"/>
      <c r="DC1264" s="11"/>
      <c r="DD1264" s="11"/>
      <c r="DE1264" s="11"/>
      <c r="DF1264" s="11"/>
      <c r="DG1264" s="11"/>
      <c r="DH1264" s="11"/>
      <c r="DI1264" s="11"/>
      <c r="DJ1264" s="11"/>
      <c r="DK1264" s="11"/>
      <c r="DL1264" s="11"/>
      <c r="DM1264" s="11"/>
      <c r="DN1264" s="11"/>
      <c r="DO1264" s="11"/>
      <c r="DP1264" s="11"/>
      <c r="DQ1264" s="11"/>
      <c r="DR1264" s="11"/>
      <c r="DS1264" s="11"/>
      <c r="DT1264" s="11"/>
      <c r="DU1264" s="11"/>
      <c r="DV1264" s="11"/>
      <c r="DW1264" s="11"/>
      <c r="DX1264" s="11"/>
      <c r="DY1264" s="11"/>
      <c r="DZ1264" s="11"/>
      <c r="EA1264" s="11"/>
      <c r="EB1264" s="11"/>
      <c r="EC1264" s="11"/>
      <c r="ED1264" s="11"/>
      <c r="EE1264" s="11"/>
      <c r="EF1264" s="11"/>
      <c r="EG1264" s="11"/>
      <c r="EH1264" s="11"/>
      <c r="EI1264" s="11"/>
      <c r="EJ1264" s="11"/>
      <c r="EK1264" s="11"/>
      <c r="EL1264" s="11"/>
      <c r="EM1264" s="11"/>
      <c r="EN1264" s="11"/>
      <c r="EO1264" s="11"/>
      <c r="EP1264" s="11"/>
      <c r="EQ1264" s="11"/>
      <c r="ER1264" s="11"/>
      <c r="ES1264" s="11"/>
      <c r="ET1264" s="11"/>
      <c r="EU1264" s="11"/>
      <c r="EV1264" s="11"/>
      <c r="EW1264" s="11"/>
      <c r="EX1264" s="11"/>
      <c r="EY1264" s="11"/>
      <c r="EZ1264" s="11"/>
      <c r="FA1264" s="11"/>
      <c r="FB1264" s="11"/>
      <c r="FC1264" s="11"/>
      <c r="FD1264" s="11"/>
      <c r="FE1264" s="11"/>
      <c r="FF1264" s="11"/>
      <c r="FG1264" s="11"/>
      <c r="FH1264" s="11"/>
      <c r="FI1264" s="11"/>
      <c r="FJ1264" s="11"/>
      <c r="FK1264" s="11"/>
      <c r="FL1264" s="52" t="s">
        <v>445</v>
      </c>
      <c r="FM1264" s="52" t="s">
        <v>255</v>
      </c>
      <c r="FN1264" s="11"/>
      <c r="FO1264" s="11"/>
      <c r="FP1264" s="11"/>
      <c r="FQ1264" s="11"/>
      <c r="FR1264" s="11"/>
      <c r="FS1264" s="11"/>
      <c r="FT1264" s="11"/>
      <c r="FU1264" s="11"/>
      <c r="FV1264" s="11"/>
      <c r="FW1264" s="11"/>
      <c r="FX1264" s="11"/>
      <c r="FY1264" s="11"/>
      <c r="FZ1264" s="11"/>
      <c r="GA1264" s="11"/>
      <c r="GB1264" s="11"/>
      <c r="GC1264" s="11"/>
      <c r="GD1264" s="11"/>
      <c r="GE1264" s="11"/>
      <c r="GF1264" s="11"/>
      <c r="GG1264" s="11"/>
      <c r="GH1264" s="11"/>
      <c r="GI1264" s="11"/>
      <c r="GJ1264" s="11"/>
      <c r="GK1264" s="11"/>
      <c r="GL1264" s="11"/>
      <c r="GM1264" s="11"/>
      <c r="GN1264" s="11"/>
      <c r="GO1264" s="11"/>
      <c r="GP1264" s="11"/>
      <c r="GQ1264" s="11"/>
      <c r="GR1264" s="11"/>
      <c r="GS1264" s="11"/>
      <c r="GT1264" s="11"/>
      <c r="GU1264" s="11"/>
      <c r="GV1264" s="11"/>
      <c r="GW1264" s="11"/>
      <c r="GX1264" s="11"/>
      <c r="GY1264" s="11"/>
      <c r="GZ1264" s="11"/>
      <c r="HA1264" s="11"/>
    </row>
    <row r="1265" spans="1:209" ht="23.25" customHeight="1" x14ac:dyDescent="0.15">
      <c r="A1265" s="11"/>
      <c r="B1265" s="11"/>
      <c r="C1265" s="33" t="s">
        <v>11</v>
      </c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/>
      <c r="R1265" s="11"/>
      <c r="S1265" s="11"/>
      <c r="T1265" s="11"/>
      <c r="U1265" s="11"/>
      <c r="V1265" s="11"/>
      <c r="W1265" s="11"/>
      <c r="X1265" s="11"/>
      <c r="Y1265" s="11"/>
      <c r="Z1265" s="11"/>
      <c r="AA1265" s="11"/>
      <c r="AB1265" s="11"/>
      <c r="AC1265" s="11"/>
      <c r="AD1265" s="11"/>
      <c r="AE1265" s="11"/>
      <c r="AF1265" s="11"/>
      <c r="AG1265" s="11"/>
      <c r="AH1265" s="11"/>
      <c r="AI1265" s="11"/>
      <c r="AJ1265" s="11"/>
      <c r="AK1265" s="11"/>
      <c r="AL1265" s="11"/>
      <c r="AM1265" s="11"/>
      <c r="AN1265" s="11"/>
      <c r="AO1265" s="11"/>
      <c r="AP1265" s="11"/>
      <c r="AQ1265" s="11"/>
      <c r="AR1265" s="11"/>
      <c r="AS1265" s="11"/>
      <c r="AT1265" s="11"/>
      <c r="AU1265" s="11"/>
      <c r="AV1265" s="11"/>
      <c r="AW1265" s="11"/>
      <c r="AX1265" s="52" t="s">
        <v>439</v>
      </c>
      <c r="AY1265" s="52" t="s">
        <v>144</v>
      </c>
      <c r="AZ1265" s="52" t="s">
        <v>354</v>
      </c>
      <c r="BA1265" s="52" t="s">
        <v>375</v>
      </c>
      <c r="BB1265" s="52" t="s">
        <v>520</v>
      </c>
      <c r="BC1265" s="53">
        <v>44287</v>
      </c>
      <c r="BD1265" s="53">
        <v>44347</v>
      </c>
      <c r="BE1265" s="11"/>
      <c r="BF1265" s="55">
        <v>100</v>
      </c>
      <c r="BG1265" s="11"/>
      <c r="BH1265" s="54" t="s">
        <v>3735</v>
      </c>
      <c r="BI1265" s="11"/>
      <c r="BJ1265" s="11"/>
      <c r="BK1265" s="11"/>
      <c r="BL1265" s="11"/>
      <c r="BM1265" s="11"/>
      <c r="BN1265" s="11"/>
      <c r="BO1265" s="11"/>
      <c r="BP1265" s="11"/>
      <c r="BQ1265" s="11"/>
      <c r="BR1265" s="11"/>
      <c r="BS1265" s="11"/>
      <c r="BT1265" s="11"/>
      <c r="BU1265" s="11"/>
      <c r="BV1265" s="11"/>
      <c r="BW1265" s="52"/>
      <c r="BX1265" s="52"/>
      <c r="BY1265" s="11"/>
      <c r="BZ1265" s="52"/>
      <c r="CA1265" s="52"/>
      <c r="CB1265" s="52"/>
      <c r="CC1265" s="52"/>
      <c r="CD1265" s="53"/>
      <c r="CE1265" s="53"/>
      <c r="CF1265" s="52"/>
      <c r="CG1265" s="52"/>
      <c r="CH1265" s="11"/>
      <c r="CI1265" s="11"/>
      <c r="CJ1265" s="11"/>
      <c r="CK1265" s="11"/>
      <c r="CL1265" s="11"/>
      <c r="CM1265" s="11"/>
      <c r="CN1265" s="11"/>
      <c r="CO1265" s="11"/>
      <c r="CP1265" s="11"/>
      <c r="CQ1265" s="11"/>
      <c r="CR1265" s="11"/>
      <c r="CS1265" s="11"/>
      <c r="CT1265" s="11"/>
      <c r="CU1265" s="11"/>
      <c r="CV1265" s="11"/>
      <c r="CW1265" s="11"/>
      <c r="CX1265" s="11"/>
      <c r="CY1265" s="11"/>
      <c r="CZ1265" s="11"/>
      <c r="DA1265" s="11"/>
      <c r="DB1265" s="11"/>
      <c r="DC1265" s="11"/>
      <c r="DD1265" s="11"/>
      <c r="DE1265" s="11"/>
      <c r="DF1265" s="11"/>
      <c r="DG1265" s="11"/>
      <c r="DH1265" s="11"/>
      <c r="DI1265" s="11"/>
      <c r="DJ1265" s="11"/>
      <c r="DK1265" s="11"/>
      <c r="DL1265" s="11"/>
      <c r="DM1265" s="11"/>
      <c r="DN1265" s="11"/>
      <c r="DO1265" s="11"/>
      <c r="DP1265" s="11"/>
      <c r="DQ1265" s="11"/>
      <c r="DR1265" s="11"/>
      <c r="DS1265" s="11"/>
      <c r="DT1265" s="11"/>
      <c r="DU1265" s="11"/>
      <c r="DV1265" s="11"/>
      <c r="DW1265" s="11"/>
      <c r="DX1265" s="11"/>
      <c r="DY1265" s="11"/>
      <c r="DZ1265" s="11"/>
      <c r="EA1265" s="11"/>
      <c r="EB1265" s="11"/>
      <c r="EC1265" s="11"/>
      <c r="ED1265" s="11"/>
      <c r="EE1265" s="11"/>
      <c r="EF1265" s="11"/>
      <c r="EG1265" s="11"/>
      <c r="EH1265" s="11"/>
      <c r="EI1265" s="11"/>
      <c r="EJ1265" s="11"/>
      <c r="EK1265" s="11"/>
      <c r="EL1265" s="11"/>
      <c r="EM1265" s="11"/>
      <c r="EN1265" s="11"/>
      <c r="EO1265" s="11"/>
      <c r="EP1265" s="11"/>
      <c r="EQ1265" s="11"/>
      <c r="ER1265" s="11"/>
      <c r="ES1265" s="11"/>
      <c r="ET1265" s="11"/>
      <c r="EU1265" s="11"/>
      <c r="EV1265" s="11"/>
      <c r="EW1265" s="11"/>
      <c r="EX1265" s="11"/>
      <c r="EY1265" s="11"/>
      <c r="EZ1265" s="11"/>
      <c r="FA1265" s="11"/>
      <c r="FB1265" s="11"/>
      <c r="FC1265" s="11"/>
      <c r="FD1265" s="11"/>
      <c r="FE1265" s="11"/>
      <c r="FF1265" s="11"/>
      <c r="FG1265" s="11"/>
      <c r="FH1265" s="11"/>
      <c r="FI1265" s="11"/>
      <c r="FJ1265" s="11"/>
      <c r="FK1265" s="11"/>
      <c r="FL1265" s="52" t="s">
        <v>445</v>
      </c>
      <c r="FM1265" s="52" t="s">
        <v>255</v>
      </c>
      <c r="FN1265" s="11"/>
      <c r="FO1265" s="11"/>
      <c r="FP1265" s="11"/>
      <c r="FQ1265" s="11"/>
      <c r="FR1265" s="11"/>
      <c r="FS1265" s="11"/>
      <c r="FT1265" s="11"/>
      <c r="FU1265" s="11"/>
      <c r="FV1265" s="11"/>
      <c r="FW1265" s="11"/>
      <c r="FX1265" s="11"/>
      <c r="FY1265" s="11"/>
      <c r="FZ1265" s="11"/>
      <c r="GA1265" s="11"/>
      <c r="GB1265" s="11"/>
      <c r="GC1265" s="11"/>
      <c r="GD1265" s="11"/>
      <c r="GE1265" s="11"/>
      <c r="GF1265" s="11"/>
      <c r="GG1265" s="11"/>
      <c r="GH1265" s="11"/>
      <c r="GI1265" s="11"/>
      <c r="GJ1265" s="11"/>
      <c r="GK1265" s="11"/>
      <c r="GL1265" s="11"/>
      <c r="GM1265" s="11"/>
      <c r="GN1265" s="11"/>
      <c r="GO1265" s="11"/>
      <c r="GP1265" s="11"/>
      <c r="GQ1265" s="11"/>
      <c r="GR1265" s="11"/>
      <c r="GS1265" s="11"/>
      <c r="GT1265" s="11"/>
      <c r="GU1265" s="11"/>
      <c r="GV1265" s="11"/>
      <c r="GW1265" s="11"/>
      <c r="GX1265" s="11"/>
      <c r="GY1265" s="11"/>
      <c r="GZ1265" s="11"/>
      <c r="HA1265" s="11"/>
    </row>
    <row r="1266" spans="1:209" ht="23.25" customHeight="1" x14ac:dyDescent="0.15">
      <c r="A1266" s="11"/>
      <c r="B1266" s="11"/>
      <c r="C1266" s="33" t="s">
        <v>11</v>
      </c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/>
      <c r="R1266" s="11"/>
      <c r="S1266" s="11"/>
      <c r="T1266" s="11"/>
      <c r="U1266" s="11"/>
      <c r="V1266" s="11"/>
      <c r="W1266" s="11"/>
      <c r="X1266" s="11"/>
      <c r="Y1266" s="11"/>
      <c r="Z1266" s="11"/>
      <c r="AA1266" s="11"/>
      <c r="AB1266" s="11"/>
      <c r="AC1266" s="11"/>
      <c r="AD1266" s="11"/>
      <c r="AE1266" s="11"/>
      <c r="AF1266" s="11"/>
      <c r="AG1266" s="11"/>
      <c r="AH1266" s="11"/>
      <c r="AI1266" s="11"/>
      <c r="AJ1266" s="11"/>
      <c r="AK1266" s="11"/>
      <c r="AL1266" s="11"/>
      <c r="AM1266" s="11"/>
      <c r="AN1266" s="11"/>
      <c r="AO1266" s="11"/>
      <c r="AP1266" s="11"/>
      <c r="AQ1266" s="11"/>
      <c r="AR1266" s="11"/>
      <c r="AS1266" s="11"/>
      <c r="AT1266" s="11"/>
      <c r="AU1266" s="11"/>
      <c r="AV1266" s="11"/>
      <c r="AW1266" s="11"/>
      <c r="AX1266" s="52" t="s">
        <v>439</v>
      </c>
      <c r="AY1266" s="52" t="s">
        <v>144</v>
      </c>
      <c r="AZ1266" s="52" t="s">
        <v>568</v>
      </c>
      <c r="BA1266" s="52" t="s">
        <v>375</v>
      </c>
      <c r="BB1266" s="52" t="s">
        <v>3400</v>
      </c>
      <c r="BC1266" s="53">
        <v>44348</v>
      </c>
      <c r="BD1266" s="53">
        <v>44378</v>
      </c>
      <c r="BE1266" s="11"/>
      <c r="BF1266" s="55">
        <v>100</v>
      </c>
      <c r="BG1266" s="11"/>
      <c r="BH1266" s="54" t="s">
        <v>3736</v>
      </c>
      <c r="BI1266" s="11"/>
      <c r="BJ1266" s="11"/>
      <c r="BK1266" s="11"/>
      <c r="BL1266" s="11"/>
      <c r="BM1266" s="11"/>
      <c r="BN1266" s="11"/>
      <c r="BO1266" s="11"/>
      <c r="BP1266" s="11"/>
      <c r="BQ1266" s="11"/>
      <c r="BR1266" s="11"/>
      <c r="BS1266" s="11"/>
      <c r="BT1266" s="11"/>
      <c r="BU1266" s="11"/>
      <c r="BV1266" s="11"/>
      <c r="BW1266" s="52"/>
      <c r="BX1266" s="52"/>
      <c r="BY1266" s="11"/>
      <c r="BZ1266" s="52"/>
      <c r="CA1266" s="52"/>
      <c r="CB1266" s="52"/>
      <c r="CC1266" s="52"/>
      <c r="CD1266" s="53"/>
      <c r="CE1266" s="53"/>
      <c r="CF1266" s="52"/>
      <c r="CG1266" s="52"/>
      <c r="CH1266" s="11"/>
      <c r="CI1266" s="11"/>
      <c r="CJ1266" s="11"/>
      <c r="CK1266" s="11"/>
      <c r="CL1266" s="11"/>
      <c r="CM1266" s="11"/>
      <c r="CN1266" s="11"/>
      <c r="CO1266" s="11"/>
      <c r="CP1266" s="11"/>
      <c r="CQ1266" s="11"/>
      <c r="CR1266" s="11"/>
      <c r="CS1266" s="11"/>
      <c r="CT1266" s="11"/>
      <c r="CU1266" s="11"/>
      <c r="CV1266" s="11"/>
      <c r="CW1266" s="11"/>
      <c r="CX1266" s="11"/>
      <c r="CY1266" s="11"/>
      <c r="CZ1266" s="11"/>
      <c r="DA1266" s="11"/>
      <c r="DB1266" s="11"/>
      <c r="DC1266" s="11"/>
      <c r="DD1266" s="11"/>
      <c r="DE1266" s="11"/>
      <c r="DF1266" s="11"/>
      <c r="DG1266" s="11"/>
      <c r="DH1266" s="11"/>
      <c r="DI1266" s="11"/>
      <c r="DJ1266" s="11"/>
      <c r="DK1266" s="11"/>
      <c r="DL1266" s="11"/>
      <c r="DM1266" s="11"/>
      <c r="DN1266" s="11"/>
      <c r="DO1266" s="11"/>
      <c r="DP1266" s="11"/>
      <c r="DQ1266" s="11"/>
      <c r="DR1266" s="11"/>
      <c r="DS1266" s="11"/>
      <c r="DT1266" s="11"/>
      <c r="DU1266" s="11"/>
      <c r="DV1266" s="11"/>
      <c r="DW1266" s="11"/>
      <c r="DX1266" s="11"/>
      <c r="DY1266" s="11"/>
      <c r="DZ1266" s="11"/>
      <c r="EA1266" s="11"/>
      <c r="EB1266" s="11"/>
      <c r="EC1266" s="11"/>
      <c r="ED1266" s="11"/>
      <c r="EE1266" s="11"/>
      <c r="EF1266" s="11"/>
      <c r="EG1266" s="11"/>
      <c r="EH1266" s="11"/>
      <c r="EI1266" s="11"/>
      <c r="EJ1266" s="11"/>
      <c r="EK1266" s="11"/>
      <c r="EL1266" s="11"/>
      <c r="EM1266" s="11"/>
      <c r="EN1266" s="11"/>
      <c r="EO1266" s="11"/>
      <c r="EP1266" s="11"/>
      <c r="EQ1266" s="11"/>
      <c r="ER1266" s="11"/>
      <c r="ES1266" s="11"/>
      <c r="ET1266" s="11"/>
      <c r="EU1266" s="11"/>
      <c r="EV1266" s="11"/>
      <c r="EW1266" s="11"/>
      <c r="EX1266" s="11"/>
      <c r="EY1266" s="11"/>
      <c r="EZ1266" s="11"/>
      <c r="FA1266" s="11"/>
      <c r="FB1266" s="11"/>
      <c r="FC1266" s="11"/>
      <c r="FD1266" s="11"/>
      <c r="FE1266" s="11"/>
      <c r="FF1266" s="11"/>
      <c r="FG1266" s="11"/>
      <c r="FH1266" s="11"/>
      <c r="FI1266" s="11"/>
      <c r="FJ1266" s="11"/>
      <c r="FK1266" s="11"/>
      <c r="FL1266" s="52" t="s">
        <v>445</v>
      </c>
      <c r="FM1266" s="52" t="s">
        <v>255</v>
      </c>
      <c r="FN1266" s="11"/>
      <c r="FO1266" s="11"/>
      <c r="FP1266" s="11"/>
      <c r="FQ1266" s="11"/>
      <c r="FR1266" s="11"/>
      <c r="FS1266" s="11"/>
      <c r="FT1266" s="11"/>
      <c r="FU1266" s="11"/>
      <c r="FV1266" s="11"/>
      <c r="FW1266" s="11"/>
      <c r="FX1266" s="11"/>
      <c r="FY1266" s="11"/>
      <c r="FZ1266" s="11"/>
      <c r="GA1266" s="11"/>
      <c r="GB1266" s="11"/>
      <c r="GC1266" s="11"/>
      <c r="GD1266" s="11"/>
      <c r="GE1266" s="11"/>
      <c r="GF1266" s="11"/>
      <c r="GG1266" s="11"/>
      <c r="GH1266" s="11"/>
      <c r="GI1266" s="11"/>
      <c r="GJ1266" s="11"/>
      <c r="GK1266" s="11"/>
      <c r="GL1266" s="11"/>
      <c r="GM1266" s="11"/>
      <c r="GN1266" s="11"/>
      <c r="GO1266" s="11"/>
      <c r="GP1266" s="11"/>
      <c r="GQ1266" s="11"/>
      <c r="GR1266" s="11"/>
      <c r="GS1266" s="11"/>
      <c r="GT1266" s="11"/>
      <c r="GU1266" s="11"/>
      <c r="GV1266" s="11"/>
      <c r="GW1266" s="11"/>
      <c r="GX1266" s="11"/>
      <c r="GY1266" s="11"/>
      <c r="GZ1266" s="11"/>
      <c r="HA1266" s="11"/>
    </row>
    <row r="1267" spans="1:209" ht="23.25" customHeight="1" x14ac:dyDescent="0.15">
      <c r="A1267" s="11"/>
      <c r="B1267" s="11"/>
      <c r="C1267" s="33" t="s">
        <v>11</v>
      </c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/>
      <c r="R1267" s="11"/>
      <c r="S1267" s="11"/>
      <c r="T1267" s="11"/>
      <c r="U1267" s="11"/>
      <c r="V1267" s="11"/>
      <c r="W1267" s="11"/>
      <c r="X1267" s="11"/>
      <c r="Y1267" s="11"/>
      <c r="Z1267" s="11"/>
      <c r="AA1267" s="11"/>
      <c r="AB1267" s="11"/>
      <c r="AC1267" s="11"/>
      <c r="AD1267" s="11"/>
      <c r="AE1267" s="11"/>
      <c r="AF1267" s="11"/>
      <c r="AG1267" s="11"/>
      <c r="AH1267" s="11"/>
      <c r="AI1267" s="11"/>
      <c r="AJ1267" s="11"/>
      <c r="AK1267" s="11"/>
      <c r="AL1267" s="11"/>
      <c r="AM1267" s="11"/>
      <c r="AN1267" s="11"/>
      <c r="AO1267" s="11"/>
      <c r="AP1267" s="11"/>
      <c r="AQ1267" s="11"/>
      <c r="AR1267" s="11"/>
      <c r="AS1267" s="11"/>
      <c r="AT1267" s="11"/>
      <c r="AU1267" s="11"/>
      <c r="AV1267" s="11"/>
      <c r="AW1267" s="11"/>
      <c r="AX1267" s="52" t="s">
        <v>439</v>
      </c>
      <c r="AY1267" s="52" t="s">
        <v>144</v>
      </c>
      <c r="AZ1267" s="52" t="s">
        <v>349</v>
      </c>
      <c r="BA1267" s="52" t="s">
        <v>375</v>
      </c>
      <c r="BB1267" s="52" t="s">
        <v>3543</v>
      </c>
      <c r="BC1267" s="53">
        <v>43646</v>
      </c>
      <c r="BD1267" s="53">
        <v>43672</v>
      </c>
      <c r="BE1267" s="11"/>
      <c r="BF1267" s="55">
        <v>100</v>
      </c>
      <c r="BG1267" s="11"/>
      <c r="BH1267" s="54" t="s">
        <v>3737</v>
      </c>
      <c r="BI1267" s="11"/>
      <c r="BJ1267" s="11"/>
      <c r="BK1267" s="11"/>
      <c r="BL1267" s="11"/>
      <c r="BM1267" s="11"/>
      <c r="BN1267" s="11"/>
      <c r="BO1267" s="11"/>
      <c r="BP1267" s="11"/>
      <c r="BQ1267" s="11"/>
      <c r="BR1267" s="11"/>
      <c r="BS1267" s="11"/>
      <c r="BT1267" s="11"/>
      <c r="BU1267" s="11"/>
      <c r="BV1267" s="11"/>
      <c r="BW1267" s="52"/>
      <c r="BX1267" s="52"/>
      <c r="BY1267" s="11"/>
      <c r="BZ1267" s="52"/>
      <c r="CA1267" s="52"/>
      <c r="CB1267" s="52"/>
      <c r="CC1267" s="52"/>
      <c r="CD1267" s="53"/>
      <c r="CE1267" s="53"/>
      <c r="CF1267" s="52"/>
      <c r="CG1267" s="52"/>
      <c r="CH1267" s="11"/>
      <c r="CI1267" s="11"/>
      <c r="CJ1267" s="11"/>
      <c r="CK1267" s="11"/>
      <c r="CL1267" s="11"/>
      <c r="CM1267" s="11"/>
      <c r="CN1267" s="11"/>
      <c r="CO1267" s="11"/>
      <c r="CP1267" s="11"/>
      <c r="CQ1267" s="11"/>
      <c r="CR1267" s="11"/>
      <c r="CS1267" s="11"/>
      <c r="CT1267" s="11"/>
      <c r="CU1267" s="11"/>
      <c r="CV1267" s="11"/>
      <c r="CW1267" s="11"/>
      <c r="CX1267" s="11"/>
      <c r="CY1267" s="11"/>
      <c r="CZ1267" s="11"/>
      <c r="DA1267" s="11"/>
      <c r="DB1267" s="11"/>
      <c r="DC1267" s="11"/>
      <c r="DD1267" s="11"/>
      <c r="DE1267" s="11"/>
      <c r="DF1267" s="11"/>
      <c r="DG1267" s="11"/>
      <c r="DH1267" s="11"/>
      <c r="DI1267" s="11"/>
      <c r="DJ1267" s="11"/>
      <c r="DK1267" s="11"/>
      <c r="DL1267" s="11"/>
      <c r="DM1267" s="11"/>
      <c r="DN1267" s="11"/>
      <c r="DO1267" s="11"/>
      <c r="DP1267" s="11"/>
      <c r="DQ1267" s="11"/>
      <c r="DR1267" s="11"/>
      <c r="DS1267" s="11"/>
      <c r="DT1267" s="11"/>
      <c r="DU1267" s="11"/>
      <c r="DV1267" s="11"/>
      <c r="DW1267" s="11"/>
      <c r="DX1267" s="11"/>
      <c r="DY1267" s="11"/>
      <c r="DZ1267" s="11"/>
      <c r="EA1267" s="11"/>
      <c r="EB1267" s="11"/>
      <c r="EC1267" s="11"/>
      <c r="ED1267" s="11"/>
      <c r="EE1267" s="11"/>
      <c r="EF1267" s="11"/>
      <c r="EG1267" s="11"/>
      <c r="EH1267" s="11"/>
      <c r="EI1267" s="11"/>
      <c r="EJ1267" s="11"/>
      <c r="EK1267" s="11"/>
      <c r="EL1267" s="11"/>
      <c r="EM1267" s="11"/>
      <c r="EN1267" s="11"/>
      <c r="EO1267" s="11"/>
      <c r="EP1267" s="11"/>
      <c r="EQ1267" s="11"/>
      <c r="ER1267" s="11"/>
      <c r="ES1267" s="11"/>
      <c r="ET1267" s="11"/>
      <c r="EU1267" s="11"/>
      <c r="EV1267" s="11"/>
      <c r="EW1267" s="11"/>
      <c r="EX1267" s="11"/>
      <c r="EY1267" s="11"/>
      <c r="EZ1267" s="11"/>
      <c r="FA1267" s="11"/>
      <c r="FB1267" s="11"/>
      <c r="FC1267" s="11"/>
      <c r="FD1267" s="11"/>
      <c r="FE1267" s="11"/>
      <c r="FF1267" s="11"/>
      <c r="FG1267" s="11"/>
      <c r="FH1267" s="11"/>
      <c r="FI1267" s="11"/>
      <c r="FJ1267" s="11"/>
      <c r="FK1267" s="11"/>
      <c r="FL1267" s="52" t="s">
        <v>445</v>
      </c>
      <c r="FM1267" s="52" t="s">
        <v>255</v>
      </c>
      <c r="FN1267" s="11"/>
      <c r="FO1267" s="11"/>
      <c r="FP1267" s="11"/>
      <c r="FQ1267" s="11"/>
      <c r="FR1267" s="11"/>
      <c r="FS1267" s="11"/>
      <c r="FT1267" s="11"/>
      <c r="FU1267" s="11"/>
      <c r="FV1267" s="11"/>
      <c r="FW1267" s="11"/>
      <c r="FX1267" s="11"/>
      <c r="FY1267" s="11"/>
      <c r="FZ1267" s="11"/>
      <c r="GA1267" s="11"/>
      <c r="GB1267" s="11"/>
      <c r="GC1267" s="11"/>
      <c r="GD1267" s="11"/>
      <c r="GE1267" s="11"/>
      <c r="GF1267" s="11"/>
      <c r="GG1267" s="11"/>
      <c r="GH1267" s="11"/>
      <c r="GI1267" s="11"/>
      <c r="GJ1267" s="11"/>
      <c r="GK1267" s="11"/>
      <c r="GL1267" s="11"/>
      <c r="GM1267" s="11"/>
      <c r="GN1267" s="11"/>
      <c r="GO1267" s="11"/>
      <c r="GP1267" s="11"/>
      <c r="GQ1267" s="11"/>
      <c r="GR1267" s="11"/>
      <c r="GS1267" s="11"/>
      <c r="GT1267" s="11"/>
      <c r="GU1267" s="11"/>
      <c r="GV1267" s="11"/>
      <c r="GW1267" s="11"/>
      <c r="GX1267" s="11"/>
      <c r="GY1267" s="11"/>
      <c r="GZ1267" s="11"/>
      <c r="HA1267" s="11"/>
    </row>
    <row r="1268" spans="1:209" ht="23.25" customHeight="1" x14ac:dyDescent="0.15">
      <c r="A1268" s="11"/>
      <c r="B1268" s="11"/>
      <c r="C1268" s="33" t="s">
        <v>11</v>
      </c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/>
      <c r="R1268" s="11"/>
      <c r="S1268" s="11"/>
      <c r="T1268" s="11"/>
      <c r="U1268" s="11"/>
      <c r="V1268" s="11"/>
      <c r="W1268" s="11"/>
      <c r="X1268" s="11"/>
      <c r="Y1268" s="11"/>
      <c r="Z1268" s="11"/>
      <c r="AA1268" s="11"/>
      <c r="AB1268" s="11"/>
      <c r="AC1268" s="11"/>
      <c r="AD1268" s="11"/>
      <c r="AE1268" s="11"/>
      <c r="AF1268" s="11"/>
      <c r="AG1268" s="11"/>
      <c r="AH1268" s="11"/>
      <c r="AI1268" s="11"/>
      <c r="AJ1268" s="11"/>
      <c r="AK1268" s="11"/>
      <c r="AL1268" s="11"/>
      <c r="AM1268" s="11"/>
      <c r="AN1268" s="11"/>
      <c r="AO1268" s="11"/>
      <c r="AP1268" s="11"/>
      <c r="AQ1268" s="11"/>
      <c r="AR1268" s="11"/>
      <c r="AS1268" s="11"/>
      <c r="AT1268" s="11"/>
      <c r="AU1268" s="11"/>
      <c r="AV1268" s="11"/>
      <c r="AW1268" s="11"/>
      <c r="AX1268" s="52" t="s">
        <v>439</v>
      </c>
      <c r="AY1268" s="52" t="s">
        <v>144</v>
      </c>
      <c r="AZ1268" s="52" t="s">
        <v>500</v>
      </c>
      <c r="BA1268" s="52" t="s">
        <v>375</v>
      </c>
      <c r="BB1268" s="52" t="s">
        <v>3738</v>
      </c>
      <c r="BC1268" s="53">
        <v>44341</v>
      </c>
      <c r="BD1268" s="53">
        <v>44348</v>
      </c>
      <c r="BE1268" s="11"/>
      <c r="BF1268" s="55">
        <v>100</v>
      </c>
      <c r="BG1268" s="11"/>
      <c r="BH1268" s="54" t="s">
        <v>3739</v>
      </c>
      <c r="BI1268" s="11"/>
      <c r="BJ1268" s="11"/>
      <c r="BK1268" s="11"/>
      <c r="BL1268" s="11"/>
      <c r="BM1268" s="11"/>
      <c r="BN1268" s="11"/>
      <c r="BO1268" s="11"/>
      <c r="BP1268" s="11"/>
      <c r="BQ1268" s="11"/>
      <c r="BR1268" s="11"/>
      <c r="BS1268" s="11"/>
      <c r="BT1268" s="11"/>
      <c r="BU1268" s="11"/>
      <c r="BV1268" s="11"/>
      <c r="BW1268" s="52"/>
      <c r="BX1268" s="52"/>
      <c r="BY1268" s="11"/>
      <c r="BZ1268" s="52"/>
      <c r="CA1268" s="52"/>
      <c r="CB1268" s="52"/>
      <c r="CC1268" s="52"/>
      <c r="CD1268" s="53"/>
      <c r="CE1268" s="53"/>
      <c r="CF1268" s="52"/>
      <c r="CG1268" s="52"/>
      <c r="CH1268" s="11"/>
      <c r="CI1268" s="11"/>
      <c r="CJ1268" s="11"/>
      <c r="CK1268" s="11"/>
      <c r="CL1268" s="11"/>
      <c r="CM1268" s="11"/>
      <c r="CN1268" s="11"/>
      <c r="CO1268" s="11"/>
      <c r="CP1268" s="11"/>
      <c r="CQ1268" s="11"/>
      <c r="CR1268" s="11"/>
      <c r="CS1268" s="11"/>
      <c r="CT1268" s="11"/>
      <c r="CU1268" s="11"/>
      <c r="CV1268" s="11"/>
      <c r="CW1268" s="11"/>
      <c r="CX1268" s="11"/>
      <c r="CY1268" s="11"/>
      <c r="CZ1268" s="11"/>
      <c r="DA1268" s="11"/>
      <c r="DB1268" s="11"/>
      <c r="DC1268" s="11"/>
      <c r="DD1268" s="11"/>
      <c r="DE1268" s="11"/>
      <c r="DF1268" s="11"/>
      <c r="DG1268" s="11"/>
      <c r="DH1268" s="11"/>
      <c r="DI1268" s="11"/>
      <c r="DJ1268" s="11"/>
      <c r="DK1268" s="11"/>
      <c r="DL1268" s="11"/>
      <c r="DM1268" s="11"/>
      <c r="DN1268" s="11"/>
      <c r="DO1268" s="11"/>
      <c r="DP1268" s="11"/>
      <c r="DQ1268" s="11"/>
      <c r="DR1268" s="11"/>
      <c r="DS1268" s="11"/>
      <c r="DT1268" s="11"/>
      <c r="DU1268" s="11"/>
      <c r="DV1268" s="11"/>
      <c r="DW1268" s="11"/>
      <c r="DX1268" s="11"/>
      <c r="DY1268" s="11"/>
      <c r="DZ1268" s="11"/>
      <c r="EA1268" s="11"/>
      <c r="EB1268" s="11"/>
      <c r="EC1268" s="11"/>
      <c r="ED1268" s="11"/>
      <c r="EE1268" s="11"/>
      <c r="EF1268" s="11"/>
      <c r="EG1268" s="11"/>
      <c r="EH1268" s="11"/>
      <c r="EI1268" s="11"/>
      <c r="EJ1268" s="11"/>
      <c r="EK1268" s="11"/>
      <c r="EL1268" s="11"/>
      <c r="EM1268" s="11"/>
      <c r="EN1268" s="11"/>
      <c r="EO1268" s="11"/>
      <c r="EP1268" s="11"/>
      <c r="EQ1268" s="11"/>
      <c r="ER1268" s="11"/>
      <c r="ES1268" s="11"/>
      <c r="ET1268" s="11"/>
      <c r="EU1268" s="11"/>
      <c r="EV1268" s="11"/>
      <c r="EW1268" s="11"/>
      <c r="EX1268" s="11"/>
      <c r="EY1268" s="11"/>
      <c r="EZ1268" s="11"/>
      <c r="FA1268" s="11"/>
      <c r="FB1268" s="11"/>
      <c r="FC1268" s="11"/>
      <c r="FD1268" s="11"/>
      <c r="FE1268" s="11"/>
      <c r="FF1268" s="11"/>
      <c r="FG1268" s="11"/>
      <c r="FH1268" s="11"/>
      <c r="FI1268" s="11"/>
      <c r="FJ1268" s="11"/>
      <c r="FK1268" s="11"/>
      <c r="FL1268" s="52" t="s">
        <v>445</v>
      </c>
      <c r="FM1268" s="52" t="s">
        <v>255</v>
      </c>
      <c r="FN1268" s="11"/>
      <c r="FO1268" s="11"/>
      <c r="FP1268" s="11"/>
      <c r="FQ1268" s="11"/>
      <c r="FR1268" s="11"/>
      <c r="FS1268" s="11"/>
      <c r="FT1268" s="11"/>
      <c r="FU1268" s="11"/>
      <c r="FV1268" s="11"/>
      <c r="FW1268" s="11"/>
      <c r="FX1268" s="11"/>
      <c r="FY1268" s="11"/>
      <c r="FZ1268" s="11"/>
      <c r="GA1268" s="11"/>
      <c r="GB1268" s="11"/>
      <c r="GC1268" s="11"/>
      <c r="GD1268" s="11"/>
      <c r="GE1268" s="11"/>
      <c r="GF1268" s="11"/>
      <c r="GG1268" s="11"/>
      <c r="GH1268" s="11"/>
      <c r="GI1268" s="11"/>
      <c r="GJ1268" s="11"/>
      <c r="GK1268" s="11"/>
      <c r="GL1268" s="11"/>
      <c r="GM1268" s="11"/>
      <c r="GN1268" s="11"/>
      <c r="GO1268" s="11"/>
      <c r="GP1268" s="11"/>
      <c r="GQ1268" s="11"/>
      <c r="GR1268" s="11"/>
      <c r="GS1268" s="11"/>
      <c r="GT1268" s="11"/>
      <c r="GU1268" s="11"/>
      <c r="GV1268" s="11"/>
      <c r="GW1268" s="11"/>
      <c r="GX1268" s="11"/>
      <c r="GY1268" s="11"/>
      <c r="GZ1268" s="11"/>
      <c r="HA1268" s="11"/>
    </row>
    <row r="1269" spans="1:209" ht="23.25" customHeight="1" x14ac:dyDescent="0.15">
      <c r="A1269" s="11"/>
      <c r="B1269" s="11"/>
      <c r="C1269" s="33" t="s">
        <v>11</v>
      </c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/>
      <c r="R1269" s="11"/>
      <c r="S1269" s="11"/>
      <c r="T1269" s="11"/>
      <c r="U1269" s="11"/>
      <c r="V1269" s="11"/>
      <c r="W1269" s="11"/>
      <c r="X1269" s="11"/>
      <c r="Y1269" s="11"/>
      <c r="Z1269" s="11"/>
      <c r="AA1269" s="11"/>
      <c r="AB1269" s="11"/>
      <c r="AC1269" s="11"/>
      <c r="AD1269" s="11"/>
      <c r="AE1269" s="11"/>
      <c r="AF1269" s="11"/>
      <c r="AG1269" s="11"/>
      <c r="AH1269" s="11"/>
      <c r="AI1269" s="11"/>
      <c r="AJ1269" s="11"/>
      <c r="AK1269" s="11"/>
      <c r="AL1269" s="11"/>
      <c r="AM1269" s="11"/>
      <c r="AN1269" s="11"/>
      <c r="AO1269" s="11"/>
      <c r="AP1269" s="11"/>
      <c r="AQ1269" s="11"/>
      <c r="AR1269" s="11"/>
      <c r="AS1269" s="11"/>
      <c r="AT1269" s="11"/>
      <c r="AU1269" s="11"/>
      <c r="AV1269" s="11"/>
      <c r="AW1269" s="11"/>
      <c r="AX1269" s="52" t="s">
        <v>830</v>
      </c>
      <c r="AY1269" s="52" t="s">
        <v>831</v>
      </c>
      <c r="AZ1269" s="52" t="s">
        <v>3702</v>
      </c>
      <c r="BA1269" s="52" t="s">
        <v>343</v>
      </c>
      <c r="BB1269" s="52" t="s">
        <v>376</v>
      </c>
      <c r="BC1269" s="53">
        <v>43922</v>
      </c>
      <c r="BD1269" s="53">
        <v>44044</v>
      </c>
      <c r="BE1269" s="11"/>
      <c r="BF1269" s="55">
        <v>94</v>
      </c>
      <c r="BG1269" s="11"/>
      <c r="BH1269" s="54" t="s">
        <v>3740</v>
      </c>
      <c r="BI1269" s="11"/>
      <c r="BJ1269" s="11"/>
      <c r="BK1269" s="11"/>
      <c r="BL1269" s="11"/>
      <c r="BM1269" s="11"/>
      <c r="BN1269" s="11"/>
      <c r="BO1269" s="11"/>
      <c r="BP1269" s="11"/>
      <c r="BQ1269" s="11"/>
      <c r="BR1269" s="11"/>
      <c r="BS1269" s="11"/>
      <c r="BT1269" s="11"/>
      <c r="BU1269" s="11"/>
      <c r="BV1269" s="11"/>
      <c r="BW1269" s="52"/>
      <c r="BX1269" s="52"/>
      <c r="BY1269" s="11"/>
      <c r="BZ1269" s="52"/>
      <c r="CA1269" s="52"/>
      <c r="CB1269" s="52"/>
      <c r="CC1269" s="52"/>
      <c r="CD1269" s="53"/>
      <c r="CE1269" s="53"/>
      <c r="CF1269" s="52"/>
      <c r="CG1269" s="52"/>
      <c r="CH1269" s="11"/>
      <c r="CI1269" s="11"/>
      <c r="CJ1269" s="11"/>
      <c r="CK1269" s="11"/>
      <c r="CL1269" s="11"/>
      <c r="CM1269" s="11"/>
      <c r="CN1269" s="11"/>
      <c r="CO1269" s="11"/>
      <c r="CP1269" s="11"/>
      <c r="CQ1269" s="11"/>
      <c r="CR1269" s="11"/>
      <c r="CS1269" s="11"/>
      <c r="CT1269" s="11"/>
      <c r="CU1269" s="11"/>
      <c r="CV1269" s="11"/>
      <c r="CW1269" s="11"/>
      <c r="CX1269" s="11"/>
      <c r="CY1269" s="11"/>
      <c r="CZ1269" s="11"/>
      <c r="DA1269" s="11"/>
      <c r="DB1269" s="11"/>
      <c r="DC1269" s="11"/>
      <c r="DD1269" s="11"/>
      <c r="DE1269" s="11"/>
      <c r="DF1269" s="11"/>
      <c r="DG1269" s="11"/>
      <c r="DH1269" s="11"/>
      <c r="DI1269" s="11"/>
      <c r="DJ1269" s="11"/>
      <c r="DK1269" s="11"/>
      <c r="DL1269" s="11"/>
      <c r="DM1269" s="11"/>
      <c r="DN1269" s="11"/>
      <c r="DO1269" s="11"/>
      <c r="DP1269" s="11"/>
      <c r="DQ1269" s="11"/>
      <c r="DR1269" s="11"/>
      <c r="DS1269" s="11"/>
      <c r="DT1269" s="11"/>
      <c r="DU1269" s="11"/>
      <c r="DV1269" s="11"/>
      <c r="DW1269" s="11"/>
      <c r="DX1269" s="11"/>
      <c r="DY1269" s="11"/>
      <c r="DZ1269" s="11"/>
      <c r="EA1269" s="11"/>
      <c r="EB1269" s="11"/>
      <c r="EC1269" s="11"/>
      <c r="ED1269" s="11"/>
      <c r="EE1269" s="11"/>
      <c r="EF1269" s="11"/>
      <c r="EG1269" s="11"/>
      <c r="EH1269" s="11"/>
      <c r="EI1269" s="11"/>
      <c r="EJ1269" s="11"/>
      <c r="EK1269" s="11"/>
      <c r="EL1269" s="11"/>
      <c r="EM1269" s="11"/>
      <c r="EN1269" s="11"/>
      <c r="EO1269" s="11"/>
      <c r="EP1269" s="11"/>
      <c r="EQ1269" s="11"/>
      <c r="ER1269" s="11"/>
      <c r="ES1269" s="11"/>
      <c r="ET1269" s="11"/>
      <c r="EU1269" s="11"/>
      <c r="EV1269" s="11"/>
      <c r="EW1269" s="11"/>
      <c r="EX1269" s="11"/>
      <c r="EY1269" s="11"/>
      <c r="EZ1269" s="11"/>
      <c r="FA1269" s="11"/>
      <c r="FB1269" s="11"/>
      <c r="FC1269" s="11"/>
      <c r="FD1269" s="11"/>
      <c r="FE1269" s="11"/>
      <c r="FF1269" s="11"/>
      <c r="FG1269" s="11"/>
      <c r="FH1269" s="11"/>
      <c r="FI1269" s="11"/>
      <c r="FJ1269" s="11"/>
      <c r="FK1269" s="11"/>
      <c r="FL1269" s="52" t="s">
        <v>834</v>
      </c>
      <c r="FM1269" s="52" t="s">
        <v>255</v>
      </c>
      <c r="FN1269" s="11"/>
      <c r="FO1269" s="11"/>
      <c r="FP1269" s="11"/>
      <c r="FQ1269" s="11"/>
      <c r="FR1269" s="11"/>
      <c r="FS1269" s="11"/>
      <c r="FT1269" s="11"/>
      <c r="FU1269" s="11"/>
      <c r="FV1269" s="11"/>
      <c r="FW1269" s="11"/>
      <c r="FX1269" s="11"/>
      <c r="FY1269" s="11"/>
      <c r="FZ1269" s="11"/>
      <c r="GA1269" s="11"/>
      <c r="GB1269" s="11"/>
      <c r="GC1269" s="11"/>
      <c r="GD1269" s="11"/>
      <c r="GE1269" s="11"/>
      <c r="GF1269" s="11"/>
      <c r="GG1269" s="11"/>
      <c r="GH1269" s="11"/>
      <c r="GI1269" s="11"/>
      <c r="GJ1269" s="11"/>
      <c r="GK1269" s="11"/>
      <c r="GL1269" s="11"/>
      <c r="GM1269" s="11"/>
      <c r="GN1269" s="11"/>
      <c r="GO1269" s="11"/>
      <c r="GP1269" s="11"/>
      <c r="GQ1269" s="11"/>
      <c r="GR1269" s="11"/>
      <c r="GS1269" s="11"/>
      <c r="GT1269" s="11"/>
      <c r="GU1269" s="11"/>
      <c r="GV1269" s="11"/>
      <c r="GW1269" s="11"/>
      <c r="GX1269" s="11"/>
      <c r="GY1269" s="11"/>
      <c r="GZ1269" s="11"/>
      <c r="HA1269" s="11"/>
    </row>
    <row r="1270" spans="1:209" ht="23.25" customHeight="1" x14ac:dyDescent="0.15">
      <c r="A1270" s="11"/>
      <c r="B1270" s="11"/>
      <c r="C1270" s="33" t="s">
        <v>11</v>
      </c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/>
      <c r="R1270" s="11"/>
      <c r="S1270" s="11"/>
      <c r="T1270" s="11"/>
      <c r="U1270" s="11"/>
      <c r="V1270" s="11"/>
      <c r="W1270" s="11"/>
      <c r="X1270" s="11"/>
      <c r="Y1270" s="11"/>
      <c r="Z1270" s="11"/>
      <c r="AA1270" s="11"/>
      <c r="AB1270" s="11"/>
      <c r="AC1270" s="11"/>
      <c r="AD1270" s="11"/>
      <c r="AE1270" s="11"/>
      <c r="AF1270" s="11"/>
      <c r="AG1270" s="11"/>
      <c r="AH1270" s="11"/>
      <c r="AI1270" s="11"/>
      <c r="AJ1270" s="11"/>
      <c r="AK1270" s="11"/>
      <c r="AL1270" s="11"/>
      <c r="AM1270" s="11"/>
      <c r="AN1270" s="11"/>
      <c r="AO1270" s="11"/>
      <c r="AP1270" s="11"/>
      <c r="AQ1270" s="11"/>
      <c r="AR1270" s="11"/>
      <c r="AS1270" s="11"/>
      <c r="AT1270" s="11"/>
      <c r="AU1270" s="11"/>
      <c r="AV1270" s="11"/>
      <c r="AW1270" s="11"/>
      <c r="AX1270" s="52" t="s">
        <v>830</v>
      </c>
      <c r="AY1270" s="52" t="s">
        <v>831</v>
      </c>
      <c r="AZ1270" s="52" t="s">
        <v>3741</v>
      </c>
      <c r="BA1270" s="52" t="s">
        <v>343</v>
      </c>
      <c r="BB1270" s="52" t="s">
        <v>448</v>
      </c>
      <c r="BC1270" s="53">
        <v>43922</v>
      </c>
      <c r="BD1270" s="53">
        <v>44012</v>
      </c>
      <c r="BE1270" s="11"/>
      <c r="BF1270" s="55">
        <v>95</v>
      </c>
      <c r="BG1270" s="11"/>
      <c r="BH1270" s="54" t="s">
        <v>3742</v>
      </c>
      <c r="BI1270" s="11"/>
      <c r="BJ1270" s="11"/>
      <c r="BK1270" s="11"/>
      <c r="BL1270" s="11"/>
      <c r="BM1270" s="11"/>
      <c r="BN1270" s="11"/>
      <c r="BO1270" s="11"/>
      <c r="BP1270" s="11"/>
      <c r="BQ1270" s="11"/>
      <c r="BR1270" s="11"/>
      <c r="BS1270" s="11"/>
      <c r="BT1270" s="11"/>
      <c r="BU1270" s="11"/>
      <c r="BV1270" s="11"/>
      <c r="BW1270" s="52"/>
      <c r="BX1270" s="52"/>
      <c r="BY1270" s="11"/>
      <c r="BZ1270" s="52"/>
      <c r="CA1270" s="52"/>
      <c r="CB1270" s="52"/>
      <c r="CC1270" s="52"/>
      <c r="CD1270" s="53"/>
      <c r="CE1270" s="53"/>
      <c r="CF1270" s="52"/>
      <c r="CG1270" s="52"/>
      <c r="CH1270" s="11"/>
      <c r="CI1270" s="11"/>
      <c r="CJ1270" s="11"/>
      <c r="CK1270" s="11"/>
      <c r="CL1270" s="11"/>
      <c r="CM1270" s="11"/>
      <c r="CN1270" s="11"/>
      <c r="CO1270" s="11"/>
      <c r="CP1270" s="11"/>
      <c r="CQ1270" s="11"/>
      <c r="CR1270" s="11"/>
      <c r="CS1270" s="11"/>
      <c r="CT1270" s="11"/>
      <c r="CU1270" s="11"/>
      <c r="CV1270" s="11"/>
      <c r="CW1270" s="11"/>
      <c r="CX1270" s="11"/>
      <c r="CY1270" s="11"/>
      <c r="CZ1270" s="11"/>
      <c r="DA1270" s="11"/>
      <c r="DB1270" s="11"/>
      <c r="DC1270" s="11"/>
      <c r="DD1270" s="11"/>
      <c r="DE1270" s="11"/>
      <c r="DF1270" s="11"/>
      <c r="DG1270" s="11"/>
      <c r="DH1270" s="11"/>
      <c r="DI1270" s="11"/>
      <c r="DJ1270" s="11"/>
      <c r="DK1270" s="11"/>
      <c r="DL1270" s="11"/>
      <c r="DM1270" s="11"/>
      <c r="DN1270" s="11"/>
      <c r="DO1270" s="11"/>
      <c r="DP1270" s="11"/>
      <c r="DQ1270" s="11"/>
      <c r="DR1270" s="11"/>
      <c r="DS1270" s="11"/>
      <c r="DT1270" s="11"/>
      <c r="DU1270" s="11"/>
      <c r="DV1270" s="11"/>
      <c r="DW1270" s="11"/>
      <c r="DX1270" s="11"/>
      <c r="DY1270" s="11"/>
      <c r="DZ1270" s="11"/>
      <c r="EA1270" s="11"/>
      <c r="EB1270" s="11"/>
      <c r="EC1270" s="11"/>
      <c r="ED1270" s="11"/>
      <c r="EE1270" s="11"/>
      <c r="EF1270" s="11"/>
      <c r="EG1270" s="11"/>
      <c r="EH1270" s="11"/>
      <c r="EI1270" s="11"/>
      <c r="EJ1270" s="11"/>
      <c r="EK1270" s="11"/>
      <c r="EL1270" s="11"/>
      <c r="EM1270" s="11"/>
      <c r="EN1270" s="11"/>
      <c r="EO1270" s="11"/>
      <c r="EP1270" s="11"/>
      <c r="EQ1270" s="11"/>
      <c r="ER1270" s="11"/>
      <c r="ES1270" s="11"/>
      <c r="ET1270" s="11"/>
      <c r="EU1270" s="11"/>
      <c r="EV1270" s="11"/>
      <c r="EW1270" s="11"/>
      <c r="EX1270" s="11"/>
      <c r="EY1270" s="11"/>
      <c r="EZ1270" s="11"/>
      <c r="FA1270" s="11"/>
      <c r="FB1270" s="11"/>
      <c r="FC1270" s="11"/>
      <c r="FD1270" s="11"/>
      <c r="FE1270" s="11"/>
      <c r="FF1270" s="11"/>
      <c r="FG1270" s="11"/>
      <c r="FH1270" s="11"/>
      <c r="FI1270" s="11"/>
      <c r="FJ1270" s="11"/>
      <c r="FK1270" s="11"/>
      <c r="FL1270" s="52" t="s">
        <v>834</v>
      </c>
      <c r="FM1270" s="52" t="s">
        <v>255</v>
      </c>
      <c r="FN1270" s="11"/>
      <c r="FO1270" s="11"/>
      <c r="FP1270" s="11"/>
      <c r="FQ1270" s="11"/>
      <c r="FR1270" s="11"/>
      <c r="FS1270" s="11"/>
      <c r="FT1270" s="11"/>
      <c r="FU1270" s="11"/>
      <c r="FV1270" s="11"/>
      <c r="FW1270" s="11"/>
      <c r="FX1270" s="11"/>
      <c r="FY1270" s="11"/>
      <c r="FZ1270" s="11"/>
      <c r="GA1270" s="11"/>
      <c r="GB1270" s="11"/>
      <c r="GC1270" s="11"/>
      <c r="GD1270" s="11"/>
      <c r="GE1270" s="11"/>
      <c r="GF1270" s="11"/>
      <c r="GG1270" s="11"/>
      <c r="GH1270" s="11"/>
      <c r="GI1270" s="11"/>
      <c r="GJ1270" s="11"/>
      <c r="GK1270" s="11"/>
      <c r="GL1270" s="11"/>
      <c r="GM1270" s="11"/>
      <c r="GN1270" s="11"/>
      <c r="GO1270" s="11"/>
      <c r="GP1270" s="11"/>
      <c r="GQ1270" s="11"/>
      <c r="GR1270" s="11"/>
      <c r="GS1270" s="11"/>
      <c r="GT1270" s="11"/>
      <c r="GU1270" s="11"/>
      <c r="GV1270" s="11"/>
      <c r="GW1270" s="11"/>
      <c r="GX1270" s="11"/>
      <c r="GY1270" s="11"/>
      <c r="GZ1270" s="11"/>
      <c r="HA1270" s="11"/>
    </row>
    <row r="1271" spans="1:209" ht="23.25" customHeight="1" x14ac:dyDescent="0.15">
      <c r="A1271" s="11"/>
      <c r="B1271" s="11"/>
      <c r="C1271" s="33" t="s">
        <v>11</v>
      </c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/>
      <c r="R1271" s="11"/>
      <c r="S1271" s="11"/>
      <c r="T1271" s="11"/>
      <c r="U1271" s="11"/>
      <c r="V1271" s="11"/>
      <c r="W1271" s="11"/>
      <c r="X1271" s="11"/>
      <c r="Y1271" s="11"/>
      <c r="Z1271" s="11"/>
      <c r="AA1271" s="11"/>
      <c r="AB1271" s="11"/>
      <c r="AC1271" s="11"/>
      <c r="AD1271" s="11"/>
      <c r="AE1271" s="11"/>
      <c r="AF1271" s="11"/>
      <c r="AG1271" s="11"/>
      <c r="AH1271" s="11"/>
      <c r="AI1271" s="11"/>
      <c r="AJ1271" s="11"/>
      <c r="AK1271" s="11"/>
      <c r="AL1271" s="11"/>
      <c r="AM1271" s="11"/>
      <c r="AN1271" s="11"/>
      <c r="AO1271" s="11"/>
      <c r="AP1271" s="11"/>
      <c r="AQ1271" s="11"/>
      <c r="AR1271" s="11"/>
      <c r="AS1271" s="11"/>
      <c r="AT1271" s="11"/>
      <c r="AU1271" s="11"/>
      <c r="AV1271" s="11"/>
      <c r="AW1271" s="11"/>
      <c r="AX1271" s="52" t="s">
        <v>830</v>
      </c>
      <c r="AY1271" s="52" t="s">
        <v>831</v>
      </c>
      <c r="AZ1271" s="52" t="s">
        <v>3699</v>
      </c>
      <c r="BA1271" s="52" t="s">
        <v>343</v>
      </c>
      <c r="BB1271" s="52" t="s">
        <v>448</v>
      </c>
      <c r="BC1271" s="53">
        <v>43922</v>
      </c>
      <c r="BD1271" s="53">
        <v>44012</v>
      </c>
      <c r="BE1271" s="11"/>
      <c r="BF1271" s="55">
        <v>95</v>
      </c>
      <c r="BG1271" s="11"/>
      <c r="BH1271" s="54" t="s">
        <v>3743</v>
      </c>
      <c r="BI1271" s="11"/>
      <c r="BJ1271" s="11"/>
      <c r="BK1271" s="11"/>
      <c r="BL1271" s="11"/>
      <c r="BM1271" s="11"/>
      <c r="BN1271" s="11"/>
      <c r="BO1271" s="11"/>
      <c r="BP1271" s="11"/>
      <c r="BQ1271" s="11"/>
      <c r="BR1271" s="11"/>
      <c r="BS1271" s="11"/>
      <c r="BT1271" s="11"/>
      <c r="BU1271" s="11"/>
      <c r="BV1271" s="11"/>
      <c r="BW1271" s="52"/>
      <c r="BX1271" s="52"/>
      <c r="BY1271" s="11"/>
      <c r="BZ1271" s="52"/>
      <c r="CA1271" s="52"/>
      <c r="CB1271" s="52"/>
      <c r="CC1271" s="52"/>
      <c r="CD1271" s="53"/>
      <c r="CE1271" s="53"/>
      <c r="CF1271" s="52"/>
      <c r="CG1271" s="52"/>
      <c r="CH1271" s="11"/>
      <c r="CI1271" s="11"/>
      <c r="CJ1271" s="11"/>
      <c r="CK1271" s="11"/>
      <c r="CL1271" s="11"/>
      <c r="CM1271" s="11"/>
      <c r="CN1271" s="11"/>
      <c r="CO1271" s="11"/>
      <c r="CP1271" s="11"/>
      <c r="CQ1271" s="11"/>
      <c r="CR1271" s="11"/>
      <c r="CS1271" s="11"/>
      <c r="CT1271" s="11"/>
      <c r="CU1271" s="11"/>
      <c r="CV1271" s="11"/>
      <c r="CW1271" s="11"/>
      <c r="CX1271" s="11"/>
      <c r="CY1271" s="11"/>
      <c r="CZ1271" s="11"/>
      <c r="DA1271" s="11"/>
      <c r="DB1271" s="11"/>
      <c r="DC1271" s="11"/>
      <c r="DD1271" s="11"/>
      <c r="DE1271" s="11"/>
      <c r="DF1271" s="11"/>
      <c r="DG1271" s="11"/>
      <c r="DH1271" s="11"/>
      <c r="DI1271" s="11"/>
      <c r="DJ1271" s="11"/>
      <c r="DK1271" s="11"/>
      <c r="DL1271" s="11"/>
      <c r="DM1271" s="11"/>
      <c r="DN1271" s="11"/>
      <c r="DO1271" s="11"/>
      <c r="DP1271" s="11"/>
      <c r="DQ1271" s="11"/>
      <c r="DR1271" s="11"/>
      <c r="DS1271" s="11"/>
      <c r="DT1271" s="11"/>
      <c r="DU1271" s="11"/>
      <c r="DV1271" s="11"/>
      <c r="DW1271" s="11"/>
      <c r="DX1271" s="11"/>
      <c r="DY1271" s="11"/>
      <c r="DZ1271" s="11"/>
      <c r="EA1271" s="11"/>
      <c r="EB1271" s="11"/>
      <c r="EC1271" s="11"/>
      <c r="ED1271" s="11"/>
      <c r="EE1271" s="11"/>
      <c r="EF1271" s="11"/>
      <c r="EG1271" s="11"/>
      <c r="EH1271" s="11"/>
      <c r="EI1271" s="11"/>
      <c r="EJ1271" s="11"/>
      <c r="EK1271" s="11"/>
      <c r="EL1271" s="11"/>
      <c r="EM1271" s="11"/>
      <c r="EN1271" s="11"/>
      <c r="EO1271" s="11"/>
      <c r="EP1271" s="11"/>
      <c r="EQ1271" s="11"/>
      <c r="ER1271" s="11"/>
      <c r="ES1271" s="11"/>
      <c r="ET1271" s="11"/>
      <c r="EU1271" s="11"/>
      <c r="EV1271" s="11"/>
      <c r="EW1271" s="11"/>
      <c r="EX1271" s="11"/>
      <c r="EY1271" s="11"/>
      <c r="EZ1271" s="11"/>
      <c r="FA1271" s="11"/>
      <c r="FB1271" s="11"/>
      <c r="FC1271" s="11"/>
      <c r="FD1271" s="11"/>
      <c r="FE1271" s="11"/>
      <c r="FF1271" s="11"/>
      <c r="FG1271" s="11"/>
      <c r="FH1271" s="11"/>
      <c r="FI1271" s="11"/>
      <c r="FJ1271" s="11"/>
      <c r="FK1271" s="11"/>
      <c r="FL1271" s="52" t="s">
        <v>834</v>
      </c>
      <c r="FM1271" s="52" t="s">
        <v>255</v>
      </c>
      <c r="FN1271" s="11"/>
      <c r="FO1271" s="11"/>
      <c r="FP1271" s="11"/>
      <c r="FQ1271" s="11"/>
      <c r="FR1271" s="11"/>
      <c r="FS1271" s="11"/>
      <c r="FT1271" s="11"/>
      <c r="FU1271" s="11"/>
      <c r="FV1271" s="11"/>
      <c r="FW1271" s="11"/>
      <c r="FX1271" s="11"/>
      <c r="FY1271" s="11"/>
      <c r="FZ1271" s="11"/>
      <c r="GA1271" s="11"/>
      <c r="GB1271" s="11"/>
      <c r="GC1271" s="11"/>
      <c r="GD1271" s="11"/>
      <c r="GE1271" s="11"/>
      <c r="GF1271" s="11"/>
      <c r="GG1271" s="11"/>
      <c r="GH1271" s="11"/>
      <c r="GI1271" s="11"/>
      <c r="GJ1271" s="11"/>
      <c r="GK1271" s="11"/>
      <c r="GL1271" s="11"/>
      <c r="GM1271" s="11"/>
      <c r="GN1271" s="11"/>
      <c r="GO1271" s="11"/>
      <c r="GP1271" s="11"/>
      <c r="GQ1271" s="11"/>
      <c r="GR1271" s="11"/>
      <c r="GS1271" s="11"/>
      <c r="GT1271" s="11"/>
      <c r="GU1271" s="11"/>
      <c r="GV1271" s="11"/>
      <c r="GW1271" s="11"/>
      <c r="GX1271" s="11"/>
      <c r="GY1271" s="11"/>
      <c r="GZ1271" s="11"/>
      <c r="HA1271" s="11"/>
    </row>
    <row r="1272" spans="1:209" ht="23.25" customHeight="1" x14ac:dyDescent="0.15">
      <c r="A1272" s="11"/>
      <c r="B1272" s="11"/>
      <c r="C1272" s="33" t="s">
        <v>11</v>
      </c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/>
      <c r="R1272" s="11"/>
      <c r="S1272" s="11"/>
      <c r="T1272" s="11"/>
      <c r="U1272" s="11"/>
      <c r="V1272" s="11"/>
      <c r="W1272" s="11"/>
      <c r="X1272" s="11"/>
      <c r="Y1272" s="11"/>
      <c r="Z1272" s="11"/>
      <c r="AA1272" s="11"/>
      <c r="AB1272" s="11"/>
      <c r="AC1272" s="11"/>
      <c r="AD1272" s="11"/>
      <c r="AE1272" s="11"/>
      <c r="AF1272" s="11"/>
      <c r="AG1272" s="11"/>
      <c r="AH1272" s="11"/>
      <c r="AI1272" s="11"/>
      <c r="AJ1272" s="11"/>
      <c r="AK1272" s="11"/>
      <c r="AL1272" s="11"/>
      <c r="AM1272" s="11"/>
      <c r="AN1272" s="11"/>
      <c r="AO1272" s="11"/>
      <c r="AP1272" s="11"/>
      <c r="AQ1272" s="11"/>
      <c r="AR1272" s="11"/>
      <c r="AS1272" s="11"/>
      <c r="AT1272" s="11"/>
      <c r="AU1272" s="11"/>
      <c r="AV1272" s="11"/>
      <c r="AW1272" s="11"/>
      <c r="AX1272" s="52" t="s">
        <v>830</v>
      </c>
      <c r="AY1272" s="52" t="s">
        <v>831</v>
      </c>
      <c r="AZ1272" s="52" t="s">
        <v>3744</v>
      </c>
      <c r="BA1272" s="52" t="s">
        <v>343</v>
      </c>
      <c r="BB1272" s="52" t="s">
        <v>308</v>
      </c>
      <c r="BC1272" s="53">
        <v>43922</v>
      </c>
      <c r="BD1272" s="53">
        <v>44007</v>
      </c>
      <c r="BE1272" s="11"/>
      <c r="BF1272" s="55">
        <v>94</v>
      </c>
      <c r="BG1272" s="11"/>
      <c r="BH1272" s="54" t="s">
        <v>3745</v>
      </c>
      <c r="BI1272" s="11"/>
      <c r="BJ1272" s="11"/>
      <c r="BK1272" s="11"/>
      <c r="BL1272" s="11"/>
      <c r="BM1272" s="11"/>
      <c r="BN1272" s="11"/>
      <c r="BO1272" s="11"/>
      <c r="BP1272" s="11"/>
      <c r="BQ1272" s="11"/>
      <c r="BR1272" s="11"/>
      <c r="BS1272" s="11"/>
      <c r="BT1272" s="11"/>
      <c r="BU1272" s="11"/>
      <c r="BV1272" s="11"/>
      <c r="BW1272" s="52"/>
      <c r="BX1272" s="52"/>
      <c r="BY1272" s="11"/>
      <c r="BZ1272" s="52"/>
      <c r="CA1272" s="52"/>
      <c r="CB1272" s="52"/>
      <c r="CC1272" s="52"/>
      <c r="CD1272" s="53"/>
      <c r="CE1272" s="53"/>
      <c r="CF1272" s="52"/>
      <c r="CG1272" s="52"/>
      <c r="CH1272" s="11"/>
      <c r="CI1272" s="11"/>
      <c r="CJ1272" s="11"/>
      <c r="CK1272" s="11"/>
      <c r="CL1272" s="11"/>
      <c r="CM1272" s="11"/>
      <c r="CN1272" s="11"/>
      <c r="CO1272" s="11"/>
      <c r="CP1272" s="11"/>
      <c r="CQ1272" s="11"/>
      <c r="CR1272" s="11"/>
      <c r="CS1272" s="11"/>
      <c r="CT1272" s="11"/>
      <c r="CU1272" s="11"/>
      <c r="CV1272" s="11"/>
      <c r="CW1272" s="11"/>
      <c r="CX1272" s="11"/>
      <c r="CY1272" s="11"/>
      <c r="CZ1272" s="11"/>
      <c r="DA1272" s="11"/>
      <c r="DB1272" s="11"/>
      <c r="DC1272" s="11"/>
      <c r="DD1272" s="11"/>
      <c r="DE1272" s="11"/>
      <c r="DF1272" s="11"/>
      <c r="DG1272" s="11"/>
      <c r="DH1272" s="11"/>
      <c r="DI1272" s="11"/>
      <c r="DJ1272" s="11"/>
      <c r="DK1272" s="11"/>
      <c r="DL1272" s="11"/>
      <c r="DM1272" s="11"/>
      <c r="DN1272" s="11"/>
      <c r="DO1272" s="11"/>
      <c r="DP1272" s="11"/>
      <c r="DQ1272" s="11"/>
      <c r="DR1272" s="11"/>
      <c r="DS1272" s="11"/>
      <c r="DT1272" s="11"/>
      <c r="DU1272" s="11"/>
      <c r="DV1272" s="11"/>
      <c r="DW1272" s="11"/>
      <c r="DX1272" s="11"/>
      <c r="DY1272" s="11"/>
      <c r="DZ1272" s="11"/>
      <c r="EA1272" s="11"/>
      <c r="EB1272" s="11"/>
      <c r="EC1272" s="11"/>
      <c r="ED1272" s="11"/>
      <c r="EE1272" s="11"/>
      <c r="EF1272" s="11"/>
      <c r="EG1272" s="11"/>
      <c r="EH1272" s="11"/>
      <c r="EI1272" s="11"/>
      <c r="EJ1272" s="11"/>
      <c r="EK1272" s="11"/>
      <c r="EL1272" s="11"/>
      <c r="EM1272" s="11"/>
      <c r="EN1272" s="11"/>
      <c r="EO1272" s="11"/>
      <c r="EP1272" s="11"/>
      <c r="EQ1272" s="11"/>
      <c r="ER1272" s="11"/>
      <c r="ES1272" s="11"/>
      <c r="ET1272" s="11"/>
      <c r="EU1272" s="11"/>
      <c r="EV1272" s="11"/>
      <c r="EW1272" s="11"/>
      <c r="EX1272" s="11"/>
      <c r="EY1272" s="11"/>
      <c r="EZ1272" s="11"/>
      <c r="FA1272" s="11"/>
      <c r="FB1272" s="11"/>
      <c r="FC1272" s="11"/>
      <c r="FD1272" s="11"/>
      <c r="FE1272" s="11"/>
      <c r="FF1272" s="11"/>
      <c r="FG1272" s="11"/>
      <c r="FH1272" s="11"/>
      <c r="FI1272" s="11"/>
      <c r="FJ1272" s="11"/>
      <c r="FK1272" s="11"/>
      <c r="FL1272" s="52" t="s">
        <v>834</v>
      </c>
      <c r="FM1272" s="52" t="s">
        <v>255</v>
      </c>
      <c r="FN1272" s="11"/>
      <c r="FO1272" s="11"/>
      <c r="FP1272" s="11"/>
      <c r="FQ1272" s="11"/>
      <c r="FR1272" s="11"/>
      <c r="FS1272" s="11"/>
      <c r="FT1272" s="11"/>
      <c r="FU1272" s="11"/>
      <c r="FV1272" s="11"/>
      <c r="FW1272" s="11"/>
      <c r="FX1272" s="11"/>
      <c r="FY1272" s="11"/>
      <c r="FZ1272" s="11"/>
      <c r="GA1272" s="11"/>
      <c r="GB1272" s="11"/>
      <c r="GC1272" s="11"/>
      <c r="GD1272" s="11"/>
      <c r="GE1272" s="11"/>
      <c r="GF1272" s="11"/>
      <c r="GG1272" s="11"/>
      <c r="GH1272" s="11"/>
      <c r="GI1272" s="11"/>
      <c r="GJ1272" s="11"/>
      <c r="GK1272" s="11"/>
      <c r="GL1272" s="11"/>
      <c r="GM1272" s="11"/>
      <c r="GN1272" s="11"/>
      <c r="GO1272" s="11"/>
      <c r="GP1272" s="11"/>
      <c r="GQ1272" s="11"/>
      <c r="GR1272" s="11"/>
      <c r="GS1272" s="11"/>
      <c r="GT1272" s="11"/>
      <c r="GU1272" s="11"/>
      <c r="GV1272" s="11"/>
      <c r="GW1272" s="11"/>
      <c r="GX1272" s="11"/>
      <c r="GY1272" s="11"/>
      <c r="GZ1272" s="11"/>
      <c r="HA1272" s="11"/>
    </row>
    <row r="1273" spans="1:209" ht="23.25" customHeight="1" x14ac:dyDescent="0.15">
      <c r="A1273" s="11"/>
      <c r="B1273" s="11"/>
      <c r="C1273" s="33" t="s">
        <v>11</v>
      </c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/>
      <c r="R1273" s="11"/>
      <c r="S1273" s="11"/>
      <c r="T1273" s="11"/>
      <c r="U1273" s="11"/>
      <c r="V1273" s="11"/>
      <c r="W1273" s="11"/>
      <c r="X1273" s="11"/>
      <c r="Y1273" s="11"/>
      <c r="Z1273" s="11"/>
      <c r="AA1273" s="11"/>
      <c r="AB1273" s="11"/>
      <c r="AC1273" s="11"/>
      <c r="AD1273" s="11"/>
      <c r="AE1273" s="11"/>
      <c r="AF1273" s="11"/>
      <c r="AG1273" s="11"/>
      <c r="AH1273" s="11"/>
      <c r="AI1273" s="11"/>
      <c r="AJ1273" s="11"/>
      <c r="AK1273" s="11"/>
      <c r="AL1273" s="11"/>
      <c r="AM1273" s="11"/>
      <c r="AN1273" s="11"/>
      <c r="AO1273" s="11"/>
      <c r="AP1273" s="11"/>
      <c r="AQ1273" s="11"/>
      <c r="AR1273" s="11"/>
      <c r="AS1273" s="11"/>
      <c r="AT1273" s="11"/>
      <c r="AU1273" s="11"/>
      <c r="AV1273" s="11"/>
      <c r="AW1273" s="11"/>
      <c r="AX1273" s="52" t="s">
        <v>830</v>
      </c>
      <c r="AY1273" s="52" t="s">
        <v>831</v>
      </c>
      <c r="AZ1273" s="52" t="s">
        <v>3746</v>
      </c>
      <c r="BA1273" s="52" t="s">
        <v>343</v>
      </c>
      <c r="BB1273" s="52" t="s">
        <v>448</v>
      </c>
      <c r="BC1273" s="53">
        <v>43952</v>
      </c>
      <c r="BD1273" s="53">
        <v>44804</v>
      </c>
      <c r="BE1273" s="11"/>
      <c r="BF1273" s="55">
        <v>96</v>
      </c>
      <c r="BG1273" s="11"/>
      <c r="BH1273" s="54" t="s">
        <v>3747</v>
      </c>
      <c r="BI1273" s="11"/>
      <c r="BJ1273" s="11"/>
      <c r="BK1273" s="11"/>
      <c r="BL1273" s="11"/>
      <c r="BM1273" s="11"/>
      <c r="BN1273" s="11"/>
      <c r="BO1273" s="11"/>
      <c r="BP1273" s="11"/>
      <c r="BQ1273" s="11"/>
      <c r="BR1273" s="11"/>
      <c r="BS1273" s="11"/>
      <c r="BT1273" s="11"/>
      <c r="BU1273" s="11"/>
      <c r="BV1273" s="11"/>
      <c r="BW1273" s="52"/>
      <c r="BX1273" s="52"/>
      <c r="BY1273" s="11"/>
      <c r="BZ1273" s="52"/>
      <c r="CA1273" s="52"/>
      <c r="CB1273" s="52"/>
      <c r="CC1273" s="52"/>
      <c r="CD1273" s="53"/>
      <c r="CE1273" s="53"/>
      <c r="CF1273" s="52"/>
      <c r="CG1273" s="52"/>
      <c r="CH1273" s="11"/>
      <c r="CI1273" s="11"/>
      <c r="CJ1273" s="11"/>
      <c r="CK1273" s="11"/>
      <c r="CL1273" s="11"/>
      <c r="CM1273" s="11"/>
      <c r="CN1273" s="11"/>
      <c r="CO1273" s="11"/>
      <c r="CP1273" s="11"/>
      <c r="CQ1273" s="11"/>
      <c r="CR1273" s="11"/>
      <c r="CS1273" s="11"/>
      <c r="CT1273" s="11"/>
      <c r="CU1273" s="11"/>
      <c r="CV1273" s="11"/>
      <c r="CW1273" s="11"/>
      <c r="CX1273" s="11"/>
      <c r="CY1273" s="11"/>
      <c r="CZ1273" s="11"/>
      <c r="DA1273" s="11"/>
      <c r="DB1273" s="11"/>
      <c r="DC1273" s="11"/>
      <c r="DD1273" s="11"/>
      <c r="DE1273" s="11"/>
      <c r="DF1273" s="11"/>
      <c r="DG1273" s="11"/>
      <c r="DH1273" s="11"/>
      <c r="DI1273" s="11"/>
      <c r="DJ1273" s="11"/>
      <c r="DK1273" s="11"/>
      <c r="DL1273" s="11"/>
      <c r="DM1273" s="11"/>
      <c r="DN1273" s="11"/>
      <c r="DO1273" s="11"/>
      <c r="DP1273" s="11"/>
      <c r="DQ1273" s="11"/>
      <c r="DR1273" s="11"/>
      <c r="DS1273" s="11"/>
      <c r="DT1273" s="11"/>
      <c r="DU1273" s="11"/>
      <c r="DV1273" s="11"/>
      <c r="DW1273" s="11"/>
      <c r="DX1273" s="11"/>
      <c r="DY1273" s="11"/>
      <c r="DZ1273" s="11"/>
      <c r="EA1273" s="11"/>
      <c r="EB1273" s="11"/>
      <c r="EC1273" s="11"/>
      <c r="ED1273" s="11"/>
      <c r="EE1273" s="11"/>
      <c r="EF1273" s="11"/>
      <c r="EG1273" s="11"/>
      <c r="EH1273" s="11"/>
      <c r="EI1273" s="11"/>
      <c r="EJ1273" s="11"/>
      <c r="EK1273" s="11"/>
      <c r="EL1273" s="11"/>
      <c r="EM1273" s="11"/>
      <c r="EN1273" s="11"/>
      <c r="EO1273" s="11"/>
      <c r="EP1273" s="11"/>
      <c r="EQ1273" s="11"/>
      <c r="ER1273" s="11"/>
      <c r="ES1273" s="11"/>
      <c r="ET1273" s="11"/>
      <c r="EU1273" s="11"/>
      <c r="EV1273" s="11"/>
      <c r="EW1273" s="11"/>
      <c r="EX1273" s="11"/>
      <c r="EY1273" s="11"/>
      <c r="EZ1273" s="11"/>
      <c r="FA1273" s="11"/>
      <c r="FB1273" s="11"/>
      <c r="FC1273" s="11"/>
      <c r="FD1273" s="11"/>
      <c r="FE1273" s="11"/>
      <c r="FF1273" s="11"/>
      <c r="FG1273" s="11"/>
      <c r="FH1273" s="11"/>
      <c r="FI1273" s="11"/>
      <c r="FJ1273" s="11"/>
      <c r="FK1273" s="11"/>
      <c r="FL1273" s="52" t="s">
        <v>834</v>
      </c>
      <c r="FM1273" s="52" t="s">
        <v>255</v>
      </c>
      <c r="FN1273" s="11"/>
      <c r="FO1273" s="11"/>
      <c r="FP1273" s="11"/>
      <c r="FQ1273" s="11"/>
      <c r="FR1273" s="11"/>
      <c r="FS1273" s="11"/>
      <c r="FT1273" s="11"/>
      <c r="FU1273" s="11"/>
      <c r="FV1273" s="11"/>
      <c r="FW1273" s="11"/>
      <c r="FX1273" s="11"/>
      <c r="FY1273" s="11"/>
      <c r="FZ1273" s="11"/>
      <c r="GA1273" s="11"/>
      <c r="GB1273" s="11"/>
      <c r="GC1273" s="11"/>
      <c r="GD1273" s="11"/>
      <c r="GE1273" s="11"/>
      <c r="GF1273" s="11"/>
      <c r="GG1273" s="11"/>
      <c r="GH1273" s="11"/>
      <c r="GI1273" s="11"/>
      <c r="GJ1273" s="11"/>
      <c r="GK1273" s="11"/>
      <c r="GL1273" s="11"/>
      <c r="GM1273" s="11"/>
      <c r="GN1273" s="11"/>
      <c r="GO1273" s="11"/>
      <c r="GP1273" s="11"/>
      <c r="GQ1273" s="11"/>
      <c r="GR1273" s="11"/>
      <c r="GS1273" s="11"/>
      <c r="GT1273" s="11"/>
      <c r="GU1273" s="11"/>
      <c r="GV1273" s="11"/>
      <c r="GW1273" s="11"/>
      <c r="GX1273" s="11"/>
      <c r="GY1273" s="11"/>
      <c r="GZ1273" s="11"/>
      <c r="HA1273" s="11"/>
    </row>
    <row r="1274" spans="1:209" ht="23.25" customHeight="1" x14ac:dyDescent="0.15">
      <c r="A1274" s="11"/>
      <c r="B1274" s="11"/>
      <c r="C1274" s="33" t="s">
        <v>11</v>
      </c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/>
      <c r="R1274" s="11"/>
      <c r="S1274" s="11"/>
      <c r="T1274" s="11"/>
      <c r="U1274" s="11"/>
      <c r="V1274" s="11"/>
      <c r="W1274" s="11"/>
      <c r="X1274" s="11"/>
      <c r="Y1274" s="11"/>
      <c r="Z1274" s="11"/>
      <c r="AA1274" s="11"/>
      <c r="AB1274" s="11"/>
      <c r="AC1274" s="11"/>
      <c r="AD1274" s="11"/>
      <c r="AE1274" s="11"/>
      <c r="AF1274" s="11"/>
      <c r="AG1274" s="11"/>
      <c r="AH1274" s="11"/>
      <c r="AI1274" s="11"/>
      <c r="AJ1274" s="11"/>
      <c r="AK1274" s="11"/>
      <c r="AL1274" s="11"/>
      <c r="AM1274" s="11"/>
      <c r="AN1274" s="11"/>
      <c r="AO1274" s="11"/>
      <c r="AP1274" s="11"/>
      <c r="AQ1274" s="11"/>
      <c r="AR1274" s="11"/>
      <c r="AS1274" s="11"/>
      <c r="AT1274" s="11"/>
      <c r="AU1274" s="11"/>
      <c r="AV1274" s="11"/>
      <c r="AW1274" s="11"/>
      <c r="AX1274" s="52" t="s">
        <v>954</v>
      </c>
      <c r="AY1274" s="52" t="s">
        <v>955</v>
      </c>
      <c r="AZ1274" s="52" t="s">
        <v>3748</v>
      </c>
      <c r="BA1274" s="52" t="s">
        <v>3749</v>
      </c>
      <c r="BB1274" s="52" t="s">
        <v>448</v>
      </c>
      <c r="BC1274" s="53">
        <v>43942</v>
      </c>
      <c r="BD1274" s="53">
        <v>44014</v>
      </c>
      <c r="BE1274" s="11"/>
      <c r="BF1274" s="55">
        <v>96.89</v>
      </c>
      <c r="BG1274" s="11"/>
      <c r="BH1274" s="54" t="s">
        <v>3750</v>
      </c>
      <c r="BI1274" s="11"/>
      <c r="BJ1274" s="11"/>
      <c r="BK1274" s="11"/>
      <c r="BL1274" s="11"/>
      <c r="BM1274" s="11"/>
      <c r="BN1274" s="11"/>
      <c r="BO1274" s="11"/>
      <c r="BP1274" s="11"/>
      <c r="BQ1274" s="11"/>
      <c r="BR1274" s="11"/>
      <c r="BS1274" s="11"/>
      <c r="BT1274" s="11"/>
      <c r="BU1274" s="11"/>
      <c r="BV1274" s="11"/>
      <c r="BW1274" s="52"/>
      <c r="BX1274" s="52"/>
      <c r="BY1274" s="11"/>
      <c r="BZ1274" s="52"/>
      <c r="CA1274" s="52"/>
      <c r="CB1274" s="52"/>
      <c r="CC1274" s="52"/>
      <c r="CD1274" s="53"/>
      <c r="CE1274" s="53"/>
      <c r="CF1274" s="52"/>
      <c r="CG1274" s="52"/>
      <c r="CH1274" s="11"/>
      <c r="CI1274" s="11"/>
      <c r="CJ1274" s="11"/>
      <c r="CK1274" s="11"/>
      <c r="CL1274" s="11"/>
      <c r="CM1274" s="11"/>
      <c r="CN1274" s="11"/>
      <c r="CO1274" s="11"/>
      <c r="CP1274" s="11"/>
      <c r="CQ1274" s="11"/>
      <c r="CR1274" s="11"/>
      <c r="CS1274" s="11"/>
      <c r="CT1274" s="11"/>
      <c r="CU1274" s="11"/>
      <c r="CV1274" s="11"/>
      <c r="CW1274" s="11"/>
      <c r="CX1274" s="11"/>
      <c r="CY1274" s="11"/>
      <c r="CZ1274" s="11"/>
      <c r="DA1274" s="11"/>
      <c r="DB1274" s="11"/>
      <c r="DC1274" s="11"/>
      <c r="DD1274" s="11"/>
      <c r="DE1274" s="11"/>
      <c r="DF1274" s="11"/>
      <c r="DG1274" s="11"/>
      <c r="DH1274" s="11"/>
      <c r="DI1274" s="11"/>
      <c r="DJ1274" s="11"/>
      <c r="DK1274" s="11"/>
      <c r="DL1274" s="11"/>
      <c r="DM1274" s="11"/>
      <c r="DN1274" s="11"/>
      <c r="DO1274" s="11"/>
      <c r="DP1274" s="11"/>
      <c r="DQ1274" s="11"/>
      <c r="DR1274" s="11"/>
      <c r="DS1274" s="11"/>
      <c r="DT1274" s="11"/>
      <c r="DU1274" s="11"/>
      <c r="DV1274" s="11"/>
      <c r="DW1274" s="11"/>
      <c r="DX1274" s="11"/>
      <c r="DY1274" s="11"/>
      <c r="DZ1274" s="11"/>
      <c r="EA1274" s="11"/>
      <c r="EB1274" s="11"/>
      <c r="EC1274" s="11"/>
      <c r="ED1274" s="11"/>
      <c r="EE1274" s="11"/>
      <c r="EF1274" s="11"/>
      <c r="EG1274" s="11"/>
      <c r="EH1274" s="11"/>
      <c r="EI1274" s="11"/>
      <c r="EJ1274" s="11"/>
      <c r="EK1274" s="11"/>
      <c r="EL1274" s="11"/>
      <c r="EM1274" s="11"/>
      <c r="EN1274" s="11"/>
      <c r="EO1274" s="11"/>
      <c r="EP1274" s="11"/>
      <c r="EQ1274" s="11"/>
      <c r="ER1274" s="11"/>
      <c r="ES1274" s="11"/>
      <c r="ET1274" s="11"/>
      <c r="EU1274" s="11"/>
      <c r="EV1274" s="11"/>
      <c r="EW1274" s="11"/>
      <c r="EX1274" s="11"/>
      <c r="EY1274" s="11"/>
      <c r="EZ1274" s="11"/>
      <c r="FA1274" s="11"/>
      <c r="FB1274" s="11"/>
      <c r="FC1274" s="11"/>
      <c r="FD1274" s="11"/>
      <c r="FE1274" s="11"/>
      <c r="FF1274" s="11"/>
      <c r="FG1274" s="11"/>
      <c r="FH1274" s="11"/>
      <c r="FI1274" s="11"/>
      <c r="FJ1274" s="11"/>
      <c r="FK1274" s="11"/>
      <c r="FL1274" s="52" t="s">
        <v>959</v>
      </c>
      <c r="FM1274" s="52" t="s">
        <v>255</v>
      </c>
      <c r="FN1274" s="11"/>
      <c r="FO1274" s="11"/>
      <c r="FP1274" s="11"/>
      <c r="FQ1274" s="11"/>
      <c r="FR1274" s="11"/>
      <c r="FS1274" s="11"/>
      <c r="FT1274" s="11"/>
      <c r="FU1274" s="11"/>
      <c r="FV1274" s="11"/>
      <c r="FW1274" s="11"/>
      <c r="FX1274" s="11"/>
      <c r="FY1274" s="11"/>
      <c r="FZ1274" s="11"/>
      <c r="GA1274" s="11"/>
      <c r="GB1274" s="11"/>
      <c r="GC1274" s="11"/>
      <c r="GD1274" s="11"/>
      <c r="GE1274" s="11"/>
      <c r="GF1274" s="11"/>
      <c r="GG1274" s="11"/>
      <c r="GH1274" s="11"/>
      <c r="GI1274" s="11"/>
      <c r="GJ1274" s="11"/>
      <c r="GK1274" s="11"/>
      <c r="GL1274" s="11"/>
      <c r="GM1274" s="11"/>
      <c r="GN1274" s="11"/>
      <c r="GO1274" s="11"/>
      <c r="GP1274" s="11"/>
      <c r="GQ1274" s="11"/>
      <c r="GR1274" s="11"/>
      <c r="GS1274" s="11"/>
      <c r="GT1274" s="11"/>
      <c r="GU1274" s="11"/>
      <c r="GV1274" s="11"/>
      <c r="GW1274" s="11"/>
      <c r="GX1274" s="11"/>
      <c r="GY1274" s="11"/>
      <c r="GZ1274" s="11"/>
      <c r="HA1274" s="11"/>
    </row>
    <row r="1275" spans="1:209" ht="23.25" customHeight="1" x14ac:dyDescent="0.15">
      <c r="A1275" s="11"/>
      <c r="B1275" s="11"/>
      <c r="C1275" s="33" t="s">
        <v>11</v>
      </c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/>
      <c r="R1275" s="11"/>
      <c r="S1275" s="11"/>
      <c r="T1275" s="11"/>
      <c r="U1275" s="11"/>
      <c r="V1275" s="11"/>
      <c r="W1275" s="11"/>
      <c r="X1275" s="11"/>
      <c r="Y1275" s="11"/>
      <c r="Z1275" s="11"/>
      <c r="AA1275" s="11"/>
      <c r="AB1275" s="11"/>
      <c r="AC1275" s="11"/>
      <c r="AD1275" s="11"/>
      <c r="AE1275" s="11"/>
      <c r="AF1275" s="11"/>
      <c r="AG1275" s="11"/>
      <c r="AH1275" s="11"/>
      <c r="AI1275" s="11"/>
      <c r="AJ1275" s="11"/>
      <c r="AK1275" s="11"/>
      <c r="AL1275" s="11"/>
      <c r="AM1275" s="11"/>
      <c r="AN1275" s="11"/>
      <c r="AO1275" s="11"/>
      <c r="AP1275" s="11"/>
      <c r="AQ1275" s="11"/>
      <c r="AR1275" s="11"/>
      <c r="AS1275" s="11"/>
      <c r="AT1275" s="11"/>
      <c r="AU1275" s="11"/>
      <c r="AV1275" s="11"/>
      <c r="AW1275" s="11"/>
      <c r="AX1275" s="52" t="s">
        <v>3751</v>
      </c>
      <c r="AY1275" s="52" t="s">
        <v>1133</v>
      </c>
      <c r="AZ1275" s="52" t="s">
        <v>3752</v>
      </c>
      <c r="BA1275" s="52" t="s">
        <v>343</v>
      </c>
      <c r="BB1275" s="52" t="s">
        <v>408</v>
      </c>
      <c r="BC1275" s="53">
        <v>43924</v>
      </c>
      <c r="BD1275" s="53">
        <v>43954</v>
      </c>
      <c r="BE1275" s="11"/>
      <c r="BF1275" s="55">
        <v>97</v>
      </c>
      <c r="BG1275" s="11"/>
      <c r="BH1275" s="54" t="s">
        <v>3753</v>
      </c>
      <c r="BI1275" s="11"/>
      <c r="BJ1275" s="11"/>
      <c r="BK1275" s="11"/>
      <c r="BL1275" s="11"/>
      <c r="BM1275" s="11"/>
      <c r="BN1275" s="11"/>
      <c r="BO1275" s="11"/>
      <c r="BP1275" s="11"/>
      <c r="BQ1275" s="11"/>
      <c r="BR1275" s="11"/>
      <c r="BS1275" s="11"/>
      <c r="BT1275" s="11"/>
      <c r="BU1275" s="11"/>
      <c r="BV1275" s="11"/>
      <c r="BW1275" s="52"/>
      <c r="BX1275" s="52"/>
      <c r="BY1275" s="11"/>
      <c r="BZ1275" s="52"/>
      <c r="CA1275" s="52"/>
      <c r="CB1275" s="52"/>
      <c r="CC1275" s="52"/>
      <c r="CD1275" s="53"/>
      <c r="CE1275" s="53"/>
      <c r="CF1275" s="52"/>
      <c r="CG1275" s="52"/>
      <c r="CH1275" s="11"/>
      <c r="CI1275" s="11"/>
      <c r="CJ1275" s="11"/>
      <c r="CK1275" s="11"/>
      <c r="CL1275" s="11"/>
      <c r="CM1275" s="11"/>
      <c r="CN1275" s="11"/>
      <c r="CO1275" s="11"/>
      <c r="CP1275" s="11"/>
      <c r="CQ1275" s="11"/>
      <c r="CR1275" s="11"/>
      <c r="CS1275" s="11"/>
      <c r="CT1275" s="11"/>
      <c r="CU1275" s="11"/>
      <c r="CV1275" s="11"/>
      <c r="CW1275" s="11"/>
      <c r="CX1275" s="11"/>
      <c r="CY1275" s="11"/>
      <c r="CZ1275" s="11"/>
      <c r="DA1275" s="11"/>
      <c r="DB1275" s="11"/>
      <c r="DC1275" s="11"/>
      <c r="DD1275" s="11"/>
      <c r="DE1275" s="11"/>
      <c r="DF1275" s="11"/>
      <c r="DG1275" s="11"/>
      <c r="DH1275" s="11"/>
      <c r="DI1275" s="11"/>
      <c r="DJ1275" s="11"/>
      <c r="DK1275" s="11"/>
      <c r="DL1275" s="11"/>
      <c r="DM1275" s="11"/>
      <c r="DN1275" s="11"/>
      <c r="DO1275" s="11"/>
      <c r="DP1275" s="11"/>
      <c r="DQ1275" s="11"/>
      <c r="DR1275" s="11"/>
      <c r="DS1275" s="11"/>
      <c r="DT1275" s="11"/>
      <c r="DU1275" s="11"/>
      <c r="DV1275" s="11"/>
      <c r="DW1275" s="11"/>
      <c r="DX1275" s="11"/>
      <c r="DY1275" s="11"/>
      <c r="DZ1275" s="11"/>
      <c r="EA1275" s="11"/>
      <c r="EB1275" s="11"/>
      <c r="EC1275" s="11"/>
      <c r="ED1275" s="11"/>
      <c r="EE1275" s="11"/>
      <c r="EF1275" s="11"/>
      <c r="EG1275" s="11"/>
      <c r="EH1275" s="11"/>
      <c r="EI1275" s="11"/>
      <c r="EJ1275" s="11"/>
      <c r="EK1275" s="11"/>
      <c r="EL1275" s="11"/>
      <c r="EM1275" s="11"/>
      <c r="EN1275" s="11"/>
      <c r="EO1275" s="11"/>
      <c r="EP1275" s="11"/>
      <c r="EQ1275" s="11"/>
      <c r="ER1275" s="11"/>
      <c r="ES1275" s="11"/>
      <c r="ET1275" s="11"/>
      <c r="EU1275" s="11"/>
      <c r="EV1275" s="11"/>
      <c r="EW1275" s="11"/>
      <c r="EX1275" s="11"/>
      <c r="EY1275" s="11"/>
      <c r="EZ1275" s="11"/>
      <c r="FA1275" s="11"/>
      <c r="FB1275" s="11"/>
      <c r="FC1275" s="11"/>
      <c r="FD1275" s="11"/>
      <c r="FE1275" s="11"/>
      <c r="FF1275" s="11"/>
      <c r="FG1275" s="11"/>
      <c r="FH1275" s="11"/>
      <c r="FI1275" s="11"/>
      <c r="FJ1275" s="11"/>
      <c r="FK1275" s="11"/>
      <c r="FL1275" s="52" t="s">
        <v>1135</v>
      </c>
      <c r="FM1275" s="52" t="s">
        <v>255</v>
      </c>
      <c r="FN1275" s="11"/>
      <c r="FO1275" s="11"/>
      <c r="FP1275" s="11"/>
      <c r="FQ1275" s="11"/>
      <c r="FR1275" s="11"/>
      <c r="FS1275" s="11"/>
      <c r="FT1275" s="11"/>
      <c r="FU1275" s="11"/>
      <c r="FV1275" s="11"/>
      <c r="FW1275" s="11"/>
      <c r="FX1275" s="11"/>
      <c r="FY1275" s="11"/>
      <c r="FZ1275" s="11"/>
      <c r="GA1275" s="11"/>
      <c r="GB1275" s="11"/>
      <c r="GC1275" s="11"/>
      <c r="GD1275" s="11"/>
      <c r="GE1275" s="11"/>
      <c r="GF1275" s="11"/>
      <c r="GG1275" s="11"/>
      <c r="GH1275" s="11"/>
      <c r="GI1275" s="11"/>
      <c r="GJ1275" s="11"/>
      <c r="GK1275" s="11"/>
      <c r="GL1275" s="11"/>
      <c r="GM1275" s="11"/>
      <c r="GN1275" s="11"/>
      <c r="GO1275" s="11"/>
      <c r="GP1275" s="11"/>
      <c r="GQ1275" s="11"/>
      <c r="GR1275" s="11"/>
      <c r="GS1275" s="11"/>
      <c r="GT1275" s="11"/>
      <c r="GU1275" s="11"/>
      <c r="GV1275" s="11"/>
      <c r="GW1275" s="11"/>
      <c r="GX1275" s="11"/>
      <c r="GY1275" s="11"/>
      <c r="GZ1275" s="11"/>
      <c r="HA1275" s="11"/>
    </row>
    <row r="1276" spans="1:209" ht="23.25" customHeight="1" x14ac:dyDescent="0.15">
      <c r="A1276" s="11"/>
      <c r="B1276" s="11"/>
      <c r="C1276" s="33" t="s">
        <v>11</v>
      </c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/>
      <c r="R1276" s="11"/>
      <c r="S1276" s="11"/>
      <c r="T1276" s="11"/>
      <c r="U1276" s="11"/>
      <c r="V1276" s="11"/>
      <c r="W1276" s="11"/>
      <c r="X1276" s="11"/>
      <c r="Y1276" s="11"/>
      <c r="Z1276" s="11"/>
      <c r="AA1276" s="11"/>
      <c r="AB1276" s="11"/>
      <c r="AC1276" s="11"/>
      <c r="AD1276" s="11"/>
      <c r="AE1276" s="11"/>
      <c r="AF1276" s="11"/>
      <c r="AG1276" s="11"/>
      <c r="AH1276" s="11"/>
      <c r="AI1276" s="11"/>
      <c r="AJ1276" s="11"/>
      <c r="AK1276" s="11"/>
      <c r="AL1276" s="11"/>
      <c r="AM1276" s="11"/>
      <c r="AN1276" s="11"/>
      <c r="AO1276" s="11"/>
      <c r="AP1276" s="11"/>
      <c r="AQ1276" s="11"/>
      <c r="AR1276" s="11"/>
      <c r="AS1276" s="11"/>
      <c r="AT1276" s="11"/>
      <c r="AU1276" s="11"/>
      <c r="AV1276" s="11"/>
      <c r="AW1276" s="11"/>
      <c r="AX1276" s="52" t="s">
        <v>3751</v>
      </c>
      <c r="AY1276" s="52" t="s">
        <v>1133</v>
      </c>
      <c r="AZ1276" s="52" t="s">
        <v>1566</v>
      </c>
      <c r="BA1276" s="52" t="s">
        <v>343</v>
      </c>
      <c r="BB1276" s="52" t="s">
        <v>408</v>
      </c>
      <c r="BC1276" s="53">
        <v>44334</v>
      </c>
      <c r="BD1276" s="53">
        <v>44365</v>
      </c>
      <c r="BE1276" s="11"/>
      <c r="BF1276" s="55">
        <v>97</v>
      </c>
      <c r="BG1276" s="11"/>
      <c r="BH1276" s="54" t="s">
        <v>3754</v>
      </c>
      <c r="BI1276" s="11"/>
      <c r="BJ1276" s="11"/>
      <c r="BK1276" s="11"/>
      <c r="BL1276" s="11"/>
      <c r="BM1276" s="11"/>
      <c r="BN1276" s="11"/>
      <c r="BO1276" s="11"/>
      <c r="BP1276" s="11"/>
      <c r="BQ1276" s="11"/>
      <c r="BR1276" s="11"/>
      <c r="BS1276" s="11"/>
      <c r="BT1276" s="11"/>
      <c r="BU1276" s="11"/>
      <c r="BV1276" s="11"/>
      <c r="BW1276" s="52"/>
      <c r="BX1276" s="52"/>
      <c r="BY1276" s="11"/>
      <c r="BZ1276" s="52"/>
      <c r="CA1276" s="52"/>
      <c r="CB1276" s="52"/>
      <c r="CC1276" s="52"/>
      <c r="CD1276" s="53"/>
      <c r="CE1276" s="53"/>
      <c r="CF1276" s="52"/>
      <c r="CG1276" s="52"/>
      <c r="CH1276" s="11"/>
      <c r="CI1276" s="11"/>
      <c r="CJ1276" s="11"/>
      <c r="CK1276" s="11"/>
      <c r="CL1276" s="11"/>
      <c r="CM1276" s="11"/>
      <c r="CN1276" s="11"/>
      <c r="CO1276" s="11"/>
      <c r="CP1276" s="11"/>
      <c r="CQ1276" s="11"/>
      <c r="CR1276" s="11"/>
      <c r="CS1276" s="11"/>
      <c r="CT1276" s="11"/>
      <c r="CU1276" s="11"/>
      <c r="CV1276" s="11"/>
      <c r="CW1276" s="11"/>
      <c r="CX1276" s="11"/>
      <c r="CY1276" s="11"/>
      <c r="CZ1276" s="11"/>
      <c r="DA1276" s="11"/>
      <c r="DB1276" s="11"/>
      <c r="DC1276" s="11"/>
      <c r="DD1276" s="11"/>
      <c r="DE1276" s="11"/>
      <c r="DF1276" s="11"/>
      <c r="DG1276" s="11"/>
      <c r="DH1276" s="11"/>
      <c r="DI1276" s="11"/>
      <c r="DJ1276" s="11"/>
      <c r="DK1276" s="11"/>
      <c r="DL1276" s="11"/>
      <c r="DM1276" s="11"/>
      <c r="DN1276" s="11"/>
      <c r="DO1276" s="11"/>
      <c r="DP1276" s="11"/>
      <c r="DQ1276" s="11"/>
      <c r="DR1276" s="11"/>
      <c r="DS1276" s="11"/>
      <c r="DT1276" s="11"/>
      <c r="DU1276" s="11"/>
      <c r="DV1276" s="11"/>
      <c r="DW1276" s="11"/>
      <c r="DX1276" s="11"/>
      <c r="DY1276" s="11"/>
      <c r="DZ1276" s="11"/>
      <c r="EA1276" s="11"/>
      <c r="EB1276" s="11"/>
      <c r="EC1276" s="11"/>
      <c r="ED1276" s="11"/>
      <c r="EE1276" s="11"/>
      <c r="EF1276" s="11"/>
      <c r="EG1276" s="11"/>
      <c r="EH1276" s="11"/>
      <c r="EI1276" s="11"/>
      <c r="EJ1276" s="11"/>
      <c r="EK1276" s="11"/>
      <c r="EL1276" s="11"/>
      <c r="EM1276" s="11"/>
      <c r="EN1276" s="11"/>
      <c r="EO1276" s="11"/>
      <c r="EP1276" s="11"/>
      <c r="EQ1276" s="11"/>
      <c r="ER1276" s="11"/>
      <c r="ES1276" s="11"/>
      <c r="ET1276" s="11"/>
      <c r="EU1276" s="11"/>
      <c r="EV1276" s="11"/>
      <c r="EW1276" s="11"/>
      <c r="EX1276" s="11"/>
      <c r="EY1276" s="11"/>
      <c r="EZ1276" s="11"/>
      <c r="FA1276" s="11"/>
      <c r="FB1276" s="11"/>
      <c r="FC1276" s="11"/>
      <c r="FD1276" s="11"/>
      <c r="FE1276" s="11"/>
      <c r="FF1276" s="11"/>
      <c r="FG1276" s="11"/>
      <c r="FH1276" s="11"/>
      <c r="FI1276" s="11"/>
      <c r="FJ1276" s="11"/>
      <c r="FK1276" s="11"/>
      <c r="FL1276" s="52" t="s">
        <v>1135</v>
      </c>
      <c r="FM1276" s="52" t="s">
        <v>255</v>
      </c>
      <c r="FN1276" s="11"/>
      <c r="FO1276" s="11"/>
      <c r="FP1276" s="11"/>
      <c r="FQ1276" s="11"/>
      <c r="FR1276" s="11"/>
      <c r="FS1276" s="11"/>
      <c r="FT1276" s="11"/>
      <c r="FU1276" s="11"/>
      <c r="FV1276" s="11"/>
      <c r="FW1276" s="11"/>
      <c r="FX1276" s="11"/>
      <c r="FY1276" s="11"/>
      <c r="FZ1276" s="11"/>
      <c r="GA1276" s="11"/>
      <c r="GB1276" s="11"/>
      <c r="GC1276" s="11"/>
      <c r="GD1276" s="11"/>
      <c r="GE1276" s="11"/>
      <c r="GF1276" s="11"/>
      <c r="GG1276" s="11"/>
      <c r="GH1276" s="11"/>
      <c r="GI1276" s="11"/>
      <c r="GJ1276" s="11"/>
      <c r="GK1276" s="11"/>
      <c r="GL1276" s="11"/>
      <c r="GM1276" s="11"/>
      <c r="GN1276" s="11"/>
      <c r="GO1276" s="11"/>
      <c r="GP1276" s="11"/>
      <c r="GQ1276" s="11"/>
      <c r="GR1276" s="11"/>
      <c r="GS1276" s="11"/>
      <c r="GT1276" s="11"/>
      <c r="GU1276" s="11"/>
      <c r="GV1276" s="11"/>
      <c r="GW1276" s="11"/>
      <c r="GX1276" s="11"/>
      <c r="GY1276" s="11"/>
      <c r="GZ1276" s="11"/>
      <c r="HA1276" s="11"/>
    </row>
    <row r="1277" spans="1:209" ht="23.25" customHeight="1" x14ac:dyDescent="0.15">
      <c r="A1277" s="11"/>
      <c r="B1277" s="11"/>
      <c r="C1277" s="33" t="s">
        <v>11</v>
      </c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/>
      <c r="R1277" s="11"/>
      <c r="S1277" s="11"/>
      <c r="T1277" s="11"/>
      <c r="U1277" s="11"/>
      <c r="V1277" s="11"/>
      <c r="W1277" s="11"/>
      <c r="X1277" s="11"/>
      <c r="Y1277" s="11"/>
      <c r="Z1277" s="11"/>
      <c r="AA1277" s="11"/>
      <c r="AB1277" s="11"/>
      <c r="AC1277" s="11"/>
      <c r="AD1277" s="11"/>
      <c r="AE1277" s="11"/>
      <c r="AF1277" s="11"/>
      <c r="AG1277" s="11"/>
      <c r="AH1277" s="11"/>
      <c r="AI1277" s="11"/>
      <c r="AJ1277" s="11"/>
      <c r="AK1277" s="11"/>
      <c r="AL1277" s="11"/>
      <c r="AM1277" s="11"/>
      <c r="AN1277" s="11"/>
      <c r="AO1277" s="11"/>
      <c r="AP1277" s="11"/>
      <c r="AQ1277" s="11"/>
      <c r="AR1277" s="11"/>
      <c r="AS1277" s="11"/>
      <c r="AT1277" s="11"/>
      <c r="AU1277" s="11"/>
      <c r="AV1277" s="11"/>
      <c r="AW1277" s="11"/>
      <c r="AX1277" s="52" t="s">
        <v>3751</v>
      </c>
      <c r="AY1277" s="52" t="s">
        <v>1133</v>
      </c>
      <c r="AZ1277" s="52" t="s">
        <v>3755</v>
      </c>
      <c r="BA1277" s="52" t="s">
        <v>343</v>
      </c>
      <c r="BB1277" s="52" t="s">
        <v>408</v>
      </c>
      <c r="BC1277" s="53">
        <v>43937</v>
      </c>
      <c r="BD1277" s="53">
        <v>43967</v>
      </c>
      <c r="BE1277" s="11"/>
      <c r="BF1277" s="55">
        <v>98</v>
      </c>
      <c r="BG1277" s="11"/>
      <c r="BH1277" s="54" t="s">
        <v>3756</v>
      </c>
      <c r="BI1277" s="11"/>
      <c r="BJ1277" s="11"/>
      <c r="BK1277" s="11"/>
      <c r="BL1277" s="11"/>
      <c r="BM1277" s="11"/>
      <c r="BN1277" s="11"/>
      <c r="BO1277" s="11"/>
      <c r="BP1277" s="11"/>
      <c r="BQ1277" s="11"/>
      <c r="BR1277" s="11"/>
      <c r="BS1277" s="11"/>
      <c r="BT1277" s="11"/>
      <c r="BU1277" s="11"/>
      <c r="BV1277" s="11"/>
      <c r="BW1277" s="52"/>
      <c r="BX1277" s="52"/>
      <c r="BY1277" s="11"/>
      <c r="BZ1277" s="52"/>
      <c r="CA1277" s="52"/>
      <c r="CB1277" s="52"/>
      <c r="CC1277" s="52"/>
      <c r="CD1277" s="53"/>
      <c r="CE1277" s="53"/>
      <c r="CF1277" s="52"/>
      <c r="CG1277" s="52"/>
      <c r="CH1277" s="11"/>
      <c r="CI1277" s="11"/>
      <c r="CJ1277" s="11"/>
      <c r="CK1277" s="11"/>
      <c r="CL1277" s="11"/>
      <c r="CM1277" s="11"/>
      <c r="CN1277" s="11"/>
      <c r="CO1277" s="11"/>
      <c r="CP1277" s="11"/>
      <c r="CQ1277" s="11"/>
      <c r="CR1277" s="11"/>
      <c r="CS1277" s="11"/>
      <c r="CT1277" s="11"/>
      <c r="CU1277" s="11"/>
      <c r="CV1277" s="11"/>
      <c r="CW1277" s="11"/>
      <c r="CX1277" s="11"/>
      <c r="CY1277" s="11"/>
      <c r="CZ1277" s="11"/>
      <c r="DA1277" s="11"/>
      <c r="DB1277" s="11"/>
      <c r="DC1277" s="11"/>
      <c r="DD1277" s="11"/>
      <c r="DE1277" s="11"/>
      <c r="DF1277" s="11"/>
      <c r="DG1277" s="11"/>
      <c r="DH1277" s="11"/>
      <c r="DI1277" s="11"/>
      <c r="DJ1277" s="11"/>
      <c r="DK1277" s="11"/>
      <c r="DL1277" s="11"/>
      <c r="DM1277" s="11"/>
      <c r="DN1277" s="11"/>
      <c r="DO1277" s="11"/>
      <c r="DP1277" s="11"/>
      <c r="DQ1277" s="11"/>
      <c r="DR1277" s="11"/>
      <c r="DS1277" s="11"/>
      <c r="DT1277" s="11"/>
      <c r="DU1277" s="11"/>
      <c r="DV1277" s="11"/>
      <c r="DW1277" s="11"/>
      <c r="DX1277" s="11"/>
      <c r="DY1277" s="11"/>
      <c r="DZ1277" s="11"/>
      <c r="EA1277" s="11"/>
      <c r="EB1277" s="11"/>
      <c r="EC1277" s="11"/>
      <c r="ED1277" s="11"/>
      <c r="EE1277" s="11"/>
      <c r="EF1277" s="11"/>
      <c r="EG1277" s="11"/>
      <c r="EH1277" s="11"/>
      <c r="EI1277" s="11"/>
      <c r="EJ1277" s="11"/>
      <c r="EK1277" s="11"/>
      <c r="EL1277" s="11"/>
      <c r="EM1277" s="11"/>
      <c r="EN1277" s="11"/>
      <c r="EO1277" s="11"/>
      <c r="EP1277" s="11"/>
      <c r="EQ1277" s="11"/>
      <c r="ER1277" s="11"/>
      <c r="ES1277" s="11"/>
      <c r="ET1277" s="11"/>
      <c r="EU1277" s="11"/>
      <c r="EV1277" s="11"/>
      <c r="EW1277" s="11"/>
      <c r="EX1277" s="11"/>
      <c r="EY1277" s="11"/>
      <c r="EZ1277" s="11"/>
      <c r="FA1277" s="11"/>
      <c r="FB1277" s="11"/>
      <c r="FC1277" s="11"/>
      <c r="FD1277" s="11"/>
      <c r="FE1277" s="11"/>
      <c r="FF1277" s="11"/>
      <c r="FG1277" s="11"/>
      <c r="FH1277" s="11"/>
      <c r="FI1277" s="11"/>
      <c r="FJ1277" s="11"/>
      <c r="FK1277" s="11"/>
      <c r="FL1277" s="52" t="s">
        <v>1135</v>
      </c>
      <c r="FM1277" s="52" t="s">
        <v>255</v>
      </c>
      <c r="FN1277" s="11"/>
      <c r="FO1277" s="11"/>
      <c r="FP1277" s="11"/>
      <c r="FQ1277" s="11"/>
      <c r="FR1277" s="11"/>
      <c r="FS1277" s="11"/>
      <c r="FT1277" s="11"/>
      <c r="FU1277" s="11"/>
      <c r="FV1277" s="11"/>
      <c r="FW1277" s="11"/>
      <c r="FX1277" s="11"/>
      <c r="FY1277" s="11"/>
      <c r="FZ1277" s="11"/>
      <c r="GA1277" s="11"/>
      <c r="GB1277" s="11"/>
      <c r="GC1277" s="11"/>
      <c r="GD1277" s="11"/>
      <c r="GE1277" s="11"/>
      <c r="GF1277" s="11"/>
      <c r="GG1277" s="11"/>
      <c r="GH1277" s="11"/>
      <c r="GI1277" s="11"/>
      <c r="GJ1277" s="11"/>
      <c r="GK1277" s="11"/>
      <c r="GL1277" s="11"/>
      <c r="GM1277" s="11"/>
      <c r="GN1277" s="11"/>
      <c r="GO1277" s="11"/>
      <c r="GP1277" s="11"/>
      <c r="GQ1277" s="11"/>
      <c r="GR1277" s="11"/>
      <c r="GS1277" s="11"/>
      <c r="GT1277" s="11"/>
      <c r="GU1277" s="11"/>
      <c r="GV1277" s="11"/>
      <c r="GW1277" s="11"/>
      <c r="GX1277" s="11"/>
      <c r="GY1277" s="11"/>
      <c r="GZ1277" s="11"/>
      <c r="HA1277" s="11"/>
    </row>
    <row r="1278" spans="1:209" ht="23.25" customHeight="1" x14ac:dyDescent="0.15">
      <c r="A1278" s="11"/>
      <c r="B1278" s="11"/>
      <c r="C1278" s="33" t="s">
        <v>11</v>
      </c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/>
      <c r="R1278" s="11"/>
      <c r="S1278" s="11"/>
      <c r="T1278" s="11"/>
      <c r="U1278" s="11"/>
      <c r="V1278" s="11"/>
      <c r="W1278" s="11"/>
      <c r="X1278" s="11"/>
      <c r="Y1278" s="11"/>
      <c r="Z1278" s="11"/>
      <c r="AA1278" s="11"/>
      <c r="AB1278" s="11"/>
      <c r="AC1278" s="11"/>
      <c r="AD1278" s="11"/>
      <c r="AE1278" s="11"/>
      <c r="AF1278" s="11"/>
      <c r="AG1278" s="11"/>
      <c r="AH1278" s="11"/>
      <c r="AI1278" s="11"/>
      <c r="AJ1278" s="11"/>
      <c r="AK1278" s="11"/>
      <c r="AL1278" s="11"/>
      <c r="AM1278" s="11"/>
      <c r="AN1278" s="11"/>
      <c r="AO1278" s="11"/>
      <c r="AP1278" s="11"/>
      <c r="AQ1278" s="11"/>
      <c r="AR1278" s="11"/>
      <c r="AS1278" s="11"/>
      <c r="AT1278" s="11"/>
      <c r="AU1278" s="11"/>
      <c r="AV1278" s="11"/>
      <c r="AW1278" s="11"/>
      <c r="AX1278" s="52" t="s">
        <v>3751</v>
      </c>
      <c r="AY1278" s="52" t="s">
        <v>1133</v>
      </c>
      <c r="AZ1278" s="52" t="s">
        <v>3757</v>
      </c>
      <c r="BA1278" s="52" t="s">
        <v>343</v>
      </c>
      <c r="BB1278" s="52" t="s">
        <v>3758</v>
      </c>
      <c r="BC1278" s="53">
        <v>44623</v>
      </c>
      <c r="BD1278" s="53">
        <v>44630</v>
      </c>
      <c r="BE1278" s="11"/>
      <c r="BF1278" s="55">
        <v>98</v>
      </c>
      <c r="BG1278" s="11"/>
      <c r="BH1278" s="54" t="s">
        <v>3759</v>
      </c>
      <c r="BI1278" s="11"/>
      <c r="BJ1278" s="11"/>
      <c r="BK1278" s="11"/>
      <c r="BL1278" s="11"/>
      <c r="BM1278" s="11"/>
      <c r="BN1278" s="11"/>
      <c r="BO1278" s="11"/>
      <c r="BP1278" s="11"/>
      <c r="BQ1278" s="11"/>
      <c r="BR1278" s="11"/>
      <c r="BS1278" s="11"/>
      <c r="BT1278" s="11"/>
      <c r="BU1278" s="11"/>
      <c r="BV1278" s="11"/>
      <c r="BW1278" s="52"/>
      <c r="BX1278" s="52"/>
      <c r="BY1278" s="11"/>
      <c r="BZ1278" s="52"/>
      <c r="CA1278" s="52"/>
      <c r="CB1278" s="52"/>
      <c r="CC1278" s="52"/>
      <c r="CD1278" s="53"/>
      <c r="CE1278" s="53"/>
      <c r="CF1278" s="52"/>
      <c r="CG1278" s="52"/>
      <c r="CH1278" s="11"/>
      <c r="CI1278" s="11"/>
      <c r="CJ1278" s="11"/>
      <c r="CK1278" s="11"/>
      <c r="CL1278" s="11"/>
      <c r="CM1278" s="11"/>
      <c r="CN1278" s="11"/>
      <c r="CO1278" s="11"/>
      <c r="CP1278" s="11"/>
      <c r="CQ1278" s="11"/>
      <c r="CR1278" s="11"/>
      <c r="CS1278" s="11"/>
      <c r="CT1278" s="11"/>
      <c r="CU1278" s="11"/>
      <c r="CV1278" s="11"/>
      <c r="CW1278" s="11"/>
      <c r="CX1278" s="11"/>
      <c r="CY1278" s="11"/>
      <c r="CZ1278" s="11"/>
      <c r="DA1278" s="11"/>
      <c r="DB1278" s="11"/>
      <c r="DC1278" s="11"/>
      <c r="DD1278" s="11"/>
      <c r="DE1278" s="11"/>
      <c r="DF1278" s="11"/>
      <c r="DG1278" s="11"/>
      <c r="DH1278" s="11"/>
      <c r="DI1278" s="11"/>
      <c r="DJ1278" s="11"/>
      <c r="DK1278" s="11"/>
      <c r="DL1278" s="11"/>
      <c r="DM1278" s="11"/>
      <c r="DN1278" s="11"/>
      <c r="DO1278" s="11"/>
      <c r="DP1278" s="11"/>
      <c r="DQ1278" s="11"/>
      <c r="DR1278" s="11"/>
      <c r="DS1278" s="11"/>
      <c r="DT1278" s="11"/>
      <c r="DU1278" s="11"/>
      <c r="DV1278" s="11"/>
      <c r="DW1278" s="11"/>
      <c r="DX1278" s="11"/>
      <c r="DY1278" s="11"/>
      <c r="DZ1278" s="11"/>
      <c r="EA1278" s="11"/>
      <c r="EB1278" s="11"/>
      <c r="EC1278" s="11"/>
      <c r="ED1278" s="11"/>
      <c r="EE1278" s="11"/>
      <c r="EF1278" s="11"/>
      <c r="EG1278" s="11"/>
      <c r="EH1278" s="11"/>
      <c r="EI1278" s="11"/>
      <c r="EJ1278" s="11"/>
      <c r="EK1278" s="11"/>
      <c r="EL1278" s="11"/>
      <c r="EM1278" s="11"/>
      <c r="EN1278" s="11"/>
      <c r="EO1278" s="11"/>
      <c r="EP1278" s="11"/>
      <c r="EQ1278" s="11"/>
      <c r="ER1278" s="11"/>
      <c r="ES1278" s="11"/>
      <c r="ET1278" s="11"/>
      <c r="EU1278" s="11"/>
      <c r="EV1278" s="11"/>
      <c r="EW1278" s="11"/>
      <c r="EX1278" s="11"/>
      <c r="EY1278" s="11"/>
      <c r="EZ1278" s="11"/>
      <c r="FA1278" s="11"/>
      <c r="FB1278" s="11"/>
      <c r="FC1278" s="11"/>
      <c r="FD1278" s="11"/>
      <c r="FE1278" s="11"/>
      <c r="FF1278" s="11"/>
      <c r="FG1278" s="11"/>
      <c r="FH1278" s="11"/>
      <c r="FI1278" s="11"/>
      <c r="FJ1278" s="11"/>
      <c r="FK1278" s="11"/>
      <c r="FL1278" s="52" t="s">
        <v>1135</v>
      </c>
      <c r="FM1278" s="52" t="s">
        <v>255</v>
      </c>
      <c r="FN1278" s="11"/>
      <c r="FO1278" s="11"/>
      <c r="FP1278" s="11"/>
      <c r="FQ1278" s="11"/>
      <c r="FR1278" s="11"/>
      <c r="FS1278" s="11"/>
      <c r="FT1278" s="11"/>
      <c r="FU1278" s="11"/>
      <c r="FV1278" s="11"/>
      <c r="FW1278" s="11"/>
      <c r="FX1278" s="11"/>
      <c r="FY1278" s="11"/>
      <c r="FZ1278" s="11"/>
      <c r="GA1278" s="11"/>
      <c r="GB1278" s="11"/>
      <c r="GC1278" s="11"/>
      <c r="GD1278" s="11"/>
      <c r="GE1278" s="11"/>
      <c r="GF1278" s="11"/>
      <c r="GG1278" s="11"/>
      <c r="GH1278" s="11"/>
      <c r="GI1278" s="11"/>
      <c r="GJ1278" s="11"/>
      <c r="GK1278" s="11"/>
      <c r="GL1278" s="11"/>
      <c r="GM1278" s="11"/>
      <c r="GN1278" s="11"/>
      <c r="GO1278" s="11"/>
      <c r="GP1278" s="11"/>
      <c r="GQ1278" s="11"/>
      <c r="GR1278" s="11"/>
      <c r="GS1278" s="11"/>
      <c r="GT1278" s="11"/>
      <c r="GU1278" s="11"/>
      <c r="GV1278" s="11"/>
      <c r="GW1278" s="11"/>
      <c r="GX1278" s="11"/>
      <c r="GY1278" s="11"/>
      <c r="GZ1278" s="11"/>
      <c r="HA1278" s="11"/>
    </row>
    <row r="1279" spans="1:209" ht="23.25" customHeight="1" x14ac:dyDescent="0.15">
      <c r="A1279" s="11"/>
      <c r="B1279" s="11"/>
      <c r="C1279" s="33" t="s">
        <v>11</v>
      </c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/>
      <c r="R1279" s="11"/>
      <c r="S1279" s="11"/>
      <c r="T1279" s="11"/>
      <c r="U1279" s="11"/>
      <c r="V1279" s="11"/>
      <c r="W1279" s="11"/>
      <c r="X1279" s="11"/>
      <c r="Y1279" s="11"/>
      <c r="Z1279" s="11"/>
      <c r="AA1279" s="11"/>
      <c r="AB1279" s="11"/>
      <c r="AC1279" s="11"/>
      <c r="AD1279" s="11"/>
      <c r="AE1279" s="11"/>
      <c r="AF1279" s="11"/>
      <c r="AG1279" s="11"/>
      <c r="AH1279" s="11"/>
      <c r="AI1279" s="11"/>
      <c r="AJ1279" s="11"/>
      <c r="AK1279" s="11"/>
      <c r="AL1279" s="11"/>
      <c r="AM1279" s="11"/>
      <c r="AN1279" s="11"/>
      <c r="AO1279" s="11"/>
      <c r="AP1279" s="11"/>
      <c r="AQ1279" s="11"/>
      <c r="AR1279" s="11"/>
      <c r="AS1279" s="11"/>
      <c r="AT1279" s="11"/>
      <c r="AU1279" s="11"/>
      <c r="AV1279" s="11"/>
      <c r="AW1279" s="11"/>
      <c r="AX1279" s="52" t="s">
        <v>3751</v>
      </c>
      <c r="AY1279" s="52" t="s">
        <v>1133</v>
      </c>
      <c r="AZ1279" s="52" t="s">
        <v>659</v>
      </c>
      <c r="BA1279" s="52" t="s">
        <v>2129</v>
      </c>
      <c r="BB1279" s="52" t="s">
        <v>408</v>
      </c>
      <c r="BC1279" s="53">
        <v>44348</v>
      </c>
      <c r="BD1279" s="53">
        <v>44378</v>
      </c>
      <c r="BE1279" s="11"/>
      <c r="BF1279" s="55">
        <v>92</v>
      </c>
      <c r="BG1279" s="11"/>
      <c r="BH1279" s="54" t="s">
        <v>3760</v>
      </c>
      <c r="BI1279" s="11"/>
      <c r="BJ1279" s="11"/>
      <c r="BK1279" s="11"/>
      <c r="BL1279" s="11"/>
      <c r="BM1279" s="11"/>
      <c r="BN1279" s="11"/>
      <c r="BO1279" s="11"/>
      <c r="BP1279" s="11"/>
      <c r="BQ1279" s="11"/>
      <c r="BR1279" s="11"/>
      <c r="BS1279" s="11"/>
      <c r="BT1279" s="11"/>
      <c r="BU1279" s="11"/>
      <c r="BV1279" s="11"/>
      <c r="BW1279" s="52"/>
      <c r="BX1279" s="52"/>
      <c r="BY1279" s="11"/>
      <c r="BZ1279" s="52"/>
      <c r="CA1279" s="52"/>
      <c r="CB1279" s="52"/>
      <c r="CC1279" s="52"/>
      <c r="CD1279" s="53"/>
      <c r="CE1279" s="53"/>
      <c r="CF1279" s="52"/>
      <c r="CG1279" s="52"/>
      <c r="CH1279" s="11"/>
      <c r="CI1279" s="11"/>
      <c r="CJ1279" s="11"/>
      <c r="CK1279" s="11"/>
      <c r="CL1279" s="11"/>
      <c r="CM1279" s="11"/>
      <c r="CN1279" s="11"/>
      <c r="CO1279" s="11"/>
      <c r="CP1279" s="11"/>
      <c r="CQ1279" s="11"/>
      <c r="CR1279" s="11"/>
      <c r="CS1279" s="11"/>
      <c r="CT1279" s="11"/>
      <c r="CU1279" s="11"/>
      <c r="CV1279" s="11"/>
      <c r="CW1279" s="11"/>
      <c r="CX1279" s="11"/>
      <c r="CY1279" s="11"/>
      <c r="CZ1279" s="11"/>
      <c r="DA1279" s="11"/>
      <c r="DB1279" s="11"/>
      <c r="DC1279" s="11"/>
      <c r="DD1279" s="11"/>
      <c r="DE1279" s="11"/>
      <c r="DF1279" s="11"/>
      <c r="DG1279" s="11"/>
      <c r="DH1279" s="11"/>
      <c r="DI1279" s="11"/>
      <c r="DJ1279" s="11"/>
      <c r="DK1279" s="11"/>
      <c r="DL1279" s="11"/>
      <c r="DM1279" s="11"/>
      <c r="DN1279" s="11"/>
      <c r="DO1279" s="11"/>
      <c r="DP1279" s="11"/>
      <c r="DQ1279" s="11"/>
      <c r="DR1279" s="11"/>
      <c r="DS1279" s="11"/>
      <c r="DT1279" s="11"/>
      <c r="DU1279" s="11"/>
      <c r="DV1279" s="11"/>
      <c r="DW1279" s="11"/>
      <c r="DX1279" s="11"/>
      <c r="DY1279" s="11"/>
      <c r="DZ1279" s="11"/>
      <c r="EA1279" s="11"/>
      <c r="EB1279" s="11"/>
      <c r="EC1279" s="11"/>
      <c r="ED1279" s="11"/>
      <c r="EE1279" s="11"/>
      <c r="EF1279" s="11"/>
      <c r="EG1279" s="11"/>
      <c r="EH1279" s="11"/>
      <c r="EI1279" s="11"/>
      <c r="EJ1279" s="11"/>
      <c r="EK1279" s="11"/>
      <c r="EL1279" s="11"/>
      <c r="EM1279" s="11"/>
      <c r="EN1279" s="11"/>
      <c r="EO1279" s="11"/>
      <c r="EP1279" s="11"/>
      <c r="EQ1279" s="11"/>
      <c r="ER1279" s="11"/>
      <c r="ES1279" s="11"/>
      <c r="ET1279" s="11"/>
      <c r="EU1279" s="11"/>
      <c r="EV1279" s="11"/>
      <c r="EW1279" s="11"/>
      <c r="EX1279" s="11"/>
      <c r="EY1279" s="11"/>
      <c r="EZ1279" s="11"/>
      <c r="FA1279" s="11"/>
      <c r="FB1279" s="11"/>
      <c r="FC1279" s="11"/>
      <c r="FD1279" s="11"/>
      <c r="FE1279" s="11"/>
      <c r="FF1279" s="11"/>
      <c r="FG1279" s="11"/>
      <c r="FH1279" s="11"/>
      <c r="FI1279" s="11"/>
      <c r="FJ1279" s="11"/>
      <c r="FK1279" s="11"/>
      <c r="FL1279" s="52" t="s">
        <v>1135</v>
      </c>
      <c r="FM1279" s="52" t="s">
        <v>255</v>
      </c>
      <c r="FN1279" s="11"/>
      <c r="FO1279" s="11"/>
      <c r="FP1279" s="11"/>
      <c r="FQ1279" s="11"/>
      <c r="FR1279" s="11"/>
      <c r="FS1279" s="11"/>
      <c r="FT1279" s="11"/>
      <c r="FU1279" s="11"/>
      <c r="FV1279" s="11"/>
      <c r="FW1279" s="11"/>
      <c r="FX1279" s="11"/>
      <c r="FY1279" s="11"/>
      <c r="FZ1279" s="11"/>
      <c r="GA1279" s="11"/>
      <c r="GB1279" s="11"/>
      <c r="GC1279" s="11"/>
      <c r="GD1279" s="11"/>
      <c r="GE1279" s="11"/>
      <c r="GF1279" s="11"/>
      <c r="GG1279" s="11"/>
      <c r="GH1279" s="11"/>
      <c r="GI1279" s="11"/>
      <c r="GJ1279" s="11"/>
      <c r="GK1279" s="11"/>
      <c r="GL1279" s="11"/>
      <c r="GM1279" s="11"/>
      <c r="GN1279" s="11"/>
      <c r="GO1279" s="11"/>
      <c r="GP1279" s="11"/>
      <c r="GQ1279" s="11"/>
      <c r="GR1279" s="11"/>
      <c r="GS1279" s="11"/>
      <c r="GT1279" s="11"/>
      <c r="GU1279" s="11"/>
      <c r="GV1279" s="11"/>
      <c r="GW1279" s="11"/>
      <c r="GX1279" s="11"/>
      <c r="GY1279" s="11"/>
      <c r="GZ1279" s="11"/>
      <c r="HA1279" s="11"/>
    </row>
    <row r="1280" spans="1:209" ht="23.25" customHeight="1" x14ac:dyDescent="0.15">
      <c r="A1280" s="11"/>
      <c r="B1280" s="11"/>
      <c r="C1280" s="33" t="s">
        <v>11</v>
      </c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/>
      <c r="R1280" s="11"/>
      <c r="S1280" s="11"/>
      <c r="T1280" s="11"/>
      <c r="U1280" s="11"/>
      <c r="V1280" s="11"/>
      <c r="W1280" s="11"/>
      <c r="X1280" s="11"/>
      <c r="Y1280" s="11"/>
      <c r="Z1280" s="11"/>
      <c r="AA1280" s="11"/>
      <c r="AB1280" s="11"/>
      <c r="AC1280" s="11"/>
      <c r="AD1280" s="11"/>
      <c r="AE1280" s="11"/>
      <c r="AF1280" s="11"/>
      <c r="AG1280" s="11"/>
      <c r="AH1280" s="11"/>
      <c r="AI1280" s="11"/>
      <c r="AJ1280" s="11"/>
      <c r="AK1280" s="11"/>
      <c r="AL1280" s="11"/>
      <c r="AM1280" s="11"/>
      <c r="AN1280" s="11"/>
      <c r="AO1280" s="11"/>
      <c r="AP1280" s="11"/>
      <c r="AQ1280" s="11"/>
      <c r="AR1280" s="11"/>
      <c r="AS1280" s="11"/>
      <c r="AT1280" s="11"/>
      <c r="AU1280" s="11"/>
      <c r="AV1280" s="11"/>
      <c r="AW1280" s="11"/>
      <c r="AX1280" s="52" t="s">
        <v>446</v>
      </c>
      <c r="AY1280" s="52" t="s">
        <v>447</v>
      </c>
      <c r="AZ1280" s="52" t="s">
        <v>563</v>
      </c>
      <c r="BA1280" s="52" t="s">
        <v>617</v>
      </c>
      <c r="BB1280" s="52" t="s">
        <v>1308</v>
      </c>
      <c r="BC1280" s="53">
        <v>44371</v>
      </c>
      <c r="BD1280" s="53">
        <v>44378</v>
      </c>
      <c r="BE1280" s="11"/>
      <c r="BF1280" s="55">
        <v>100</v>
      </c>
      <c r="BG1280" s="11"/>
      <c r="BH1280" s="54" t="s">
        <v>3761</v>
      </c>
      <c r="BI1280" s="11"/>
      <c r="BJ1280" s="11"/>
      <c r="BK1280" s="11"/>
      <c r="BL1280" s="11"/>
      <c r="BM1280" s="11"/>
      <c r="BN1280" s="11"/>
      <c r="BO1280" s="11"/>
      <c r="BP1280" s="11"/>
      <c r="BQ1280" s="11"/>
      <c r="BR1280" s="11"/>
      <c r="BS1280" s="11"/>
      <c r="BT1280" s="11"/>
      <c r="BU1280" s="11"/>
      <c r="BV1280" s="11"/>
      <c r="BW1280" s="52"/>
      <c r="BX1280" s="52"/>
      <c r="BY1280" s="11"/>
      <c r="BZ1280" s="52"/>
      <c r="CA1280" s="52"/>
      <c r="CB1280" s="52"/>
      <c r="CC1280" s="52"/>
      <c r="CD1280" s="53"/>
      <c r="CE1280" s="53"/>
      <c r="CF1280" s="52"/>
      <c r="CG1280" s="52"/>
      <c r="CH1280" s="11"/>
      <c r="CI1280" s="11"/>
      <c r="CJ1280" s="11"/>
      <c r="CK1280" s="11"/>
      <c r="CL1280" s="11"/>
      <c r="CM1280" s="11"/>
      <c r="CN1280" s="11"/>
      <c r="CO1280" s="11"/>
      <c r="CP1280" s="11"/>
      <c r="CQ1280" s="11"/>
      <c r="CR1280" s="11"/>
      <c r="CS1280" s="11"/>
      <c r="CT1280" s="11"/>
      <c r="CU1280" s="11"/>
      <c r="CV1280" s="11"/>
      <c r="CW1280" s="11"/>
      <c r="CX1280" s="11"/>
      <c r="CY1280" s="11"/>
      <c r="CZ1280" s="11"/>
      <c r="DA1280" s="11"/>
      <c r="DB1280" s="11"/>
      <c r="DC1280" s="11"/>
      <c r="DD1280" s="11"/>
      <c r="DE1280" s="11"/>
      <c r="DF1280" s="11"/>
      <c r="DG1280" s="11"/>
      <c r="DH1280" s="11"/>
      <c r="DI1280" s="11"/>
      <c r="DJ1280" s="11"/>
      <c r="DK1280" s="11"/>
      <c r="DL1280" s="11"/>
      <c r="DM1280" s="11"/>
      <c r="DN1280" s="11"/>
      <c r="DO1280" s="11"/>
      <c r="DP1280" s="11"/>
      <c r="DQ1280" s="11"/>
      <c r="DR1280" s="11"/>
      <c r="DS1280" s="11"/>
      <c r="DT1280" s="11"/>
      <c r="DU1280" s="11"/>
      <c r="DV1280" s="11"/>
      <c r="DW1280" s="11"/>
      <c r="DX1280" s="11"/>
      <c r="DY1280" s="11"/>
      <c r="DZ1280" s="11"/>
      <c r="EA1280" s="11"/>
      <c r="EB1280" s="11"/>
      <c r="EC1280" s="11"/>
      <c r="ED1280" s="11"/>
      <c r="EE1280" s="11"/>
      <c r="EF1280" s="11"/>
      <c r="EG1280" s="11"/>
      <c r="EH1280" s="11"/>
      <c r="EI1280" s="11"/>
      <c r="EJ1280" s="11"/>
      <c r="EK1280" s="11"/>
      <c r="EL1280" s="11"/>
      <c r="EM1280" s="11"/>
      <c r="EN1280" s="11"/>
      <c r="EO1280" s="11"/>
      <c r="EP1280" s="11"/>
      <c r="EQ1280" s="11"/>
      <c r="ER1280" s="11"/>
      <c r="ES1280" s="11"/>
      <c r="ET1280" s="11"/>
      <c r="EU1280" s="11"/>
      <c r="EV1280" s="11"/>
      <c r="EW1280" s="11"/>
      <c r="EX1280" s="11"/>
      <c r="EY1280" s="11"/>
      <c r="EZ1280" s="11"/>
      <c r="FA1280" s="11"/>
      <c r="FB1280" s="11"/>
      <c r="FC1280" s="11"/>
      <c r="FD1280" s="11"/>
      <c r="FE1280" s="11"/>
      <c r="FF1280" s="11"/>
      <c r="FG1280" s="11"/>
      <c r="FH1280" s="11"/>
      <c r="FI1280" s="11"/>
      <c r="FJ1280" s="11"/>
      <c r="FK1280" s="11"/>
      <c r="FL1280" s="52" t="s">
        <v>3867</v>
      </c>
      <c r="FM1280" s="52" t="s">
        <v>255</v>
      </c>
      <c r="FN1280" s="11"/>
      <c r="FO1280" s="11"/>
      <c r="FP1280" s="11"/>
      <c r="FQ1280" s="11"/>
      <c r="FR1280" s="11"/>
      <c r="FS1280" s="11"/>
      <c r="FT1280" s="11"/>
      <c r="FU1280" s="11"/>
      <c r="FV1280" s="11"/>
      <c r="FW1280" s="11"/>
      <c r="FX1280" s="11"/>
      <c r="FY1280" s="11"/>
      <c r="FZ1280" s="11"/>
      <c r="GA1280" s="11"/>
      <c r="GB1280" s="11"/>
      <c r="GC1280" s="11"/>
      <c r="GD1280" s="11"/>
      <c r="GE1280" s="11"/>
      <c r="GF1280" s="11"/>
      <c r="GG1280" s="11"/>
      <c r="GH1280" s="11"/>
      <c r="GI1280" s="11"/>
      <c r="GJ1280" s="11"/>
      <c r="GK1280" s="11"/>
      <c r="GL1280" s="11"/>
      <c r="GM1280" s="11"/>
      <c r="GN1280" s="11"/>
      <c r="GO1280" s="11"/>
      <c r="GP1280" s="11"/>
      <c r="GQ1280" s="11"/>
      <c r="GR1280" s="11"/>
      <c r="GS1280" s="11"/>
      <c r="GT1280" s="11"/>
      <c r="GU1280" s="11"/>
      <c r="GV1280" s="11"/>
      <c r="GW1280" s="11"/>
      <c r="GX1280" s="11"/>
      <c r="GY1280" s="11"/>
      <c r="GZ1280" s="11"/>
      <c r="HA1280" s="11"/>
    </row>
    <row r="1281" spans="1:209" ht="23.25" customHeight="1" x14ac:dyDescent="0.15">
      <c r="A1281" s="11"/>
      <c r="B1281" s="11"/>
      <c r="C1281" s="33" t="s">
        <v>11</v>
      </c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/>
      <c r="R1281" s="11"/>
      <c r="S1281" s="11"/>
      <c r="T1281" s="11"/>
      <c r="U1281" s="11"/>
      <c r="V1281" s="11"/>
      <c r="W1281" s="11"/>
      <c r="X1281" s="11"/>
      <c r="Y1281" s="11"/>
      <c r="Z1281" s="11"/>
      <c r="AA1281" s="11"/>
      <c r="AB1281" s="11"/>
      <c r="AC1281" s="11"/>
      <c r="AD1281" s="11"/>
      <c r="AE1281" s="11"/>
      <c r="AF1281" s="11"/>
      <c r="AG1281" s="11"/>
      <c r="AH1281" s="11"/>
      <c r="AI1281" s="11"/>
      <c r="AJ1281" s="11"/>
      <c r="AK1281" s="11"/>
      <c r="AL1281" s="11"/>
      <c r="AM1281" s="11"/>
      <c r="AN1281" s="11"/>
      <c r="AO1281" s="11"/>
      <c r="AP1281" s="11"/>
      <c r="AQ1281" s="11"/>
      <c r="AR1281" s="11"/>
      <c r="AS1281" s="11"/>
      <c r="AT1281" s="11"/>
      <c r="AU1281" s="11"/>
      <c r="AV1281" s="11"/>
      <c r="AW1281" s="11"/>
      <c r="AX1281" s="52" t="s">
        <v>446</v>
      </c>
      <c r="AY1281" s="52" t="s">
        <v>447</v>
      </c>
      <c r="AZ1281" s="52" t="s">
        <v>3762</v>
      </c>
      <c r="BA1281" s="52" t="s">
        <v>343</v>
      </c>
      <c r="BB1281" s="52" t="s">
        <v>1308</v>
      </c>
      <c r="BC1281" s="53">
        <v>43941</v>
      </c>
      <c r="BD1281" s="53">
        <v>43971</v>
      </c>
      <c r="BE1281" s="11"/>
      <c r="BF1281" s="55">
        <v>100</v>
      </c>
      <c r="BG1281" s="11"/>
      <c r="BH1281" s="54" t="s">
        <v>3763</v>
      </c>
      <c r="BI1281" s="11"/>
      <c r="BJ1281" s="11"/>
      <c r="BK1281" s="11"/>
      <c r="BL1281" s="11"/>
      <c r="BM1281" s="11"/>
      <c r="BN1281" s="11"/>
      <c r="BO1281" s="11"/>
      <c r="BP1281" s="11"/>
      <c r="BQ1281" s="11"/>
      <c r="BR1281" s="11"/>
      <c r="BS1281" s="11"/>
      <c r="BT1281" s="11"/>
      <c r="BU1281" s="11"/>
      <c r="BV1281" s="11"/>
      <c r="BW1281" s="52"/>
      <c r="BX1281" s="52"/>
      <c r="BY1281" s="11"/>
      <c r="BZ1281" s="52"/>
      <c r="CA1281" s="52"/>
      <c r="CB1281" s="52"/>
      <c r="CC1281" s="52"/>
      <c r="CD1281" s="53"/>
      <c r="CE1281" s="53"/>
      <c r="CF1281" s="52"/>
      <c r="CG1281" s="52"/>
      <c r="CH1281" s="11"/>
      <c r="CI1281" s="11"/>
      <c r="CJ1281" s="11"/>
      <c r="CK1281" s="11"/>
      <c r="CL1281" s="11"/>
      <c r="CM1281" s="11"/>
      <c r="CN1281" s="11"/>
      <c r="CO1281" s="11"/>
      <c r="CP1281" s="11"/>
      <c r="CQ1281" s="11"/>
      <c r="CR1281" s="11"/>
      <c r="CS1281" s="11"/>
      <c r="CT1281" s="11"/>
      <c r="CU1281" s="11"/>
      <c r="CV1281" s="11"/>
      <c r="CW1281" s="11"/>
      <c r="CX1281" s="11"/>
      <c r="CY1281" s="11"/>
      <c r="CZ1281" s="11"/>
      <c r="DA1281" s="11"/>
      <c r="DB1281" s="11"/>
      <c r="DC1281" s="11"/>
      <c r="DD1281" s="11"/>
      <c r="DE1281" s="11"/>
      <c r="DF1281" s="11"/>
      <c r="DG1281" s="11"/>
      <c r="DH1281" s="11"/>
      <c r="DI1281" s="11"/>
      <c r="DJ1281" s="11"/>
      <c r="DK1281" s="11"/>
      <c r="DL1281" s="11"/>
      <c r="DM1281" s="11"/>
      <c r="DN1281" s="11"/>
      <c r="DO1281" s="11"/>
      <c r="DP1281" s="11"/>
      <c r="DQ1281" s="11"/>
      <c r="DR1281" s="11"/>
      <c r="DS1281" s="11"/>
      <c r="DT1281" s="11"/>
      <c r="DU1281" s="11"/>
      <c r="DV1281" s="11"/>
      <c r="DW1281" s="11"/>
      <c r="DX1281" s="11"/>
      <c r="DY1281" s="11"/>
      <c r="DZ1281" s="11"/>
      <c r="EA1281" s="11"/>
      <c r="EB1281" s="11"/>
      <c r="EC1281" s="11"/>
      <c r="ED1281" s="11"/>
      <c r="EE1281" s="11"/>
      <c r="EF1281" s="11"/>
      <c r="EG1281" s="11"/>
      <c r="EH1281" s="11"/>
      <c r="EI1281" s="11"/>
      <c r="EJ1281" s="11"/>
      <c r="EK1281" s="11"/>
      <c r="EL1281" s="11"/>
      <c r="EM1281" s="11"/>
      <c r="EN1281" s="11"/>
      <c r="EO1281" s="11"/>
      <c r="EP1281" s="11"/>
      <c r="EQ1281" s="11"/>
      <c r="ER1281" s="11"/>
      <c r="ES1281" s="11"/>
      <c r="ET1281" s="11"/>
      <c r="EU1281" s="11"/>
      <c r="EV1281" s="11"/>
      <c r="EW1281" s="11"/>
      <c r="EX1281" s="11"/>
      <c r="EY1281" s="11"/>
      <c r="EZ1281" s="11"/>
      <c r="FA1281" s="11"/>
      <c r="FB1281" s="11"/>
      <c r="FC1281" s="11"/>
      <c r="FD1281" s="11"/>
      <c r="FE1281" s="11"/>
      <c r="FF1281" s="11"/>
      <c r="FG1281" s="11"/>
      <c r="FH1281" s="11"/>
      <c r="FI1281" s="11"/>
      <c r="FJ1281" s="11"/>
      <c r="FK1281" s="11"/>
      <c r="FL1281" s="52" t="s">
        <v>450</v>
      </c>
      <c r="FM1281" s="52" t="s">
        <v>255</v>
      </c>
      <c r="FN1281" s="11"/>
      <c r="FO1281" s="11"/>
      <c r="FP1281" s="11"/>
      <c r="FQ1281" s="11"/>
      <c r="FR1281" s="11"/>
      <c r="FS1281" s="11"/>
      <c r="FT1281" s="11"/>
      <c r="FU1281" s="11"/>
      <c r="FV1281" s="11"/>
      <c r="FW1281" s="11"/>
      <c r="FX1281" s="11"/>
      <c r="FY1281" s="11"/>
      <c r="FZ1281" s="11"/>
      <c r="GA1281" s="11"/>
      <c r="GB1281" s="11"/>
      <c r="GC1281" s="11"/>
      <c r="GD1281" s="11"/>
      <c r="GE1281" s="11"/>
      <c r="GF1281" s="11"/>
      <c r="GG1281" s="11"/>
      <c r="GH1281" s="11"/>
      <c r="GI1281" s="11"/>
      <c r="GJ1281" s="11"/>
      <c r="GK1281" s="11"/>
      <c r="GL1281" s="11"/>
      <c r="GM1281" s="11"/>
      <c r="GN1281" s="11"/>
      <c r="GO1281" s="11"/>
      <c r="GP1281" s="11"/>
      <c r="GQ1281" s="11"/>
      <c r="GR1281" s="11"/>
      <c r="GS1281" s="11"/>
      <c r="GT1281" s="11"/>
      <c r="GU1281" s="11"/>
      <c r="GV1281" s="11"/>
      <c r="GW1281" s="11"/>
      <c r="GX1281" s="11"/>
      <c r="GY1281" s="11"/>
      <c r="GZ1281" s="11"/>
      <c r="HA1281" s="11"/>
    </row>
    <row r="1282" spans="1:209" ht="23.25" customHeight="1" x14ac:dyDescent="0.15">
      <c r="A1282" s="11"/>
      <c r="B1282" s="11"/>
      <c r="C1282" s="33" t="s">
        <v>11</v>
      </c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/>
      <c r="R1282" s="11"/>
      <c r="S1282" s="11"/>
      <c r="T1282" s="11"/>
      <c r="U1282" s="11"/>
      <c r="V1282" s="11"/>
      <c r="W1282" s="11"/>
      <c r="X1282" s="11"/>
      <c r="Y1282" s="11"/>
      <c r="Z1282" s="11"/>
      <c r="AA1282" s="11"/>
      <c r="AB1282" s="11"/>
      <c r="AC1282" s="11"/>
      <c r="AD1282" s="11"/>
      <c r="AE1282" s="11"/>
      <c r="AF1282" s="11"/>
      <c r="AG1282" s="11"/>
      <c r="AH1282" s="11"/>
      <c r="AI1282" s="11"/>
      <c r="AJ1282" s="11"/>
      <c r="AK1282" s="11"/>
      <c r="AL1282" s="11"/>
      <c r="AM1282" s="11"/>
      <c r="AN1282" s="11"/>
      <c r="AO1282" s="11"/>
      <c r="AP1282" s="11"/>
      <c r="AQ1282" s="11"/>
      <c r="AR1282" s="11"/>
      <c r="AS1282" s="11"/>
      <c r="AT1282" s="11"/>
      <c r="AU1282" s="11"/>
      <c r="AV1282" s="11"/>
      <c r="AW1282" s="11"/>
      <c r="AX1282" s="52" t="s">
        <v>446</v>
      </c>
      <c r="AY1282" s="52" t="s">
        <v>447</v>
      </c>
      <c r="AZ1282" s="52" t="s">
        <v>1371</v>
      </c>
      <c r="BA1282" s="52" t="s">
        <v>343</v>
      </c>
      <c r="BB1282" s="52" t="s">
        <v>1308</v>
      </c>
      <c r="BC1282" s="53">
        <v>43951</v>
      </c>
      <c r="BD1282" s="53">
        <v>43957</v>
      </c>
      <c r="BE1282" s="11"/>
      <c r="BF1282" s="55">
        <v>100</v>
      </c>
      <c r="BG1282" s="11"/>
      <c r="BH1282" s="54" t="s">
        <v>3764</v>
      </c>
      <c r="BI1282" s="11"/>
      <c r="BJ1282" s="11"/>
      <c r="BK1282" s="11"/>
      <c r="BL1282" s="11"/>
      <c r="BM1282" s="11"/>
      <c r="BN1282" s="11"/>
      <c r="BO1282" s="11"/>
      <c r="BP1282" s="11"/>
      <c r="BQ1282" s="11"/>
      <c r="BR1282" s="11"/>
      <c r="BS1282" s="11"/>
      <c r="BT1282" s="11"/>
      <c r="BU1282" s="11"/>
      <c r="BV1282" s="11"/>
      <c r="BW1282" s="52"/>
      <c r="BX1282" s="52"/>
      <c r="BY1282" s="11"/>
      <c r="BZ1282" s="52"/>
      <c r="CA1282" s="52"/>
      <c r="CB1282" s="52"/>
      <c r="CC1282" s="52"/>
      <c r="CD1282" s="53"/>
      <c r="CE1282" s="53"/>
      <c r="CF1282" s="52"/>
      <c r="CG1282" s="52"/>
      <c r="CH1282" s="11"/>
      <c r="CI1282" s="11"/>
      <c r="CJ1282" s="11"/>
      <c r="CK1282" s="11"/>
      <c r="CL1282" s="11"/>
      <c r="CM1282" s="11"/>
      <c r="CN1282" s="11"/>
      <c r="CO1282" s="11"/>
      <c r="CP1282" s="11"/>
      <c r="CQ1282" s="11"/>
      <c r="CR1282" s="11"/>
      <c r="CS1282" s="11"/>
      <c r="CT1282" s="11"/>
      <c r="CU1282" s="11"/>
      <c r="CV1282" s="11"/>
      <c r="CW1282" s="11"/>
      <c r="CX1282" s="11"/>
      <c r="CY1282" s="11"/>
      <c r="CZ1282" s="11"/>
      <c r="DA1282" s="11"/>
      <c r="DB1282" s="11"/>
      <c r="DC1282" s="11"/>
      <c r="DD1282" s="11"/>
      <c r="DE1282" s="11"/>
      <c r="DF1282" s="11"/>
      <c r="DG1282" s="11"/>
      <c r="DH1282" s="11"/>
      <c r="DI1282" s="11"/>
      <c r="DJ1282" s="11"/>
      <c r="DK1282" s="11"/>
      <c r="DL1282" s="11"/>
      <c r="DM1282" s="11"/>
      <c r="DN1282" s="11"/>
      <c r="DO1282" s="11"/>
      <c r="DP1282" s="11"/>
      <c r="DQ1282" s="11"/>
      <c r="DR1282" s="11"/>
      <c r="DS1282" s="11"/>
      <c r="DT1282" s="11"/>
      <c r="DU1282" s="11"/>
      <c r="DV1282" s="11"/>
      <c r="DW1282" s="11"/>
      <c r="DX1282" s="11"/>
      <c r="DY1282" s="11"/>
      <c r="DZ1282" s="11"/>
      <c r="EA1282" s="11"/>
      <c r="EB1282" s="11"/>
      <c r="EC1282" s="11"/>
      <c r="ED1282" s="11"/>
      <c r="EE1282" s="11"/>
      <c r="EF1282" s="11"/>
      <c r="EG1282" s="11"/>
      <c r="EH1282" s="11"/>
      <c r="EI1282" s="11"/>
      <c r="EJ1282" s="11"/>
      <c r="EK1282" s="11"/>
      <c r="EL1282" s="11"/>
      <c r="EM1282" s="11"/>
      <c r="EN1282" s="11"/>
      <c r="EO1282" s="11"/>
      <c r="EP1282" s="11"/>
      <c r="EQ1282" s="11"/>
      <c r="ER1282" s="11"/>
      <c r="ES1282" s="11"/>
      <c r="ET1282" s="11"/>
      <c r="EU1282" s="11"/>
      <c r="EV1282" s="11"/>
      <c r="EW1282" s="11"/>
      <c r="EX1282" s="11"/>
      <c r="EY1282" s="11"/>
      <c r="EZ1282" s="11"/>
      <c r="FA1282" s="11"/>
      <c r="FB1282" s="11"/>
      <c r="FC1282" s="11"/>
      <c r="FD1282" s="11"/>
      <c r="FE1282" s="11"/>
      <c r="FF1282" s="11"/>
      <c r="FG1282" s="11"/>
      <c r="FH1282" s="11"/>
      <c r="FI1282" s="11"/>
      <c r="FJ1282" s="11"/>
      <c r="FK1282" s="11"/>
      <c r="FL1282" s="52" t="s">
        <v>450</v>
      </c>
      <c r="FM1282" s="52" t="s">
        <v>255</v>
      </c>
      <c r="FN1282" s="11"/>
      <c r="FO1282" s="11"/>
      <c r="FP1282" s="11"/>
      <c r="FQ1282" s="11"/>
      <c r="FR1282" s="11"/>
      <c r="FS1282" s="11"/>
      <c r="FT1282" s="11"/>
      <c r="FU1282" s="11"/>
      <c r="FV1282" s="11"/>
      <c r="FW1282" s="11"/>
      <c r="FX1282" s="11"/>
      <c r="FY1282" s="11"/>
      <c r="FZ1282" s="11"/>
      <c r="GA1282" s="11"/>
      <c r="GB1282" s="11"/>
      <c r="GC1282" s="11"/>
      <c r="GD1282" s="11"/>
      <c r="GE1282" s="11"/>
      <c r="GF1282" s="11"/>
      <c r="GG1282" s="11"/>
      <c r="GH1282" s="11"/>
      <c r="GI1282" s="11"/>
      <c r="GJ1282" s="11"/>
      <c r="GK1282" s="11"/>
      <c r="GL1282" s="11"/>
      <c r="GM1282" s="11"/>
      <c r="GN1282" s="11"/>
      <c r="GO1282" s="11"/>
      <c r="GP1282" s="11"/>
      <c r="GQ1282" s="11"/>
      <c r="GR1282" s="11"/>
      <c r="GS1282" s="11"/>
      <c r="GT1282" s="11"/>
      <c r="GU1282" s="11"/>
      <c r="GV1282" s="11"/>
      <c r="GW1282" s="11"/>
      <c r="GX1282" s="11"/>
      <c r="GY1282" s="11"/>
      <c r="GZ1282" s="11"/>
      <c r="HA1282" s="11"/>
    </row>
    <row r="1283" spans="1:209" ht="23.25" customHeight="1" x14ac:dyDescent="0.15">
      <c r="A1283" s="11"/>
      <c r="B1283" s="11"/>
      <c r="C1283" s="33" t="s">
        <v>11</v>
      </c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/>
      <c r="R1283" s="11"/>
      <c r="S1283" s="11"/>
      <c r="T1283" s="11"/>
      <c r="U1283" s="11"/>
      <c r="V1283" s="11"/>
      <c r="W1283" s="11"/>
      <c r="X1283" s="11"/>
      <c r="Y1283" s="11"/>
      <c r="Z1283" s="11"/>
      <c r="AA1283" s="11"/>
      <c r="AB1283" s="11"/>
      <c r="AC1283" s="11"/>
      <c r="AD1283" s="11"/>
      <c r="AE1283" s="11"/>
      <c r="AF1283" s="11"/>
      <c r="AG1283" s="11"/>
      <c r="AH1283" s="11"/>
      <c r="AI1283" s="11"/>
      <c r="AJ1283" s="11"/>
      <c r="AK1283" s="11"/>
      <c r="AL1283" s="11"/>
      <c r="AM1283" s="11"/>
      <c r="AN1283" s="11"/>
      <c r="AO1283" s="11"/>
      <c r="AP1283" s="11"/>
      <c r="AQ1283" s="11"/>
      <c r="AR1283" s="11"/>
      <c r="AS1283" s="11"/>
      <c r="AT1283" s="11"/>
      <c r="AU1283" s="11"/>
      <c r="AV1283" s="11"/>
      <c r="AW1283" s="11"/>
      <c r="AX1283" s="52" t="s">
        <v>1694</v>
      </c>
      <c r="AY1283" s="52" t="s">
        <v>401</v>
      </c>
      <c r="AZ1283" s="52" t="s">
        <v>3765</v>
      </c>
      <c r="BA1283" s="52" t="s">
        <v>343</v>
      </c>
      <c r="BB1283" s="52" t="s">
        <v>3766</v>
      </c>
      <c r="BC1283" s="53">
        <v>43997</v>
      </c>
      <c r="BD1283" s="53">
        <v>44013</v>
      </c>
      <c r="BE1283" s="11"/>
      <c r="BF1283" s="55">
        <v>100</v>
      </c>
      <c r="BG1283" s="11"/>
      <c r="BH1283" s="54" t="s">
        <v>3767</v>
      </c>
      <c r="BI1283" s="11"/>
      <c r="BJ1283" s="11"/>
      <c r="BK1283" s="11"/>
      <c r="BL1283" s="11"/>
      <c r="BM1283" s="11"/>
      <c r="BN1283" s="11"/>
      <c r="BO1283" s="11"/>
      <c r="BP1283" s="11"/>
      <c r="BQ1283" s="11"/>
      <c r="BR1283" s="11"/>
      <c r="BS1283" s="11"/>
      <c r="BT1283" s="11"/>
      <c r="BU1283" s="11"/>
      <c r="BV1283" s="11"/>
      <c r="BW1283" s="52"/>
      <c r="BX1283" s="52"/>
      <c r="BY1283" s="11"/>
      <c r="BZ1283" s="52"/>
      <c r="CA1283" s="52"/>
      <c r="CB1283" s="52"/>
      <c r="CC1283" s="52"/>
      <c r="CD1283" s="53"/>
      <c r="CE1283" s="53"/>
      <c r="CF1283" s="52"/>
      <c r="CG1283" s="52"/>
      <c r="CH1283" s="11"/>
      <c r="CI1283" s="11"/>
      <c r="CJ1283" s="11"/>
      <c r="CK1283" s="11"/>
      <c r="CL1283" s="11"/>
      <c r="CM1283" s="11"/>
      <c r="CN1283" s="11"/>
      <c r="CO1283" s="11"/>
      <c r="CP1283" s="11"/>
      <c r="CQ1283" s="11"/>
      <c r="CR1283" s="11"/>
      <c r="CS1283" s="11"/>
      <c r="CT1283" s="11"/>
      <c r="CU1283" s="11"/>
      <c r="CV1283" s="11"/>
      <c r="CW1283" s="11"/>
      <c r="CX1283" s="11"/>
      <c r="CY1283" s="11"/>
      <c r="CZ1283" s="11"/>
      <c r="DA1283" s="11"/>
      <c r="DB1283" s="11"/>
      <c r="DC1283" s="11"/>
      <c r="DD1283" s="11"/>
      <c r="DE1283" s="11"/>
      <c r="DF1283" s="11"/>
      <c r="DG1283" s="11"/>
      <c r="DH1283" s="11"/>
      <c r="DI1283" s="11"/>
      <c r="DJ1283" s="11"/>
      <c r="DK1283" s="11"/>
      <c r="DL1283" s="11"/>
      <c r="DM1283" s="11"/>
      <c r="DN1283" s="11"/>
      <c r="DO1283" s="11"/>
      <c r="DP1283" s="11"/>
      <c r="DQ1283" s="11"/>
      <c r="DR1283" s="11"/>
      <c r="DS1283" s="11"/>
      <c r="DT1283" s="11"/>
      <c r="DU1283" s="11"/>
      <c r="DV1283" s="11"/>
      <c r="DW1283" s="11"/>
      <c r="DX1283" s="11"/>
      <c r="DY1283" s="11"/>
      <c r="DZ1283" s="11"/>
      <c r="EA1283" s="11"/>
      <c r="EB1283" s="11"/>
      <c r="EC1283" s="11"/>
      <c r="ED1283" s="11"/>
      <c r="EE1283" s="11"/>
      <c r="EF1283" s="11"/>
      <c r="EG1283" s="11"/>
      <c r="EH1283" s="11"/>
      <c r="EI1283" s="11"/>
      <c r="EJ1283" s="11"/>
      <c r="EK1283" s="11"/>
      <c r="EL1283" s="11"/>
      <c r="EM1283" s="11"/>
      <c r="EN1283" s="11"/>
      <c r="EO1283" s="11"/>
      <c r="EP1283" s="11"/>
      <c r="EQ1283" s="11"/>
      <c r="ER1283" s="11"/>
      <c r="ES1283" s="11"/>
      <c r="ET1283" s="11"/>
      <c r="EU1283" s="11"/>
      <c r="EV1283" s="11"/>
      <c r="EW1283" s="11"/>
      <c r="EX1283" s="11"/>
      <c r="EY1283" s="11"/>
      <c r="EZ1283" s="11"/>
      <c r="FA1283" s="11"/>
      <c r="FB1283" s="11"/>
      <c r="FC1283" s="11"/>
      <c r="FD1283" s="11"/>
      <c r="FE1283" s="11"/>
      <c r="FF1283" s="11"/>
      <c r="FG1283" s="11"/>
      <c r="FH1283" s="11"/>
      <c r="FI1283" s="11"/>
      <c r="FJ1283" s="11"/>
      <c r="FK1283" s="11"/>
      <c r="FL1283" s="52" t="s">
        <v>403</v>
      </c>
      <c r="FM1283" s="52" t="s">
        <v>255</v>
      </c>
      <c r="FN1283" s="11"/>
      <c r="FO1283" s="11"/>
      <c r="FP1283" s="11"/>
      <c r="FQ1283" s="11"/>
      <c r="FR1283" s="11"/>
      <c r="FS1283" s="11"/>
      <c r="FT1283" s="11"/>
      <c r="FU1283" s="11"/>
      <c r="FV1283" s="11"/>
      <c r="FW1283" s="11"/>
      <c r="FX1283" s="11"/>
      <c r="FY1283" s="11"/>
      <c r="FZ1283" s="11"/>
      <c r="GA1283" s="11"/>
      <c r="GB1283" s="11"/>
      <c r="GC1283" s="11"/>
      <c r="GD1283" s="11"/>
      <c r="GE1283" s="11"/>
      <c r="GF1283" s="11"/>
      <c r="GG1283" s="11"/>
      <c r="GH1283" s="11"/>
      <c r="GI1283" s="11"/>
      <c r="GJ1283" s="11"/>
      <c r="GK1283" s="11"/>
      <c r="GL1283" s="11"/>
      <c r="GM1283" s="11"/>
      <c r="GN1283" s="11"/>
      <c r="GO1283" s="11"/>
      <c r="GP1283" s="11"/>
      <c r="GQ1283" s="11"/>
      <c r="GR1283" s="11"/>
      <c r="GS1283" s="11"/>
      <c r="GT1283" s="11"/>
      <c r="GU1283" s="11"/>
      <c r="GV1283" s="11"/>
      <c r="GW1283" s="11"/>
      <c r="GX1283" s="11"/>
      <c r="GY1283" s="11"/>
      <c r="GZ1283" s="11"/>
      <c r="HA1283" s="11"/>
    </row>
    <row r="1284" spans="1:209" ht="23.25" customHeight="1" x14ac:dyDescent="0.15">
      <c r="A1284" s="11"/>
      <c r="B1284" s="11"/>
      <c r="C1284" s="33" t="s">
        <v>11</v>
      </c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/>
      <c r="R1284" s="11"/>
      <c r="S1284" s="11"/>
      <c r="T1284" s="11"/>
      <c r="U1284" s="11"/>
      <c r="V1284" s="11"/>
      <c r="W1284" s="11"/>
      <c r="X1284" s="11"/>
      <c r="Y1284" s="11"/>
      <c r="Z1284" s="11"/>
      <c r="AA1284" s="11"/>
      <c r="AB1284" s="11"/>
      <c r="AC1284" s="11"/>
      <c r="AD1284" s="11"/>
      <c r="AE1284" s="11"/>
      <c r="AF1284" s="11"/>
      <c r="AG1284" s="11"/>
      <c r="AH1284" s="11"/>
      <c r="AI1284" s="11"/>
      <c r="AJ1284" s="11"/>
      <c r="AK1284" s="11"/>
      <c r="AL1284" s="11"/>
      <c r="AM1284" s="11"/>
      <c r="AN1284" s="11"/>
      <c r="AO1284" s="11"/>
      <c r="AP1284" s="11"/>
      <c r="AQ1284" s="11"/>
      <c r="AR1284" s="11"/>
      <c r="AS1284" s="11"/>
      <c r="AT1284" s="11"/>
      <c r="AU1284" s="11"/>
      <c r="AV1284" s="11"/>
      <c r="AW1284" s="11"/>
      <c r="AX1284" s="52" t="s">
        <v>1694</v>
      </c>
      <c r="AY1284" s="52" t="s">
        <v>401</v>
      </c>
      <c r="AZ1284" s="52" t="s">
        <v>3768</v>
      </c>
      <c r="BA1284" s="52" t="s">
        <v>343</v>
      </c>
      <c r="BB1284" s="52" t="s">
        <v>3766</v>
      </c>
      <c r="BC1284" s="53">
        <v>44013</v>
      </c>
      <c r="BD1284" s="53">
        <v>44023</v>
      </c>
      <c r="BE1284" s="11"/>
      <c r="BF1284" s="55">
        <v>100</v>
      </c>
      <c r="BG1284" s="11"/>
      <c r="BH1284" s="54" t="s">
        <v>3769</v>
      </c>
      <c r="BI1284" s="11"/>
      <c r="BJ1284" s="11"/>
      <c r="BK1284" s="11"/>
      <c r="BL1284" s="11"/>
      <c r="BM1284" s="11"/>
      <c r="BN1284" s="11"/>
      <c r="BO1284" s="11"/>
      <c r="BP1284" s="11"/>
      <c r="BQ1284" s="11"/>
      <c r="BR1284" s="11"/>
      <c r="BS1284" s="11"/>
      <c r="BT1284" s="11"/>
      <c r="BU1284" s="11"/>
      <c r="BV1284" s="11"/>
      <c r="BW1284" s="52"/>
      <c r="BX1284" s="52"/>
      <c r="BY1284" s="11"/>
      <c r="BZ1284" s="52"/>
      <c r="CA1284" s="52"/>
      <c r="CB1284" s="52"/>
      <c r="CC1284" s="52"/>
      <c r="CD1284" s="53"/>
      <c r="CE1284" s="53"/>
      <c r="CF1284" s="52"/>
      <c r="CG1284" s="52"/>
      <c r="CH1284" s="11"/>
      <c r="CI1284" s="11"/>
      <c r="CJ1284" s="11"/>
      <c r="CK1284" s="11"/>
      <c r="CL1284" s="11"/>
      <c r="CM1284" s="11"/>
      <c r="CN1284" s="11"/>
      <c r="CO1284" s="11"/>
      <c r="CP1284" s="11"/>
      <c r="CQ1284" s="11"/>
      <c r="CR1284" s="11"/>
      <c r="CS1284" s="11"/>
      <c r="CT1284" s="11"/>
      <c r="CU1284" s="11"/>
      <c r="CV1284" s="11"/>
      <c r="CW1284" s="11"/>
      <c r="CX1284" s="11"/>
      <c r="CY1284" s="11"/>
      <c r="CZ1284" s="11"/>
      <c r="DA1284" s="11"/>
      <c r="DB1284" s="11"/>
      <c r="DC1284" s="11"/>
      <c r="DD1284" s="11"/>
      <c r="DE1284" s="11"/>
      <c r="DF1284" s="11"/>
      <c r="DG1284" s="11"/>
      <c r="DH1284" s="11"/>
      <c r="DI1284" s="11"/>
      <c r="DJ1284" s="11"/>
      <c r="DK1284" s="11"/>
      <c r="DL1284" s="11"/>
      <c r="DM1284" s="11"/>
      <c r="DN1284" s="11"/>
      <c r="DO1284" s="11"/>
      <c r="DP1284" s="11"/>
      <c r="DQ1284" s="11"/>
      <c r="DR1284" s="11"/>
      <c r="DS1284" s="11"/>
      <c r="DT1284" s="11"/>
      <c r="DU1284" s="11"/>
      <c r="DV1284" s="11"/>
      <c r="DW1284" s="11"/>
      <c r="DX1284" s="11"/>
      <c r="DY1284" s="11"/>
      <c r="DZ1284" s="11"/>
      <c r="EA1284" s="11"/>
      <c r="EB1284" s="11"/>
      <c r="EC1284" s="11"/>
      <c r="ED1284" s="11"/>
      <c r="EE1284" s="11"/>
      <c r="EF1284" s="11"/>
      <c r="EG1284" s="11"/>
      <c r="EH1284" s="11"/>
      <c r="EI1284" s="11"/>
      <c r="EJ1284" s="11"/>
      <c r="EK1284" s="11"/>
      <c r="EL1284" s="11"/>
      <c r="EM1284" s="11"/>
      <c r="EN1284" s="11"/>
      <c r="EO1284" s="11"/>
      <c r="EP1284" s="11"/>
      <c r="EQ1284" s="11"/>
      <c r="ER1284" s="11"/>
      <c r="ES1284" s="11"/>
      <c r="ET1284" s="11"/>
      <c r="EU1284" s="11"/>
      <c r="EV1284" s="11"/>
      <c r="EW1284" s="11"/>
      <c r="EX1284" s="11"/>
      <c r="EY1284" s="11"/>
      <c r="EZ1284" s="11"/>
      <c r="FA1284" s="11"/>
      <c r="FB1284" s="11"/>
      <c r="FC1284" s="11"/>
      <c r="FD1284" s="11"/>
      <c r="FE1284" s="11"/>
      <c r="FF1284" s="11"/>
      <c r="FG1284" s="11"/>
      <c r="FH1284" s="11"/>
      <c r="FI1284" s="11"/>
      <c r="FJ1284" s="11"/>
      <c r="FK1284" s="11"/>
      <c r="FL1284" s="52" t="s">
        <v>403</v>
      </c>
      <c r="FM1284" s="52" t="s">
        <v>255</v>
      </c>
      <c r="FN1284" s="11"/>
      <c r="FO1284" s="11"/>
      <c r="FP1284" s="11"/>
      <c r="FQ1284" s="11"/>
      <c r="FR1284" s="11"/>
      <c r="FS1284" s="11"/>
      <c r="FT1284" s="11"/>
      <c r="FU1284" s="11"/>
      <c r="FV1284" s="11"/>
      <c r="FW1284" s="11"/>
      <c r="FX1284" s="11"/>
      <c r="FY1284" s="11"/>
      <c r="FZ1284" s="11"/>
      <c r="GA1284" s="11"/>
      <c r="GB1284" s="11"/>
      <c r="GC1284" s="11"/>
      <c r="GD1284" s="11"/>
      <c r="GE1284" s="11"/>
      <c r="GF1284" s="11"/>
      <c r="GG1284" s="11"/>
      <c r="GH1284" s="11"/>
      <c r="GI1284" s="11"/>
      <c r="GJ1284" s="11"/>
      <c r="GK1284" s="11"/>
      <c r="GL1284" s="11"/>
      <c r="GM1284" s="11"/>
      <c r="GN1284" s="11"/>
      <c r="GO1284" s="11"/>
      <c r="GP1284" s="11"/>
      <c r="GQ1284" s="11"/>
      <c r="GR1284" s="11"/>
      <c r="GS1284" s="11"/>
      <c r="GT1284" s="11"/>
      <c r="GU1284" s="11"/>
      <c r="GV1284" s="11"/>
      <c r="GW1284" s="11"/>
      <c r="GX1284" s="11"/>
      <c r="GY1284" s="11"/>
      <c r="GZ1284" s="11"/>
      <c r="HA1284" s="11"/>
    </row>
    <row r="1285" spans="1:209" ht="23.25" customHeight="1" x14ac:dyDescent="0.15">
      <c r="A1285" s="11"/>
      <c r="B1285" s="11"/>
      <c r="C1285" s="33" t="s">
        <v>11</v>
      </c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/>
      <c r="R1285" s="11"/>
      <c r="S1285" s="11"/>
      <c r="T1285" s="11"/>
      <c r="U1285" s="11"/>
      <c r="V1285" s="11"/>
      <c r="W1285" s="11"/>
      <c r="X1285" s="11"/>
      <c r="Y1285" s="11"/>
      <c r="Z1285" s="11"/>
      <c r="AA1285" s="11"/>
      <c r="AB1285" s="11"/>
      <c r="AC1285" s="11"/>
      <c r="AD1285" s="11"/>
      <c r="AE1285" s="11"/>
      <c r="AF1285" s="11"/>
      <c r="AG1285" s="11"/>
      <c r="AH1285" s="11"/>
      <c r="AI1285" s="11"/>
      <c r="AJ1285" s="11"/>
      <c r="AK1285" s="11"/>
      <c r="AL1285" s="11"/>
      <c r="AM1285" s="11"/>
      <c r="AN1285" s="11"/>
      <c r="AO1285" s="11"/>
      <c r="AP1285" s="11"/>
      <c r="AQ1285" s="11"/>
      <c r="AR1285" s="11"/>
      <c r="AS1285" s="11"/>
      <c r="AT1285" s="11"/>
      <c r="AU1285" s="11"/>
      <c r="AV1285" s="11"/>
      <c r="AW1285" s="11"/>
      <c r="AX1285" s="52" t="s">
        <v>1694</v>
      </c>
      <c r="AY1285" s="52" t="s">
        <v>401</v>
      </c>
      <c r="AZ1285" s="52" t="s">
        <v>3770</v>
      </c>
      <c r="BA1285" s="52" t="s">
        <v>343</v>
      </c>
      <c r="BB1285" s="52" t="s">
        <v>3766</v>
      </c>
      <c r="BC1285" s="53">
        <v>43990</v>
      </c>
      <c r="BD1285" s="53">
        <v>44009</v>
      </c>
      <c r="BE1285" s="11"/>
      <c r="BF1285" s="55">
        <v>100</v>
      </c>
      <c r="BG1285" s="11"/>
      <c r="BH1285" s="54" t="s">
        <v>3771</v>
      </c>
      <c r="BI1285" s="11"/>
      <c r="BJ1285" s="11"/>
      <c r="BK1285" s="11"/>
      <c r="BL1285" s="11"/>
      <c r="BM1285" s="11"/>
      <c r="BN1285" s="11"/>
      <c r="BO1285" s="11"/>
      <c r="BP1285" s="11"/>
      <c r="BQ1285" s="11"/>
      <c r="BR1285" s="11"/>
      <c r="BS1285" s="11"/>
      <c r="BT1285" s="11"/>
      <c r="BU1285" s="11"/>
      <c r="BV1285" s="11"/>
      <c r="BW1285" s="52"/>
      <c r="BX1285" s="52"/>
      <c r="BY1285" s="11"/>
      <c r="BZ1285" s="52"/>
      <c r="CA1285" s="52"/>
      <c r="CB1285" s="52"/>
      <c r="CC1285" s="52"/>
      <c r="CD1285" s="53"/>
      <c r="CE1285" s="53"/>
      <c r="CF1285" s="52"/>
      <c r="CG1285" s="52"/>
      <c r="CH1285" s="11"/>
      <c r="CI1285" s="11"/>
      <c r="CJ1285" s="11"/>
      <c r="CK1285" s="11"/>
      <c r="CL1285" s="11"/>
      <c r="CM1285" s="11"/>
      <c r="CN1285" s="11"/>
      <c r="CO1285" s="11"/>
      <c r="CP1285" s="11"/>
      <c r="CQ1285" s="11"/>
      <c r="CR1285" s="11"/>
      <c r="CS1285" s="11"/>
      <c r="CT1285" s="11"/>
      <c r="CU1285" s="11"/>
      <c r="CV1285" s="11"/>
      <c r="CW1285" s="11"/>
      <c r="CX1285" s="11"/>
      <c r="CY1285" s="11"/>
      <c r="CZ1285" s="11"/>
      <c r="DA1285" s="11"/>
      <c r="DB1285" s="11"/>
      <c r="DC1285" s="11"/>
      <c r="DD1285" s="11"/>
      <c r="DE1285" s="11"/>
      <c r="DF1285" s="11"/>
      <c r="DG1285" s="11"/>
      <c r="DH1285" s="11"/>
      <c r="DI1285" s="11"/>
      <c r="DJ1285" s="11"/>
      <c r="DK1285" s="11"/>
      <c r="DL1285" s="11"/>
      <c r="DM1285" s="11"/>
      <c r="DN1285" s="11"/>
      <c r="DO1285" s="11"/>
      <c r="DP1285" s="11"/>
      <c r="DQ1285" s="11"/>
      <c r="DR1285" s="11"/>
      <c r="DS1285" s="11"/>
      <c r="DT1285" s="11"/>
      <c r="DU1285" s="11"/>
      <c r="DV1285" s="11"/>
      <c r="DW1285" s="11"/>
      <c r="DX1285" s="11"/>
      <c r="DY1285" s="11"/>
      <c r="DZ1285" s="11"/>
      <c r="EA1285" s="11"/>
      <c r="EB1285" s="11"/>
      <c r="EC1285" s="11"/>
      <c r="ED1285" s="11"/>
      <c r="EE1285" s="11"/>
      <c r="EF1285" s="11"/>
      <c r="EG1285" s="11"/>
      <c r="EH1285" s="11"/>
      <c r="EI1285" s="11"/>
      <c r="EJ1285" s="11"/>
      <c r="EK1285" s="11"/>
      <c r="EL1285" s="11"/>
      <c r="EM1285" s="11"/>
      <c r="EN1285" s="11"/>
      <c r="EO1285" s="11"/>
      <c r="EP1285" s="11"/>
      <c r="EQ1285" s="11"/>
      <c r="ER1285" s="11"/>
      <c r="ES1285" s="11"/>
      <c r="ET1285" s="11"/>
      <c r="EU1285" s="11"/>
      <c r="EV1285" s="11"/>
      <c r="EW1285" s="11"/>
      <c r="EX1285" s="11"/>
      <c r="EY1285" s="11"/>
      <c r="EZ1285" s="11"/>
      <c r="FA1285" s="11"/>
      <c r="FB1285" s="11"/>
      <c r="FC1285" s="11"/>
      <c r="FD1285" s="11"/>
      <c r="FE1285" s="11"/>
      <c r="FF1285" s="11"/>
      <c r="FG1285" s="11"/>
      <c r="FH1285" s="11"/>
      <c r="FI1285" s="11"/>
      <c r="FJ1285" s="11"/>
      <c r="FK1285" s="11"/>
      <c r="FL1285" s="52" t="s">
        <v>403</v>
      </c>
      <c r="FM1285" s="52" t="s">
        <v>255</v>
      </c>
      <c r="FN1285" s="11"/>
      <c r="FO1285" s="11"/>
      <c r="FP1285" s="11"/>
      <c r="FQ1285" s="11"/>
      <c r="FR1285" s="11"/>
      <c r="FS1285" s="11"/>
      <c r="FT1285" s="11"/>
      <c r="FU1285" s="11"/>
      <c r="FV1285" s="11"/>
      <c r="FW1285" s="11"/>
      <c r="FX1285" s="11"/>
      <c r="FY1285" s="11"/>
      <c r="FZ1285" s="11"/>
      <c r="GA1285" s="11"/>
      <c r="GB1285" s="11"/>
      <c r="GC1285" s="11"/>
      <c r="GD1285" s="11"/>
      <c r="GE1285" s="11"/>
      <c r="GF1285" s="11"/>
      <c r="GG1285" s="11"/>
      <c r="GH1285" s="11"/>
      <c r="GI1285" s="11"/>
      <c r="GJ1285" s="11"/>
      <c r="GK1285" s="11"/>
      <c r="GL1285" s="11"/>
      <c r="GM1285" s="11"/>
      <c r="GN1285" s="11"/>
      <c r="GO1285" s="11"/>
      <c r="GP1285" s="11"/>
      <c r="GQ1285" s="11"/>
      <c r="GR1285" s="11"/>
      <c r="GS1285" s="11"/>
      <c r="GT1285" s="11"/>
      <c r="GU1285" s="11"/>
      <c r="GV1285" s="11"/>
      <c r="GW1285" s="11"/>
      <c r="GX1285" s="11"/>
      <c r="GY1285" s="11"/>
      <c r="GZ1285" s="11"/>
      <c r="HA1285" s="11"/>
    </row>
    <row r="1286" spans="1:209" ht="23.25" customHeight="1" x14ac:dyDescent="0.15">
      <c r="A1286" s="11"/>
      <c r="B1286" s="11"/>
      <c r="C1286" s="33" t="s">
        <v>11</v>
      </c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/>
      <c r="R1286" s="11"/>
      <c r="S1286" s="11"/>
      <c r="T1286" s="11"/>
      <c r="U1286" s="11"/>
      <c r="V1286" s="11"/>
      <c r="W1286" s="11"/>
      <c r="X1286" s="11"/>
      <c r="Y1286" s="11"/>
      <c r="Z1286" s="11"/>
      <c r="AA1286" s="11"/>
      <c r="AB1286" s="11"/>
      <c r="AC1286" s="11"/>
      <c r="AD1286" s="11"/>
      <c r="AE1286" s="11"/>
      <c r="AF1286" s="11"/>
      <c r="AG1286" s="11"/>
      <c r="AH1286" s="11"/>
      <c r="AI1286" s="11"/>
      <c r="AJ1286" s="11"/>
      <c r="AK1286" s="11"/>
      <c r="AL1286" s="11"/>
      <c r="AM1286" s="11"/>
      <c r="AN1286" s="11"/>
      <c r="AO1286" s="11"/>
      <c r="AP1286" s="11"/>
      <c r="AQ1286" s="11"/>
      <c r="AR1286" s="11"/>
      <c r="AS1286" s="11"/>
      <c r="AT1286" s="11"/>
      <c r="AU1286" s="11"/>
      <c r="AV1286" s="11"/>
      <c r="AW1286" s="11"/>
      <c r="AX1286" s="52" t="s">
        <v>1694</v>
      </c>
      <c r="AY1286" s="52" t="s">
        <v>401</v>
      </c>
      <c r="AZ1286" s="52" t="s">
        <v>1901</v>
      </c>
      <c r="BA1286" s="52" t="s">
        <v>343</v>
      </c>
      <c r="BB1286" s="52" t="s">
        <v>3766</v>
      </c>
      <c r="BC1286" s="53">
        <v>43990</v>
      </c>
      <c r="BD1286" s="53">
        <v>44009</v>
      </c>
      <c r="BE1286" s="11"/>
      <c r="BF1286" s="55">
        <v>100</v>
      </c>
      <c r="BG1286" s="11"/>
      <c r="BH1286" s="54" t="s">
        <v>3772</v>
      </c>
      <c r="BI1286" s="11"/>
      <c r="BJ1286" s="11"/>
      <c r="BK1286" s="11"/>
      <c r="BL1286" s="11"/>
      <c r="BM1286" s="11"/>
      <c r="BN1286" s="11"/>
      <c r="BO1286" s="11"/>
      <c r="BP1286" s="11"/>
      <c r="BQ1286" s="11"/>
      <c r="BR1286" s="11"/>
      <c r="BS1286" s="11"/>
      <c r="BT1286" s="11"/>
      <c r="BU1286" s="11"/>
      <c r="BV1286" s="11"/>
      <c r="BW1286" s="52"/>
      <c r="BX1286" s="52"/>
      <c r="BY1286" s="11"/>
      <c r="BZ1286" s="52"/>
      <c r="CA1286" s="52"/>
      <c r="CB1286" s="52"/>
      <c r="CC1286" s="52"/>
      <c r="CD1286" s="53"/>
      <c r="CE1286" s="53"/>
      <c r="CF1286" s="52"/>
      <c r="CG1286" s="52"/>
      <c r="CH1286" s="11"/>
      <c r="CI1286" s="11"/>
      <c r="CJ1286" s="11"/>
      <c r="CK1286" s="11"/>
      <c r="CL1286" s="11"/>
      <c r="CM1286" s="11"/>
      <c r="CN1286" s="11"/>
      <c r="CO1286" s="11"/>
      <c r="CP1286" s="11"/>
      <c r="CQ1286" s="11"/>
      <c r="CR1286" s="11"/>
      <c r="CS1286" s="11"/>
      <c r="CT1286" s="11"/>
      <c r="CU1286" s="11"/>
      <c r="CV1286" s="11"/>
      <c r="CW1286" s="11"/>
      <c r="CX1286" s="11"/>
      <c r="CY1286" s="11"/>
      <c r="CZ1286" s="11"/>
      <c r="DA1286" s="11"/>
      <c r="DB1286" s="11"/>
      <c r="DC1286" s="11"/>
      <c r="DD1286" s="11"/>
      <c r="DE1286" s="11"/>
      <c r="DF1286" s="11"/>
      <c r="DG1286" s="11"/>
      <c r="DH1286" s="11"/>
      <c r="DI1286" s="11"/>
      <c r="DJ1286" s="11"/>
      <c r="DK1286" s="11"/>
      <c r="DL1286" s="11"/>
      <c r="DM1286" s="11"/>
      <c r="DN1286" s="11"/>
      <c r="DO1286" s="11"/>
      <c r="DP1286" s="11"/>
      <c r="DQ1286" s="11"/>
      <c r="DR1286" s="11"/>
      <c r="DS1286" s="11"/>
      <c r="DT1286" s="11"/>
      <c r="DU1286" s="11"/>
      <c r="DV1286" s="11"/>
      <c r="DW1286" s="11"/>
      <c r="DX1286" s="11"/>
      <c r="DY1286" s="11"/>
      <c r="DZ1286" s="11"/>
      <c r="EA1286" s="11"/>
      <c r="EB1286" s="11"/>
      <c r="EC1286" s="11"/>
      <c r="ED1286" s="11"/>
      <c r="EE1286" s="11"/>
      <c r="EF1286" s="11"/>
      <c r="EG1286" s="11"/>
      <c r="EH1286" s="11"/>
      <c r="EI1286" s="11"/>
      <c r="EJ1286" s="11"/>
      <c r="EK1286" s="11"/>
      <c r="EL1286" s="11"/>
      <c r="EM1286" s="11"/>
      <c r="EN1286" s="11"/>
      <c r="EO1286" s="11"/>
      <c r="EP1286" s="11"/>
      <c r="EQ1286" s="11"/>
      <c r="ER1286" s="11"/>
      <c r="ES1286" s="11"/>
      <c r="ET1286" s="11"/>
      <c r="EU1286" s="11"/>
      <c r="EV1286" s="11"/>
      <c r="EW1286" s="11"/>
      <c r="EX1286" s="11"/>
      <c r="EY1286" s="11"/>
      <c r="EZ1286" s="11"/>
      <c r="FA1286" s="11"/>
      <c r="FB1286" s="11"/>
      <c r="FC1286" s="11"/>
      <c r="FD1286" s="11"/>
      <c r="FE1286" s="11"/>
      <c r="FF1286" s="11"/>
      <c r="FG1286" s="11"/>
      <c r="FH1286" s="11"/>
      <c r="FI1286" s="11"/>
      <c r="FJ1286" s="11"/>
      <c r="FK1286" s="11"/>
      <c r="FL1286" s="52" t="s">
        <v>403</v>
      </c>
      <c r="FM1286" s="52" t="s">
        <v>255</v>
      </c>
      <c r="FN1286" s="11"/>
      <c r="FO1286" s="11"/>
      <c r="FP1286" s="11"/>
      <c r="FQ1286" s="11"/>
      <c r="FR1286" s="11"/>
      <c r="FS1286" s="11"/>
      <c r="FT1286" s="11"/>
      <c r="FU1286" s="11"/>
      <c r="FV1286" s="11"/>
      <c r="FW1286" s="11"/>
      <c r="FX1286" s="11"/>
      <c r="FY1286" s="11"/>
      <c r="FZ1286" s="11"/>
      <c r="GA1286" s="11"/>
      <c r="GB1286" s="11"/>
      <c r="GC1286" s="11"/>
      <c r="GD1286" s="11"/>
      <c r="GE1286" s="11"/>
      <c r="GF1286" s="11"/>
      <c r="GG1286" s="11"/>
      <c r="GH1286" s="11"/>
      <c r="GI1286" s="11"/>
      <c r="GJ1286" s="11"/>
      <c r="GK1286" s="11"/>
      <c r="GL1286" s="11"/>
      <c r="GM1286" s="11"/>
      <c r="GN1286" s="11"/>
      <c r="GO1286" s="11"/>
      <c r="GP1286" s="11"/>
      <c r="GQ1286" s="11"/>
      <c r="GR1286" s="11"/>
      <c r="GS1286" s="11"/>
      <c r="GT1286" s="11"/>
      <c r="GU1286" s="11"/>
      <c r="GV1286" s="11"/>
      <c r="GW1286" s="11"/>
      <c r="GX1286" s="11"/>
      <c r="GY1286" s="11"/>
      <c r="GZ1286" s="11"/>
      <c r="HA1286" s="11"/>
    </row>
    <row r="1287" spans="1:209" ht="23.25" customHeight="1" x14ac:dyDescent="0.15">
      <c r="A1287" s="11"/>
      <c r="B1287" s="11"/>
      <c r="C1287" s="33" t="s">
        <v>11</v>
      </c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/>
      <c r="R1287" s="11"/>
      <c r="S1287" s="11"/>
      <c r="T1287" s="11"/>
      <c r="U1287" s="11"/>
      <c r="V1287" s="11"/>
      <c r="W1287" s="11"/>
      <c r="X1287" s="11"/>
      <c r="Y1287" s="11"/>
      <c r="Z1287" s="11"/>
      <c r="AA1287" s="11"/>
      <c r="AB1287" s="11"/>
      <c r="AC1287" s="11"/>
      <c r="AD1287" s="11"/>
      <c r="AE1287" s="11"/>
      <c r="AF1287" s="11"/>
      <c r="AG1287" s="11"/>
      <c r="AH1287" s="11"/>
      <c r="AI1287" s="11"/>
      <c r="AJ1287" s="11"/>
      <c r="AK1287" s="11"/>
      <c r="AL1287" s="11"/>
      <c r="AM1287" s="11"/>
      <c r="AN1287" s="11"/>
      <c r="AO1287" s="11"/>
      <c r="AP1287" s="11"/>
      <c r="AQ1287" s="11"/>
      <c r="AR1287" s="11"/>
      <c r="AS1287" s="11"/>
      <c r="AT1287" s="11"/>
      <c r="AU1287" s="11"/>
      <c r="AV1287" s="11"/>
      <c r="AW1287" s="11"/>
      <c r="AX1287" s="52" t="s">
        <v>1694</v>
      </c>
      <c r="AY1287" s="52" t="s">
        <v>401</v>
      </c>
      <c r="AZ1287" s="52" t="s">
        <v>3773</v>
      </c>
      <c r="BA1287" s="52" t="s">
        <v>343</v>
      </c>
      <c r="BB1287" s="52" t="s">
        <v>3766</v>
      </c>
      <c r="BC1287" s="53">
        <v>43976</v>
      </c>
      <c r="BD1287" s="53">
        <v>43990</v>
      </c>
      <c r="BE1287" s="11"/>
      <c r="BF1287" s="55">
        <v>100</v>
      </c>
      <c r="BG1287" s="11"/>
      <c r="BH1287" s="54" t="s">
        <v>3774</v>
      </c>
      <c r="BI1287" s="11"/>
      <c r="BJ1287" s="11"/>
      <c r="BK1287" s="11"/>
      <c r="BL1287" s="11"/>
      <c r="BM1287" s="11"/>
      <c r="BN1287" s="11"/>
      <c r="BO1287" s="11"/>
      <c r="BP1287" s="11"/>
      <c r="BQ1287" s="11"/>
      <c r="BR1287" s="11"/>
      <c r="BS1287" s="11"/>
      <c r="BT1287" s="11"/>
      <c r="BU1287" s="11"/>
      <c r="BV1287" s="11"/>
      <c r="BW1287" s="52"/>
      <c r="BX1287" s="52"/>
      <c r="BY1287" s="11"/>
      <c r="BZ1287" s="52"/>
      <c r="CA1287" s="52"/>
      <c r="CB1287" s="52"/>
      <c r="CC1287" s="52"/>
      <c r="CD1287" s="53"/>
      <c r="CE1287" s="53"/>
      <c r="CF1287" s="52"/>
      <c r="CG1287" s="52"/>
      <c r="CH1287" s="11"/>
      <c r="CI1287" s="11"/>
      <c r="CJ1287" s="11"/>
      <c r="CK1287" s="11"/>
      <c r="CL1287" s="11"/>
      <c r="CM1287" s="11"/>
      <c r="CN1287" s="11"/>
      <c r="CO1287" s="11"/>
      <c r="CP1287" s="11"/>
      <c r="CQ1287" s="11"/>
      <c r="CR1287" s="11"/>
      <c r="CS1287" s="11"/>
      <c r="CT1287" s="11"/>
      <c r="CU1287" s="11"/>
      <c r="CV1287" s="11"/>
      <c r="CW1287" s="11"/>
      <c r="CX1287" s="11"/>
      <c r="CY1287" s="11"/>
      <c r="CZ1287" s="11"/>
      <c r="DA1287" s="11"/>
      <c r="DB1287" s="11"/>
      <c r="DC1287" s="11"/>
      <c r="DD1287" s="11"/>
      <c r="DE1287" s="11"/>
      <c r="DF1287" s="11"/>
      <c r="DG1287" s="11"/>
      <c r="DH1287" s="11"/>
      <c r="DI1287" s="11"/>
      <c r="DJ1287" s="11"/>
      <c r="DK1287" s="11"/>
      <c r="DL1287" s="11"/>
      <c r="DM1287" s="11"/>
      <c r="DN1287" s="11"/>
      <c r="DO1287" s="11"/>
      <c r="DP1287" s="11"/>
      <c r="DQ1287" s="11"/>
      <c r="DR1287" s="11"/>
      <c r="DS1287" s="11"/>
      <c r="DT1287" s="11"/>
      <c r="DU1287" s="11"/>
      <c r="DV1287" s="11"/>
      <c r="DW1287" s="11"/>
      <c r="DX1287" s="11"/>
      <c r="DY1287" s="11"/>
      <c r="DZ1287" s="11"/>
      <c r="EA1287" s="11"/>
      <c r="EB1287" s="11"/>
      <c r="EC1287" s="11"/>
      <c r="ED1287" s="11"/>
      <c r="EE1287" s="11"/>
      <c r="EF1287" s="11"/>
      <c r="EG1287" s="11"/>
      <c r="EH1287" s="11"/>
      <c r="EI1287" s="11"/>
      <c r="EJ1287" s="11"/>
      <c r="EK1287" s="11"/>
      <c r="EL1287" s="11"/>
      <c r="EM1287" s="11"/>
      <c r="EN1287" s="11"/>
      <c r="EO1287" s="11"/>
      <c r="EP1287" s="11"/>
      <c r="EQ1287" s="11"/>
      <c r="ER1287" s="11"/>
      <c r="ES1287" s="11"/>
      <c r="ET1287" s="11"/>
      <c r="EU1287" s="11"/>
      <c r="EV1287" s="11"/>
      <c r="EW1287" s="11"/>
      <c r="EX1287" s="11"/>
      <c r="EY1287" s="11"/>
      <c r="EZ1287" s="11"/>
      <c r="FA1287" s="11"/>
      <c r="FB1287" s="11"/>
      <c r="FC1287" s="11"/>
      <c r="FD1287" s="11"/>
      <c r="FE1287" s="11"/>
      <c r="FF1287" s="11"/>
      <c r="FG1287" s="11"/>
      <c r="FH1287" s="11"/>
      <c r="FI1287" s="11"/>
      <c r="FJ1287" s="11"/>
      <c r="FK1287" s="11"/>
      <c r="FL1287" s="52" t="s">
        <v>403</v>
      </c>
      <c r="FM1287" s="52" t="s">
        <v>255</v>
      </c>
      <c r="FN1287" s="11"/>
      <c r="FO1287" s="11"/>
      <c r="FP1287" s="11"/>
      <c r="FQ1287" s="11"/>
      <c r="FR1287" s="11"/>
      <c r="FS1287" s="11"/>
      <c r="FT1287" s="11"/>
      <c r="FU1287" s="11"/>
      <c r="FV1287" s="11"/>
      <c r="FW1287" s="11"/>
      <c r="FX1287" s="11"/>
      <c r="FY1287" s="11"/>
      <c r="FZ1287" s="11"/>
      <c r="GA1287" s="11"/>
      <c r="GB1287" s="11"/>
      <c r="GC1287" s="11"/>
      <c r="GD1287" s="11"/>
      <c r="GE1287" s="11"/>
      <c r="GF1287" s="11"/>
      <c r="GG1287" s="11"/>
      <c r="GH1287" s="11"/>
      <c r="GI1287" s="11"/>
      <c r="GJ1287" s="11"/>
      <c r="GK1287" s="11"/>
      <c r="GL1287" s="11"/>
      <c r="GM1287" s="11"/>
      <c r="GN1287" s="11"/>
      <c r="GO1287" s="11"/>
      <c r="GP1287" s="11"/>
      <c r="GQ1287" s="11"/>
      <c r="GR1287" s="11"/>
      <c r="GS1287" s="11"/>
      <c r="GT1287" s="11"/>
      <c r="GU1287" s="11"/>
      <c r="GV1287" s="11"/>
      <c r="GW1287" s="11"/>
      <c r="GX1287" s="11"/>
      <c r="GY1287" s="11"/>
      <c r="GZ1287" s="11"/>
      <c r="HA1287" s="11"/>
    </row>
    <row r="1288" spans="1:209" ht="23.25" customHeight="1" x14ac:dyDescent="0.15">
      <c r="A1288" s="11"/>
      <c r="B1288" s="11"/>
      <c r="C1288" s="33" t="s">
        <v>11</v>
      </c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/>
      <c r="R1288" s="11"/>
      <c r="S1288" s="11"/>
      <c r="T1288" s="11"/>
      <c r="U1288" s="11"/>
      <c r="V1288" s="11"/>
      <c r="W1288" s="11"/>
      <c r="X1288" s="11"/>
      <c r="Y1288" s="11"/>
      <c r="Z1288" s="11"/>
      <c r="AA1288" s="11"/>
      <c r="AB1288" s="11"/>
      <c r="AC1288" s="11"/>
      <c r="AD1288" s="11"/>
      <c r="AE1288" s="11"/>
      <c r="AF1288" s="11"/>
      <c r="AG1288" s="11"/>
      <c r="AH1288" s="11"/>
      <c r="AI1288" s="11"/>
      <c r="AJ1288" s="11"/>
      <c r="AK1288" s="11"/>
      <c r="AL1288" s="11"/>
      <c r="AM1288" s="11"/>
      <c r="AN1288" s="11"/>
      <c r="AO1288" s="11"/>
      <c r="AP1288" s="11"/>
      <c r="AQ1288" s="11"/>
      <c r="AR1288" s="11"/>
      <c r="AS1288" s="11"/>
      <c r="AT1288" s="11"/>
      <c r="AU1288" s="11"/>
      <c r="AV1288" s="11"/>
      <c r="AW1288" s="11"/>
      <c r="AX1288" s="52" t="s">
        <v>1694</v>
      </c>
      <c r="AY1288" s="52" t="s">
        <v>401</v>
      </c>
      <c r="AZ1288" s="52" t="s">
        <v>3775</v>
      </c>
      <c r="BA1288" s="52" t="s">
        <v>343</v>
      </c>
      <c r="BB1288" s="52" t="s">
        <v>3766</v>
      </c>
      <c r="BC1288" s="53">
        <v>43951</v>
      </c>
      <c r="BD1288" s="53">
        <v>43962</v>
      </c>
      <c r="BE1288" s="11"/>
      <c r="BF1288" s="55">
        <v>100</v>
      </c>
      <c r="BG1288" s="11"/>
      <c r="BH1288" s="54" t="s">
        <v>3776</v>
      </c>
      <c r="BI1288" s="11"/>
      <c r="BJ1288" s="11"/>
      <c r="BK1288" s="11"/>
      <c r="BL1288" s="11"/>
      <c r="BM1288" s="11"/>
      <c r="BN1288" s="11"/>
      <c r="BO1288" s="11"/>
      <c r="BP1288" s="11"/>
      <c r="BQ1288" s="11"/>
      <c r="BR1288" s="11"/>
      <c r="BS1288" s="11"/>
      <c r="BT1288" s="11"/>
      <c r="BU1288" s="11"/>
      <c r="BV1288" s="11"/>
      <c r="BW1288" s="52"/>
      <c r="BX1288" s="52"/>
      <c r="BY1288" s="11"/>
      <c r="BZ1288" s="52"/>
      <c r="CA1288" s="52"/>
      <c r="CB1288" s="52"/>
      <c r="CC1288" s="52"/>
      <c r="CD1288" s="53"/>
      <c r="CE1288" s="53"/>
      <c r="CF1288" s="52"/>
      <c r="CG1288" s="52"/>
      <c r="CH1288" s="11"/>
      <c r="CI1288" s="11"/>
      <c r="CJ1288" s="11"/>
      <c r="CK1288" s="11"/>
      <c r="CL1288" s="11"/>
      <c r="CM1288" s="11"/>
      <c r="CN1288" s="11"/>
      <c r="CO1288" s="11"/>
      <c r="CP1288" s="11"/>
      <c r="CQ1288" s="11"/>
      <c r="CR1288" s="11"/>
      <c r="CS1288" s="11"/>
      <c r="CT1288" s="11"/>
      <c r="CU1288" s="11"/>
      <c r="CV1288" s="11"/>
      <c r="CW1288" s="11"/>
      <c r="CX1288" s="11"/>
      <c r="CY1288" s="11"/>
      <c r="CZ1288" s="11"/>
      <c r="DA1288" s="11"/>
      <c r="DB1288" s="11"/>
      <c r="DC1288" s="11"/>
      <c r="DD1288" s="11"/>
      <c r="DE1288" s="11"/>
      <c r="DF1288" s="11"/>
      <c r="DG1288" s="11"/>
      <c r="DH1288" s="11"/>
      <c r="DI1288" s="11"/>
      <c r="DJ1288" s="11"/>
      <c r="DK1288" s="11"/>
      <c r="DL1288" s="11"/>
      <c r="DM1288" s="11"/>
      <c r="DN1288" s="11"/>
      <c r="DO1288" s="11"/>
      <c r="DP1288" s="11"/>
      <c r="DQ1288" s="11"/>
      <c r="DR1288" s="11"/>
      <c r="DS1288" s="11"/>
      <c r="DT1288" s="11"/>
      <c r="DU1288" s="11"/>
      <c r="DV1288" s="11"/>
      <c r="DW1288" s="11"/>
      <c r="DX1288" s="11"/>
      <c r="DY1288" s="11"/>
      <c r="DZ1288" s="11"/>
      <c r="EA1288" s="11"/>
      <c r="EB1288" s="11"/>
      <c r="EC1288" s="11"/>
      <c r="ED1288" s="11"/>
      <c r="EE1288" s="11"/>
      <c r="EF1288" s="11"/>
      <c r="EG1288" s="11"/>
      <c r="EH1288" s="11"/>
      <c r="EI1288" s="11"/>
      <c r="EJ1288" s="11"/>
      <c r="EK1288" s="11"/>
      <c r="EL1288" s="11"/>
      <c r="EM1288" s="11"/>
      <c r="EN1288" s="11"/>
      <c r="EO1288" s="11"/>
      <c r="EP1288" s="11"/>
      <c r="EQ1288" s="11"/>
      <c r="ER1288" s="11"/>
      <c r="ES1288" s="11"/>
      <c r="ET1288" s="11"/>
      <c r="EU1288" s="11"/>
      <c r="EV1288" s="11"/>
      <c r="EW1288" s="11"/>
      <c r="EX1288" s="11"/>
      <c r="EY1288" s="11"/>
      <c r="EZ1288" s="11"/>
      <c r="FA1288" s="11"/>
      <c r="FB1288" s="11"/>
      <c r="FC1288" s="11"/>
      <c r="FD1288" s="11"/>
      <c r="FE1288" s="11"/>
      <c r="FF1288" s="11"/>
      <c r="FG1288" s="11"/>
      <c r="FH1288" s="11"/>
      <c r="FI1288" s="11"/>
      <c r="FJ1288" s="11"/>
      <c r="FK1288" s="11"/>
      <c r="FL1288" s="52" t="s">
        <v>403</v>
      </c>
      <c r="FM1288" s="52" t="s">
        <v>255</v>
      </c>
      <c r="FN1288" s="11"/>
      <c r="FO1288" s="11"/>
      <c r="FP1288" s="11"/>
      <c r="FQ1288" s="11"/>
      <c r="FR1288" s="11"/>
      <c r="FS1288" s="11"/>
      <c r="FT1288" s="11"/>
      <c r="FU1288" s="11"/>
      <c r="FV1288" s="11"/>
      <c r="FW1288" s="11"/>
      <c r="FX1288" s="11"/>
      <c r="FY1288" s="11"/>
      <c r="FZ1288" s="11"/>
      <c r="GA1288" s="11"/>
      <c r="GB1288" s="11"/>
      <c r="GC1288" s="11"/>
      <c r="GD1288" s="11"/>
      <c r="GE1288" s="11"/>
      <c r="GF1288" s="11"/>
      <c r="GG1288" s="11"/>
      <c r="GH1288" s="11"/>
      <c r="GI1288" s="11"/>
      <c r="GJ1288" s="11"/>
      <c r="GK1288" s="11"/>
      <c r="GL1288" s="11"/>
      <c r="GM1288" s="11"/>
      <c r="GN1288" s="11"/>
      <c r="GO1288" s="11"/>
      <c r="GP1288" s="11"/>
      <c r="GQ1288" s="11"/>
      <c r="GR1288" s="11"/>
      <c r="GS1288" s="11"/>
      <c r="GT1288" s="11"/>
      <c r="GU1288" s="11"/>
      <c r="GV1288" s="11"/>
      <c r="GW1288" s="11"/>
      <c r="GX1288" s="11"/>
      <c r="GY1288" s="11"/>
      <c r="GZ1288" s="11"/>
      <c r="HA1288" s="11"/>
    </row>
    <row r="1289" spans="1:209" ht="23.25" customHeight="1" x14ac:dyDescent="0.15">
      <c r="A1289" s="11"/>
      <c r="B1289" s="11"/>
      <c r="C1289" s="33" t="s">
        <v>11</v>
      </c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/>
      <c r="R1289" s="11"/>
      <c r="S1289" s="11"/>
      <c r="T1289" s="11"/>
      <c r="U1289" s="11"/>
      <c r="V1289" s="11"/>
      <c r="W1289" s="11"/>
      <c r="X1289" s="11"/>
      <c r="Y1289" s="11"/>
      <c r="Z1289" s="11"/>
      <c r="AA1289" s="11"/>
      <c r="AB1289" s="11"/>
      <c r="AC1289" s="11"/>
      <c r="AD1289" s="11"/>
      <c r="AE1289" s="11"/>
      <c r="AF1289" s="11"/>
      <c r="AG1289" s="11"/>
      <c r="AH1289" s="11"/>
      <c r="AI1289" s="11"/>
      <c r="AJ1289" s="11"/>
      <c r="AK1289" s="11"/>
      <c r="AL1289" s="11"/>
      <c r="AM1289" s="11"/>
      <c r="AN1289" s="11"/>
      <c r="AO1289" s="11"/>
      <c r="AP1289" s="11"/>
      <c r="AQ1289" s="11"/>
      <c r="AR1289" s="11"/>
      <c r="AS1289" s="11"/>
      <c r="AT1289" s="11"/>
      <c r="AU1289" s="11"/>
      <c r="AV1289" s="11"/>
      <c r="AW1289" s="11"/>
      <c r="AX1289" s="52" t="s">
        <v>1694</v>
      </c>
      <c r="AY1289" s="52" t="s">
        <v>401</v>
      </c>
      <c r="AZ1289" s="52" t="s">
        <v>1348</v>
      </c>
      <c r="BA1289" s="52" t="s">
        <v>343</v>
      </c>
      <c r="BB1289" s="52" t="s">
        <v>3766</v>
      </c>
      <c r="BC1289" s="53">
        <v>43930</v>
      </c>
      <c r="BD1289" s="53">
        <v>43944</v>
      </c>
      <c r="BE1289" s="11"/>
      <c r="BF1289" s="55">
        <v>100</v>
      </c>
      <c r="BG1289" s="11"/>
      <c r="BH1289" s="54" t="s">
        <v>3777</v>
      </c>
      <c r="BI1289" s="11"/>
      <c r="BJ1289" s="11"/>
      <c r="BK1289" s="11"/>
      <c r="BL1289" s="11"/>
      <c r="BM1289" s="11"/>
      <c r="BN1289" s="11"/>
      <c r="BO1289" s="11"/>
      <c r="BP1289" s="11"/>
      <c r="BQ1289" s="11"/>
      <c r="BR1289" s="11"/>
      <c r="BS1289" s="11"/>
      <c r="BT1289" s="11"/>
      <c r="BU1289" s="11"/>
      <c r="BV1289" s="11"/>
      <c r="BW1289" s="52"/>
      <c r="BX1289" s="52"/>
      <c r="BY1289" s="11"/>
      <c r="BZ1289" s="52"/>
      <c r="CA1289" s="52"/>
      <c r="CB1289" s="52"/>
      <c r="CC1289" s="52"/>
      <c r="CD1289" s="53"/>
      <c r="CE1289" s="53"/>
      <c r="CF1289" s="52"/>
      <c r="CG1289" s="52"/>
      <c r="CH1289" s="11"/>
      <c r="CI1289" s="11"/>
      <c r="CJ1289" s="11"/>
      <c r="CK1289" s="11"/>
      <c r="CL1289" s="11"/>
      <c r="CM1289" s="11"/>
      <c r="CN1289" s="11"/>
      <c r="CO1289" s="11"/>
      <c r="CP1289" s="11"/>
      <c r="CQ1289" s="11"/>
      <c r="CR1289" s="11"/>
      <c r="CS1289" s="11"/>
      <c r="CT1289" s="11"/>
      <c r="CU1289" s="11"/>
      <c r="CV1289" s="11"/>
      <c r="CW1289" s="11"/>
      <c r="CX1289" s="11"/>
      <c r="CY1289" s="11"/>
      <c r="CZ1289" s="11"/>
      <c r="DA1289" s="11"/>
      <c r="DB1289" s="11"/>
      <c r="DC1289" s="11"/>
      <c r="DD1289" s="11"/>
      <c r="DE1289" s="11"/>
      <c r="DF1289" s="11"/>
      <c r="DG1289" s="11"/>
      <c r="DH1289" s="11"/>
      <c r="DI1289" s="11"/>
      <c r="DJ1289" s="11"/>
      <c r="DK1289" s="11"/>
      <c r="DL1289" s="11"/>
      <c r="DM1289" s="11"/>
      <c r="DN1289" s="11"/>
      <c r="DO1289" s="11"/>
      <c r="DP1289" s="11"/>
      <c r="DQ1289" s="11"/>
      <c r="DR1289" s="11"/>
      <c r="DS1289" s="11"/>
      <c r="DT1289" s="11"/>
      <c r="DU1289" s="11"/>
      <c r="DV1289" s="11"/>
      <c r="DW1289" s="11"/>
      <c r="DX1289" s="11"/>
      <c r="DY1289" s="11"/>
      <c r="DZ1289" s="11"/>
      <c r="EA1289" s="11"/>
      <c r="EB1289" s="11"/>
      <c r="EC1289" s="11"/>
      <c r="ED1289" s="11"/>
      <c r="EE1289" s="11"/>
      <c r="EF1289" s="11"/>
      <c r="EG1289" s="11"/>
      <c r="EH1289" s="11"/>
      <c r="EI1289" s="11"/>
      <c r="EJ1289" s="11"/>
      <c r="EK1289" s="11"/>
      <c r="EL1289" s="11"/>
      <c r="EM1289" s="11"/>
      <c r="EN1289" s="11"/>
      <c r="EO1289" s="11"/>
      <c r="EP1289" s="11"/>
      <c r="EQ1289" s="11"/>
      <c r="ER1289" s="11"/>
      <c r="ES1289" s="11"/>
      <c r="ET1289" s="11"/>
      <c r="EU1289" s="11"/>
      <c r="EV1289" s="11"/>
      <c r="EW1289" s="11"/>
      <c r="EX1289" s="11"/>
      <c r="EY1289" s="11"/>
      <c r="EZ1289" s="11"/>
      <c r="FA1289" s="11"/>
      <c r="FB1289" s="11"/>
      <c r="FC1289" s="11"/>
      <c r="FD1289" s="11"/>
      <c r="FE1289" s="11"/>
      <c r="FF1289" s="11"/>
      <c r="FG1289" s="11"/>
      <c r="FH1289" s="11"/>
      <c r="FI1289" s="11"/>
      <c r="FJ1289" s="11"/>
      <c r="FK1289" s="11"/>
      <c r="FL1289" s="52" t="s">
        <v>403</v>
      </c>
      <c r="FM1289" s="52" t="s">
        <v>255</v>
      </c>
      <c r="FN1289" s="11"/>
      <c r="FO1289" s="11"/>
      <c r="FP1289" s="11"/>
      <c r="FQ1289" s="11"/>
      <c r="FR1289" s="11"/>
      <c r="FS1289" s="11"/>
      <c r="FT1289" s="11"/>
      <c r="FU1289" s="11"/>
      <c r="FV1289" s="11"/>
      <c r="FW1289" s="11"/>
      <c r="FX1289" s="11"/>
      <c r="FY1289" s="11"/>
      <c r="FZ1289" s="11"/>
      <c r="GA1289" s="11"/>
      <c r="GB1289" s="11"/>
      <c r="GC1289" s="11"/>
      <c r="GD1289" s="11"/>
      <c r="GE1289" s="11"/>
      <c r="GF1289" s="11"/>
      <c r="GG1289" s="11"/>
      <c r="GH1289" s="11"/>
      <c r="GI1289" s="11"/>
      <c r="GJ1289" s="11"/>
      <c r="GK1289" s="11"/>
      <c r="GL1289" s="11"/>
      <c r="GM1289" s="11"/>
      <c r="GN1289" s="11"/>
      <c r="GO1289" s="11"/>
      <c r="GP1289" s="11"/>
      <c r="GQ1289" s="11"/>
      <c r="GR1289" s="11"/>
      <c r="GS1289" s="11"/>
      <c r="GT1289" s="11"/>
      <c r="GU1289" s="11"/>
      <c r="GV1289" s="11"/>
      <c r="GW1289" s="11"/>
      <c r="GX1289" s="11"/>
      <c r="GY1289" s="11"/>
      <c r="GZ1289" s="11"/>
      <c r="HA1289" s="11"/>
    </row>
    <row r="1290" spans="1:209" ht="23.25" customHeight="1" x14ac:dyDescent="0.15">
      <c r="A1290" s="11"/>
      <c r="B1290" s="11"/>
      <c r="C1290" s="33" t="s">
        <v>11</v>
      </c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/>
      <c r="R1290" s="11"/>
      <c r="S1290" s="11"/>
      <c r="T1290" s="11"/>
      <c r="U1290" s="11"/>
      <c r="V1290" s="11"/>
      <c r="W1290" s="11"/>
      <c r="X1290" s="11"/>
      <c r="Y1290" s="11"/>
      <c r="Z1290" s="11"/>
      <c r="AA1290" s="11"/>
      <c r="AB1290" s="11"/>
      <c r="AC1290" s="11"/>
      <c r="AD1290" s="11"/>
      <c r="AE1290" s="11"/>
      <c r="AF1290" s="11"/>
      <c r="AG1290" s="11"/>
      <c r="AH1290" s="11"/>
      <c r="AI1290" s="11"/>
      <c r="AJ1290" s="11"/>
      <c r="AK1290" s="11"/>
      <c r="AL1290" s="11"/>
      <c r="AM1290" s="11"/>
      <c r="AN1290" s="11"/>
      <c r="AO1290" s="11"/>
      <c r="AP1290" s="11"/>
      <c r="AQ1290" s="11"/>
      <c r="AR1290" s="11"/>
      <c r="AS1290" s="11"/>
      <c r="AT1290" s="11"/>
      <c r="AU1290" s="11"/>
      <c r="AV1290" s="11"/>
      <c r="AW1290" s="11"/>
      <c r="AX1290" s="52" t="s">
        <v>1694</v>
      </c>
      <c r="AY1290" s="52" t="s">
        <v>401</v>
      </c>
      <c r="AZ1290" s="52" t="s">
        <v>3778</v>
      </c>
      <c r="BA1290" s="52" t="s">
        <v>343</v>
      </c>
      <c r="BB1290" s="52" t="s">
        <v>3766</v>
      </c>
      <c r="BC1290" s="53">
        <v>43965</v>
      </c>
      <c r="BD1290" s="53">
        <v>43979</v>
      </c>
      <c r="BE1290" s="11"/>
      <c r="BF1290" s="55">
        <v>100</v>
      </c>
      <c r="BG1290" s="11"/>
      <c r="BH1290" s="54" t="s">
        <v>3779</v>
      </c>
      <c r="BI1290" s="11"/>
      <c r="BJ1290" s="11"/>
      <c r="BK1290" s="11"/>
      <c r="BL1290" s="11"/>
      <c r="BM1290" s="11"/>
      <c r="BN1290" s="11"/>
      <c r="BO1290" s="11"/>
      <c r="BP1290" s="11"/>
      <c r="BQ1290" s="11"/>
      <c r="BR1290" s="11"/>
      <c r="BS1290" s="11"/>
      <c r="BT1290" s="11"/>
      <c r="BU1290" s="11"/>
      <c r="BV1290" s="11"/>
      <c r="BW1290" s="52"/>
      <c r="BX1290" s="52"/>
      <c r="BY1290" s="11"/>
      <c r="BZ1290" s="52"/>
      <c r="CA1290" s="52"/>
      <c r="CB1290" s="52"/>
      <c r="CC1290" s="52"/>
      <c r="CD1290" s="53"/>
      <c r="CE1290" s="53"/>
      <c r="CF1290" s="52"/>
      <c r="CG1290" s="52"/>
      <c r="CH1290" s="11"/>
      <c r="CI1290" s="11"/>
      <c r="CJ1290" s="11"/>
      <c r="CK1290" s="11"/>
      <c r="CL1290" s="11"/>
      <c r="CM1290" s="11"/>
      <c r="CN1290" s="11"/>
      <c r="CO1290" s="11"/>
      <c r="CP1290" s="11"/>
      <c r="CQ1290" s="11"/>
      <c r="CR1290" s="11"/>
      <c r="CS1290" s="11"/>
      <c r="CT1290" s="11"/>
      <c r="CU1290" s="11"/>
      <c r="CV1290" s="11"/>
      <c r="CW1290" s="11"/>
      <c r="CX1290" s="11"/>
      <c r="CY1290" s="11"/>
      <c r="CZ1290" s="11"/>
      <c r="DA1290" s="11"/>
      <c r="DB1290" s="11"/>
      <c r="DC1290" s="11"/>
      <c r="DD1290" s="11"/>
      <c r="DE1290" s="11"/>
      <c r="DF1290" s="11"/>
      <c r="DG1290" s="11"/>
      <c r="DH1290" s="11"/>
      <c r="DI1290" s="11"/>
      <c r="DJ1290" s="11"/>
      <c r="DK1290" s="11"/>
      <c r="DL1290" s="11"/>
      <c r="DM1290" s="11"/>
      <c r="DN1290" s="11"/>
      <c r="DO1290" s="11"/>
      <c r="DP1290" s="11"/>
      <c r="DQ1290" s="11"/>
      <c r="DR1290" s="11"/>
      <c r="DS1290" s="11"/>
      <c r="DT1290" s="11"/>
      <c r="DU1290" s="11"/>
      <c r="DV1290" s="11"/>
      <c r="DW1290" s="11"/>
      <c r="DX1290" s="11"/>
      <c r="DY1290" s="11"/>
      <c r="DZ1290" s="11"/>
      <c r="EA1290" s="11"/>
      <c r="EB1290" s="11"/>
      <c r="EC1290" s="11"/>
      <c r="ED1290" s="11"/>
      <c r="EE1290" s="11"/>
      <c r="EF1290" s="11"/>
      <c r="EG1290" s="11"/>
      <c r="EH1290" s="11"/>
      <c r="EI1290" s="11"/>
      <c r="EJ1290" s="11"/>
      <c r="EK1290" s="11"/>
      <c r="EL1290" s="11"/>
      <c r="EM1290" s="11"/>
      <c r="EN1290" s="11"/>
      <c r="EO1290" s="11"/>
      <c r="EP1290" s="11"/>
      <c r="EQ1290" s="11"/>
      <c r="ER1290" s="11"/>
      <c r="ES1290" s="11"/>
      <c r="ET1290" s="11"/>
      <c r="EU1290" s="11"/>
      <c r="EV1290" s="11"/>
      <c r="EW1290" s="11"/>
      <c r="EX1290" s="11"/>
      <c r="EY1290" s="11"/>
      <c r="EZ1290" s="11"/>
      <c r="FA1290" s="11"/>
      <c r="FB1290" s="11"/>
      <c r="FC1290" s="11"/>
      <c r="FD1290" s="11"/>
      <c r="FE1290" s="11"/>
      <c r="FF1290" s="11"/>
      <c r="FG1290" s="11"/>
      <c r="FH1290" s="11"/>
      <c r="FI1290" s="11"/>
      <c r="FJ1290" s="11"/>
      <c r="FK1290" s="11"/>
      <c r="FL1290" s="52" t="s">
        <v>403</v>
      </c>
      <c r="FM1290" s="52" t="s">
        <v>255</v>
      </c>
      <c r="FN1290" s="11"/>
      <c r="FO1290" s="11"/>
      <c r="FP1290" s="11"/>
      <c r="FQ1290" s="11"/>
      <c r="FR1290" s="11"/>
      <c r="FS1290" s="11"/>
      <c r="FT1290" s="11"/>
      <c r="FU1290" s="11"/>
      <c r="FV1290" s="11"/>
      <c r="FW1290" s="11"/>
      <c r="FX1290" s="11"/>
      <c r="FY1290" s="11"/>
      <c r="FZ1290" s="11"/>
      <c r="GA1290" s="11"/>
      <c r="GB1290" s="11"/>
      <c r="GC1290" s="11"/>
      <c r="GD1290" s="11"/>
      <c r="GE1290" s="11"/>
      <c r="GF1290" s="11"/>
      <c r="GG1290" s="11"/>
      <c r="GH1290" s="11"/>
      <c r="GI1290" s="11"/>
      <c r="GJ1290" s="11"/>
      <c r="GK1290" s="11"/>
      <c r="GL1290" s="11"/>
      <c r="GM1290" s="11"/>
      <c r="GN1290" s="11"/>
      <c r="GO1290" s="11"/>
      <c r="GP1290" s="11"/>
      <c r="GQ1290" s="11"/>
      <c r="GR1290" s="11"/>
      <c r="GS1290" s="11"/>
      <c r="GT1290" s="11"/>
      <c r="GU1290" s="11"/>
      <c r="GV1290" s="11"/>
      <c r="GW1290" s="11"/>
      <c r="GX1290" s="11"/>
      <c r="GY1290" s="11"/>
      <c r="GZ1290" s="11"/>
      <c r="HA1290" s="11"/>
    </row>
    <row r="1291" spans="1:209" ht="23.25" customHeight="1" x14ac:dyDescent="0.15">
      <c r="A1291" s="11"/>
      <c r="B1291" s="11"/>
      <c r="C1291" s="33" t="s">
        <v>11</v>
      </c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/>
      <c r="R1291" s="11"/>
      <c r="S1291" s="11"/>
      <c r="T1291" s="11"/>
      <c r="U1291" s="11"/>
      <c r="V1291" s="11"/>
      <c r="W1291" s="11"/>
      <c r="X1291" s="11"/>
      <c r="Y1291" s="11"/>
      <c r="Z1291" s="11"/>
      <c r="AA1291" s="11"/>
      <c r="AB1291" s="11"/>
      <c r="AC1291" s="11"/>
      <c r="AD1291" s="11"/>
      <c r="AE1291" s="11"/>
      <c r="AF1291" s="11"/>
      <c r="AG1291" s="11"/>
      <c r="AH1291" s="11"/>
      <c r="AI1291" s="11"/>
      <c r="AJ1291" s="11"/>
      <c r="AK1291" s="11"/>
      <c r="AL1291" s="11"/>
      <c r="AM1291" s="11"/>
      <c r="AN1291" s="11"/>
      <c r="AO1291" s="11"/>
      <c r="AP1291" s="11"/>
      <c r="AQ1291" s="11"/>
      <c r="AR1291" s="11"/>
      <c r="AS1291" s="11"/>
      <c r="AT1291" s="11"/>
      <c r="AU1291" s="11"/>
      <c r="AV1291" s="11"/>
      <c r="AW1291" s="11"/>
      <c r="AX1291" s="52" t="s">
        <v>2121</v>
      </c>
      <c r="AY1291" s="52" t="s">
        <v>2122</v>
      </c>
      <c r="AZ1291" s="52" t="s">
        <v>3780</v>
      </c>
      <c r="BA1291" s="52" t="s">
        <v>1449</v>
      </c>
      <c r="BB1291" s="52" t="s">
        <v>3781</v>
      </c>
      <c r="BC1291" s="53">
        <v>44378</v>
      </c>
      <c r="BD1291" s="53">
        <v>44415</v>
      </c>
      <c r="BE1291" s="11"/>
      <c r="BF1291" s="55">
        <v>100</v>
      </c>
      <c r="BG1291" s="11"/>
      <c r="BH1291" s="54" t="s">
        <v>3782</v>
      </c>
      <c r="BI1291" s="11"/>
      <c r="BJ1291" s="11"/>
      <c r="BK1291" s="11"/>
      <c r="BL1291" s="11"/>
      <c r="BM1291" s="11"/>
      <c r="BN1291" s="11"/>
      <c r="BO1291" s="11"/>
      <c r="BP1291" s="11"/>
      <c r="BQ1291" s="11"/>
      <c r="BR1291" s="11"/>
      <c r="BS1291" s="11"/>
      <c r="BT1291" s="11"/>
      <c r="BU1291" s="11"/>
      <c r="BV1291" s="11"/>
      <c r="BW1291" s="52"/>
      <c r="BX1291" s="52"/>
      <c r="BY1291" s="11"/>
      <c r="BZ1291" s="52"/>
      <c r="CA1291" s="52"/>
      <c r="CB1291" s="52"/>
      <c r="CC1291" s="52"/>
      <c r="CD1291" s="53"/>
      <c r="CE1291" s="53"/>
      <c r="CF1291" s="52"/>
      <c r="CG1291" s="52"/>
      <c r="CH1291" s="11"/>
      <c r="CI1291" s="11"/>
      <c r="CJ1291" s="11"/>
      <c r="CK1291" s="11"/>
      <c r="CL1291" s="11"/>
      <c r="CM1291" s="11"/>
      <c r="CN1291" s="11"/>
      <c r="CO1291" s="11"/>
      <c r="CP1291" s="11"/>
      <c r="CQ1291" s="11"/>
      <c r="CR1291" s="11"/>
      <c r="CS1291" s="11"/>
      <c r="CT1291" s="11"/>
      <c r="CU1291" s="11"/>
      <c r="CV1291" s="11"/>
      <c r="CW1291" s="11"/>
      <c r="CX1291" s="11"/>
      <c r="CY1291" s="11"/>
      <c r="CZ1291" s="11"/>
      <c r="DA1291" s="11"/>
      <c r="DB1291" s="11"/>
      <c r="DC1291" s="11"/>
      <c r="DD1291" s="11"/>
      <c r="DE1291" s="11"/>
      <c r="DF1291" s="11"/>
      <c r="DG1291" s="11"/>
      <c r="DH1291" s="11"/>
      <c r="DI1291" s="11"/>
      <c r="DJ1291" s="11"/>
      <c r="DK1291" s="11"/>
      <c r="DL1291" s="11"/>
      <c r="DM1291" s="11"/>
      <c r="DN1291" s="11"/>
      <c r="DO1291" s="11"/>
      <c r="DP1291" s="11"/>
      <c r="DQ1291" s="11"/>
      <c r="DR1291" s="11"/>
      <c r="DS1291" s="11"/>
      <c r="DT1291" s="11"/>
      <c r="DU1291" s="11"/>
      <c r="DV1291" s="11"/>
      <c r="DW1291" s="11"/>
      <c r="DX1291" s="11"/>
      <c r="DY1291" s="11"/>
      <c r="DZ1291" s="11"/>
      <c r="EA1291" s="11"/>
      <c r="EB1291" s="11"/>
      <c r="EC1291" s="11"/>
      <c r="ED1291" s="11"/>
      <c r="EE1291" s="11"/>
      <c r="EF1291" s="11"/>
      <c r="EG1291" s="11"/>
      <c r="EH1291" s="11"/>
      <c r="EI1291" s="11"/>
      <c r="EJ1291" s="11"/>
      <c r="EK1291" s="11"/>
      <c r="EL1291" s="11"/>
      <c r="EM1291" s="11"/>
      <c r="EN1291" s="11"/>
      <c r="EO1291" s="11"/>
      <c r="EP1291" s="11"/>
      <c r="EQ1291" s="11"/>
      <c r="ER1291" s="11"/>
      <c r="ES1291" s="11"/>
      <c r="ET1291" s="11"/>
      <c r="EU1291" s="11"/>
      <c r="EV1291" s="11"/>
      <c r="EW1291" s="11"/>
      <c r="EX1291" s="11"/>
      <c r="EY1291" s="11"/>
      <c r="EZ1291" s="11"/>
      <c r="FA1291" s="11"/>
      <c r="FB1291" s="11"/>
      <c r="FC1291" s="11"/>
      <c r="FD1291" s="11"/>
      <c r="FE1291" s="11"/>
      <c r="FF1291" s="11"/>
      <c r="FG1291" s="11"/>
      <c r="FH1291" s="11"/>
      <c r="FI1291" s="11"/>
      <c r="FJ1291" s="11"/>
      <c r="FK1291" s="11"/>
      <c r="FL1291" s="52" t="s">
        <v>2127</v>
      </c>
      <c r="FM1291" s="52" t="s">
        <v>255</v>
      </c>
      <c r="FN1291" s="11"/>
      <c r="FO1291" s="11"/>
      <c r="FP1291" s="11"/>
      <c r="FQ1291" s="11"/>
      <c r="FR1291" s="11"/>
      <c r="FS1291" s="11"/>
      <c r="FT1291" s="11"/>
      <c r="FU1291" s="11"/>
      <c r="FV1291" s="11"/>
      <c r="FW1291" s="11"/>
      <c r="FX1291" s="11"/>
      <c r="FY1291" s="11"/>
      <c r="FZ1291" s="11"/>
      <c r="GA1291" s="11"/>
      <c r="GB1291" s="11"/>
      <c r="GC1291" s="11"/>
      <c r="GD1291" s="11"/>
      <c r="GE1291" s="11"/>
      <c r="GF1291" s="11"/>
      <c r="GG1291" s="11"/>
      <c r="GH1291" s="11"/>
      <c r="GI1291" s="11"/>
      <c r="GJ1291" s="11"/>
      <c r="GK1291" s="11"/>
      <c r="GL1291" s="11"/>
      <c r="GM1291" s="11"/>
      <c r="GN1291" s="11"/>
      <c r="GO1291" s="11"/>
      <c r="GP1291" s="11"/>
      <c r="GQ1291" s="11"/>
      <c r="GR1291" s="11"/>
      <c r="GS1291" s="11"/>
      <c r="GT1291" s="11"/>
      <c r="GU1291" s="11"/>
      <c r="GV1291" s="11"/>
      <c r="GW1291" s="11"/>
      <c r="GX1291" s="11"/>
      <c r="GY1291" s="11"/>
      <c r="GZ1291" s="11"/>
      <c r="HA1291" s="11"/>
    </row>
    <row r="1292" spans="1:209" ht="23.25" customHeight="1" x14ac:dyDescent="0.15">
      <c r="A1292" s="11"/>
      <c r="B1292" s="11"/>
      <c r="C1292" s="33" t="s">
        <v>11</v>
      </c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/>
      <c r="R1292" s="11"/>
      <c r="S1292" s="11"/>
      <c r="T1292" s="11"/>
      <c r="U1292" s="11"/>
      <c r="V1292" s="11"/>
      <c r="W1292" s="11"/>
      <c r="X1292" s="11"/>
      <c r="Y1292" s="11"/>
      <c r="Z1292" s="11"/>
      <c r="AA1292" s="11"/>
      <c r="AB1292" s="11"/>
      <c r="AC1292" s="11"/>
      <c r="AD1292" s="11"/>
      <c r="AE1292" s="11"/>
      <c r="AF1292" s="11"/>
      <c r="AG1292" s="11"/>
      <c r="AH1292" s="11"/>
      <c r="AI1292" s="11"/>
      <c r="AJ1292" s="11"/>
      <c r="AK1292" s="11"/>
      <c r="AL1292" s="11"/>
      <c r="AM1292" s="11"/>
      <c r="AN1292" s="11"/>
      <c r="AO1292" s="11"/>
      <c r="AP1292" s="11"/>
      <c r="AQ1292" s="11"/>
      <c r="AR1292" s="11"/>
      <c r="AS1292" s="11"/>
      <c r="AT1292" s="11"/>
      <c r="AU1292" s="11"/>
      <c r="AV1292" s="11"/>
      <c r="AW1292" s="11"/>
      <c r="AX1292" s="52" t="s">
        <v>2121</v>
      </c>
      <c r="AY1292" s="52" t="s">
        <v>2122</v>
      </c>
      <c r="AZ1292" s="52" t="s">
        <v>3783</v>
      </c>
      <c r="BA1292" s="52" t="s">
        <v>1449</v>
      </c>
      <c r="BB1292" s="52" t="s">
        <v>3784</v>
      </c>
      <c r="BC1292" s="53">
        <v>44409</v>
      </c>
      <c r="BD1292" s="53">
        <v>44415</v>
      </c>
      <c r="BE1292" s="11"/>
      <c r="BF1292" s="55">
        <v>100</v>
      </c>
      <c r="BG1292" s="11"/>
      <c r="BH1292" s="54" t="s">
        <v>3785</v>
      </c>
      <c r="BI1292" s="11"/>
      <c r="BJ1292" s="11"/>
      <c r="BK1292" s="11"/>
      <c r="BL1292" s="11"/>
      <c r="BM1292" s="11"/>
      <c r="BN1292" s="11"/>
      <c r="BO1292" s="11"/>
      <c r="BP1292" s="11"/>
      <c r="BQ1292" s="11"/>
      <c r="BR1292" s="11"/>
      <c r="BS1292" s="11"/>
      <c r="BT1292" s="11"/>
      <c r="BU1292" s="11"/>
      <c r="BV1292" s="11"/>
      <c r="BW1292" s="52"/>
      <c r="BX1292" s="52"/>
      <c r="BY1292" s="11"/>
      <c r="BZ1292" s="52"/>
      <c r="CA1292" s="52"/>
      <c r="CB1292" s="52"/>
      <c r="CC1292" s="52"/>
      <c r="CD1292" s="53"/>
      <c r="CE1292" s="53"/>
      <c r="CF1292" s="52"/>
      <c r="CG1292" s="52"/>
      <c r="CH1292" s="11"/>
      <c r="CI1292" s="11"/>
      <c r="CJ1292" s="11"/>
      <c r="CK1292" s="11"/>
      <c r="CL1292" s="11"/>
      <c r="CM1292" s="11"/>
      <c r="CN1292" s="11"/>
      <c r="CO1292" s="11"/>
      <c r="CP1292" s="11"/>
      <c r="CQ1292" s="11"/>
      <c r="CR1292" s="11"/>
      <c r="CS1292" s="11"/>
      <c r="CT1292" s="11"/>
      <c r="CU1292" s="11"/>
      <c r="CV1292" s="11"/>
      <c r="CW1292" s="11"/>
      <c r="CX1292" s="11"/>
      <c r="CY1292" s="11"/>
      <c r="CZ1292" s="11"/>
      <c r="DA1292" s="11"/>
      <c r="DB1292" s="11"/>
      <c r="DC1292" s="11"/>
      <c r="DD1292" s="11"/>
      <c r="DE1292" s="11"/>
      <c r="DF1292" s="11"/>
      <c r="DG1292" s="11"/>
      <c r="DH1292" s="11"/>
      <c r="DI1292" s="11"/>
      <c r="DJ1292" s="11"/>
      <c r="DK1292" s="11"/>
      <c r="DL1292" s="11"/>
      <c r="DM1292" s="11"/>
      <c r="DN1292" s="11"/>
      <c r="DO1292" s="11"/>
      <c r="DP1292" s="11"/>
      <c r="DQ1292" s="11"/>
      <c r="DR1292" s="11"/>
      <c r="DS1292" s="11"/>
      <c r="DT1292" s="11"/>
      <c r="DU1292" s="11"/>
      <c r="DV1292" s="11"/>
      <c r="DW1292" s="11"/>
      <c r="DX1292" s="11"/>
      <c r="DY1292" s="11"/>
      <c r="DZ1292" s="11"/>
      <c r="EA1292" s="11"/>
      <c r="EB1292" s="11"/>
      <c r="EC1292" s="11"/>
      <c r="ED1292" s="11"/>
      <c r="EE1292" s="11"/>
      <c r="EF1292" s="11"/>
      <c r="EG1292" s="11"/>
      <c r="EH1292" s="11"/>
      <c r="EI1292" s="11"/>
      <c r="EJ1292" s="11"/>
      <c r="EK1292" s="11"/>
      <c r="EL1292" s="11"/>
      <c r="EM1292" s="11"/>
      <c r="EN1292" s="11"/>
      <c r="EO1292" s="11"/>
      <c r="EP1292" s="11"/>
      <c r="EQ1292" s="11"/>
      <c r="ER1292" s="11"/>
      <c r="ES1292" s="11"/>
      <c r="ET1292" s="11"/>
      <c r="EU1292" s="11"/>
      <c r="EV1292" s="11"/>
      <c r="EW1292" s="11"/>
      <c r="EX1292" s="11"/>
      <c r="EY1292" s="11"/>
      <c r="EZ1292" s="11"/>
      <c r="FA1292" s="11"/>
      <c r="FB1292" s="11"/>
      <c r="FC1292" s="11"/>
      <c r="FD1292" s="11"/>
      <c r="FE1292" s="11"/>
      <c r="FF1292" s="11"/>
      <c r="FG1292" s="11"/>
      <c r="FH1292" s="11"/>
      <c r="FI1292" s="11"/>
      <c r="FJ1292" s="11"/>
      <c r="FK1292" s="11"/>
      <c r="FL1292" s="52" t="s">
        <v>2127</v>
      </c>
      <c r="FM1292" s="52" t="s">
        <v>255</v>
      </c>
      <c r="FN1292" s="11"/>
      <c r="FO1292" s="11"/>
      <c r="FP1292" s="11"/>
      <c r="FQ1292" s="11"/>
      <c r="FR1292" s="11"/>
      <c r="FS1292" s="11"/>
      <c r="FT1292" s="11"/>
      <c r="FU1292" s="11"/>
      <c r="FV1292" s="11"/>
      <c r="FW1292" s="11"/>
      <c r="FX1292" s="11"/>
      <c r="FY1292" s="11"/>
      <c r="FZ1292" s="11"/>
      <c r="GA1292" s="11"/>
      <c r="GB1292" s="11"/>
      <c r="GC1292" s="11"/>
      <c r="GD1292" s="11"/>
      <c r="GE1292" s="11"/>
      <c r="GF1292" s="11"/>
      <c r="GG1292" s="11"/>
      <c r="GH1292" s="11"/>
      <c r="GI1292" s="11"/>
      <c r="GJ1292" s="11"/>
      <c r="GK1292" s="11"/>
      <c r="GL1292" s="11"/>
      <c r="GM1292" s="11"/>
      <c r="GN1292" s="11"/>
      <c r="GO1292" s="11"/>
      <c r="GP1292" s="11"/>
      <c r="GQ1292" s="11"/>
      <c r="GR1292" s="11"/>
      <c r="GS1292" s="11"/>
      <c r="GT1292" s="11"/>
      <c r="GU1292" s="11"/>
      <c r="GV1292" s="11"/>
      <c r="GW1292" s="11"/>
      <c r="GX1292" s="11"/>
      <c r="GY1292" s="11"/>
      <c r="GZ1292" s="11"/>
      <c r="HA1292" s="11"/>
    </row>
    <row r="1293" spans="1:209" ht="23.25" customHeight="1" x14ac:dyDescent="0.15">
      <c r="A1293" s="11"/>
      <c r="B1293" s="11"/>
      <c r="C1293" s="33" t="s">
        <v>11</v>
      </c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/>
      <c r="R1293" s="11"/>
      <c r="S1293" s="11"/>
      <c r="T1293" s="11"/>
      <c r="U1293" s="11"/>
      <c r="V1293" s="11"/>
      <c r="W1293" s="11"/>
      <c r="X1293" s="11"/>
      <c r="Y1293" s="11"/>
      <c r="Z1293" s="11"/>
      <c r="AA1293" s="11"/>
      <c r="AB1293" s="11"/>
      <c r="AC1293" s="11"/>
      <c r="AD1293" s="11"/>
      <c r="AE1293" s="11"/>
      <c r="AF1293" s="11"/>
      <c r="AG1293" s="11"/>
      <c r="AH1293" s="11"/>
      <c r="AI1293" s="11"/>
      <c r="AJ1293" s="11"/>
      <c r="AK1293" s="11"/>
      <c r="AL1293" s="11"/>
      <c r="AM1293" s="11"/>
      <c r="AN1293" s="11"/>
      <c r="AO1293" s="11"/>
      <c r="AP1293" s="11"/>
      <c r="AQ1293" s="11"/>
      <c r="AR1293" s="11"/>
      <c r="AS1293" s="11"/>
      <c r="AT1293" s="11"/>
      <c r="AU1293" s="11"/>
      <c r="AV1293" s="11"/>
      <c r="AW1293" s="11"/>
      <c r="AX1293" s="52" t="s">
        <v>830</v>
      </c>
      <c r="AY1293" s="52" t="s">
        <v>831</v>
      </c>
      <c r="AZ1293" s="52" t="s">
        <v>3786</v>
      </c>
      <c r="BA1293" s="52" t="s">
        <v>343</v>
      </c>
      <c r="BB1293" s="52" t="s">
        <v>308</v>
      </c>
      <c r="BC1293" s="53">
        <v>44013</v>
      </c>
      <c r="BD1293" s="53">
        <v>44074</v>
      </c>
      <c r="BE1293" s="11"/>
      <c r="BF1293" s="55">
        <v>100</v>
      </c>
      <c r="BG1293" s="11"/>
      <c r="BH1293" s="54" t="s">
        <v>3787</v>
      </c>
      <c r="BI1293" s="11"/>
      <c r="BJ1293" s="11"/>
      <c r="BK1293" s="11"/>
      <c r="BL1293" s="11"/>
      <c r="BM1293" s="11"/>
      <c r="BN1293" s="11"/>
      <c r="BO1293" s="11"/>
      <c r="BP1293" s="11"/>
      <c r="BQ1293" s="11"/>
      <c r="BR1293" s="11"/>
      <c r="BS1293" s="11"/>
      <c r="BT1293" s="11"/>
      <c r="BU1293" s="11"/>
      <c r="BV1293" s="11"/>
      <c r="BW1293" s="52"/>
      <c r="BX1293" s="52"/>
      <c r="BY1293" s="11"/>
      <c r="BZ1293" s="52"/>
      <c r="CA1293" s="52"/>
      <c r="CB1293" s="52"/>
      <c r="CC1293" s="52"/>
      <c r="CD1293" s="53"/>
      <c r="CE1293" s="53"/>
      <c r="CF1293" s="52"/>
      <c r="CG1293" s="52"/>
      <c r="CH1293" s="11"/>
      <c r="CI1293" s="11"/>
      <c r="CJ1293" s="11"/>
      <c r="CK1293" s="11"/>
      <c r="CL1293" s="11"/>
      <c r="CM1293" s="11"/>
      <c r="CN1293" s="11"/>
      <c r="CO1293" s="11"/>
      <c r="CP1293" s="11"/>
      <c r="CQ1293" s="11"/>
      <c r="CR1293" s="11"/>
      <c r="CS1293" s="11"/>
      <c r="CT1293" s="11"/>
      <c r="CU1293" s="11"/>
      <c r="CV1293" s="11"/>
      <c r="CW1293" s="11"/>
      <c r="CX1293" s="11"/>
      <c r="CY1293" s="11"/>
      <c r="CZ1293" s="11"/>
      <c r="DA1293" s="11"/>
      <c r="DB1293" s="11"/>
      <c r="DC1293" s="11"/>
      <c r="DD1293" s="11"/>
      <c r="DE1293" s="11"/>
      <c r="DF1293" s="11"/>
      <c r="DG1293" s="11"/>
      <c r="DH1293" s="11"/>
      <c r="DI1293" s="11"/>
      <c r="DJ1293" s="11"/>
      <c r="DK1293" s="11"/>
      <c r="DL1293" s="11"/>
      <c r="DM1293" s="11"/>
      <c r="DN1293" s="11"/>
      <c r="DO1293" s="11"/>
      <c r="DP1293" s="11"/>
      <c r="DQ1293" s="11"/>
      <c r="DR1293" s="11"/>
      <c r="DS1293" s="11"/>
      <c r="DT1293" s="11"/>
      <c r="DU1293" s="11"/>
      <c r="DV1293" s="11"/>
      <c r="DW1293" s="11"/>
      <c r="DX1293" s="11"/>
      <c r="DY1293" s="11"/>
      <c r="DZ1293" s="11"/>
      <c r="EA1293" s="11"/>
      <c r="EB1293" s="11"/>
      <c r="EC1293" s="11"/>
      <c r="ED1293" s="11"/>
      <c r="EE1293" s="11"/>
      <c r="EF1293" s="11"/>
      <c r="EG1293" s="11"/>
      <c r="EH1293" s="11"/>
      <c r="EI1293" s="11"/>
      <c r="EJ1293" s="11"/>
      <c r="EK1293" s="11"/>
      <c r="EL1293" s="11"/>
      <c r="EM1293" s="11"/>
      <c r="EN1293" s="11"/>
      <c r="EO1293" s="11"/>
      <c r="EP1293" s="11"/>
      <c r="EQ1293" s="11"/>
      <c r="ER1293" s="11"/>
      <c r="ES1293" s="11"/>
      <c r="ET1293" s="11"/>
      <c r="EU1293" s="11"/>
      <c r="EV1293" s="11"/>
      <c r="EW1293" s="11"/>
      <c r="EX1293" s="11"/>
      <c r="EY1293" s="11"/>
      <c r="EZ1293" s="11"/>
      <c r="FA1293" s="11"/>
      <c r="FB1293" s="11"/>
      <c r="FC1293" s="11"/>
      <c r="FD1293" s="11"/>
      <c r="FE1293" s="11"/>
      <c r="FF1293" s="11"/>
      <c r="FG1293" s="11"/>
      <c r="FH1293" s="11"/>
      <c r="FI1293" s="11"/>
      <c r="FJ1293" s="11"/>
      <c r="FK1293" s="11"/>
      <c r="FL1293" s="52" t="s">
        <v>834</v>
      </c>
      <c r="FM1293" s="52" t="s">
        <v>255</v>
      </c>
      <c r="FN1293" s="11"/>
      <c r="FO1293" s="11"/>
      <c r="FP1293" s="11"/>
      <c r="FQ1293" s="11"/>
      <c r="FR1293" s="11"/>
      <c r="FS1293" s="11"/>
      <c r="FT1293" s="11"/>
      <c r="FU1293" s="11"/>
      <c r="FV1293" s="11"/>
      <c r="FW1293" s="11"/>
      <c r="FX1293" s="11"/>
      <c r="FY1293" s="11"/>
      <c r="FZ1293" s="11"/>
      <c r="GA1293" s="11"/>
      <c r="GB1293" s="11"/>
      <c r="GC1293" s="11"/>
      <c r="GD1293" s="11"/>
      <c r="GE1293" s="11"/>
      <c r="GF1293" s="11"/>
      <c r="GG1293" s="11"/>
      <c r="GH1293" s="11"/>
      <c r="GI1293" s="11"/>
      <c r="GJ1293" s="11"/>
      <c r="GK1293" s="11"/>
      <c r="GL1293" s="11"/>
      <c r="GM1293" s="11"/>
      <c r="GN1293" s="11"/>
      <c r="GO1293" s="11"/>
      <c r="GP1293" s="11"/>
      <c r="GQ1293" s="11"/>
      <c r="GR1293" s="11"/>
      <c r="GS1293" s="11"/>
      <c r="GT1293" s="11"/>
      <c r="GU1293" s="11"/>
      <c r="GV1293" s="11"/>
      <c r="GW1293" s="11"/>
      <c r="GX1293" s="11"/>
      <c r="GY1293" s="11"/>
      <c r="GZ1293" s="11"/>
      <c r="HA1293" s="11"/>
    </row>
    <row r="1294" spans="1:209" ht="23.25" customHeight="1" x14ac:dyDescent="0.15">
      <c r="A1294" s="11"/>
      <c r="B1294" s="11"/>
      <c r="C1294" s="33" t="s">
        <v>11</v>
      </c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/>
      <c r="R1294" s="11"/>
      <c r="S1294" s="11"/>
      <c r="T1294" s="11"/>
      <c r="U1294" s="11"/>
      <c r="V1294" s="11"/>
      <c r="W1294" s="11"/>
      <c r="X1294" s="11"/>
      <c r="Y1294" s="11"/>
      <c r="Z1294" s="11"/>
      <c r="AA1294" s="11"/>
      <c r="AB1294" s="11"/>
      <c r="AC1294" s="11"/>
      <c r="AD1294" s="11"/>
      <c r="AE1294" s="11"/>
      <c r="AF1294" s="11"/>
      <c r="AG1294" s="11"/>
      <c r="AH1294" s="11"/>
      <c r="AI1294" s="11"/>
      <c r="AJ1294" s="11"/>
      <c r="AK1294" s="11"/>
      <c r="AL1294" s="11"/>
      <c r="AM1294" s="11"/>
      <c r="AN1294" s="11"/>
      <c r="AO1294" s="11"/>
      <c r="AP1294" s="11"/>
      <c r="AQ1294" s="11"/>
      <c r="AR1294" s="11"/>
      <c r="AS1294" s="11"/>
      <c r="AT1294" s="11"/>
      <c r="AU1294" s="11"/>
      <c r="AV1294" s="11"/>
      <c r="AW1294" s="11"/>
      <c r="AX1294" s="52" t="s">
        <v>830</v>
      </c>
      <c r="AY1294" s="52" t="s">
        <v>831</v>
      </c>
      <c r="AZ1294" s="52" t="s">
        <v>1348</v>
      </c>
      <c r="BA1294" s="52" t="s">
        <v>343</v>
      </c>
      <c r="BB1294" s="52" t="s">
        <v>493</v>
      </c>
      <c r="BC1294" s="53">
        <v>43922</v>
      </c>
      <c r="BD1294" s="53">
        <v>43951</v>
      </c>
      <c r="BE1294" s="11"/>
      <c r="BF1294" s="55">
        <v>100</v>
      </c>
      <c r="BG1294" s="11"/>
      <c r="BH1294" s="54" t="s">
        <v>3788</v>
      </c>
      <c r="BI1294" s="11"/>
      <c r="BJ1294" s="11"/>
      <c r="BK1294" s="11"/>
      <c r="BL1294" s="11"/>
      <c r="BM1294" s="11"/>
      <c r="BN1294" s="11"/>
      <c r="BO1294" s="11"/>
      <c r="BP1294" s="11"/>
      <c r="BQ1294" s="11"/>
      <c r="BR1294" s="11"/>
      <c r="BS1294" s="11"/>
      <c r="BT1294" s="11"/>
      <c r="BU1294" s="11"/>
      <c r="BV1294" s="11"/>
      <c r="BW1294" s="52"/>
      <c r="BX1294" s="52"/>
      <c r="BY1294" s="11"/>
      <c r="BZ1294" s="52"/>
      <c r="CA1294" s="52"/>
      <c r="CB1294" s="52"/>
      <c r="CC1294" s="52"/>
      <c r="CD1294" s="53"/>
      <c r="CE1294" s="53"/>
      <c r="CF1294" s="52"/>
      <c r="CG1294" s="52"/>
      <c r="CH1294" s="11"/>
      <c r="CI1294" s="11"/>
      <c r="CJ1294" s="11"/>
      <c r="CK1294" s="11"/>
      <c r="CL1294" s="11"/>
      <c r="CM1294" s="11"/>
      <c r="CN1294" s="11"/>
      <c r="CO1294" s="11"/>
      <c r="CP1294" s="11"/>
      <c r="CQ1294" s="11"/>
      <c r="CR1294" s="11"/>
      <c r="CS1294" s="11"/>
      <c r="CT1294" s="11"/>
      <c r="CU1294" s="11"/>
      <c r="CV1294" s="11"/>
      <c r="CW1294" s="11"/>
      <c r="CX1294" s="11"/>
      <c r="CY1294" s="11"/>
      <c r="CZ1294" s="11"/>
      <c r="DA1294" s="11"/>
      <c r="DB1294" s="11"/>
      <c r="DC1294" s="11"/>
      <c r="DD1294" s="11"/>
      <c r="DE1294" s="11"/>
      <c r="DF1294" s="11"/>
      <c r="DG1294" s="11"/>
      <c r="DH1294" s="11"/>
      <c r="DI1294" s="11"/>
      <c r="DJ1294" s="11"/>
      <c r="DK1294" s="11"/>
      <c r="DL1294" s="11"/>
      <c r="DM1294" s="11"/>
      <c r="DN1294" s="11"/>
      <c r="DO1294" s="11"/>
      <c r="DP1294" s="11"/>
      <c r="DQ1294" s="11"/>
      <c r="DR1294" s="11"/>
      <c r="DS1294" s="11"/>
      <c r="DT1294" s="11"/>
      <c r="DU1294" s="11"/>
      <c r="DV1294" s="11"/>
      <c r="DW1294" s="11"/>
      <c r="DX1294" s="11"/>
      <c r="DY1294" s="11"/>
      <c r="DZ1294" s="11"/>
      <c r="EA1294" s="11"/>
      <c r="EB1294" s="11"/>
      <c r="EC1294" s="11"/>
      <c r="ED1294" s="11"/>
      <c r="EE1294" s="11"/>
      <c r="EF1294" s="11"/>
      <c r="EG1294" s="11"/>
      <c r="EH1294" s="11"/>
      <c r="EI1294" s="11"/>
      <c r="EJ1294" s="11"/>
      <c r="EK1294" s="11"/>
      <c r="EL1294" s="11"/>
      <c r="EM1294" s="11"/>
      <c r="EN1294" s="11"/>
      <c r="EO1294" s="11"/>
      <c r="EP1294" s="11"/>
      <c r="EQ1294" s="11"/>
      <c r="ER1294" s="11"/>
      <c r="ES1294" s="11"/>
      <c r="ET1294" s="11"/>
      <c r="EU1294" s="11"/>
      <c r="EV1294" s="11"/>
      <c r="EW1294" s="11"/>
      <c r="EX1294" s="11"/>
      <c r="EY1294" s="11"/>
      <c r="EZ1294" s="11"/>
      <c r="FA1294" s="11"/>
      <c r="FB1294" s="11"/>
      <c r="FC1294" s="11"/>
      <c r="FD1294" s="11"/>
      <c r="FE1294" s="11"/>
      <c r="FF1294" s="11"/>
      <c r="FG1294" s="11"/>
      <c r="FH1294" s="11"/>
      <c r="FI1294" s="11"/>
      <c r="FJ1294" s="11"/>
      <c r="FK1294" s="11"/>
      <c r="FL1294" s="52" t="s">
        <v>834</v>
      </c>
      <c r="FM1294" s="52" t="s">
        <v>255</v>
      </c>
      <c r="FN1294" s="11"/>
      <c r="FO1294" s="11"/>
      <c r="FP1294" s="11"/>
      <c r="FQ1294" s="11"/>
      <c r="FR1294" s="11"/>
      <c r="FS1294" s="11"/>
      <c r="FT1294" s="11"/>
      <c r="FU1294" s="11"/>
      <c r="FV1294" s="11"/>
      <c r="FW1294" s="11"/>
      <c r="FX1294" s="11"/>
      <c r="FY1294" s="11"/>
      <c r="FZ1294" s="11"/>
      <c r="GA1294" s="11"/>
      <c r="GB1294" s="11"/>
      <c r="GC1294" s="11"/>
      <c r="GD1294" s="11"/>
      <c r="GE1294" s="11"/>
      <c r="GF1294" s="11"/>
      <c r="GG1294" s="11"/>
      <c r="GH1294" s="11"/>
      <c r="GI1294" s="11"/>
      <c r="GJ1294" s="11"/>
      <c r="GK1294" s="11"/>
      <c r="GL1294" s="11"/>
      <c r="GM1294" s="11"/>
      <c r="GN1294" s="11"/>
      <c r="GO1294" s="11"/>
      <c r="GP1294" s="11"/>
      <c r="GQ1294" s="11"/>
      <c r="GR1294" s="11"/>
      <c r="GS1294" s="11"/>
      <c r="GT1294" s="11"/>
      <c r="GU1294" s="11"/>
      <c r="GV1294" s="11"/>
      <c r="GW1294" s="11"/>
      <c r="GX1294" s="11"/>
      <c r="GY1294" s="11"/>
      <c r="GZ1294" s="11"/>
      <c r="HA1294" s="11"/>
    </row>
    <row r="1295" spans="1:209" ht="23.25" customHeight="1" x14ac:dyDescent="0.15">
      <c r="A1295" s="11"/>
      <c r="B1295" s="11"/>
      <c r="C1295" s="33" t="s">
        <v>11</v>
      </c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/>
      <c r="R1295" s="11"/>
      <c r="S1295" s="11"/>
      <c r="T1295" s="11"/>
      <c r="U1295" s="11"/>
      <c r="V1295" s="11"/>
      <c r="W1295" s="11"/>
      <c r="X1295" s="11"/>
      <c r="Y1295" s="11"/>
      <c r="Z1295" s="11"/>
      <c r="AA1295" s="11"/>
      <c r="AB1295" s="11"/>
      <c r="AC1295" s="11"/>
      <c r="AD1295" s="11"/>
      <c r="AE1295" s="11"/>
      <c r="AF1295" s="11"/>
      <c r="AG1295" s="11"/>
      <c r="AH1295" s="11"/>
      <c r="AI1295" s="11"/>
      <c r="AJ1295" s="11"/>
      <c r="AK1295" s="11"/>
      <c r="AL1295" s="11"/>
      <c r="AM1295" s="11"/>
      <c r="AN1295" s="11"/>
      <c r="AO1295" s="11"/>
      <c r="AP1295" s="11"/>
      <c r="AQ1295" s="11"/>
      <c r="AR1295" s="11"/>
      <c r="AS1295" s="11"/>
      <c r="AT1295" s="11"/>
      <c r="AU1295" s="11"/>
      <c r="AV1295" s="11"/>
      <c r="AW1295" s="11"/>
      <c r="AX1295" s="52" t="s">
        <v>830</v>
      </c>
      <c r="AY1295" s="52" t="s">
        <v>831</v>
      </c>
      <c r="AZ1295" s="52" t="s">
        <v>3789</v>
      </c>
      <c r="BA1295" s="52" t="s">
        <v>343</v>
      </c>
      <c r="BB1295" s="52" t="s">
        <v>308</v>
      </c>
      <c r="BC1295" s="53">
        <v>43983</v>
      </c>
      <c r="BD1295" s="53">
        <v>44043</v>
      </c>
      <c r="BE1295" s="11"/>
      <c r="BF1295" s="55">
        <v>100</v>
      </c>
      <c r="BG1295" s="11"/>
      <c r="BH1295" s="54" t="s">
        <v>3790</v>
      </c>
      <c r="BI1295" s="11"/>
      <c r="BJ1295" s="11"/>
      <c r="BK1295" s="11"/>
      <c r="BL1295" s="11"/>
      <c r="BM1295" s="11"/>
      <c r="BN1295" s="11"/>
      <c r="BO1295" s="11"/>
      <c r="BP1295" s="11"/>
      <c r="BQ1295" s="11"/>
      <c r="BR1295" s="11"/>
      <c r="BS1295" s="11"/>
      <c r="BT1295" s="11"/>
      <c r="BU1295" s="11"/>
      <c r="BV1295" s="11"/>
      <c r="BW1295" s="52"/>
      <c r="BX1295" s="52"/>
      <c r="BY1295" s="11"/>
      <c r="BZ1295" s="52"/>
      <c r="CA1295" s="52"/>
      <c r="CB1295" s="52"/>
      <c r="CC1295" s="52"/>
      <c r="CD1295" s="53"/>
      <c r="CE1295" s="53"/>
      <c r="CF1295" s="52"/>
      <c r="CG1295" s="52"/>
      <c r="CH1295" s="11"/>
      <c r="CI1295" s="11"/>
      <c r="CJ1295" s="11"/>
      <c r="CK1295" s="11"/>
      <c r="CL1295" s="11"/>
      <c r="CM1295" s="11"/>
      <c r="CN1295" s="11"/>
      <c r="CO1295" s="11"/>
      <c r="CP1295" s="11"/>
      <c r="CQ1295" s="11"/>
      <c r="CR1295" s="11"/>
      <c r="CS1295" s="11"/>
      <c r="CT1295" s="11"/>
      <c r="CU1295" s="11"/>
      <c r="CV1295" s="11"/>
      <c r="CW1295" s="11"/>
      <c r="CX1295" s="11"/>
      <c r="CY1295" s="11"/>
      <c r="CZ1295" s="11"/>
      <c r="DA1295" s="11"/>
      <c r="DB1295" s="11"/>
      <c r="DC1295" s="11"/>
      <c r="DD1295" s="11"/>
      <c r="DE1295" s="11"/>
      <c r="DF1295" s="11"/>
      <c r="DG1295" s="11"/>
      <c r="DH1295" s="11"/>
      <c r="DI1295" s="11"/>
      <c r="DJ1295" s="11"/>
      <c r="DK1295" s="11"/>
      <c r="DL1295" s="11"/>
      <c r="DM1295" s="11"/>
      <c r="DN1295" s="11"/>
      <c r="DO1295" s="11"/>
      <c r="DP1295" s="11"/>
      <c r="DQ1295" s="11"/>
      <c r="DR1295" s="11"/>
      <c r="DS1295" s="11"/>
      <c r="DT1295" s="11"/>
      <c r="DU1295" s="11"/>
      <c r="DV1295" s="11"/>
      <c r="DW1295" s="11"/>
      <c r="DX1295" s="11"/>
      <c r="DY1295" s="11"/>
      <c r="DZ1295" s="11"/>
      <c r="EA1295" s="11"/>
      <c r="EB1295" s="11"/>
      <c r="EC1295" s="11"/>
      <c r="ED1295" s="11"/>
      <c r="EE1295" s="11"/>
      <c r="EF1295" s="11"/>
      <c r="EG1295" s="11"/>
      <c r="EH1295" s="11"/>
      <c r="EI1295" s="11"/>
      <c r="EJ1295" s="11"/>
      <c r="EK1295" s="11"/>
      <c r="EL1295" s="11"/>
      <c r="EM1295" s="11"/>
      <c r="EN1295" s="11"/>
      <c r="EO1295" s="11"/>
      <c r="EP1295" s="11"/>
      <c r="EQ1295" s="11"/>
      <c r="ER1295" s="11"/>
      <c r="ES1295" s="11"/>
      <c r="ET1295" s="11"/>
      <c r="EU1295" s="11"/>
      <c r="EV1295" s="11"/>
      <c r="EW1295" s="11"/>
      <c r="EX1295" s="11"/>
      <c r="EY1295" s="11"/>
      <c r="EZ1295" s="11"/>
      <c r="FA1295" s="11"/>
      <c r="FB1295" s="11"/>
      <c r="FC1295" s="11"/>
      <c r="FD1295" s="11"/>
      <c r="FE1295" s="11"/>
      <c r="FF1295" s="11"/>
      <c r="FG1295" s="11"/>
      <c r="FH1295" s="11"/>
      <c r="FI1295" s="11"/>
      <c r="FJ1295" s="11"/>
      <c r="FK1295" s="11"/>
      <c r="FL1295" s="52" t="s">
        <v>834</v>
      </c>
      <c r="FM1295" s="52" t="s">
        <v>255</v>
      </c>
      <c r="FN1295" s="11"/>
      <c r="FO1295" s="11"/>
      <c r="FP1295" s="11"/>
      <c r="FQ1295" s="11"/>
      <c r="FR1295" s="11"/>
      <c r="FS1295" s="11"/>
      <c r="FT1295" s="11"/>
      <c r="FU1295" s="11"/>
      <c r="FV1295" s="11"/>
      <c r="FW1295" s="11"/>
      <c r="FX1295" s="11"/>
      <c r="FY1295" s="11"/>
      <c r="FZ1295" s="11"/>
      <c r="GA1295" s="11"/>
      <c r="GB1295" s="11"/>
      <c r="GC1295" s="11"/>
      <c r="GD1295" s="11"/>
      <c r="GE1295" s="11"/>
      <c r="GF1295" s="11"/>
      <c r="GG1295" s="11"/>
      <c r="GH1295" s="11"/>
      <c r="GI1295" s="11"/>
      <c r="GJ1295" s="11"/>
      <c r="GK1295" s="11"/>
      <c r="GL1295" s="11"/>
      <c r="GM1295" s="11"/>
      <c r="GN1295" s="11"/>
      <c r="GO1295" s="11"/>
      <c r="GP1295" s="11"/>
      <c r="GQ1295" s="11"/>
      <c r="GR1295" s="11"/>
      <c r="GS1295" s="11"/>
      <c r="GT1295" s="11"/>
      <c r="GU1295" s="11"/>
      <c r="GV1295" s="11"/>
      <c r="GW1295" s="11"/>
      <c r="GX1295" s="11"/>
      <c r="GY1295" s="11"/>
      <c r="GZ1295" s="11"/>
      <c r="HA1295" s="11"/>
    </row>
    <row r="1296" spans="1:209" ht="23.25" customHeight="1" x14ac:dyDescent="0.15">
      <c r="A1296" s="11"/>
      <c r="B1296" s="11"/>
      <c r="C1296" s="33" t="s">
        <v>11</v>
      </c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/>
      <c r="R1296" s="11"/>
      <c r="S1296" s="11"/>
      <c r="T1296" s="11"/>
      <c r="U1296" s="11"/>
      <c r="V1296" s="11"/>
      <c r="W1296" s="11"/>
      <c r="X1296" s="11"/>
      <c r="Y1296" s="11"/>
      <c r="Z1296" s="11"/>
      <c r="AA1296" s="11"/>
      <c r="AB1296" s="11"/>
      <c r="AC1296" s="11"/>
      <c r="AD1296" s="11"/>
      <c r="AE1296" s="11"/>
      <c r="AF1296" s="11"/>
      <c r="AG1296" s="11"/>
      <c r="AH1296" s="11"/>
      <c r="AI1296" s="11"/>
      <c r="AJ1296" s="11"/>
      <c r="AK1296" s="11"/>
      <c r="AL1296" s="11"/>
      <c r="AM1296" s="11"/>
      <c r="AN1296" s="11"/>
      <c r="AO1296" s="11"/>
      <c r="AP1296" s="11"/>
      <c r="AQ1296" s="11"/>
      <c r="AR1296" s="11"/>
      <c r="AS1296" s="11"/>
      <c r="AT1296" s="11"/>
      <c r="AU1296" s="11"/>
      <c r="AV1296" s="11"/>
      <c r="AW1296" s="11"/>
      <c r="AX1296" s="52" t="s">
        <v>3791</v>
      </c>
      <c r="AY1296" s="52" t="s">
        <v>831</v>
      </c>
      <c r="AZ1296" s="52" t="s">
        <v>3792</v>
      </c>
      <c r="BA1296" s="52" t="s">
        <v>343</v>
      </c>
      <c r="BB1296" s="52" t="s">
        <v>308</v>
      </c>
      <c r="BC1296" s="53">
        <v>43983</v>
      </c>
      <c r="BD1296" s="53">
        <v>44043</v>
      </c>
      <c r="BE1296" s="11"/>
      <c r="BF1296" s="55">
        <v>100</v>
      </c>
      <c r="BG1296" s="11"/>
      <c r="BH1296" s="54" t="s">
        <v>3793</v>
      </c>
      <c r="BI1296" s="11"/>
      <c r="BJ1296" s="11"/>
      <c r="BK1296" s="11"/>
      <c r="BL1296" s="11"/>
      <c r="BM1296" s="11"/>
      <c r="BN1296" s="11"/>
      <c r="BO1296" s="11"/>
      <c r="BP1296" s="11"/>
      <c r="BQ1296" s="11"/>
      <c r="BR1296" s="11"/>
      <c r="BS1296" s="11"/>
      <c r="BT1296" s="11"/>
      <c r="BU1296" s="11"/>
      <c r="BV1296" s="11"/>
      <c r="BW1296" s="52"/>
      <c r="BX1296" s="52"/>
      <c r="BY1296" s="11"/>
      <c r="BZ1296" s="52"/>
      <c r="CA1296" s="52"/>
      <c r="CB1296" s="52"/>
      <c r="CC1296" s="52"/>
      <c r="CD1296" s="53"/>
      <c r="CE1296" s="53"/>
      <c r="CF1296" s="52"/>
      <c r="CG1296" s="52"/>
      <c r="CH1296" s="11"/>
      <c r="CI1296" s="11"/>
      <c r="CJ1296" s="11"/>
      <c r="CK1296" s="11"/>
      <c r="CL1296" s="11"/>
      <c r="CM1296" s="11"/>
      <c r="CN1296" s="11"/>
      <c r="CO1296" s="11"/>
      <c r="CP1296" s="11"/>
      <c r="CQ1296" s="11"/>
      <c r="CR1296" s="11"/>
      <c r="CS1296" s="11"/>
      <c r="CT1296" s="11"/>
      <c r="CU1296" s="11"/>
      <c r="CV1296" s="11"/>
      <c r="CW1296" s="11"/>
      <c r="CX1296" s="11"/>
      <c r="CY1296" s="11"/>
      <c r="CZ1296" s="11"/>
      <c r="DA1296" s="11"/>
      <c r="DB1296" s="11"/>
      <c r="DC1296" s="11"/>
      <c r="DD1296" s="11"/>
      <c r="DE1296" s="11"/>
      <c r="DF1296" s="11"/>
      <c r="DG1296" s="11"/>
      <c r="DH1296" s="11"/>
      <c r="DI1296" s="11"/>
      <c r="DJ1296" s="11"/>
      <c r="DK1296" s="11"/>
      <c r="DL1296" s="11"/>
      <c r="DM1296" s="11"/>
      <c r="DN1296" s="11"/>
      <c r="DO1296" s="11"/>
      <c r="DP1296" s="11"/>
      <c r="DQ1296" s="11"/>
      <c r="DR1296" s="11"/>
      <c r="DS1296" s="11"/>
      <c r="DT1296" s="11"/>
      <c r="DU1296" s="11"/>
      <c r="DV1296" s="11"/>
      <c r="DW1296" s="11"/>
      <c r="DX1296" s="11"/>
      <c r="DY1296" s="11"/>
      <c r="DZ1296" s="11"/>
      <c r="EA1296" s="11"/>
      <c r="EB1296" s="11"/>
      <c r="EC1296" s="11"/>
      <c r="ED1296" s="11"/>
      <c r="EE1296" s="11"/>
      <c r="EF1296" s="11"/>
      <c r="EG1296" s="11"/>
      <c r="EH1296" s="11"/>
      <c r="EI1296" s="11"/>
      <c r="EJ1296" s="11"/>
      <c r="EK1296" s="11"/>
      <c r="EL1296" s="11"/>
      <c r="EM1296" s="11"/>
      <c r="EN1296" s="11"/>
      <c r="EO1296" s="11"/>
      <c r="EP1296" s="11"/>
      <c r="EQ1296" s="11"/>
      <c r="ER1296" s="11"/>
      <c r="ES1296" s="11"/>
      <c r="ET1296" s="11"/>
      <c r="EU1296" s="11"/>
      <c r="EV1296" s="11"/>
      <c r="EW1296" s="11"/>
      <c r="EX1296" s="11"/>
      <c r="EY1296" s="11"/>
      <c r="EZ1296" s="11"/>
      <c r="FA1296" s="11"/>
      <c r="FB1296" s="11"/>
      <c r="FC1296" s="11"/>
      <c r="FD1296" s="11"/>
      <c r="FE1296" s="11"/>
      <c r="FF1296" s="11"/>
      <c r="FG1296" s="11"/>
      <c r="FH1296" s="11"/>
      <c r="FI1296" s="11"/>
      <c r="FJ1296" s="11"/>
      <c r="FK1296" s="11"/>
      <c r="FL1296" s="52" t="s">
        <v>834</v>
      </c>
      <c r="FM1296" s="52" t="s">
        <v>255</v>
      </c>
      <c r="FN1296" s="11"/>
      <c r="FO1296" s="11"/>
      <c r="FP1296" s="11"/>
      <c r="FQ1296" s="11"/>
      <c r="FR1296" s="11"/>
      <c r="FS1296" s="11"/>
      <c r="FT1296" s="11"/>
      <c r="FU1296" s="11"/>
      <c r="FV1296" s="11"/>
      <c r="FW1296" s="11"/>
      <c r="FX1296" s="11"/>
      <c r="FY1296" s="11"/>
      <c r="FZ1296" s="11"/>
      <c r="GA1296" s="11"/>
      <c r="GB1296" s="11"/>
      <c r="GC1296" s="11"/>
      <c r="GD1296" s="11"/>
      <c r="GE1296" s="11"/>
      <c r="GF1296" s="11"/>
      <c r="GG1296" s="11"/>
      <c r="GH1296" s="11"/>
      <c r="GI1296" s="11"/>
      <c r="GJ1296" s="11"/>
      <c r="GK1296" s="11"/>
      <c r="GL1296" s="11"/>
      <c r="GM1296" s="11"/>
      <c r="GN1296" s="11"/>
      <c r="GO1296" s="11"/>
      <c r="GP1296" s="11"/>
      <c r="GQ1296" s="11"/>
      <c r="GR1296" s="11"/>
      <c r="GS1296" s="11"/>
      <c r="GT1296" s="11"/>
      <c r="GU1296" s="11"/>
      <c r="GV1296" s="11"/>
      <c r="GW1296" s="11"/>
      <c r="GX1296" s="11"/>
      <c r="GY1296" s="11"/>
      <c r="GZ1296" s="11"/>
      <c r="HA1296" s="11"/>
    </row>
    <row r="1297" spans="1:209" ht="23.25" customHeight="1" x14ac:dyDescent="0.15">
      <c r="A1297" s="11"/>
      <c r="B1297" s="11"/>
      <c r="C1297" s="33" t="s">
        <v>11</v>
      </c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/>
      <c r="R1297" s="11"/>
      <c r="S1297" s="11"/>
      <c r="T1297" s="11"/>
      <c r="U1297" s="11"/>
      <c r="V1297" s="11"/>
      <c r="W1297" s="11"/>
      <c r="X1297" s="11"/>
      <c r="Y1297" s="11"/>
      <c r="Z1297" s="11"/>
      <c r="AA1297" s="11"/>
      <c r="AB1297" s="11"/>
      <c r="AC1297" s="11"/>
      <c r="AD1297" s="11"/>
      <c r="AE1297" s="11"/>
      <c r="AF1297" s="11"/>
      <c r="AG1297" s="11"/>
      <c r="AH1297" s="11"/>
      <c r="AI1297" s="11"/>
      <c r="AJ1297" s="11"/>
      <c r="AK1297" s="11"/>
      <c r="AL1297" s="11"/>
      <c r="AM1297" s="11"/>
      <c r="AN1297" s="11"/>
      <c r="AO1297" s="11"/>
      <c r="AP1297" s="11"/>
      <c r="AQ1297" s="11"/>
      <c r="AR1297" s="11"/>
      <c r="AS1297" s="11"/>
      <c r="AT1297" s="11"/>
      <c r="AU1297" s="11"/>
      <c r="AV1297" s="11"/>
      <c r="AW1297" s="11"/>
      <c r="AX1297" s="52" t="s">
        <v>830</v>
      </c>
      <c r="AY1297" s="52" t="s">
        <v>831</v>
      </c>
      <c r="AZ1297" s="52" t="s">
        <v>3794</v>
      </c>
      <c r="BA1297" s="52" t="s">
        <v>343</v>
      </c>
      <c r="BB1297" s="52" t="s">
        <v>308</v>
      </c>
      <c r="BC1297" s="53">
        <v>43952</v>
      </c>
      <c r="BD1297" s="53">
        <v>44012</v>
      </c>
      <c r="BE1297" s="11"/>
      <c r="BF1297" s="55">
        <v>100</v>
      </c>
      <c r="BG1297" s="11"/>
      <c r="BH1297" s="54" t="s">
        <v>3795</v>
      </c>
      <c r="BI1297" s="11"/>
      <c r="BJ1297" s="11"/>
      <c r="BK1297" s="11"/>
      <c r="BL1297" s="11"/>
      <c r="BM1297" s="11"/>
      <c r="BN1297" s="11"/>
      <c r="BO1297" s="11"/>
      <c r="BP1297" s="11"/>
      <c r="BQ1297" s="11"/>
      <c r="BR1297" s="11"/>
      <c r="BS1297" s="11"/>
      <c r="BT1297" s="11"/>
      <c r="BU1297" s="11"/>
      <c r="BV1297" s="11"/>
      <c r="BW1297" s="52"/>
      <c r="BX1297" s="52"/>
      <c r="BY1297" s="11"/>
      <c r="BZ1297" s="52"/>
      <c r="CA1297" s="52"/>
      <c r="CB1297" s="52"/>
      <c r="CC1297" s="52"/>
      <c r="CD1297" s="53"/>
      <c r="CE1297" s="53"/>
      <c r="CF1297" s="52"/>
      <c r="CG1297" s="52"/>
      <c r="CH1297" s="11"/>
      <c r="CI1297" s="11"/>
      <c r="CJ1297" s="11"/>
      <c r="CK1297" s="11"/>
      <c r="CL1297" s="11"/>
      <c r="CM1297" s="11"/>
      <c r="CN1297" s="11"/>
      <c r="CO1297" s="11"/>
      <c r="CP1297" s="11"/>
      <c r="CQ1297" s="11"/>
      <c r="CR1297" s="11"/>
      <c r="CS1297" s="11"/>
      <c r="CT1297" s="11"/>
      <c r="CU1297" s="11"/>
      <c r="CV1297" s="11"/>
      <c r="CW1297" s="11"/>
      <c r="CX1297" s="11"/>
      <c r="CY1297" s="11"/>
      <c r="CZ1297" s="11"/>
      <c r="DA1297" s="11"/>
      <c r="DB1297" s="11"/>
      <c r="DC1297" s="11"/>
      <c r="DD1297" s="11"/>
      <c r="DE1297" s="11"/>
      <c r="DF1297" s="11"/>
      <c r="DG1297" s="11"/>
      <c r="DH1297" s="11"/>
      <c r="DI1297" s="11"/>
      <c r="DJ1297" s="11"/>
      <c r="DK1297" s="11"/>
      <c r="DL1297" s="11"/>
      <c r="DM1297" s="11"/>
      <c r="DN1297" s="11"/>
      <c r="DO1297" s="11"/>
      <c r="DP1297" s="11"/>
      <c r="DQ1297" s="11"/>
      <c r="DR1297" s="11"/>
      <c r="DS1297" s="11"/>
      <c r="DT1297" s="11"/>
      <c r="DU1297" s="11"/>
      <c r="DV1297" s="11"/>
      <c r="DW1297" s="11"/>
      <c r="DX1297" s="11"/>
      <c r="DY1297" s="11"/>
      <c r="DZ1297" s="11"/>
      <c r="EA1297" s="11"/>
      <c r="EB1297" s="11"/>
      <c r="EC1297" s="11"/>
      <c r="ED1297" s="11"/>
      <c r="EE1297" s="11"/>
      <c r="EF1297" s="11"/>
      <c r="EG1297" s="11"/>
      <c r="EH1297" s="11"/>
      <c r="EI1297" s="11"/>
      <c r="EJ1297" s="11"/>
      <c r="EK1297" s="11"/>
      <c r="EL1297" s="11"/>
      <c r="EM1297" s="11"/>
      <c r="EN1297" s="11"/>
      <c r="EO1297" s="11"/>
      <c r="EP1297" s="11"/>
      <c r="EQ1297" s="11"/>
      <c r="ER1297" s="11"/>
      <c r="ES1297" s="11"/>
      <c r="ET1297" s="11"/>
      <c r="EU1297" s="11"/>
      <c r="EV1297" s="11"/>
      <c r="EW1297" s="11"/>
      <c r="EX1297" s="11"/>
      <c r="EY1297" s="11"/>
      <c r="EZ1297" s="11"/>
      <c r="FA1297" s="11"/>
      <c r="FB1297" s="11"/>
      <c r="FC1297" s="11"/>
      <c r="FD1297" s="11"/>
      <c r="FE1297" s="11"/>
      <c r="FF1297" s="11"/>
      <c r="FG1297" s="11"/>
      <c r="FH1297" s="11"/>
      <c r="FI1297" s="11"/>
      <c r="FJ1297" s="11"/>
      <c r="FK1297" s="11"/>
      <c r="FL1297" s="52" t="s">
        <v>834</v>
      </c>
      <c r="FM1297" s="52" t="s">
        <v>255</v>
      </c>
      <c r="FN1297" s="11"/>
      <c r="FO1297" s="11"/>
      <c r="FP1297" s="11"/>
      <c r="FQ1297" s="11"/>
      <c r="FR1297" s="11"/>
      <c r="FS1297" s="11"/>
      <c r="FT1297" s="11"/>
      <c r="FU1297" s="11"/>
      <c r="FV1297" s="11"/>
      <c r="FW1297" s="11"/>
      <c r="FX1297" s="11"/>
      <c r="FY1297" s="11"/>
      <c r="FZ1297" s="11"/>
      <c r="GA1297" s="11"/>
      <c r="GB1297" s="11"/>
      <c r="GC1297" s="11"/>
      <c r="GD1297" s="11"/>
      <c r="GE1297" s="11"/>
      <c r="GF1297" s="11"/>
      <c r="GG1297" s="11"/>
      <c r="GH1297" s="11"/>
      <c r="GI1297" s="11"/>
      <c r="GJ1297" s="11"/>
      <c r="GK1297" s="11"/>
      <c r="GL1297" s="11"/>
      <c r="GM1297" s="11"/>
      <c r="GN1297" s="11"/>
      <c r="GO1297" s="11"/>
      <c r="GP1297" s="11"/>
      <c r="GQ1297" s="11"/>
      <c r="GR1297" s="11"/>
      <c r="GS1297" s="11"/>
      <c r="GT1297" s="11"/>
      <c r="GU1297" s="11"/>
      <c r="GV1297" s="11"/>
      <c r="GW1297" s="11"/>
      <c r="GX1297" s="11"/>
      <c r="GY1297" s="11"/>
      <c r="GZ1297" s="11"/>
      <c r="HA1297" s="11"/>
    </row>
    <row r="1298" spans="1:209" ht="23.25" customHeight="1" x14ac:dyDescent="0.15">
      <c r="A1298" s="11"/>
      <c r="B1298" s="11"/>
      <c r="C1298" s="33" t="s">
        <v>11</v>
      </c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/>
      <c r="R1298" s="11"/>
      <c r="S1298" s="11"/>
      <c r="T1298" s="11"/>
      <c r="U1298" s="11"/>
      <c r="V1298" s="11"/>
      <c r="W1298" s="11"/>
      <c r="X1298" s="11"/>
      <c r="Y1298" s="11"/>
      <c r="Z1298" s="11"/>
      <c r="AA1298" s="11"/>
      <c r="AB1298" s="11"/>
      <c r="AC1298" s="11"/>
      <c r="AD1298" s="11"/>
      <c r="AE1298" s="11"/>
      <c r="AF1298" s="11"/>
      <c r="AG1298" s="11"/>
      <c r="AH1298" s="11"/>
      <c r="AI1298" s="11"/>
      <c r="AJ1298" s="11"/>
      <c r="AK1298" s="11"/>
      <c r="AL1298" s="11"/>
      <c r="AM1298" s="11"/>
      <c r="AN1298" s="11"/>
      <c r="AO1298" s="11"/>
      <c r="AP1298" s="11"/>
      <c r="AQ1298" s="11"/>
      <c r="AR1298" s="11"/>
      <c r="AS1298" s="11"/>
      <c r="AT1298" s="11"/>
      <c r="AU1298" s="11"/>
      <c r="AV1298" s="11"/>
      <c r="AW1298" s="11"/>
      <c r="AX1298" s="52" t="s">
        <v>830</v>
      </c>
      <c r="AY1298" s="52" t="s">
        <v>831</v>
      </c>
      <c r="AZ1298" s="52" t="s">
        <v>3770</v>
      </c>
      <c r="BA1298" s="52" t="s">
        <v>343</v>
      </c>
      <c r="BB1298" s="52" t="s">
        <v>308</v>
      </c>
      <c r="BC1298" s="53">
        <v>43952</v>
      </c>
      <c r="BD1298" s="53">
        <v>44012</v>
      </c>
      <c r="BE1298" s="11"/>
      <c r="BF1298" s="55">
        <v>100</v>
      </c>
      <c r="BG1298" s="11"/>
      <c r="BH1298" s="54" t="s">
        <v>3796</v>
      </c>
      <c r="BI1298" s="11"/>
      <c r="BJ1298" s="11"/>
      <c r="BK1298" s="11"/>
      <c r="BL1298" s="11"/>
      <c r="BM1298" s="11"/>
      <c r="BN1298" s="11"/>
      <c r="BO1298" s="11"/>
      <c r="BP1298" s="11"/>
      <c r="BQ1298" s="11"/>
      <c r="BR1298" s="11"/>
      <c r="BS1298" s="11"/>
      <c r="BT1298" s="11"/>
      <c r="BU1298" s="11"/>
      <c r="BV1298" s="11"/>
      <c r="BW1298" s="52"/>
      <c r="BX1298" s="52"/>
      <c r="BY1298" s="11"/>
      <c r="BZ1298" s="52"/>
      <c r="CA1298" s="52"/>
      <c r="CB1298" s="52"/>
      <c r="CC1298" s="52"/>
      <c r="CD1298" s="53"/>
      <c r="CE1298" s="53"/>
      <c r="CF1298" s="52"/>
      <c r="CG1298" s="52"/>
      <c r="CH1298" s="11"/>
      <c r="CI1298" s="11"/>
      <c r="CJ1298" s="11"/>
      <c r="CK1298" s="11"/>
      <c r="CL1298" s="11"/>
      <c r="CM1298" s="11"/>
      <c r="CN1298" s="11"/>
      <c r="CO1298" s="11"/>
      <c r="CP1298" s="11"/>
      <c r="CQ1298" s="11"/>
      <c r="CR1298" s="11"/>
      <c r="CS1298" s="11"/>
      <c r="CT1298" s="11"/>
      <c r="CU1298" s="11"/>
      <c r="CV1298" s="11"/>
      <c r="CW1298" s="11"/>
      <c r="CX1298" s="11"/>
      <c r="CY1298" s="11"/>
      <c r="CZ1298" s="11"/>
      <c r="DA1298" s="11"/>
      <c r="DB1298" s="11"/>
      <c r="DC1298" s="11"/>
      <c r="DD1298" s="11"/>
      <c r="DE1298" s="11"/>
      <c r="DF1298" s="11"/>
      <c r="DG1298" s="11"/>
      <c r="DH1298" s="11"/>
      <c r="DI1298" s="11"/>
      <c r="DJ1298" s="11"/>
      <c r="DK1298" s="11"/>
      <c r="DL1298" s="11"/>
      <c r="DM1298" s="11"/>
      <c r="DN1298" s="11"/>
      <c r="DO1298" s="11"/>
      <c r="DP1298" s="11"/>
      <c r="DQ1298" s="11"/>
      <c r="DR1298" s="11"/>
      <c r="DS1298" s="11"/>
      <c r="DT1298" s="11"/>
      <c r="DU1298" s="11"/>
      <c r="DV1298" s="11"/>
      <c r="DW1298" s="11"/>
      <c r="DX1298" s="11"/>
      <c r="DY1298" s="11"/>
      <c r="DZ1298" s="11"/>
      <c r="EA1298" s="11"/>
      <c r="EB1298" s="11"/>
      <c r="EC1298" s="11"/>
      <c r="ED1298" s="11"/>
      <c r="EE1298" s="11"/>
      <c r="EF1298" s="11"/>
      <c r="EG1298" s="11"/>
      <c r="EH1298" s="11"/>
      <c r="EI1298" s="11"/>
      <c r="EJ1298" s="11"/>
      <c r="EK1298" s="11"/>
      <c r="EL1298" s="11"/>
      <c r="EM1298" s="11"/>
      <c r="EN1298" s="11"/>
      <c r="EO1298" s="11"/>
      <c r="EP1298" s="11"/>
      <c r="EQ1298" s="11"/>
      <c r="ER1298" s="11"/>
      <c r="ES1298" s="11"/>
      <c r="ET1298" s="11"/>
      <c r="EU1298" s="11"/>
      <c r="EV1298" s="11"/>
      <c r="EW1298" s="11"/>
      <c r="EX1298" s="11"/>
      <c r="EY1298" s="11"/>
      <c r="EZ1298" s="11"/>
      <c r="FA1298" s="11"/>
      <c r="FB1298" s="11"/>
      <c r="FC1298" s="11"/>
      <c r="FD1298" s="11"/>
      <c r="FE1298" s="11"/>
      <c r="FF1298" s="11"/>
      <c r="FG1298" s="11"/>
      <c r="FH1298" s="11"/>
      <c r="FI1298" s="11"/>
      <c r="FJ1298" s="11"/>
      <c r="FK1298" s="11"/>
      <c r="FL1298" s="52" t="s">
        <v>834</v>
      </c>
      <c r="FM1298" s="52" t="s">
        <v>255</v>
      </c>
      <c r="FN1298" s="11"/>
      <c r="FO1298" s="11"/>
      <c r="FP1298" s="11"/>
      <c r="FQ1298" s="11"/>
      <c r="FR1298" s="11"/>
      <c r="FS1298" s="11"/>
      <c r="FT1298" s="11"/>
      <c r="FU1298" s="11"/>
      <c r="FV1298" s="11"/>
      <c r="FW1298" s="11"/>
      <c r="FX1298" s="11"/>
      <c r="FY1298" s="11"/>
      <c r="FZ1298" s="11"/>
      <c r="GA1298" s="11"/>
      <c r="GB1298" s="11"/>
      <c r="GC1298" s="11"/>
      <c r="GD1298" s="11"/>
      <c r="GE1298" s="11"/>
      <c r="GF1298" s="11"/>
      <c r="GG1298" s="11"/>
      <c r="GH1298" s="11"/>
      <c r="GI1298" s="11"/>
      <c r="GJ1298" s="11"/>
      <c r="GK1298" s="11"/>
      <c r="GL1298" s="11"/>
      <c r="GM1298" s="11"/>
      <c r="GN1298" s="11"/>
      <c r="GO1298" s="11"/>
      <c r="GP1298" s="11"/>
      <c r="GQ1298" s="11"/>
      <c r="GR1298" s="11"/>
      <c r="GS1298" s="11"/>
      <c r="GT1298" s="11"/>
      <c r="GU1298" s="11"/>
      <c r="GV1298" s="11"/>
      <c r="GW1298" s="11"/>
      <c r="GX1298" s="11"/>
      <c r="GY1298" s="11"/>
      <c r="GZ1298" s="11"/>
      <c r="HA1298" s="11"/>
    </row>
    <row r="1299" spans="1:209" ht="23.25" customHeight="1" x14ac:dyDescent="0.15">
      <c r="A1299" s="11"/>
      <c r="B1299" s="11"/>
      <c r="C1299" s="33" t="s">
        <v>11</v>
      </c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/>
      <c r="R1299" s="11"/>
      <c r="S1299" s="11"/>
      <c r="T1299" s="11"/>
      <c r="U1299" s="11"/>
      <c r="V1299" s="11"/>
      <c r="W1299" s="11"/>
      <c r="X1299" s="11"/>
      <c r="Y1299" s="11"/>
      <c r="Z1299" s="11"/>
      <c r="AA1299" s="11"/>
      <c r="AB1299" s="11"/>
      <c r="AC1299" s="11"/>
      <c r="AD1299" s="11"/>
      <c r="AE1299" s="11"/>
      <c r="AF1299" s="11"/>
      <c r="AG1299" s="11"/>
      <c r="AH1299" s="11"/>
      <c r="AI1299" s="11"/>
      <c r="AJ1299" s="11"/>
      <c r="AK1299" s="11"/>
      <c r="AL1299" s="11"/>
      <c r="AM1299" s="11"/>
      <c r="AN1299" s="11"/>
      <c r="AO1299" s="11"/>
      <c r="AP1299" s="11"/>
      <c r="AQ1299" s="11"/>
      <c r="AR1299" s="11"/>
      <c r="AS1299" s="11"/>
      <c r="AT1299" s="11"/>
      <c r="AU1299" s="11"/>
      <c r="AV1299" s="11"/>
      <c r="AW1299" s="11"/>
      <c r="AX1299" s="52" t="s">
        <v>830</v>
      </c>
      <c r="AY1299" s="52" t="s">
        <v>831</v>
      </c>
      <c r="AZ1299" s="52" t="s">
        <v>3797</v>
      </c>
      <c r="BA1299" s="52" t="s">
        <v>343</v>
      </c>
      <c r="BB1299" s="52" t="s">
        <v>3798</v>
      </c>
      <c r="BC1299" s="53">
        <v>43983</v>
      </c>
      <c r="BD1299" s="53">
        <v>44012</v>
      </c>
      <c r="BE1299" s="11"/>
      <c r="BF1299" s="55">
        <v>100</v>
      </c>
      <c r="BG1299" s="11"/>
      <c r="BH1299" s="54" t="s">
        <v>3799</v>
      </c>
      <c r="BI1299" s="11"/>
      <c r="BJ1299" s="11"/>
      <c r="BK1299" s="11"/>
      <c r="BL1299" s="11"/>
      <c r="BM1299" s="11"/>
      <c r="BN1299" s="11"/>
      <c r="BO1299" s="11"/>
      <c r="BP1299" s="11"/>
      <c r="BQ1299" s="11"/>
      <c r="BR1299" s="11"/>
      <c r="BS1299" s="11"/>
      <c r="BT1299" s="11"/>
      <c r="BU1299" s="11"/>
      <c r="BV1299" s="11"/>
      <c r="BW1299" s="52"/>
      <c r="BX1299" s="52"/>
      <c r="BY1299" s="11"/>
      <c r="BZ1299" s="52"/>
      <c r="CA1299" s="52"/>
      <c r="CB1299" s="52"/>
      <c r="CC1299" s="52"/>
      <c r="CD1299" s="53"/>
      <c r="CE1299" s="53"/>
      <c r="CF1299" s="52"/>
      <c r="CG1299" s="52"/>
      <c r="CH1299" s="11"/>
      <c r="CI1299" s="11"/>
      <c r="CJ1299" s="11"/>
      <c r="CK1299" s="11"/>
      <c r="CL1299" s="11"/>
      <c r="CM1299" s="11"/>
      <c r="CN1299" s="11"/>
      <c r="CO1299" s="11"/>
      <c r="CP1299" s="11"/>
      <c r="CQ1299" s="11"/>
      <c r="CR1299" s="11"/>
      <c r="CS1299" s="11"/>
      <c r="CT1299" s="11"/>
      <c r="CU1299" s="11"/>
      <c r="CV1299" s="11"/>
      <c r="CW1299" s="11"/>
      <c r="CX1299" s="11"/>
      <c r="CY1299" s="11"/>
      <c r="CZ1299" s="11"/>
      <c r="DA1299" s="11"/>
      <c r="DB1299" s="11"/>
      <c r="DC1299" s="11"/>
      <c r="DD1299" s="11"/>
      <c r="DE1299" s="11"/>
      <c r="DF1299" s="11"/>
      <c r="DG1299" s="11"/>
      <c r="DH1299" s="11"/>
      <c r="DI1299" s="11"/>
      <c r="DJ1299" s="11"/>
      <c r="DK1299" s="11"/>
      <c r="DL1299" s="11"/>
      <c r="DM1299" s="11"/>
      <c r="DN1299" s="11"/>
      <c r="DO1299" s="11"/>
      <c r="DP1299" s="11"/>
      <c r="DQ1299" s="11"/>
      <c r="DR1299" s="11"/>
      <c r="DS1299" s="11"/>
      <c r="DT1299" s="11"/>
      <c r="DU1299" s="11"/>
      <c r="DV1299" s="11"/>
      <c r="DW1299" s="11"/>
      <c r="DX1299" s="11"/>
      <c r="DY1299" s="11"/>
      <c r="DZ1299" s="11"/>
      <c r="EA1299" s="11"/>
      <c r="EB1299" s="11"/>
      <c r="EC1299" s="11"/>
      <c r="ED1299" s="11"/>
      <c r="EE1299" s="11"/>
      <c r="EF1299" s="11"/>
      <c r="EG1299" s="11"/>
      <c r="EH1299" s="11"/>
      <c r="EI1299" s="11"/>
      <c r="EJ1299" s="11"/>
      <c r="EK1299" s="11"/>
      <c r="EL1299" s="11"/>
      <c r="EM1299" s="11"/>
      <c r="EN1299" s="11"/>
      <c r="EO1299" s="11"/>
      <c r="EP1299" s="11"/>
      <c r="EQ1299" s="11"/>
      <c r="ER1299" s="11"/>
      <c r="ES1299" s="11"/>
      <c r="ET1299" s="11"/>
      <c r="EU1299" s="11"/>
      <c r="EV1299" s="11"/>
      <c r="EW1299" s="11"/>
      <c r="EX1299" s="11"/>
      <c r="EY1299" s="11"/>
      <c r="EZ1299" s="11"/>
      <c r="FA1299" s="11"/>
      <c r="FB1299" s="11"/>
      <c r="FC1299" s="11"/>
      <c r="FD1299" s="11"/>
      <c r="FE1299" s="11"/>
      <c r="FF1299" s="11"/>
      <c r="FG1299" s="11"/>
      <c r="FH1299" s="11"/>
      <c r="FI1299" s="11"/>
      <c r="FJ1299" s="11"/>
      <c r="FK1299" s="11"/>
      <c r="FL1299" s="52" t="s">
        <v>834</v>
      </c>
      <c r="FM1299" s="52" t="s">
        <v>255</v>
      </c>
      <c r="FN1299" s="11"/>
      <c r="FO1299" s="11"/>
      <c r="FP1299" s="11"/>
      <c r="FQ1299" s="11"/>
      <c r="FR1299" s="11"/>
      <c r="FS1299" s="11"/>
      <c r="FT1299" s="11"/>
      <c r="FU1299" s="11"/>
      <c r="FV1299" s="11"/>
      <c r="FW1299" s="11"/>
      <c r="FX1299" s="11"/>
      <c r="FY1299" s="11"/>
      <c r="FZ1299" s="11"/>
      <c r="GA1299" s="11"/>
      <c r="GB1299" s="11"/>
      <c r="GC1299" s="11"/>
      <c r="GD1299" s="11"/>
      <c r="GE1299" s="11"/>
      <c r="GF1299" s="11"/>
      <c r="GG1299" s="11"/>
      <c r="GH1299" s="11"/>
      <c r="GI1299" s="11"/>
      <c r="GJ1299" s="11"/>
      <c r="GK1299" s="11"/>
      <c r="GL1299" s="11"/>
      <c r="GM1299" s="11"/>
      <c r="GN1299" s="11"/>
      <c r="GO1299" s="11"/>
      <c r="GP1299" s="11"/>
      <c r="GQ1299" s="11"/>
      <c r="GR1299" s="11"/>
      <c r="GS1299" s="11"/>
      <c r="GT1299" s="11"/>
      <c r="GU1299" s="11"/>
      <c r="GV1299" s="11"/>
      <c r="GW1299" s="11"/>
      <c r="GX1299" s="11"/>
      <c r="GY1299" s="11"/>
      <c r="GZ1299" s="11"/>
      <c r="HA1299" s="11"/>
    </row>
    <row r="1300" spans="1:209" ht="23.25" customHeight="1" x14ac:dyDescent="0.15">
      <c r="A1300" s="11"/>
      <c r="B1300" s="11"/>
      <c r="C1300" s="33" t="s">
        <v>11</v>
      </c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/>
      <c r="R1300" s="11"/>
      <c r="S1300" s="11"/>
      <c r="T1300" s="11"/>
      <c r="U1300" s="11"/>
      <c r="V1300" s="11"/>
      <c r="W1300" s="11"/>
      <c r="X1300" s="11"/>
      <c r="Y1300" s="11"/>
      <c r="Z1300" s="11"/>
      <c r="AA1300" s="11"/>
      <c r="AB1300" s="11"/>
      <c r="AC1300" s="11"/>
      <c r="AD1300" s="11"/>
      <c r="AE1300" s="11"/>
      <c r="AF1300" s="11"/>
      <c r="AG1300" s="11"/>
      <c r="AH1300" s="11"/>
      <c r="AI1300" s="11"/>
      <c r="AJ1300" s="11"/>
      <c r="AK1300" s="11"/>
      <c r="AL1300" s="11"/>
      <c r="AM1300" s="11"/>
      <c r="AN1300" s="11"/>
      <c r="AO1300" s="11"/>
      <c r="AP1300" s="11"/>
      <c r="AQ1300" s="11"/>
      <c r="AR1300" s="11"/>
      <c r="AS1300" s="11"/>
      <c r="AT1300" s="11"/>
      <c r="AU1300" s="11"/>
      <c r="AV1300" s="11"/>
      <c r="AW1300" s="11"/>
      <c r="AX1300" s="52" t="s">
        <v>830</v>
      </c>
      <c r="AY1300" s="52" t="s">
        <v>831</v>
      </c>
      <c r="AZ1300" s="52" t="s">
        <v>3800</v>
      </c>
      <c r="BA1300" s="52" t="s">
        <v>343</v>
      </c>
      <c r="BB1300" s="52" t="s">
        <v>308</v>
      </c>
      <c r="BC1300" s="53">
        <v>44075</v>
      </c>
      <c r="BD1300" s="53">
        <v>44135</v>
      </c>
      <c r="BE1300" s="11"/>
      <c r="BF1300" s="55">
        <v>100</v>
      </c>
      <c r="BG1300" s="11"/>
      <c r="BH1300" s="54" t="s">
        <v>3801</v>
      </c>
      <c r="BI1300" s="11"/>
      <c r="BJ1300" s="11"/>
      <c r="BK1300" s="11"/>
      <c r="BL1300" s="11"/>
      <c r="BM1300" s="11"/>
      <c r="BN1300" s="11"/>
      <c r="BO1300" s="11"/>
      <c r="BP1300" s="11"/>
      <c r="BQ1300" s="11"/>
      <c r="BR1300" s="11"/>
      <c r="BS1300" s="11"/>
      <c r="BT1300" s="11"/>
      <c r="BU1300" s="11"/>
      <c r="BV1300" s="11"/>
      <c r="BW1300" s="52"/>
      <c r="BX1300" s="52"/>
      <c r="BY1300" s="11"/>
      <c r="BZ1300" s="52"/>
      <c r="CA1300" s="52"/>
      <c r="CB1300" s="52"/>
      <c r="CC1300" s="52"/>
      <c r="CD1300" s="53"/>
      <c r="CE1300" s="53"/>
      <c r="CF1300" s="52"/>
      <c r="CG1300" s="52"/>
      <c r="CH1300" s="11"/>
      <c r="CI1300" s="11"/>
      <c r="CJ1300" s="11"/>
      <c r="CK1300" s="11"/>
      <c r="CL1300" s="11"/>
      <c r="CM1300" s="11"/>
      <c r="CN1300" s="11"/>
      <c r="CO1300" s="11"/>
      <c r="CP1300" s="11"/>
      <c r="CQ1300" s="11"/>
      <c r="CR1300" s="11"/>
      <c r="CS1300" s="11"/>
      <c r="CT1300" s="11"/>
      <c r="CU1300" s="11"/>
      <c r="CV1300" s="11"/>
      <c r="CW1300" s="11"/>
      <c r="CX1300" s="11"/>
      <c r="CY1300" s="11"/>
      <c r="CZ1300" s="11"/>
      <c r="DA1300" s="11"/>
      <c r="DB1300" s="11"/>
      <c r="DC1300" s="11"/>
      <c r="DD1300" s="11"/>
      <c r="DE1300" s="11"/>
      <c r="DF1300" s="11"/>
      <c r="DG1300" s="11"/>
      <c r="DH1300" s="11"/>
      <c r="DI1300" s="11"/>
      <c r="DJ1300" s="11"/>
      <c r="DK1300" s="11"/>
      <c r="DL1300" s="11"/>
      <c r="DM1300" s="11"/>
      <c r="DN1300" s="11"/>
      <c r="DO1300" s="11"/>
      <c r="DP1300" s="11"/>
      <c r="DQ1300" s="11"/>
      <c r="DR1300" s="11"/>
      <c r="DS1300" s="11"/>
      <c r="DT1300" s="11"/>
      <c r="DU1300" s="11"/>
      <c r="DV1300" s="11"/>
      <c r="DW1300" s="11"/>
      <c r="DX1300" s="11"/>
      <c r="DY1300" s="11"/>
      <c r="DZ1300" s="11"/>
      <c r="EA1300" s="11"/>
      <c r="EB1300" s="11"/>
      <c r="EC1300" s="11"/>
      <c r="ED1300" s="11"/>
      <c r="EE1300" s="11"/>
      <c r="EF1300" s="11"/>
      <c r="EG1300" s="11"/>
      <c r="EH1300" s="11"/>
      <c r="EI1300" s="11"/>
      <c r="EJ1300" s="11"/>
      <c r="EK1300" s="11"/>
      <c r="EL1300" s="11"/>
      <c r="EM1300" s="11"/>
      <c r="EN1300" s="11"/>
      <c r="EO1300" s="11"/>
      <c r="EP1300" s="11"/>
      <c r="EQ1300" s="11"/>
      <c r="ER1300" s="11"/>
      <c r="ES1300" s="11"/>
      <c r="ET1300" s="11"/>
      <c r="EU1300" s="11"/>
      <c r="EV1300" s="11"/>
      <c r="EW1300" s="11"/>
      <c r="EX1300" s="11"/>
      <c r="EY1300" s="11"/>
      <c r="EZ1300" s="11"/>
      <c r="FA1300" s="11"/>
      <c r="FB1300" s="11"/>
      <c r="FC1300" s="11"/>
      <c r="FD1300" s="11"/>
      <c r="FE1300" s="11"/>
      <c r="FF1300" s="11"/>
      <c r="FG1300" s="11"/>
      <c r="FH1300" s="11"/>
      <c r="FI1300" s="11"/>
      <c r="FJ1300" s="11"/>
      <c r="FK1300" s="11"/>
      <c r="FL1300" s="52" t="s">
        <v>834</v>
      </c>
      <c r="FM1300" s="52" t="s">
        <v>255</v>
      </c>
      <c r="FN1300" s="11"/>
      <c r="FO1300" s="11"/>
      <c r="FP1300" s="11"/>
      <c r="FQ1300" s="11"/>
      <c r="FR1300" s="11"/>
      <c r="FS1300" s="11"/>
      <c r="FT1300" s="11"/>
      <c r="FU1300" s="11"/>
      <c r="FV1300" s="11"/>
      <c r="FW1300" s="11"/>
      <c r="FX1300" s="11"/>
      <c r="FY1300" s="11"/>
      <c r="FZ1300" s="11"/>
      <c r="GA1300" s="11"/>
      <c r="GB1300" s="11"/>
      <c r="GC1300" s="11"/>
      <c r="GD1300" s="11"/>
      <c r="GE1300" s="11"/>
      <c r="GF1300" s="11"/>
      <c r="GG1300" s="11"/>
      <c r="GH1300" s="11"/>
      <c r="GI1300" s="11"/>
      <c r="GJ1300" s="11"/>
      <c r="GK1300" s="11"/>
      <c r="GL1300" s="11"/>
      <c r="GM1300" s="11"/>
      <c r="GN1300" s="11"/>
      <c r="GO1300" s="11"/>
      <c r="GP1300" s="11"/>
      <c r="GQ1300" s="11"/>
      <c r="GR1300" s="11"/>
      <c r="GS1300" s="11"/>
      <c r="GT1300" s="11"/>
      <c r="GU1300" s="11"/>
      <c r="GV1300" s="11"/>
      <c r="GW1300" s="11"/>
      <c r="GX1300" s="11"/>
      <c r="GY1300" s="11"/>
      <c r="GZ1300" s="11"/>
      <c r="HA1300" s="11"/>
    </row>
    <row r="1301" spans="1:209" ht="23.25" customHeight="1" x14ac:dyDescent="0.15">
      <c r="A1301" s="11"/>
      <c r="B1301" s="11"/>
      <c r="C1301" s="33" t="s">
        <v>11</v>
      </c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/>
      <c r="R1301" s="11"/>
      <c r="S1301" s="11"/>
      <c r="T1301" s="11"/>
      <c r="U1301" s="11"/>
      <c r="V1301" s="11"/>
      <c r="W1301" s="11"/>
      <c r="X1301" s="11"/>
      <c r="Y1301" s="11"/>
      <c r="Z1301" s="11"/>
      <c r="AA1301" s="11"/>
      <c r="AB1301" s="11"/>
      <c r="AC1301" s="11"/>
      <c r="AD1301" s="11"/>
      <c r="AE1301" s="11"/>
      <c r="AF1301" s="11"/>
      <c r="AG1301" s="11"/>
      <c r="AH1301" s="11"/>
      <c r="AI1301" s="11"/>
      <c r="AJ1301" s="11"/>
      <c r="AK1301" s="11"/>
      <c r="AL1301" s="11"/>
      <c r="AM1301" s="11"/>
      <c r="AN1301" s="11"/>
      <c r="AO1301" s="11"/>
      <c r="AP1301" s="11"/>
      <c r="AQ1301" s="11"/>
      <c r="AR1301" s="11"/>
      <c r="AS1301" s="11"/>
      <c r="AT1301" s="11"/>
      <c r="AU1301" s="11"/>
      <c r="AV1301" s="11"/>
      <c r="AW1301" s="11"/>
      <c r="AX1301" s="52" t="s">
        <v>830</v>
      </c>
      <c r="AY1301" s="52" t="s">
        <v>831</v>
      </c>
      <c r="AZ1301" s="52" t="s">
        <v>3802</v>
      </c>
      <c r="BA1301" s="52" t="s">
        <v>343</v>
      </c>
      <c r="BB1301" s="52" t="s">
        <v>308</v>
      </c>
      <c r="BC1301" s="53">
        <v>43922</v>
      </c>
      <c r="BD1301" s="53">
        <v>43982</v>
      </c>
      <c r="BE1301" s="11"/>
      <c r="BF1301" s="55">
        <v>100</v>
      </c>
      <c r="BG1301" s="11"/>
      <c r="BH1301" s="54" t="s">
        <v>3803</v>
      </c>
      <c r="BI1301" s="11"/>
      <c r="BJ1301" s="11"/>
      <c r="BK1301" s="11"/>
      <c r="BL1301" s="11"/>
      <c r="BM1301" s="11"/>
      <c r="BN1301" s="11"/>
      <c r="BO1301" s="11"/>
      <c r="BP1301" s="11"/>
      <c r="BQ1301" s="11"/>
      <c r="BR1301" s="11"/>
      <c r="BS1301" s="11"/>
      <c r="BT1301" s="11"/>
      <c r="BU1301" s="11"/>
      <c r="BV1301" s="11"/>
      <c r="BW1301" s="52"/>
      <c r="BX1301" s="52"/>
      <c r="BY1301" s="11"/>
      <c r="BZ1301" s="52"/>
      <c r="CA1301" s="52"/>
      <c r="CB1301" s="52"/>
      <c r="CC1301" s="52"/>
      <c r="CD1301" s="53"/>
      <c r="CE1301" s="53"/>
      <c r="CF1301" s="52"/>
      <c r="CG1301" s="52"/>
      <c r="CH1301" s="11"/>
      <c r="CI1301" s="11"/>
      <c r="CJ1301" s="11"/>
      <c r="CK1301" s="11"/>
      <c r="CL1301" s="11"/>
      <c r="CM1301" s="11"/>
      <c r="CN1301" s="11"/>
      <c r="CO1301" s="11"/>
      <c r="CP1301" s="11"/>
      <c r="CQ1301" s="11"/>
      <c r="CR1301" s="11"/>
      <c r="CS1301" s="11"/>
      <c r="CT1301" s="11"/>
      <c r="CU1301" s="11"/>
      <c r="CV1301" s="11"/>
      <c r="CW1301" s="11"/>
      <c r="CX1301" s="11"/>
      <c r="CY1301" s="11"/>
      <c r="CZ1301" s="11"/>
      <c r="DA1301" s="11"/>
      <c r="DB1301" s="11"/>
      <c r="DC1301" s="11"/>
      <c r="DD1301" s="11"/>
      <c r="DE1301" s="11"/>
      <c r="DF1301" s="11"/>
      <c r="DG1301" s="11"/>
      <c r="DH1301" s="11"/>
      <c r="DI1301" s="11"/>
      <c r="DJ1301" s="11"/>
      <c r="DK1301" s="11"/>
      <c r="DL1301" s="11"/>
      <c r="DM1301" s="11"/>
      <c r="DN1301" s="11"/>
      <c r="DO1301" s="11"/>
      <c r="DP1301" s="11"/>
      <c r="DQ1301" s="11"/>
      <c r="DR1301" s="11"/>
      <c r="DS1301" s="11"/>
      <c r="DT1301" s="11"/>
      <c r="DU1301" s="11"/>
      <c r="DV1301" s="11"/>
      <c r="DW1301" s="11"/>
      <c r="DX1301" s="11"/>
      <c r="DY1301" s="11"/>
      <c r="DZ1301" s="11"/>
      <c r="EA1301" s="11"/>
      <c r="EB1301" s="11"/>
      <c r="EC1301" s="11"/>
      <c r="ED1301" s="11"/>
      <c r="EE1301" s="11"/>
      <c r="EF1301" s="11"/>
      <c r="EG1301" s="11"/>
      <c r="EH1301" s="11"/>
      <c r="EI1301" s="11"/>
      <c r="EJ1301" s="11"/>
      <c r="EK1301" s="11"/>
      <c r="EL1301" s="11"/>
      <c r="EM1301" s="11"/>
      <c r="EN1301" s="11"/>
      <c r="EO1301" s="11"/>
      <c r="EP1301" s="11"/>
      <c r="EQ1301" s="11"/>
      <c r="ER1301" s="11"/>
      <c r="ES1301" s="11"/>
      <c r="ET1301" s="11"/>
      <c r="EU1301" s="11"/>
      <c r="EV1301" s="11"/>
      <c r="EW1301" s="11"/>
      <c r="EX1301" s="11"/>
      <c r="EY1301" s="11"/>
      <c r="EZ1301" s="11"/>
      <c r="FA1301" s="11"/>
      <c r="FB1301" s="11"/>
      <c r="FC1301" s="11"/>
      <c r="FD1301" s="11"/>
      <c r="FE1301" s="11"/>
      <c r="FF1301" s="11"/>
      <c r="FG1301" s="11"/>
      <c r="FH1301" s="11"/>
      <c r="FI1301" s="11"/>
      <c r="FJ1301" s="11"/>
      <c r="FK1301" s="11"/>
      <c r="FL1301" s="52" t="s">
        <v>834</v>
      </c>
      <c r="FM1301" s="52" t="s">
        <v>255</v>
      </c>
      <c r="FN1301" s="11"/>
      <c r="FO1301" s="11"/>
      <c r="FP1301" s="11"/>
      <c r="FQ1301" s="11"/>
      <c r="FR1301" s="11"/>
      <c r="FS1301" s="11"/>
      <c r="FT1301" s="11"/>
      <c r="FU1301" s="11"/>
      <c r="FV1301" s="11"/>
      <c r="FW1301" s="11"/>
      <c r="FX1301" s="11"/>
      <c r="FY1301" s="11"/>
      <c r="FZ1301" s="11"/>
      <c r="GA1301" s="11"/>
      <c r="GB1301" s="11"/>
      <c r="GC1301" s="11"/>
      <c r="GD1301" s="11"/>
      <c r="GE1301" s="11"/>
      <c r="GF1301" s="11"/>
      <c r="GG1301" s="11"/>
      <c r="GH1301" s="11"/>
      <c r="GI1301" s="11"/>
      <c r="GJ1301" s="11"/>
      <c r="GK1301" s="11"/>
      <c r="GL1301" s="11"/>
      <c r="GM1301" s="11"/>
      <c r="GN1301" s="11"/>
      <c r="GO1301" s="11"/>
      <c r="GP1301" s="11"/>
      <c r="GQ1301" s="11"/>
      <c r="GR1301" s="11"/>
      <c r="GS1301" s="11"/>
      <c r="GT1301" s="11"/>
      <c r="GU1301" s="11"/>
      <c r="GV1301" s="11"/>
      <c r="GW1301" s="11"/>
      <c r="GX1301" s="11"/>
      <c r="GY1301" s="11"/>
      <c r="GZ1301" s="11"/>
      <c r="HA1301" s="11"/>
    </row>
    <row r="1302" spans="1:209" ht="23.25" customHeight="1" x14ac:dyDescent="0.15">
      <c r="A1302" s="11"/>
      <c r="B1302" s="11"/>
      <c r="C1302" s="33" t="s">
        <v>11</v>
      </c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/>
      <c r="R1302" s="11"/>
      <c r="S1302" s="11"/>
      <c r="T1302" s="11"/>
      <c r="U1302" s="11"/>
      <c r="V1302" s="11"/>
      <c r="W1302" s="11"/>
      <c r="X1302" s="11"/>
      <c r="Y1302" s="11"/>
      <c r="Z1302" s="11"/>
      <c r="AA1302" s="11"/>
      <c r="AB1302" s="11"/>
      <c r="AC1302" s="11"/>
      <c r="AD1302" s="11"/>
      <c r="AE1302" s="11"/>
      <c r="AF1302" s="11"/>
      <c r="AG1302" s="11"/>
      <c r="AH1302" s="11"/>
      <c r="AI1302" s="11"/>
      <c r="AJ1302" s="11"/>
      <c r="AK1302" s="11"/>
      <c r="AL1302" s="11"/>
      <c r="AM1302" s="11"/>
      <c r="AN1302" s="11"/>
      <c r="AO1302" s="11"/>
      <c r="AP1302" s="11"/>
      <c r="AQ1302" s="11"/>
      <c r="AR1302" s="11"/>
      <c r="AS1302" s="11"/>
      <c r="AT1302" s="11"/>
      <c r="AU1302" s="11"/>
      <c r="AV1302" s="11"/>
      <c r="AW1302" s="11"/>
      <c r="AX1302" s="52" t="s">
        <v>2149</v>
      </c>
      <c r="AY1302" s="52" t="s">
        <v>2150</v>
      </c>
      <c r="AZ1302" s="52" t="s">
        <v>540</v>
      </c>
      <c r="BA1302" s="52" t="s">
        <v>1085</v>
      </c>
      <c r="BB1302" s="52" t="s">
        <v>2169</v>
      </c>
      <c r="BC1302" s="53">
        <v>43946</v>
      </c>
      <c r="BD1302" s="53">
        <v>43952</v>
      </c>
      <c r="BE1302" s="11"/>
      <c r="BF1302" s="55">
        <v>100</v>
      </c>
      <c r="BG1302" s="11"/>
      <c r="BH1302" s="54" t="s">
        <v>3804</v>
      </c>
      <c r="BI1302" s="11"/>
      <c r="BJ1302" s="11"/>
      <c r="BK1302" s="11"/>
      <c r="BL1302" s="11"/>
      <c r="BM1302" s="11"/>
      <c r="BN1302" s="11"/>
      <c r="BO1302" s="11"/>
      <c r="BP1302" s="11"/>
      <c r="BQ1302" s="11"/>
      <c r="BR1302" s="11"/>
      <c r="BS1302" s="11"/>
      <c r="BT1302" s="11"/>
      <c r="BU1302" s="11"/>
      <c r="BV1302" s="11"/>
      <c r="BW1302" s="52"/>
      <c r="BX1302" s="52"/>
      <c r="BY1302" s="11"/>
      <c r="BZ1302" s="52"/>
      <c r="CA1302" s="52"/>
      <c r="CB1302" s="52"/>
      <c r="CC1302" s="52"/>
      <c r="CD1302" s="53"/>
      <c r="CE1302" s="53"/>
      <c r="CF1302" s="52"/>
      <c r="CG1302" s="52"/>
      <c r="CH1302" s="11"/>
      <c r="CI1302" s="11"/>
      <c r="CJ1302" s="11"/>
      <c r="CK1302" s="11"/>
      <c r="CL1302" s="11"/>
      <c r="CM1302" s="11"/>
      <c r="CN1302" s="11"/>
      <c r="CO1302" s="11"/>
      <c r="CP1302" s="11"/>
      <c r="CQ1302" s="11"/>
      <c r="CR1302" s="11"/>
      <c r="CS1302" s="11"/>
      <c r="CT1302" s="11"/>
      <c r="CU1302" s="11"/>
      <c r="CV1302" s="11"/>
      <c r="CW1302" s="11"/>
      <c r="CX1302" s="11"/>
      <c r="CY1302" s="11"/>
      <c r="CZ1302" s="11"/>
      <c r="DA1302" s="11"/>
      <c r="DB1302" s="11"/>
      <c r="DC1302" s="11"/>
      <c r="DD1302" s="11"/>
      <c r="DE1302" s="11"/>
      <c r="DF1302" s="11"/>
      <c r="DG1302" s="11"/>
      <c r="DH1302" s="11"/>
      <c r="DI1302" s="11"/>
      <c r="DJ1302" s="11"/>
      <c r="DK1302" s="11"/>
      <c r="DL1302" s="11"/>
      <c r="DM1302" s="11"/>
      <c r="DN1302" s="11"/>
      <c r="DO1302" s="11"/>
      <c r="DP1302" s="11"/>
      <c r="DQ1302" s="11"/>
      <c r="DR1302" s="11"/>
      <c r="DS1302" s="11"/>
      <c r="DT1302" s="11"/>
      <c r="DU1302" s="11"/>
      <c r="DV1302" s="11"/>
      <c r="DW1302" s="11"/>
      <c r="DX1302" s="11"/>
      <c r="DY1302" s="11"/>
      <c r="DZ1302" s="11"/>
      <c r="EA1302" s="11"/>
      <c r="EB1302" s="11"/>
      <c r="EC1302" s="11"/>
      <c r="ED1302" s="11"/>
      <c r="EE1302" s="11"/>
      <c r="EF1302" s="11"/>
      <c r="EG1302" s="11"/>
      <c r="EH1302" s="11"/>
      <c r="EI1302" s="11"/>
      <c r="EJ1302" s="11"/>
      <c r="EK1302" s="11"/>
      <c r="EL1302" s="11"/>
      <c r="EM1302" s="11"/>
      <c r="EN1302" s="11"/>
      <c r="EO1302" s="11"/>
      <c r="EP1302" s="11"/>
      <c r="EQ1302" s="11"/>
      <c r="ER1302" s="11"/>
      <c r="ES1302" s="11"/>
      <c r="ET1302" s="11"/>
      <c r="EU1302" s="11"/>
      <c r="EV1302" s="11"/>
      <c r="EW1302" s="11"/>
      <c r="EX1302" s="11"/>
      <c r="EY1302" s="11"/>
      <c r="EZ1302" s="11"/>
      <c r="FA1302" s="11"/>
      <c r="FB1302" s="11"/>
      <c r="FC1302" s="11"/>
      <c r="FD1302" s="11"/>
      <c r="FE1302" s="11"/>
      <c r="FF1302" s="11"/>
      <c r="FG1302" s="11"/>
      <c r="FH1302" s="11"/>
      <c r="FI1302" s="11"/>
      <c r="FJ1302" s="11"/>
      <c r="FK1302" s="11"/>
      <c r="FL1302" s="52" t="s">
        <v>2152</v>
      </c>
      <c r="FM1302" s="52" t="s">
        <v>278</v>
      </c>
      <c r="FN1302" s="11"/>
      <c r="FO1302" s="11"/>
      <c r="FP1302" s="11"/>
      <c r="FQ1302" s="11"/>
      <c r="FR1302" s="11"/>
      <c r="FS1302" s="11"/>
      <c r="FT1302" s="11"/>
      <c r="FU1302" s="11"/>
      <c r="FV1302" s="11"/>
      <c r="FW1302" s="11"/>
      <c r="FX1302" s="11"/>
      <c r="FY1302" s="11"/>
      <c r="FZ1302" s="11"/>
      <c r="GA1302" s="11"/>
      <c r="GB1302" s="11"/>
      <c r="GC1302" s="11"/>
      <c r="GD1302" s="11"/>
      <c r="GE1302" s="11"/>
      <c r="GF1302" s="11"/>
      <c r="GG1302" s="11"/>
      <c r="GH1302" s="11"/>
      <c r="GI1302" s="11"/>
      <c r="GJ1302" s="11"/>
      <c r="GK1302" s="11"/>
      <c r="GL1302" s="11"/>
      <c r="GM1302" s="11"/>
      <c r="GN1302" s="11"/>
      <c r="GO1302" s="11"/>
      <c r="GP1302" s="11"/>
      <c r="GQ1302" s="11"/>
      <c r="GR1302" s="11"/>
      <c r="GS1302" s="11"/>
      <c r="GT1302" s="11"/>
      <c r="GU1302" s="11"/>
      <c r="GV1302" s="11"/>
      <c r="GW1302" s="11"/>
      <c r="GX1302" s="11"/>
      <c r="GY1302" s="11"/>
      <c r="GZ1302" s="11"/>
      <c r="HA1302" s="11"/>
    </row>
    <row r="1303" spans="1:209" ht="23.25" customHeight="1" x14ac:dyDescent="0.15">
      <c r="A1303" s="11"/>
      <c r="B1303" s="11"/>
      <c r="C1303" s="33" t="s">
        <v>11</v>
      </c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/>
      <c r="R1303" s="11"/>
      <c r="S1303" s="11"/>
      <c r="T1303" s="11"/>
      <c r="U1303" s="11"/>
      <c r="V1303" s="11"/>
      <c r="W1303" s="11"/>
      <c r="X1303" s="11"/>
      <c r="Y1303" s="11"/>
      <c r="Z1303" s="11"/>
      <c r="AA1303" s="11"/>
      <c r="AB1303" s="11"/>
      <c r="AC1303" s="11"/>
      <c r="AD1303" s="11"/>
      <c r="AE1303" s="11"/>
      <c r="AF1303" s="11"/>
      <c r="AG1303" s="11"/>
      <c r="AH1303" s="11"/>
      <c r="AI1303" s="11"/>
      <c r="AJ1303" s="11"/>
      <c r="AK1303" s="11"/>
      <c r="AL1303" s="11"/>
      <c r="AM1303" s="11"/>
      <c r="AN1303" s="11"/>
      <c r="AO1303" s="11"/>
      <c r="AP1303" s="11"/>
      <c r="AQ1303" s="11"/>
      <c r="AR1303" s="11"/>
      <c r="AS1303" s="11"/>
      <c r="AT1303" s="11"/>
      <c r="AU1303" s="11"/>
      <c r="AV1303" s="11"/>
      <c r="AW1303" s="11"/>
      <c r="AX1303" s="52" t="s">
        <v>2149</v>
      </c>
      <c r="AY1303" s="52" t="s">
        <v>2150</v>
      </c>
      <c r="AZ1303" s="52" t="s">
        <v>1751</v>
      </c>
      <c r="BA1303" s="52" t="s">
        <v>1085</v>
      </c>
      <c r="BB1303" s="52" t="s">
        <v>2169</v>
      </c>
      <c r="BC1303" s="53">
        <v>43895</v>
      </c>
      <c r="BD1303" s="53">
        <v>43946</v>
      </c>
      <c r="BE1303" s="11"/>
      <c r="BF1303" s="55">
        <v>99.08</v>
      </c>
      <c r="BG1303" s="11"/>
      <c r="BH1303" s="54" t="s">
        <v>3805</v>
      </c>
      <c r="BI1303" s="11"/>
      <c r="BJ1303" s="11"/>
      <c r="BK1303" s="11"/>
      <c r="BL1303" s="11"/>
      <c r="BM1303" s="11"/>
      <c r="BN1303" s="11"/>
      <c r="BO1303" s="11"/>
      <c r="BP1303" s="11"/>
      <c r="BQ1303" s="11"/>
      <c r="BR1303" s="11"/>
      <c r="BS1303" s="11"/>
      <c r="BT1303" s="11"/>
      <c r="BU1303" s="11"/>
      <c r="BV1303" s="11"/>
      <c r="BW1303" s="52"/>
      <c r="BX1303" s="52"/>
      <c r="BY1303" s="11"/>
      <c r="BZ1303" s="52"/>
      <c r="CA1303" s="52"/>
      <c r="CB1303" s="52"/>
      <c r="CC1303" s="52"/>
      <c r="CD1303" s="53"/>
      <c r="CE1303" s="53"/>
      <c r="CF1303" s="52"/>
      <c r="CG1303" s="52"/>
      <c r="CH1303" s="11"/>
      <c r="CI1303" s="11"/>
      <c r="CJ1303" s="11"/>
      <c r="CK1303" s="11"/>
      <c r="CL1303" s="11"/>
      <c r="CM1303" s="11"/>
      <c r="CN1303" s="11"/>
      <c r="CO1303" s="11"/>
      <c r="CP1303" s="11"/>
      <c r="CQ1303" s="11"/>
      <c r="CR1303" s="11"/>
      <c r="CS1303" s="11"/>
      <c r="CT1303" s="11"/>
      <c r="CU1303" s="11"/>
      <c r="CV1303" s="11"/>
      <c r="CW1303" s="11"/>
      <c r="CX1303" s="11"/>
      <c r="CY1303" s="11"/>
      <c r="CZ1303" s="11"/>
      <c r="DA1303" s="11"/>
      <c r="DB1303" s="11"/>
      <c r="DC1303" s="11"/>
      <c r="DD1303" s="11"/>
      <c r="DE1303" s="11"/>
      <c r="DF1303" s="11"/>
      <c r="DG1303" s="11"/>
      <c r="DH1303" s="11"/>
      <c r="DI1303" s="11"/>
      <c r="DJ1303" s="11"/>
      <c r="DK1303" s="11"/>
      <c r="DL1303" s="11"/>
      <c r="DM1303" s="11"/>
      <c r="DN1303" s="11"/>
      <c r="DO1303" s="11"/>
      <c r="DP1303" s="11"/>
      <c r="DQ1303" s="11"/>
      <c r="DR1303" s="11"/>
      <c r="DS1303" s="11"/>
      <c r="DT1303" s="11"/>
      <c r="DU1303" s="11"/>
      <c r="DV1303" s="11"/>
      <c r="DW1303" s="11"/>
      <c r="DX1303" s="11"/>
      <c r="DY1303" s="11"/>
      <c r="DZ1303" s="11"/>
      <c r="EA1303" s="11"/>
      <c r="EB1303" s="11"/>
      <c r="EC1303" s="11"/>
      <c r="ED1303" s="11"/>
      <c r="EE1303" s="11"/>
      <c r="EF1303" s="11"/>
      <c r="EG1303" s="11"/>
      <c r="EH1303" s="11"/>
      <c r="EI1303" s="11"/>
      <c r="EJ1303" s="11"/>
      <c r="EK1303" s="11"/>
      <c r="EL1303" s="11"/>
      <c r="EM1303" s="11"/>
      <c r="EN1303" s="11"/>
      <c r="EO1303" s="11"/>
      <c r="EP1303" s="11"/>
      <c r="EQ1303" s="11"/>
      <c r="ER1303" s="11"/>
      <c r="ES1303" s="11"/>
      <c r="ET1303" s="11"/>
      <c r="EU1303" s="11"/>
      <c r="EV1303" s="11"/>
      <c r="EW1303" s="11"/>
      <c r="EX1303" s="11"/>
      <c r="EY1303" s="11"/>
      <c r="EZ1303" s="11"/>
      <c r="FA1303" s="11"/>
      <c r="FB1303" s="11"/>
      <c r="FC1303" s="11"/>
      <c r="FD1303" s="11"/>
      <c r="FE1303" s="11"/>
      <c r="FF1303" s="11"/>
      <c r="FG1303" s="11"/>
      <c r="FH1303" s="11"/>
      <c r="FI1303" s="11"/>
      <c r="FJ1303" s="11"/>
      <c r="FK1303" s="11"/>
      <c r="FL1303" s="52" t="s">
        <v>2152</v>
      </c>
      <c r="FM1303" s="52" t="s">
        <v>278</v>
      </c>
      <c r="FN1303" s="11"/>
      <c r="FO1303" s="11"/>
      <c r="FP1303" s="11"/>
      <c r="FQ1303" s="11"/>
      <c r="FR1303" s="11"/>
      <c r="FS1303" s="11"/>
      <c r="FT1303" s="11"/>
      <c r="FU1303" s="11"/>
      <c r="FV1303" s="11"/>
      <c r="FW1303" s="11"/>
      <c r="FX1303" s="11"/>
      <c r="FY1303" s="11"/>
      <c r="FZ1303" s="11"/>
      <c r="GA1303" s="11"/>
      <c r="GB1303" s="11"/>
      <c r="GC1303" s="11"/>
      <c r="GD1303" s="11"/>
      <c r="GE1303" s="11"/>
      <c r="GF1303" s="11"/>
      <c r="GG1303" s="11"/>
      <c r="GH1303" s="11"/>
      <c r="GI1303" s="11"/>
      <c r="GJ1303" s="11"/>
      <c r="GK1303" s="11"/>
      <c r="GL1303" s="11"/>
      <c r="GM1303" s="11"/>
      <c r="GN1303" s="11"/>
      <c r="GO1303" s="11"/>
      <c r="GP1303" s="11"/>
      <c r="GQ1303" s="11"/>
      <c r="GR1303" s="11"/>
      <c r="GS1303" s="11"/>
      <c r="GT1303" s="11"/>
      <c r="GU1303" s="11"/>
      <c r="GV1303" s="11"/>
      <c r="GW1303" s="11"/>
      <c r="GX1303" s="11"/>
      <c r="GY1303" s="11"/>
      <c r="GZ1303" s="11"/>
      <c r="HA1303" s="11"/>
    </row>
    <row r="1304" spans="1:209" ht="23.25" customHeight="1" x14ac:dyDescent="0.15">
      <c r="A1304" s="11"/>
      <c r="B1304" s="11"/>
      <c r="C1304" s="33" t="s">
        <v>11</v>
      </c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/>
      <c r="R1304" s="11"/>
      <c r="S1304" s="11"/>
      <c r="T1304" s="11"/>
      <c r="U1304" s="11"/>
      <c r="V1304" s="11"/>
      <c r="W1304" s="11"/>
      <c r="X1304" s="11"/>
      <c r="Y1304" s="11"/>
      <c r="Z1304" s="11"/>
      <c r="AA1304" s="11"/>
      <c r="AB1304" s="11"/>
      <c r="AC1304" s="11"/>
      <c r="AD1304" s="11"/>
      <c r="AE1304" s="11"/>
      <c r="AF1304" s="11"/>
      <c r="AG1304" s="11"/>
      <c r="AH1304" s="11"/>
      <c r="AI1304" s="11"/>
      <c r="AJ1304" s="11"/>
      <c r="AK1304" s="11"/>
      <c r="AL1304" s="11"/>
      <c r="AM1304" s="11"/>
      <c r="AN1304" s="11"/>
      <c r="AO1304" s="11"/>
      <c r="AP1304" s="11"/>
      <c r="AQ1304" s="11"/>
      <c r="AR1304" s="11"/>
      <c r="AS1304" s="11"/>
      <c r="AT1304" s="11"/>
      <c r="AU1304" s="11"/>
      <c r="AV1304" s="11"/>
      <c r="AW1304" s="11"/>
      <c r="AX1304" s="52" t="s">
        <v>2149</v>
      </c>
      <c r="AY1304" s="52" t="s">
        <v>2150</v>
      </c>
      <c r="AZ1304" s="52" t="s">
        <v>3806</v>
      </c>
      <c r="BA1304" s="52" t="s">
        <v>1085</v>
      </c>
      <c r="BB1304" s="52" t="s">
        <v>3807</v>
      </c>
      <c r="BC1304" s="53">
        <v>43983</v>
      </c>
      <c r="BD1304" s="53">
        <v>44036</v>
      </c>
      <c r="BE1304" s="11"/>
      <c r="BF1304" s="55">
        <v>97.88</v>
      </c>
      <c r="BG1304" s="11"/>
      <c r="BH1304" s="54" t="s">
        <v>3808</v>
      </c>
      <c r="BI1304" s="11"/>
      <c r="BJ1304" s="11"/>
      <c r="BK1304" s="11"/>
      <c r="BL1304" s="11"/>
      <c r="BM1304" s="11"/>
      <c r="BN1304" s="11"/>
      <c r="BO1304" s="11"/>
      <c r="BP1304" s="11"/>
      <c r="BQ1304" s="11"/>
      <c r="BR1304" s="11"/>
      <c r="BS1304" s="11"/>
      <c r="BT1304" s="11"/>
      <c r="BU1304" s="11"/>
      <c r="BV1304" s="11"/>
      <c r="BW1304" s="52"/>
      <c r="BX1304" s="52"/>
      <c r="BY1304" s="11"/>
      <c r="BZ1304" s="52"/>
      <c r="CA1304" s="52"/>
      <c r="CB1304" s="52"/>
      <c r="CC1304" s="52"/>
      <c r="CD1304" s="53"/>
      <c r="CE1304" s="53"/>
      <c r="CF1304" s="52"/>
      <c r="CG1304" s="52"/>
      <c r="CH1304" s="11"/>
      <c r="CI1304" s="11"/>
      <c r="CJ1304" s="11"/>
      <c r="CK1304" s="11"/>
      <c r="CL1304" s="11"/>
      <c r="CM1304" s="11"/>
      <c r="CN1304" s="11"/>
      <c r="CO1304" s="11"/>
      <c r="CP1304" s="11"/>
      <c r="CQ1304" s="11"/>
      <c r="CR1304" s="11"/>
      <c r="CS1304" s="11"/>
      <c r="CT1304" s="11"/>
      <c r="CU1304" s="11"/>
      <c r="CV1304" s="11"/>
      <c r="CW1304" s="11"/>
      <c r="CX1304" s="11"/>
      <c r="CY1304" s="11"/>
      <c r="CZ1304" s="11"/>
      <c r="DA1304" s="11"/>
      <c r="DB1304" s="11"/>
      <c r="DC1304" s="11"/>
      <c r="DD1304" s="11"/>
      <c r="DE1304" s="11"/>
      <c r="DF1304" s="11"/>
      <c r="DG1304" s="11"/>
      <c r="DH1304" s="11"/>
      <c r="DI1304" s="11"/>
      <c r="DJ1304" s="11"/>
      <c r="DK1304" s="11"/>
      <c r="DL1304" s="11"/>
      <c r="DM1304" s="11"/>
      <c r="DN1304" s="11"/>
      <c r="DO1304" s="11"/>
      <c r="DP1304" s="11"/>
      <c r="DQ1304" s="11"/>
      <c r="DR1304" s="11"/>
      <c r="DS1304" s="11"/>
      <c r="DT1304" s="11"/>
      <c r="DU1304" s="11"/>
      <c r="DV1304" s="11"/>
      <c r="DW1304" s="11"/>
      <c r="DX1304" s="11"/>
      <c r="DY1304" s="11"/>
      <c r="DZ1304" s="11"/>
      <c r="EA1304" s="11"/>
      <c r="EB1304" s="11"/>
      <c r="EC1304" s="11"/>
      <c r="ED1304" s="11"/>
      <c r="EE1304" s="11"/>
      <c r="EF1304" s="11"/>
      <c r="EG1304" s="11"/>
      <c r="EH1304" s="11"/>
      <c r="EI1304" s="11"/>
      <c r="EJ1304" s="11"/>
      <c r="EK1304" s="11"/>
      <c r="EL1304" s="11"/>
      <c r="EM1304" s="11"/>
      <c r="EN1304" s="11"/>
      <c r="EO1304" s="11"/>
      <c r="EP1304" s="11"/>
      <c r="EQ1304" s="11"/>
      <c r="ER1304" s="11"/>
      <c r="ES1304" s="11"/>
      <c r="ET1304" s="11"/>
      <c r="EU1304" s="11"/>
      <c r="EV1304" s="11"/>
      <c r="EW1304" s="11"/>
      <c r="EX1304" s="11"/>
      <c r="EY1304" s="11"/>
      <c r="EZ1304" s="11"/>
      <c r="FA1304" s="11"/>
      <c r="FB1304" s="11"/>
      <c r="FC1304" s="11"/>
      <c r="FD1304" s="11"/>
      <c r="FE1304" s="11"/>
      <c r="FF1304" s="11"/>
      <c r="FG1304" s="11"/>
      <c r="FH1304" s="11"/>
      <c r="FI1304" s="11"/>
      <c r="FJ1304" s="11"/>
      <c r="FK1304" s="11"/>
      <c r="FL1304" s="52" t="s">
        <v>2152</v>
      </c>
      <c r="FM1304" s="52" t="s">
        <v>278</v>
      </c>
      <c r="FN1304" s="11"/>
      <c r="FO1304" s="11"/>
      <c r="FP1304" s="11"/>
      <c r="FQ1304" s="11"/>
      <c r="FR1304" s="11"/>
      <c r="FS1304" s="11"/>
      <c r="FT1304" s="11"/>
      <c r="FU1304" s="11"/>
      <c r="FV1304" s="11"/>
      <c r="FW1304" s="11"/>
      <c r="FX1304" s="11"/>
      <c r="FY1304" s="11"/>
      <c r="FZ1304" s="11"/>
      <c r="GA1304" s="11"/>
      <c r="GB1304" s="11"/>
      <c r="GC1304" s="11"/>
      <c r="GD1304" s="11"/>
      <c r="GE1304" s="11"/>
      <c r="GF1304" s="11"/>
      <c r="GG1304" s="11"/>
      <c r="GH1304" s="11"/>
      <c r="GI1304" s="11"/>
      <c r="GJ1304" s="11"/>
      <c r="GK1304" s="11"/>
      <c r="GL1304" s="11"/>
      <c r="GM1304" s="11"/>
      <c r="GN1304" s="11"/>
      <c r="GO1304" s="11"/>
      <c r="GP1304" s="11"/>
      <c r="GQ1304" s="11"/>
      <c r="GR1304" s="11"/>
      <c r="GS1304" s="11"/>
      <c r="GT1304" s="11"/>
      <c r="GU1304" s="11"/>
      <c r="GV1304" s="11"/>
      <c r="GW1304" s="11"/>
      <c r="GX1304" s="11"/>
      <c r="GY1304" s="11"/>
      <c r="GZ1304" s="11"/>
      <c r="HA1304" s="11"/>
    </row>
    <row r="1305" spans="1:209" ht="23.25" customHeight="1" x14ac:dyDescent="0.15">
      <c r="A1305" s="11"/>
      <c r="B1305" s="11"/>
      <c r="C1305" s="33" t="s">
        <v>11</v>
      </c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/>
      <c r="R1305" s="11"/>
      <c r="S1305" s="11"/>
      <c r="T1305" s="11"/>
      <c r="U1305" s="11"/>
      <c r="V1305" s="11"/>
      <c r="W1305" s="11"/>
      <c r="X1305" s="11"/>
      <c r="Y1305" s="11"/>
      <c r="Z1305" s="11"/>
      <c r="AA1305" s="11"/>
      <c r="AB1305" s="11"/>
      <c r="AC1305" s="11"/>
      <c r="AD1305" s="11"/>
      <c r="AE1305" s="11"/>
      <c r="AF1305" s="11"/>
      <c r="AG1305" s="11"/>
      <c r="AH1305" s="11"/>
      <c r="AI1305" s="11"/>
      <c r="AJ1305" s="11"/>
      <c r="AK1305" s="11"/>
      <c r="AL1305" s="11"/>
      <c r="AM1305" s="11"/>
      <c r="AN1305" s="11"/>
      <c r="AO1305" s="11"/>
      <c r="AP1305" s="11"/>
      <c r="AQ1305" s="11"/>
      <c r="AR1305" s="11"/>
      <c r="AS1305" s="11"/>
      <c r="AT1305" s="11"/>
      <c r="AU1305" s="11"/>
      <c r="AV1305" s="11"/>
      <c r="AW1305" s="11"/>
      <c r="AX1305" s="52" t="s">
        <v>3809</v>
      </c>
      <c r="AY1305" s="52" t="s">
        <v>2150</v>
      </c>
      <c r="AZ1305" s="52" t="s">
        <v>2458</v>
      </c>
      <c r="BA1305" s="52" t="s">
        <v>3810</v>
      </c>
      <c r="BB1305" s="52" t="s">
        <v>970</v>
      </c>
      <c r="BC1305" s="53">
        <v>43992</v>
      </c>
      <c r="BD1305" s="53">
        <v>44032</v>
      </c>
      <c r="BE1305" s="11"/>
      <c r="BF1305" s="55">
        <v>96.15</v>
      </c>
      <c r="BG1305" s="11"/>
      <c r="BH1305" s="54" t="s">
        <v>3811</v>
      </c>
      <c r="BI1305" s="11"/>
      <c r="BJ1305" s="11"/>
      <c r="BK1305" s="11"/>
      <c r="BL1305" s="11"/>
      <c r="BM1305" s="11"/>
      <c r="BN1305" s="11"/>
      <c r="BO1305" s="11"/>
      <c r="BP1305" s="11"/>
      <c r="BQ1305" s="11"/>
      <c r="BR1305" s="11"/>
      <c r="BS1305" s="11"/>
      <c r="BT1305" s="11"/>
      <c r="BU1305" s="11"/>
      <c r="BV1305" s="11"/>
      <c r="BW1305" s="52"/>
      <c r="BX1305" s="52"/>
      <c r="BY1305" s="11"/>
      <c r="BZ1305" s="52"/>
      <c r="CA1305" s="52"/>
      <c r="CB1305" s="52"/>
      <c r="CC1305" s="52"/>
      <c r="CD1305" s="53"/>
      <c r="CE1305" s="53"/>
      <c r="CF1305" s="52"/>
      <c r="CG1305" s="52"/>
      <c r="CH1305" s="11"/>
      <c r="CI1305" s="11"/>
      <c r="CJ1305" s="11"/>
      <c r="CK1305" s="11"/>
      <c r="CL1305" s="11"/>
      <c r="CM1305" s="11"/>
      <c r="CN1305" s="11"/>
      <c r="CO1305" s="11"/>
      <c r="CP1305" s="11"/>
      <c r="CQ1305" s="11"/>
      <c r="CR1305" s="11"/>
      <c r="CS1305" s="11"/>
      <c r="CT1305" s="11"/>
      <c r="CU1305" s="11"/>
      <c r="CV1305" s="11"/>
      <c r="CW1305" s="11"/>
      <c r="CX1305" s="11"/>
      <c r="CY1305" s="11"/>
      <c r="CZ1305" s="11"/>
      <c r="DA1305" s="11"/>
      <c r="DB1305" s="11"/>
      <c r="DC1305" s="11"/>
      <c r="DD1305" s="11"/>
      <c r="DE1305" s="11"/>
      <c r="DF1305" s="11"/>
      <c r="DG1305" s="11"/>
      <c r="DH1305" s="11"/>
      <c r="DI1305" s="11"/>
      <c r="DJ1305" s="11"/>
      <c r="DK1305" s="11"/>
      <c r="DL1305" s="11"/>
      <c r="DM1305" s="11"/>
      <c r="DN1305" s="11"/>
      <c r="DO1305" s="11"/>
      <c r="DP1305" s="11"/>
      <c r="DQ1305" s="11"/>
      <c r="DR1305" s="11"/>
      <c r="DS1305" s="11"/>
      <c r="DT1305" s="11"/>
      <c r="DU1305" s="11"/>
      <c r="DV1305" s="11"/>
      <c r="DW1305" s="11"/>
      <c r="DX1305" s="11"/>
      <c r="DY1305" s="11"/>
      <c r="DZ1305" s="11"/>
      <c r="EA1305" s="11"/>
      <c r="EB1305" s="11"/>
      <c r="EC1305" s="11"/>
      <c r="ED1305" s="11"/>
      <c r="EE1305" s="11"/>
      <c r="EF1305" s="11"/>
      <c r="EG1305" s="11"/>
      <c r="EH1305" s="11"/>
      <c r="EI1305" s="11"/>
      <c r="EJ1305" s="11"/>
      <c r="EK1305" s="11"/>
      <c r="EL1305" s="11"/>
      <c r="EM1305" s="11"/>
      <c r="EN1305" s="11"/>
      <c r="EO1305" s="11"/>
      <c r="EP1305" s="11"/>
      <c r="EQ1305" s="11"/>
      <c r="ER1305" s="11"/>
      <c r="ES1305" s="11"/>
      <c r="ET1305" s="11"/>
      <c r="EU1305" s="11"/>
      <c r="EV1305" s="11"/>
      <c r="EW1305" s="11"/>
      <c r="EX1305" s="11"/>
      <c r="EY1305" s="11"/>
      <c r="EZ1305" s="11"/>
      <c r="FA1305" s="11"/>
      <c r="FB1305" s="11"/>
      <c r="FC1305" s="11"/>
      <c r="FD1305" s="11"/>
      <c r="FE1305" s="11"/>
      <c r="FF1305" s="11"/>
      <c r="FG1305" s="11"/>
      <c r="FH1305" s="11"/>
      <c r="FI1305" s="11"/>
      <c r="FJ1305" s="11"/>
      <c r="FK1305" s="11"/>
      <c r="FL1305" s="52" t="s">
        <v>2152</v>
      </c>
      <c r="FM1305" s="52" t="s">
        <v>278</v>
      </c>
      <c r="FN1305" s="11"/>
      <c r="FO1305" s="11"/>
      <c r="FP1305" s="11"/>
      <c r="FQ1305" s="11"/>
      <c r="FR1305" s="11"/>
      <c r="FS1305" s="11"/>
      <c r="FT1305" s="11"/>
      <c r="FU1305" s="11"/>
      <c r="FV1305" s="11"/>
      <c r="FW1305" s="11"/>
      <c r="FX1305" s="11"/>
      <c r="FY1305" s="11"/>
      <c r="FZ1305" s="11"/>
      <c r="GA1305" s="11"/>
      <c r="GB1305" s="11"/>
      <c r="GC1305" s="11"/>
      <c r="GD1305" s="11"/>
      <c r="GE1305" s="11"/>
      <c r="GF1305" s="11"/>
      <c r="GG1305" s="11"/>
      <c r="GH1305" s="11"/>
      <c r="GI1305" s="11"/>
      <c r="GJ1305" s="11"/>
      <c r="GK1305" s="11"/>
      <c r="GL1305" s="11"/>
      <c r="GM1305" s="11"/>
      <c r="GN1305" s="11"/>
      <c r="GO1305" s="11"/>
      <c r="GP1305" s="11"/>
      <c r="GQ1305" s="11"/>
      <c r="GR1305" s="11"/>
      <c r="GS1305" s="11"/>
      <c r="GT1305" s="11"/>
      <c r="GU1305" s="11"/>
      <c r="GV1305" s="11"/>
      <c r="GW1305" s="11"/>
      <c r="GX1305" s="11"/>
      <c r="GY1305" s="11"/>
      <c r="GZ1305" s="11"/>
      <c r="HA1305" s="11"/>
    </row>
    <row r="1306" spans="1:209" ht="23.25" customHeight="1" x14ac:dyDescent="0.15">
      <c r="A1306" s="11"/>
      <c r="B1306" s="11"/>
      <c r="C1306" s="33" t="s">
        <v>11</v>
      </c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/>
      <c r="R1306" s="11"/>
      <c r="S1306" s="11"/>
      <c r="T1306" s="11"/>
      <c r="U1306" s="11"/>
      <c r="V1306" s="11"/>
      <c r="W1306" s="11"/>
      <c r="X1306" s="11"/>
      <c r="Y1306" s="11"/>
      <c r="Z1306" s="11"/>
      <c r="AA1306" s="11"/>
      <c r="AB1306" s="11"/>
      <c r="AC1306" s="11"/>
      <c r="AD1306" s="11"/>
      <c r="AE1306" s="11"/>
      <c r="AF1306" s="11"/>
      <c r="AG1306" s="11"/>
      <c r="AH1306" s="11"/>
      <c r="AI1306" s="11"/>
      <c r="AJ1306" s="11"/>
      <c r="AK1306" s="11"/>
      <c r="AL1306" s="11"/>
      <c r="AM1306" s="11"/>
      <c r="AN1306" s="11"/>
      <c r="AO1306" s="11"/>
      <c r="AP1306" s="11"/>
      <c r="AQ1306" s="11"/>
      <c r="AR1306" s="11"/>
      <c r="AS1306" s="11"/>
      <c r="AT1306" s="11"/>
      <c r="AU1306" s="11"/>
      <c r="AV1306" s="11"/>
      <c r="AW1306" s="11"/>
      <c r="AX1306" s="52" t="s">
        <v>2149</v>
      </c>
      <c r="AY1306" s="52" t="s">
        <v>2150</v>
      </c>
      <c r="AZ1306" s="52" t="s">
        <v>3812</v>
      </c>
      <c r="BA1306" s="52" t="s">
        <v>1085</v>
      </c>
      <c r="BB1306" s="52" t="s">
        <v>3813</v>
      </c>
      <c r="BC1306" s="53">
        <v>43961</v>
      </c>
      <c r="BD1306" s="53">
        <v>44004</v>
      </c>
      <c r="BE1306" s="11"/>
      <c r="BF1306" s="55">
        <v>96.12</v>
      </c>
      <c r="BG1306" s="11"/>
      <c r="BH1306" s="54" t="s">
        <v>3814</v>
      </c>
      <c r="BI1306" s="11"/>
      <c r="BJ1306" s="11"/>
      <c r="BK1306" s="11"/>
      <c r="BL1306" s="11"/>
      <c r="BM1306" s="11"/>
      <c r="BN1306" s="11"/>
      <c r="BO1306" s="11"/>
      <c r="BP1306" s="11"/>
      <c r="BQ1306" s="11"/>
      <c r="BR1306" s="11"/>
      <c r="BS1306" s="11"/>
      <c r="BT1306" s="11"/>
      <c r="BU1306" s="11"/>
      <c r="BV1306" s="11"/>
      <c r="BW1306" s="52"/>
      <c r="BX1306" s="52"/>
      <c r="BY1306" s="11"/>
      <c r="BZ1306" s="52"/>
      <c r="CA1306" s="52"/>
      <c r="CB1306" s="52"/>
      <c r="CC1306" s="52"/>
      <c r="CD1306" s="53"/>
      <c r="CE1306" s="53"/>
      <c r="CF1306" s="52"/>
      <c r="CG1306" s="52"/>
      <c r="CH1306" s="11"/>
      <c r="CI1306" s="11"/>
      <c r="CJ1306" s="11"/>
      <c r="CK1306" s="11"/>
      <c r="CL1306" s="11"/>
      <c r="CM1306" s="11"/>
      <c r="CN1306" s="11"/>
      <c r="CO1306" s="11"/>
      <c r="CP1306" s="11"/>
      <c r="CQ1306" s="11"/>
      <c r="CR1306" s="11"/>
      <c r="CS1306" s="11"/>
      <c r="CT1306" s="11"/>
      <c r="CU1306" s="11"/>
      <c r="CV1306" s="11"/>
      <c r="CW1306" s="11"/>
      <c r="CX1306" s="11"/>
      <c r="CY1306" s="11"/>
      <c r="CZ1306" s="11"/>
      <c r="DA1306" s="11"/>
      <c r="DB1306" s="11"/>
      <c r="DC1306" s="11"/>
      <c r="DD1306" s="11"/>
      <c r="DE1306" s="11"/>
      <c r="DF1306" s="11"/>
      <c r="DG1306" s="11"/>
      <c r="DH1306" s="11"/>
      <c r="DI1306" s="11"/>
      <c r="DJ1306" s="11"/>
      <c r="DK1306" s="11"/>
      <c r="DL1306" s="11"/>
      <c r="DM1306" s="11"/>
      <c r="DN1306" s="11"/>
      <c r="DO1306" s="11"/>
      <c r="DP1306" s="11"/>
      <c r="DQ1306" s="11"/>
      <c r="DR1306" s="11"/>
      <c r="DS1306" s="11"/>
      <c r="DT1306" s="11"/>
      <c r="DU1306" s="11"/>
      <c r="DV1306" s="11"/>
      <c r="DW1306" s="11"/>
      <c r="DX1306" s="11"/>
      <c r="DY1306" s="11"/>
      <c r="DZ1306" s="11"/>
      <c r="EA1306" s="11"/>
      <c r="EB1306" s="11"/>
      <c r="EC1306" s="11"/>
      <c r="ED1306" s="11"/>
      <c r="EE1306" s="11"/>
      <c r="EF1306" s="11"/>
      <c r="EG1306" s="11"/>
      <c r="EH1306" s="11"/>
      <c r="EI1306" s="11"/>
      <c r="EJ1306" s="11"/>
      <c r="EK1306" s="11"/>
      <c r="EL1306" s="11"/>
      <c r="EM1306" s="11"/>
      <c r="EN1306" s="11"/>
      <c r="EO1306" s="11"/>
      <c r="EP1306" s="11"/>
      <c r="EQ1306" s="11"/>
      <c r="ER1306" s="11"/>
      <c r="ES1306" s="11"/>
      <c r="ET1306" s="11"/>
      <c r="EU1306" s="11"/>
      <c r="EV1306" s="11"/>
      <c r="EW1306" s="11"/>
      <c r="EX1306" s="11"/>
      <c r="EY1306" s="11"/>
      <c r="EZ1306" s="11"/>
      <c r="FA1306" s="11"/>
      <c r="FB1306" s="11"/>
      <c r="FC1306" s="11"/>
      <c r="FD1306" s="11"/>
      <c r="FE1306" s="11"/>
      <c r="FF1306" s="11"/>
      <c r="FG1306" s="11"/>
      <c r="FH1306" s="11"/>
      <c r="FI1306" s="11"/>
      <c r="FJ1306" s="11"/>
      <c r="FK1306" s="11"/>
      <c r="FL1306" s="52" t="s">
        <v>2152</v>
      </c>
      <c r="FM1306" s="52" t="s">
        <v>278</v>
      </c>
      <c r="FN1306" s="11"/>
      <c r="FO1306" s="11"/>
      <c r="FP1306" s="11"/>
      <c r="FQ1306" s="11"/>
      <c r="FR1306" s="11"/>
      <c r="FS1306" s="11"/>
      <c r="FT1306" s="11"/>
      <c r="FU1306" s="11"/>
      <c r="FV1306" s="11"/>
      <c r="FW1306" s="11"/>
      <c r="FX1306" s="11"/>
      <c r="FY1306" s="11"/>
      <c r="FZ1306" s="11"/>
      <c r="GA1306" s="11"/>
      <c r="GB1306" s="11"/>
      <c r="GC1306" s="11"/>
      <c r="GD1306" s="11"/>
      <c r="GE1306" s="11"/>
      <c r="GF1306" s="11"/>
      <c r="GG1306" s="11"/>
      <c r="GH1306" s="11"/>
      <c r="GI1306" s="11"/>
      <c r="GJ1306" s="11"/>
      <c r="GK1306" s="11"/>
      <c r="GL1306" s="11"/>
      <c r="GM1306" s="11"/>
      <c r="GN1306" s="11"/>
      <c r="GO1306" s="11"/>
      <c r="GP1306" s="11"/>
      <c r="GQ1306" s="11"/>
      <c r="GR1306" s="11"/>
      <c r="GS1306" s="11"/>
      <c r="GT1306" s="11"/>
      <c r="GU1306" s="11"/>
      <c r="GV1306" s="11"/>
      <c r="GW1306" s="11"/>
      <c r="GX1306" s="11"/>
      <c r="GY1306" s="11"/>
      <c r="GZ1306" s="11"/>
      <c r="HA1306" s="11"/>
    </row>
    <row r="1307" spans="1:209" ht="23.25" customHeight="1" x14ac:dyDescent="0.15">
      <c r="A1307" s="11"/>
      <c r="B1307" s="11"/>
      <c r="C1307" s="33" t="s">
        <v>11</v>
      </c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/>
      <c r="R1307" s="11"/>
      <c r="S1307" s="11"/>
      <c r="T1307" s="11"/>
      <c r="U1307" s="11"/>
      <c r="V1307" s="11"/>
      <c r="W1307" s="11"/>
      <c r="X1307" s="11"/>
      <c r="Y1307" s="11"/>
      <c r="Z1307" s="11"/>
      <c r="AA1307" s="11"/>
      <c r="AB1307" s="11"/>
      <c r="AC1307" s="11"/>
      <c r="AD1307" s="11"/>
      <c r="AE1307" s="11"/>
      <c r="AF1307" s="11"/>
      <c r="AG1307" s="11"/>
      <c r="AH1307" s="11"/>
      <c r="AI1307" s="11"/>
      <c r="AJ1307" s="11"/>
      <c r="AK1307" s="11"/>
      <c r="AL1307" s="11"/>
      <c r="AM1307" s="11"/>
      <c r="AN1307" s="11"/>
      <c r="AO1307" s="11"/>
      <c r="AP1307" s="11"/>
      <c r="AQ1307" s="11"/>
      <c r="AR1307" s="11"/>
      <c r="AS1307" s="11"/>
      <c r="AT1307" s="11"/>
      <c r="AU1307" s="11"/>
      <c r="AV1307" s="11"/>
      <c r="AW1307" s="11"/>
      <c r="AX1307" s="52" t="s">
        <v>2149</v>
      </c>
      <c r="AY1307" s="52" t="s">
        <v>2150</v>
      </c>
      <c r="AZ1307" s="52" t="s">
        <v>3815</v>
      </c>
      <c r="BA1307" s="54" t="s">
        <v>3816</v>
      </c>
      <c r="BB1307" s="52" t="s">
        <v>879</v>
      </c>
      <c r="BC1307" s="53">
        <v>43952</v>
      </c>
      <c r="BD1307" s="53">
        <v>43982</v>
      </c>
      <c r="BE1307" s="11"/>
      <c r="BF1307" s="55">
        <v>98.25</v>
      </c>
      <c r="BG1307" s="11"/>
      <c r="BH1307" s="54" t="s">
        <v>3817</v>
      </c>
      <c r="BI1307" s="11"/>
      <c r="BJ1307" s="11"/>
      <c r="BK1307" s="11"/>
      <c r="BL1307" s="11"/>
      <c r="BM1307" s="11"/>
      <c r="BN1307" s="11"/>
      <c r="BO1307" s="11"/>
      <c r="BP1307" s="11"/>
      <c r="BQ1307" s="11"/>
      <c r="BR1307" s="11"/>
      <c r="BS1307" s="11"/>
      <c r="BT1307" s="11"/>
      <c r="BU1307" s="11"/>
      <c r="BV1307" s="11"/>
      <c r="BW1307" s="52"/>
      <c r="BX1307" s="52"/>
      <c r="BY1307" s="11"/>
      <c r="BZ1307" s="52"/>
      <c r="CA1307" s="52"/>
      <c r="CB1307" s="52"/>
      <c r="CC1307" s="52"/>
      <c r="CD1307" s="53"/>
      <c r="CE1307" s="53"/>
      <c r="CF1307" s="52"/>
      <c r="CG1307" s="52"/>
      <c r="CH1307" s="11"/>
      <c r="CI1307" s="11"/>
      <c r="CJ1307" s="11"/>
      <c r="CK1307" s="11"/>
      <c r="CL1307" s="11"/>
      <c r="CM1307" s="11"/>
      <c r="CN1307" s="11"/>
      <c r="CO1307" s="11"/>
      <c r="CP1307" s="11"/>
      <c r="CQ1307" s="11"/>
      <c r="CR1307" s="11"/>
      <c r="CS1307" s="11"/>
      <c r="CT1307" s="11"/>
      <c r="CU1307" s="11"/>
      <c r="CV1307" s="11"/>
      <c r="CW1307" s="11"/>
      <c r="CX1307" s="11"/>
      <c r="CY1307" s="11"/>
      <c r="CZ1307" s="11"/>
      <c r="DA1307" s="11"/>
      <c r="DB1307" s="11"/>
      <c r="DC1307" s="11"/>
      <c r="DD1307" s="11"/>
      <c r="DE1307" s="11"/>
      <c r="DF1307" s="11"/>
      <c r="DG1307" s="11"/>
      <c r="DH1307" s="11"/>
      <c r="DI1307" s="11"/>
      <c r="DJ1307" s="11"/>
      <c r="DK1307" s="11"/>
      <c r="DL1307" s="11"/>
      <c r="DM1307" s="11"/>
      <c r="DN1307" s="11"/>
      <c r="DO1307" s="11"/>
      <c r="DP1307" s="11"/>
      <c r="DQ1307" s="11"/>
      <c r="DR1307" s="11"/>
      <c r="DS1307" s="11"/>
      <c r="DT1307" s="11"/>
      <c r="DU1307" s="11"/>
      <c r="DV1307" s="11"/>
      <c r="DW1307" s="11"/>
      <c r="DX1307" s="11"/>
      <c r="DY1307" s="11"/>
      <c r="DZ1307" s="11"/>
      <c r="EA1307" s="11"/>
      <c r="EB1307" s="11"/>
      <c r="EC1307" s="11"/>
      <c r="ED1307" s="11"/>
      <c r="EE1307" s="11"/>
      <c r="EF1307" s="11"/>
      <c r="EG1307" s="11"/>
      <c r="EH1307" s="11"/>
      <c r="EI1307" s="11"/>
      <c r="EJ1307" s="11"/>
      <c r="EK1307" s="11"/>
      <c r="EL1307" s="11"/>
      <c r="EM1307" s="11"/>
      <c r="EN1307" s="11"/>
      <c r="EO1307" s="11"/>
      <c r="EP1307" s="11"/>
      <c r="EQ1307" s="11"/>
      <c r="ER1307" s="11"/>
      <c r="ES1307" s="11"/>
      <c r="ET1307" s="11"/>
      <c r="EU1307" s="11"/>
      <c r="EV1307" s="11"/>
      <c r="EW1307" s="11"/>
      <c r="EX1307" s="11"/>
      <c r="EY1307" s="11"/>
      <c r="EZ1307" s="11"/>
      <c r="FA1307" s="11"/>
      <c r="FB1307" s="11"/>
      <c r="FC1307" s="11"/>
      <c r="FD1307" s="11"/>
      <c r="FE1307" s="11"/>
      <c r="FF1307" s="11"/>
      <c r="FG1307" s="11"/>
      <c r="FH1307" s="11"/>
      <c r="FI1307" s="11"/>
      <c r="FJ1307" s="11"/>
      <c r="FK1307" s="11"/>
      <c r="FL1307" s="52" t="s">
        <v>2152</v>
      </c>
      <c r="FM1307" s="52" t="s">
        <v>278</v>
      </c>
      <c r="FN1307" s="11"/>
      <c r="FO1307" s="11"/>
      <c r="FP1307" s="11"/>
      <c r="FQ1307" s="11"/>
      <c r="FR1307" s="11"/>
      <c r="FS1307" s="11"/>
      <c r="FT1307" s="11"/>
      <c r="FU1307" s="11"/>
      <c r="FV1307" s="11"/>
      <c r="FW1307" s="11"/>
      <c r="FX1307" s="11"/>
      <c r="FY1307" s="11"/>
      <c r="FZ1307" s="11"/>
      <c r="GA1307" s="11"/>
      <c r="GB1307" s="11"/>
      <c r="GC1307" s="11"/>
      <c r="GD1307" s="11"/>
      <c r="GE1307" s="11"/>
      <c r="GF1307" s="11"/>
      <c r="GG1307" s="11"/>
      <c r="GH1307" s="11"/>
      <c r="GI1307" s="11"/>
      <c r="GJ1307" s="11"/>
      <c r="GK1307" s="11"/>
      <c r="GL1307" s="11"/>
      <c r="GM1307" s="11"/>
      <c r="GN1307" s="11"/>
      <c r="GO1307" s="11"/>
      <c r="GP1307" s="11"/>
      <c r="GQ1307" s="11"/>
      <c r="GR1307" s="11"/>
      <c r="GS1307" s="11"/>
      <c r="GT1307" s="11"/>
      <c r="GU1307" s="11"/>
      <c r="GV1307" s="11"/>
      <c r="GW1307" s="11"/>
      <c r="GX1307" s="11"/>
      <c r="GY1307" s="11"/>
      <c r="GZ1307" s="11"/>
      <c r="HA1307" s="11"/>
    </row>
    <row r="1308" spans="1:209" ht="23.25" customHeight="1" x14ac:dyDescent="0.15">
      <c r="A1308" s="11"/>
      <c r="B1308" s="11"/>
      <c r="C1308" s="33" t="s">
        <v>11</v>
      </c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/>
      <c r="R1308" s="11"/>
      <c r="S1308" s="11"/>
      <c r="T1308" s="11"/>
      <c r="U1308" s="11"/>
      <c r="V1308" s="11"/>
      <c r="W1308" s="11"/>
      <c r="X1308" s="11"/>
      <c r="Y1308" s="11"/>
      <c r="Z1308" s="11"/>
      <c r="AA1308" s="11"/>
      <c r="AB1308" s="11"/>
      <c r="AC1308" s="11"/>
      <c r="AD1308" s="11"/>
      <c r="AE1308" s="11"/>
      <c r="AF1308" s="11"/>
      <c r="AG1308" s="11"/>
      <c r="AH1308" s="11"/>
      <c r="AI1308" s="11"/>
      <c r="AJ1308" s="11"/>
      <c r="AK1308" s="11"/>
      <c r="AL1308" s="11"/>
      <c r="AM1308" s="11"/>
      <c r="AN1308" s="11"/>
      <c r="AO1308" s="11"/>
      <c r="AP1308" s="11"/>
      <c r="AQ1308" s="11"/>
      <c r="AR1308" s="11"/>
      <c r="AS1308" s="11"/>
      <c r="AT1308" s="11"/>
      <c r="AU1308" s="11"/>
      <c r="AV1308" s="11"/>
      <c r="AW1308" s="11"/>
      <c r="AX1308" s="52" t="s">
        <v>2474</v>
      </c>
      <c r="AY1308" s="52" t="s">
        <v>2475</v>
      </c>
      <c r="AZ1308" s="52" t="s">
        <v>1721</v>
      </c>
      <c r="BA1308" s="52" t="s">
        <v>1375</v>
      </c>
      <c r="BB1308" s="52" t="s">
        <v>1890</v>
      </c>
      <c r="BC1308" s="53">
        <v>44479</v>
      </c>
      <c r="BD1308" s="53">
        <v>44513</v>
      </c>
      <c r="BE1308" s="11"/>
      <c r="BF1308" s="55">
        <v>100</v>
      </c>
      <c r="BG1308" s="11"/>
      <c r="BH1308" s="54" t="s">
        <v>3818</v>
      </c>
      <c r="BI1308" s="11"/>
      <c r="BJ1308" s="11"/>
      <c r="BK1308" s="11"/>
      <c r="BL1308" s="11"/>
      <c r="BM1308" s="11"/>
      <c r="BN1308" s="11"/>
      <c r="BO1308" s="11"/>
      <c r="BP1308" s="11"/>
      <c r="BQ1308" s="11"/>
      <c r="BR1308" s="11"/>
      <c r="BS1308" s="11"/>
      <c r="BT1308" s="11"/>
      <c r="BU1308" s="11"/>
      <c r="BV1308" s="11"/>
      <c r="BW1308" s="52"/>
      <c r="BX1308" s="52"/>
      <c r="BY1308" s="11"/>
      <c r="BZ1308" s="52"/>
      <c r="CA1308" s="52"/>
      <c r="CB1308" s="52"/>
      <c r="CC1308" s="52"/>
      <c r="CD1308" s="53"/>
      <c r="CE1308" s="53"/>
      <c r="CF1308" s="52"/>
      <c r="CG1308" s="52"/>
      <c r="CH1308" s="11"/>
      <c r="CI1308" s="11"/>
      <c r="CJ1308" s="11"/>
      <c r="CK1308" s="11"/>
      <c r="CL1308" s="11"/>
      <c r="CM1308" s="11"/>
      <c r="CN1308" s="11"/>
      <c r="CO1308" s="11"/>
      <c r="CP1308" s="11"/>
      <c r="CQ1308" s="11"/>
      <c r="CR1308" s="11"/>
      <c r="CS1308" s="11"/>
      <c r="CT1308" s="11"/>
      <c r="CU1308" s="11"/>
      <c r="CV1308" s="11"/>
      <c r="CW1308" s="11"/>
      <c r="CX1308" s="11"/>
      <c r="CY1308" s="11"/>
      <c r="CZ1308" s="11"/>
      <c r="DA1308" s="11"/>
      <c r="DB1308" s="11"/>
      <c r="DC1308" s="11"/>
      <c r="DD1308" s="11"/>
      <c r="DE1308" s="11"/>
      <c r="DF1308" s="11"/>
      <c r="DG1308" s="11"/>
      <c r="DH1308" s="11"/>
      <c r="DI1308" s="11"/>
      <c r="DJ1308" s="11"/>
      <c r="DK1308" s="11"/>
      <c r="DL1308" s="11"/>
      <c r="DM1308" s="11"/>
      <c r="DN1308" s="11"/>
      <c r="DO1308" s="11"/>
      <c r="DP1308" s="11"/>
      <c r="DQ1308" s="11"/>
      <c r="DR1308" s="11"/>
      <c r="DS1308" s="11"/>
      <c r="DT1308" s="11"/>
      <c r="DU1308" s="11"/>
      <c r="DV1308" s="11"/>
      <c r="DW1308" s="11"/>
      <c r="DX1308" s="11"/>
      <c r="DY1308" s="11"/>
      <c r="DZ1308" s="11"/>
      <c r="EA1308" s="11"/>
      <c r="EB1308" s="11"/>
      <c r="EC1308" s="11"/>
      <c r="ED1308" s="11"/>
      <c r="EE1308" s="11"/>
      <c r="EF1308" s="11"/>
      <c r="EG1308" s="11"/>
      <c r="EH1308" s="11"/>
      <c r="EI1308" s="11"/>
      <c r="EJ1308" s="11"/>
      <c r="EK1308" s="11"/>
      <c r="EL1308" s="11"/>
      <c r="EM1308" s="11"/>
      <c r="EN1308" s="11"/>
      <c r="EO1308" s="11"/>
      <c r="EP1308" s="11"/>
      <c r="EQ1308" s="11"/>
      <c r="ER1308" s="11"/>
      <c r="ES1308" s="11"/>
      <c r="ET1308" s="11"/>
      <c r="EU1308" s="11"/>
      <c r="EV1308" s="11"/>
      <c r="EW1308" s="11"/>
      <c r="EX1308" s="11"/>
      <c r="EY1308" s="11"/>
      <c r="EZ1308" s="11"/>
      <c r="FA1308" s="11"/>
      <c r="FB1308" s="11"/>
      <c r="FC1308" s="11"/>
      <c r="FD1308" s="11"/>
      <c r="FE1308" s="11"/>
      <c r="FF1308" s="11"/>
      <c r="FG1308" s="11"/>
      <c r="FH1308" s="11"/>
      <c r="FI1308" s="11"/>
      <c r="FJ1308" s="11"/>
      <c r="FK1308" s="11"/>
      <c r="FL1308" s="52" t="s">
        <v>2478</v>
      </c>
      <c r="FM1308" s="52" t="s">
        <v>255</v>
      </c>
      <c r="FN1308" s="11"/>
      <c r="FO1308" s="11"/>
      <c r="FP1308" s="11"/>
      <c r="FQ1308" s="11"/>
      <c r="FR1308" s="11"/>
      <c r="FS1308" s="11"/>
      <c r="FT1308" s="11"/>
      <c r="FU1308" s="11"/>
      <c r="FV1308" s="11"/>
      <c r="FW1308" s="11"/>
      <c r="FX1308" s="11"/>
      <c r="FY1308" s="11"/>
      <c r="FZ1308" s="11"/>
      <c r="GA1308" s="11"/>
      <c r="GB1308" s="11"/>
      <c r="GC1308" s="11"/>
      <c r="GD1308" s="11"/>
      <c r="GE1308" s="11"/>
      <c r="GF1308" s="11"/>
      <c r="GG1308" s="11"/>
      <c r="GH1308" s="11"/>
      <c r="GI1308" s="11"/>
      <c r="GJ1308" s="11"/>
      <c r="GK1308" s="11"/>
      <c r="GL1308" s="11"/>
      <c r="GM1308" s="11"/>
      <c r="GN1308" s="11"/>
      <c r="GO1308" s="11"/>
      <c r="GP1308" s="11"/>
      <c r="GQ1308" s="11"/>
      <c r="GR1308" s="11"/>
      <c r="GS1308" s="11"/>
      <c r="GT1308" s="11"/>
      <c r="GU1308" s="11"/>
      <c r="GV1308" s="11"/>
      <c r="GW1308" s="11"/>
      <c r="GX1308" s="11"/>
      <c r="GY1308" s="11"/>
      <c r="GZ1308" s="11"/>
      <c r="HA1308" s="11"/>
    </row>
    <row r="1309" spans="1:209" ht="23.25" customHeight="1" x14ac:dyDescent="0.15">
      <c r="A1309" s="11"/>
      <c r="B1309" s="11"/>
      <c r="C1309" s="33" t="s">
        <v>11</v>
      </c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/>
      <c r="R1309" s="11"/>
      <c r="S1309" s="11"/>
      <c r="T1309" s="11"/>
      <c r="U1309" s="11"/>
      <c r="V1309" s="11"/>
      <c r="W1309" s="11"/>
      <c r="X1309" s="11"/>
      <c r="Y1309" s="11"/>
      <c r="Z1309" s="11"/>
      <c r="AA1309" s="11"/>
      <c r="AB1309" s="11"/>
      <c r="AC1309" s="11"/>
      <c r="AD1309" s="11"/>
      <c r="AE1309" s="11"/>
      <c r="AF1309" s="11"/>
      <c r="AG1309" s="11"/>
      <c r="AH1309" s="11"/>
      <c r="AI1309" s="11"/>
      <c r="AJ1309" s="11"/>
      <c r="AK1309" s="11"/>
      <c r="AL1309" s="11"/>
      <c r="AM1309" s="11"/>
      <c r="AN1309" s="11"/>
      <c r="AO1309" s="11"/>
      <c r="AP1309" s="11"/>
      <c r="AQ1309" s="11"/>
      <c r="AR1309" s="11"/>
      <c r="AS1309" s="11"/>
      <c r="AT1309" s="11"/>
      <c r="AU1309" s="11"/>
      <c r="AV1309" s="11"/>
      <c r="AW1309" s="11"/>
      <c r="AX1309" s="52" t="s">
        <v>3751</v>
      </c>
      <c r="AY1309" s="52" t="s">
        <v>1133</v>
      </c>
      <c r="AZ1309" s="52" t="s">
        <v>3819</v>
      </c>
      <c r="BA1309" s="52" t="s">
        <v>531</v>
      </c>
      <c r="BB1309" s="52" t="s">
        <v>493</v>
      </c>
      <c r="BC1309" s="53">
        <v>44217</v>
      </c>
      <c r="BD1309" s="53">
        <v>44248</v>
      </c>
      <c r="BE1309" s="11"/>
      <c r="BF1309" s="55">
        <v>100</v>
      </c>
      <c r="BG1309" s="11"/>
      <c r="BH1309" s="54" t="s">
        <v>3820</v>
      </c>
      <c r="BI1309" s="11"/>
      <c r="BJ1309" s="11"/>
      <c r="BK1309" s="11"/>
      <c r="BL1309" s="11"/>
      <c r="BM1309" s="11"/>
      <c r="BN1309" s="11"/>
      <c r="BO1309" s="11"/>
      <c r="BP1309" s="11"/>
      <c r="BQ1309" s="11"/>
      <c r="BR1309" s="11"/>
      <c r="BS1309" s="11"/>
      <c r="BT1309" s="11"/>
      <c r="BU1309" s="11"/>
      <c r="BV1309" s="11"/>
      <c r="BW1309" s="52"/>
      <c r="BX1309" s="52"/>
      <c r="BY1309" s="11"/>
      <c r="BZ1309" s="52"/>
      <c r="CA1309" s="52"/>
      <c r="CB1309" s="52"/>
      <c r="CC1309" s="52"/>
      <c r="CD1309" s="53"/>
      <c r="CE1309" s="53"/>
      <c r="CF1309" s="52"/>
      <c r="CG1309" s="52"/>
      <c r="CH1309" s="11"/>
      <c r="CI1309" s="11"/>
      <c r="CJ1309" s="11"/>
      <c r="CK1309" s="11"/>
      <c r="CL1309" s="11"/>
      <c r="CM1309" s="11"/>
      <c r="CN1309" s="11"/>
      <c r="CO1309" s="11"/>
      <c r="CP1309" s="11"/>
      <c r="CQ1309" s="11"/>
      <c r="CR1309" s="11"/>
      <c r="CS1309" s="11"/>
      <c r="CT1309" s="11"/>
      <c r="CU1309" s="11"/>
      <c r="CV1309" s="11"/>
      <c r="CW1309" s="11"/>
      <c r="CX1309" s="11"/>
      <c r="CY1309" s="11"/>
      <c r="CZ1309" s="11"/>
      <c r="DA1309" s="11"/>
      <c r="DB1309" s="11"/>
      <c r="DC1309" s="11"/>
      <c r="DD1309" s="11"/>
      <c r="DE1309" s="11"/>
      <c r="DF1309" s="11"/>
      <c r="DG1309" s="11"/>
      <c r="DH1309" s="11"/>
      <c r="DI1309" s="11"/>
      <c r="DJ1309" s="11"/>
      <c r="DK1309" s="11"/>
      <c r="DL1309" s="11"/>
      <c r="DM1309" s="11"/>
      <c r="DN1309" s="11"/>
      <c r="DO1309" s="11"/>
      <c r="DP1309" s="11"/>
      <c r="DQ1309" s="11"/>
      <c r="DR1309" s="11"/>
      <c r="DS1309" s="11"/>
      <c r="DT1309" s="11"/>
      <c r="DU1309" s="11"/>
      <c r="DV1309" s="11"/>
      <c r="DW1309" s="11"/>
      <c r="DX1309" s="11"/>
      <c r="DY1309" s="11"/>
      <c r="DZ1309" s="11"/>
      <c r="EA1309" s="11"/>
      <c r="EB1309" s="11"/>
      <c r="EC1309" s="11"/>
      <c r="ED1309" s="11"/>
      <c r="EE1309" s="11"/>
      <c r="EF1309" s="11"/>
      <c r="EG1309" s="11"/>
      <c r="EH1309" s="11"/>
      <c r="EI1309" s="11"/>
      <c r="EJ1309" s="11"/>
      <c r="EK1309" s="11"/>
      <c r="EL1309" s="11"/>
      <c r="EM1309" s="11"/>
      <c r="EN1309" s="11"/>
      <c r="EO1309" s="11"/>
      <c r="EP1309" s="11"/>
      <c r="EQ1309" s="11"/>
      <c r="ER1309" s="11"/>
      <c r="ES1309" s="11"/>
      <c r="ET1309" s="11"/>
      <c r="EU1309" s="11"/>
      <c r="EV1309" s="11"/>
      <c r="EW1309" s="11"/>
      <c r="EX1309" s="11"/>
      <c r="EY1309" s="11"/>
      <c r="EZ1309" s="11"/>
      <c r="FA1309" s="11"/>
      <c r="FB1309" s="11"/>
      <c r="FC1309" s="11"/>
      <c r="FD1309" s="11"/>
      <c r="FE1309" s="11"/>
      <c r="FF1309" s="11"/>
      <c r="FG1309" s="11"/>
      <c r="FH1309" s="11"/>
      <c r="FI1309" s="11"/>
      <c r="FJ1309" s="11"/>
      <c r="FK1309" s="11"/>
      <c r="FL1309" s="52" t="s">
        <v>1135</v>
      </c>
      <c r="FM1309" s="52" t="s">
        <v>255</v>
      </c>
      <c r="FN1309" s="11"/>
      <c r="FO1309" s="11"/>
      <c r="FP1309" s="11"/>
      <c r="FQ1309" s="11"/>
      <c r="FR1309" s="11"/>
      <c r="FS1309" s="11"/>
      <c r="FT1309" s="11"/>
      <c r="FU1309" s="11"/>
      <c r="FV1309" s="11"/>
      <c r="FW1309" s="11"/>
      <c r="FX1309" s="11"/>
      <c r="FY1309" s="11"/>
      <c r="FZ1309" s="11"/>
      <c r="GA1309" s="11"/>
      <c r="GB1309" s="11"/>
      <c r="GC1309" s="11"/>
      <c r="GD1309" s="11"/>
      <c r="GE1309" s="11"/>
      <c r="GF1309" s="11"/>
      <c r="GG1309" s="11"/>
      <c r="GH1309" s="11"/>
      <c r="GI1309" s="11"/>
      <c r="GJ1309" s="11"/>
      <c r="GK1309" s="11"/>
      <c r="GL1309" s="11"/>
      <c r="GM1309" s="11"/>
      <c r="GN1309" s="11"/>
      <c r="GO1309" s="11"/>
      <c r="GP1309" s="11"/>
      <c r="GQ1309" s="11"/>
      <c r="GR1309" s="11"/>
      <c r="GS1309" s="11"/>
      <c r="GT1309" s="11"/>
      <c r="GU1309" s="11"/>
      <c r="GV1309" s="11"/>
      <c r="GW1309" s="11"/>
      <c r="GX1309" s="11"/>
      <c r="GY1309" s="11"/>
      <c r="GZ1309" s="11"/>
      <c r="HA1309" s="11"/>
    </row>
    <row r="1310" spans="1:209" ht="23.25" customHeight="1" x14ac:dyDescent="0.15">
      <c r="A1310" s="11"/>
      <c r="B1310" s="11"/>
      <c r="C1310" s="33" t="s">
        <v>11</v>
      </c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/>
      <c r="R1310" s="11"/>
      <c r="S1310" s="11"/>
      <c r="T1310" s="11"/>
      <c r="U1310" s="11"/>
      <c r="V1310" s="11"/>
      <c r="W1310" s="11"/>
      <c r="X1310" s="11"/>
      <c r="Y1310" s="11"/>
      <c r="Z1310" s="11"/>
      <c r="AA1310" s="11"/>
      <c r="AB1310" s="11"/>
      <c r="AC1310" s="11"/>
      <c r="AD1310" s="11"/>
      <c r="AE1310" s="11"/>
      <c r="AF1310" s="11"/>
      <c r="AG1310" s="11"/>
      <c r="AH1310" s="11"/>
      <c r="AI1310" s="11"/>
      <c r="AJ1310" s="11"/>
      <c r="AK1310" s="11"/>
      <c r="AL1310" s="11"/>
      <c r="AM1310" s="11"/>
      <c r="AN1310" s="11"/>
      <c r="AO1310" s="11"/>
      <c r="AP1310" s="11"/>
      <c r="AQ1310" s="11"/>
      <c r="AR1310" s="11"/>
      <c r="AS1310" s="11"/>
      <c r="AT1310" s="11"/>
      <c r="AU1310" s="11"/>
      <c r="AV1310" s="11"/>
      <c r="AW1310" s="11"/>
      <c r="AX1310" s="52" t="s">
        <v>3751</v>
      </c>
      <c r="AY1310" s="52" t="s">
        <v>1133</v>
      </c>
      <c r="AZ1310" s="52" t="s">
        <v>3821</v>
      </c>
      <c r="BA1310" s="52" t="s">
        <v>579</v>
      </c>
      <c r="BB1310" s="52" t="s">
        <v>493</v>
      </c>
      <c r="BC1310" s="53">
        <v>44512</v>
      </c>
      <c r="BD1310" s="53">
        <v>44542</v>
      </c>
      <c r="BE1310" s="11"/>
      <c r="BF1310" s="55">
        <v>94</v>
      </c>
      <c r="BG1310" s="11"/>
      <c r="BH1310" s="54" t="s">
        <v>3822</v>
      </c>
      <c r="BI1310" s="11"/>
      <c r="BJ1310" s="11"/>
      <c r="BK1310" s="11"/>
      <c r="BL1310" s="11"/>
      <c r="BM1310" s="11"/>
      <c r="BN1310" s="11"/>
      <c r="BO1310" s="11"/>
      <c r="BP1310" s="11"/>
      <c r="BQ1310" s="11"/>
      <c r="BR1310" s="11"/>
      <c r="BS1310" s="11"/>
      <c r="BT1310" s="11"/>
      <c r="BU1310" s="11"/>
      <c r="BV1310" s="11"/>
      <c r="BW1310" s="52"/>
      <c r="BX1310" s="52"/>
      <c r="BY1310" s="11"/>
      <c r="BZ1310" s="52"/>
      <c r="CA1310" s="52"/>
      <c r="CB1310" s="52"/>
      <c r="CC1310" s="52"/>
      <c r="CD1310" s="53"/>
      <c r="CE1310" s="53"/>
      <c r="CF1310" s="52"/>
      <c r="CG1310" s="52"/>
      <c r="CH1310" s="11"/>
      <c r="CI1310" s="11"/>
      <c r="CJ1310" s="11"/>
      <c r="CK1310" s="11"/>
      <c r="CL1310" s="11"/>
      <c r="CM1310" s="11"/>
      <c r="CN1310" s="11"/>
      <c r="CO1310" s="11"/>
      <c r="CP1310" s="11"/>
      <c r="CQ1310" s="11"/>
      <c r="CR1310" s="11"/>
      <c r="CS1310" s="11"/>
      <c r="CT1310" s="11"/>
      <c r="CU1310" s="11"/>
      <c r="CV1310" s="11"/>
      <c r="CW1310" s="11"/>
      <c r="CX1310" s="11"/>
      <c r="CY1310" s="11"/>
      <c r="CZ1310" s="11"/>
      <c r="DA1310" s="11"/>
      <c r="DB1310" s="11"/>
      <c r="DC1310" s="11"/>
      <c r="DD1310" s="11"/>
      <c r="DE1310" s="11"/>
      <c r="DF1310" s="11"/>
      <c r="DG1310" s="11"/>
      <c r="DH1310" s="11"/>
      <c r="DI1310" s="11"/>
      <c r="DJ1310" s="11"/>
      <c r="DK1310" s="11"/>
      <c r="DL1310" s="11"/>
      <c r="DM1310" s="11"/>
      <c r="DN1310" s="11"/>
      <c r="DO1310" s="11"/>
      <c r="DP1310" s="11"/>
      <c r="DQ1310" s="11"/>
      <c r="DR1310" s="11"/>
      <c r="DS1310" s="11"/>
      <c r="DT1310" s="11"/>
      <c r="DU1310" s="11"/>
      <c r="DV1310" s="11"/>
      <c r="DW1310" s="11"/>
      <c r="DX1310" s="11"/>
      <c r="DY1310" s="11"/>
      <c r="DZ1310" s="11"/>
      <c r="EA1310" s="11"/>
      <c r="EB1310" s="11"/>
      <c r="EC1310" s="11"/>
      <c r="ED1310" s="11"/>
      <c r="EE1310" s="11"/>
      <c r="EF1310" s="11"/>
      <c r="EG1310" s="11"/>
      <c r="EH1310" s="11"/>
      <c r="EI1310" s="11"/>
      <c r="EJ1310" s="11"/>
      <c r="EK1310" s="11"/>
      <c r="EL1310" s="11"/>
      <c r="EM1310" s="11"/>
      <c r="EN1310" s="11"/>
      <c r="EO1310" s="11"/>
      <c r="EP1310" s="11"/>
      <c r="EQ1310" s="11"/>
      <c r="ER1310" s="11"/>
      <c r="ES1310" s="11"/>
      <c r="ET1310" s="11"/>
      <c r="EU1310" s="11"/>
      <c r="EV1310" s="11"/>
      <c r="EW1310" s="11"/>
      <c r="EX1310" s="11"/>
      <c r="EY1310" s="11"/>
      <c r="EZ1310" s="11"/>
      <c r="FA1310" s="11"/>
      <c r="FB1310" s="11"/>
      <c r="FC1310" s="11"/>
      <c r="FD1310" s="11"/>
      <c r="FE1310" s="11"/>
      <c r="FF1310" s="11"/>
      <c r="FG1310" s="11"/>
      <c r="FH1310" s="11"/>
      <c r="FI1310" s="11"/>
      <c r="FJ1310" s="11"/>
      <c r="FK1310" s="11"/>
      <c r="FL1310" s="52" t="s">
        <v>1135</v>
      </c>
      <c r="FM1310" s="52" t="s">
        <v>255</v>
      </c>
      <c r="FN1310" s="11"/>
      <c r="FO1310" s="11"/>
      <c r="FP1310" s="11"/>
      <c r="FQ1310" s="11"/>
      <c r="FR1310" s="11"/>
      <c r="FS1310" s="11"/>
      <c r="FT1310" s="11"/>
      <c r="FU1310" s="11"/>
      <c r="FV1310" s="11"/>
      <c r="FW1310" s="11"/>
      <c r="FX1310" s="11"/>
      <c r="FY1310" s="11"/>
      <c r="FZ1310" s="11"/>
      <c r="GA1310" s="11"/>
      <c r="GB1310" s="11"/>
      <c r="GC1310" s="11"/>
      <c r="GD1310" s="11"/>
      <c r="GE1310" s="11"/>
      <c r="GF1310" s="11"/>
      <c r="GG1310" s="11"/>
      <c r="GH1310" s="11"/>
      <c r="GI1310" s="11"/>
      <c r="GJ1310" s="11"/>
      <c r="GK1310" s="11"/>
      <c r="GL1310" s="11"/>
      <c r="GM1310" s="11"/>
      <c r="GN1310" s="11"/>
      <c r="GO1310" s="11"/>
      <c r="GP1310" s="11"/>
      <c r="GQ1310" s="11"/>
      <c r="GR1310" s="11"/>
      <c r="GS1310" s="11"/>
      <c r="GT1310" s="11"/>
      <c r="GU1310" s="11"/>
      <c r="GV1310" s="11"/>
      <c r="GW1310" s="11"/>
      <c r="GX1310" s="11"/>
      <c r="GY1310" s="11"/>
      <c r="GZ1310" s="11"/>
      <c r="HA1310" s="11"/>
    </row>
    <row r="1311" spans="1:209" ht="23.25" customHeight="1" x14ac:dyDescent="0.15">
      <c r="A1311" s="11"/>
      <c r="B1311" s="11"/>
      <c r="C1311" s="33" t="s">
        <v>11</v>
      </c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/>
      <c r="R1311" s="11"/>
      <c r="S1311" s="11"/>
      <c r="T1311" s="11"/>
      <c r="U1311" s="11"/>
      <c r="V1311" s="11"/>
      <c r="W1311" s="11"/>
      <c r="X1311" s="11"/>
      <c r="Y1311" s="11"/>
      <c r="Z1311" s="11"/>
      <c r="AA1311" s="11"/>
      <c r="AB1311" s="11"/>
      <c r="AC1311" s="11"/>
      <c r="AD1311" s="11"/>
      <c r="AE1311" s="11"/>
      <c r="AF1311" s="11"/>
      <c r="AG1311" s="11"/>
      <c r="AH1311" s="11"/>
      <c r="AI1311" s="11"/>
      <c r="AJ1311" s="11"/>
      <c r="AK1311" s="11"/>
      <c r="AL1311" s="11"/>
      <c r="AM1311" s="11"/>
      <c r="AN1311" s="11"/>
      <c r="AO1311" s="11"/>
      <c r="AP1311" s="11"/>
      <c r="AQ1311" s="11"/>
      <c r="AR1311" s="11"/>
      <c r="AS1311" s="11"/>
      <c r="AT1311" s="11"/>
      <c r="AU1311" s="11"/>
      <c r="AV1311" s="11"/>
      <c r="AW1311" s="11"/>
      <c r="AX1311" s="52" t="s">
        <v>3823</v>
      </c>
      <c r="AY1311" s="52" t="s">
        <v>3824</v>
      </c>
      <c r="AZ1311" s="52" t="s">
        <v>3821</v>
      </c>
      <c r="BA1311" s="52" t="s">
        <v>579</v>
      </c>
      <c r="BB1311" s="52" t="s">
        <v>408</v>
      </c>
      <c r="BC1311" s="53">
        <v>44518</v>
      </c>
      <c r="BD1311" s="53">
        <v>44548</v>
      </c>
      <c r="BE1311" s="11"/>
      <c r="BF1311" s="55">
        <v>93</v>
      </c>
      <c r="BG1311" s="11"/>
      <c r="BH1311" s="54" t="s">
        <v>3825</v>
      </c>
      <c r="BI1311" s="11"/>
      <c r="BJ1311" s="11"/>
      <c r="BK1311" s="11"/>
      <c r="BL1311" s="11"/>
      <c r="BM1311" s="11"/>
      <c r="BN1311" s="11"/>
      <c r="BO1311" s="11"/>
      <c r="BP1311" s="11"/>
      <c r="BQ1311" s="11"/>
      <c r="BR1311" s="11"/>
      <c r="BS1311" s="11"/>
      <c r="BT1311" s="11"/>
      <c r="BU1311" s="11"/>
      <c r="BV1311" s="11"/>
      <c r="BW1311" s="52"/>
      <c r="BX1311" s="52"/>
      <c r="BY1311" s="11"/>
      <c r="BZ1311" s="52"/>
      <c r="CA1311" s="52"/>
      <c r="CB1311" s="52"/>
      <c r="CC1311" s="52"/>
      <c r="CD1311" s="53"/>
      <c r="CE1311" s="53"/>
      <c r="CF1311" s="52"/>
      <c r="CG1311" s="52"/>
      <c r="CH1311" s="11"/>
      <c r="CI1311" s="11"/>
      <c r="CJ1311" s="11"/>
      <c r="CK1311" s="11"/>
      <c r="CL1311" s="11"/>
      <c r="CM1311" s="11"/>
      <c r="CN1311" s="11"/>
      <c r="CO1311" s="11"/>
      <c r="CP1311" s="11"/>
      <c r="CQ1311" s="11"/>
      <c r="CR1311" s="11"/>
      <c r="CS1311" s="11"/>
      <c r="CT1311" s="11"/>
      <c r="CU1311" s="11"/>
      <c r="CV1311" s="11"/>
      <c r="CW1311" s="11"/>
      <c r="CX1311" s="11"/>
      <c r="CY1311" s="11"/>
      <c r="CZ1311" s="11"/>
      <c r="DA1311" s="11"/>
      <c r="DB1311" s="11"/>
      <c r="DC1311" s="11"/>
      <c r="DD1311" s="11"/>
      <c r="DE1311" s="11"/>
      <c r="DF1311" s="11"/>
      <c r="DG1311" s="11"/>
      <c r="DH1311" s="11"/>
      <c r="DI1311" s="11"/>
      <c r="DJ1311" s="11"/>
      <c r="DK1311" s="11"/>
      <c r="DL1311" s="11"/>
      <c r="DM1311" s="11"/>
      <c r="DN1311" s="11"/>
      <c r="DO1311" s="11"/>
      <c r="DP1311" s="11"/>
      <c r="DQ1311" s="11"/>
      <c r="DR1311" s="11"/>
      <c r="DS1311" s="11"/>
      <c r="DT1311" s="11"/>
      <c r="DU1311" s="11"/>
      <c r="DV1311" s="11"/>
      <c r="DW1311" s="11"/>
      <c r="DX1311" s="11"/>
      <c r="DY1311" s="11"/>
      <c r="DZ1311" s="11"/>
      <c r="EA1311" s="11"/>
      <c r="EB1311" s="11"/>
      <c r="EC1311" s="11"/>
      <c r="ED1311" s="11"/>
      <c r="EE1311" s="11"/>
      <c r="EF1311" s="11"/>
      <c r="EG1311" s="11"/>
      <c r="EH1311" s="11"/>
      <c r="EI1311" s="11"/>
      <c r="EJ1311" s="11"/>
      <c r="EK1311" s="11"/>
      <c r="EL1311" s="11"/>
      <c r="EM1311" s="11"/>
      <c r="EN1311" s="11"/>
      <c r="EO1311" s="11"/>
      <c r="EP1311" s="11"/>
      <c r="EQ1311" s="11"/>
      <c r="ER1311" s="11"/>
      <c r="ES1311" s="11"/>
      <c r="ET1311" s="11"/>
      <c r="EU1311" s="11"/>
      <c r="EV1311" s="11"/>
      <c r="EW1311" s="11"/>
      <c r="EX1311" s="11"/>
      <c r="EY1311" s="11"/>
      <c r="EZ1311" s="11"/>
      <c r="FA1311" s="11"/>
      <c r="FB1311" s="11"/>
      <c r="FC1311" s="11"/>
      <c r="FD1311" s="11"/>
      <c r="FE1311" s="11"/>
      <c r="FF1311" s="11"/>
      <c r="FG1311" s="11"/>
      <c r="FH1311" s="11"/>
      <c r="FI1311" s="11"/>
      <c r="FJ1311" s="11"/>
      <c r="FK1311" s="11"/>
      <c r="FL1311" s="52" t="s">
        <v>3868</v>
      </c>
      <c r="FM1311" s="52" t="s">
        <v>255</v>
      </c>
      <c r="FN1311" s="11"/>
      <c r="FO1311" s="11"/>
      <c r="FP1311" s="11"/>
      <c r="FQ1311" s="11"/>
      <c r="FR1311" s="11"/>
      <c r="FS1311" s="11"/>
      <c r="FT1311" s="11"/>
      <c r="FU1311" s="11"/>
      <c r="FV1311" s="11"/>
      <c r="FW1311" s="11"/>
      <c r="FX1311" s="11"/>
      <c r="FY1311" s="11"/>
      <c r="FZ1311" s="11"/>
      <c r="GA1311" s="11"/>
      <c r="GB1311" s="11"/>
      <c r="GC1311" s="11"/>
      <c r="GD1311" s="11"/>
      <c r="GE1311" s="11"/>
      <c r="GF1311" s="11"/>
      <c r="GG1311" s="11"/>
      <c r="GH1311" s="11"/>
      <c r="GI1311" s="11"/>
      <c r="GJ1311" s="11"/>
      <c r="GK1311" s="11"/>
      <c r="GL1311" s="11"/>
      <c r="GM1311" s="11"/>
      <c r="GN1311" s="11"/>
      <c r="GO1311" s="11"/>
      <c r="GP1311" s="11"/>
      <c r="GQ1311" s="11"/>
      <c r="GR1311" s="11"/>
      <c r="GS1311" s="11"/>
      <c r="GT1311" s="11"/>
      <c r="GU1311" s="11"/>
      <c r="GV1311" s="11"/>
      <c r="GW1311" s="11"/>
      <c r="GX1311" s="11"/>
      <c r="GY1311" s="11"/>
      <c r="GZ1311" s="11"/>
      <c r="HA1311" s="11"/>
    </row>
    <row r="1312" spans="1:209" ht="23.25" customHeight="1" x14ac:dyDescent="0.15">
      <c r="A1312" s="11"/>
      <c r="B1312" s="11"/>
      <c r="C1312" s="33" t="s">
        <v>11</v>
      </c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/>
      <c r="R1312" s="11"/>
      <c r="S1312" s="11"/>
      <c r="T1312" s="11"/>
      <c r="U1312" s="11"/>
      <c r="V1312" s="11"/>
      <c r="W1312" s="11"/>
      <c r="X1312" s="11"/>
      <c r="Y1312" s="11"/>
      <c r="Z1312" s="11"/>
      <c r="AA1312" s="11"/>
      <c r="AB1312" s="11"/>
      <c r="AC1312" s="11"/>
      <c r="AD1312" s="11"/>
      <c r="AE1312" s="11"/>
      <c r="AF1312" s="11"/>
      <c r="AG1312" s="11"/>
      <c r="AH1312" s="11"/>
      <c r="AI1312" s="11"/>
      <c r="AJ1312" s="11"/>
      <c r="AK1312" s="11"/>
      <c r="AL1312" s="11"/>
      <c r="AM1312" s="11"/>
      <c r="AN1312" s="11"/>
      <c r="AO1312" s="11"/>
      <c r="AP1312" s="11"/>
      <c r="AQ1312" s="11"/>
      <c r="AR1312" s="11"/>
      <c r="AS1312" s="11"/>
      <c r="AT1312" s="11"/>
      <c r="AU1312" s="11"/>
      <c r="AV1312" s="11"/>
      <c r="AW1312" s="11"/>
      <c r="AX1312" s="52" t="s">
        <v>3823</v>
      </c>
      <c r="AY1312" s="52" t="s">
        <v>3824</v>
      </c>
      <c r="AZ1312" s="52" t="s">
        <v>859</v>
      </c>
      <c r="BA1312" s="52" t="s">
        <v>3826</v>
      </c>
      <c r="BB1312" s="52" t="s">
        <v>408</v>
      </c>
      <c r="BC1312" s="53">
        <v>44208</v>
      </c>
      <c r="BD1312" s="53">
        <v>44239</v>
      </c>
      <c r="BE1312" s="11"/>
      <c r="BF1312" s="55">
        <v>100</v>
      </c>
      <c r="BG1312" s="11"/>
      <c r="BH1312" s="54" t="s">
        <v>3827</v>
      </c>
      <c r="BI1312" s="11"/>
      <c r="BJ1312" s="11"/>
      <c r="BK1312" s="11"/>
      <c r="BL1312" s="11"/>
      <c r="BM1312" s="11"/>
      <c r="BN1312" s="11"/>
      <c r="BO1312" s="11"/>
      <c r="BP1312" s="11"/>
      <c r="BQ1312" s="11"/>
      <c r="BR1312" s="11"/>
      <c r="BS1312" s="11"/>
      <c r="BT1312" s="11"/>
      <c r="BU1312" s="11"/>
      <c r="BV1312" s="11"/>
      <c r="BW1312" s="52"/>
      <c r="BX1312" s="52"/>
      <c r="BY1312" s="11"/>
      <c r="BZ1312" s="52"/>
      <c r="CA1312" s="52"/>
      <c r="CB1312" s="52"/>
      <c r="CC1312" s="52"/>
      <c r="CD1312" s="53"/>
      <c r="CE1312" s="53"/>
      <c r="CF1312" s="52"/>
      <c r="CG1312" s="52"/>
      <c r="CH1312" s="11"/>
      <c r="CI1312" s="11"/>
      <c r="CJ1312" s="11"/>
      <c r="CK1312" s="11"/>
      <c r="CL1312" s="11"/>
      <c r="CM1312" s="11"/>
      <c r="CN1312" s="11"/>
      <c r="CO1312" s="11"/>
      <c r="CP1312" s="11"/>
      <c r="CQ1312" s="11"/>
      <c r="CR1312" s="11"/>
      <c r="CS1312" s="11"/>
      <c r="CT1312" s="11"/>
      <c r="CU1312" s="11"/>
      <c r="CV1312" s="11"/>
      <c r="CW1312" s="11"/>
      <c r="CX1312" s="11"/>
      <c r="CY1312" s="11"/>
      <c r="CZ1312" s="11"/>
      <c r="DA1312" s="11"/>
      <c r="DB1312" s="11"/>
      <c r="DC1312" s="11"/>
      <c r="DD1312" s="11"/>
      <c r="DE1312" s="11"/>
      <c r="DF1312" s="11"/>
      <c r="DG1312" s="11"/>
      <c r="DH1312" s="11"/>
      <c r="DI1312" s="11"/>
      <c r="DJ1312" s="11"/>
      <c r="DK1312" s="11"/>
      <c r="DL1312" s="11"/>
      <c r="DM1312" s="11"/>
      <c r="DN1312" s="11"/>
      <c r="DO1312" s="11"/>
      <c r="DP1312" s="11"/>
      <c r="DQ1312" s="11"/>
      <c r="DR1312" s="11"/>
      <c r="DS1312" s="11"/>
      <c r="DT1312" s="11"/>
      <c r="DU1312" s="11"/>
      <c r="DV1312" s="11"/>
      <c r="DW1312" s="11"/>
      <c r="DX1312" s="11"/>
      <c r="DY1312" s="11"/>
      <c r="DZ1312" s="11"/>
      <c r="EA1312" s="11"/>
      <c r="EB1312" s="11"/>
      <c r="EC1312" s="11"/>
      <c r="ED1312" s="11"/>
      <c r="EE1312" s="11"/>
      <c r="EF1312" s="11"/>
      <c r="EG1312" s="11"/>
      <c r="EH1312" s="11"/>
      <c r="EI1312" s="11"/>
      <c r="EJ1312" s="11"/>
      <c r="EK1312" s="11"/>
      <c r="EL1312" s="11"/>
      <c r="EM1312" s="11"/>
      <c r="EN1312" s="11"/>
      <c r="EO1312" s="11"/>
      <c r="EP1312" s="11"/>
      <c r="EQ1312" s="11"/>
      <c r="ER1312" s="11"/>
      <c r="ES1312" s="11"/>
      <c r="ET1312" s="11"/>
      <c r="EU1312" s="11"/>
      <c r="EV1312" s="11"/>
      <c r="EW1312" s="11"/>
      <c r="EX1312" s="11"/>
      <c r="EY1312" s="11"/>
      <c r="EZ1312" s="11"/>
      <c r="FA1312" s="11"/>
      <c r="FB1312" s="11"/>
      <c r="FC1312" s="11"/>
      <c r="FD1312" s="11"/>
      <c r="FE1312" s="11"/>
      <c r="FF1312" s="11"/>
      <c r="FG1312" s="11"/>
      <c r="FH1312" s="11"/>
      <c r="FI1312" s="11"/>
      <c r="FJ1312" s="11"/>
      <c r="FK1312" s="11"/>
      <c r="FL1312" s="52" t="s">
        <v>3868</v>
      </c>
      <c r="FM1312" s="52" t="s">
        <v>255</v>
      </c>
      <c r="FN1312" s="11"/>
      <c r="FO1312" s="11"/>
      <c r="FP1312" s="11"/>
      <c r="FQ1312" s="11"/>
      <c r="FR1312" s="11"/>
      <c r="FS1312" s="11"/>
      <c r="FT1312" s="11"/>
      <c r="FU1312" s="11"/>
      <c r="FV1312" s="11"/>
      <c r="FW1312" s="11"/>
      <c r="FX1312" s="11"/>
      <c r="FY1312" s="11"/>
      <c r="FZ1312" s="11"/>
      <c r="GA1312" s="11"/>
      <c r="GB1312" s="11"/>
      <c r="GC1312" s="11"/>
      <c r="GD1312" s="11"/>
      <c r="GE1312" s="11"/>
      <c r="GF1312" s="11"/>
      <c r="GG1312" s="11"/>
      <c r="GH1312" s="11"/>
      <c r="GI1312" s="11"/>
      <c r="GJ1312" s="11"/>
      <c r="GK1312" s="11"/>
      <c r="GL1312" s="11"/>
      <c r="GM1312" s="11"/>
      <c r="GN1312" s="11"/>
      <c r="GO1312" s="11"/>
      <c r="GP1312" s="11"/>
      <c r="GQ1312" s="11"/>
      <c r="GR1312" s="11"/>
      <c r="GS1312" s="11"/>
      <c r="GT1312" s="11"/>
      <c r="GU1312" s="11"/>
      <c r="GV1312" s="11"/>
      <c r="GW1312" s="11"/>
      <c r="GX1312" s="11"/>
      <c r="GY1312" s="11"/>
      <c r="GZ1312" s="11"/>
      <c r="HA1312" s="11"/>
    </row>
    <row r="1313" spans="1:209" ht="23.25" customHeight="1" x14ac:dyDescent="0.15">
      <c r="A1313" s="11"/>
      <c r="B1313" s="11"/>
      <c r="C1313" s="33" t="s">
        <v>11</v>
      </c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/>
      <c r="R1313" s="11"/>
      <c r="S1313" s="11"/>
      <c r="T1313" s="11"/>
      <c r="U1313" s="11"/>
      <c r="V1313" s="11"/>
      <c r="W1313" s="11"/>
      <c r="X1313" s="11"/>
      <c r="Y1313" s="11"/>
      <c r="Z1313" s="11"/>
      <c r="AA1313" s="11"/>
      <c r="AB1313" s="11"/>
      <c r="AC1313" s="11"/>
      <c r="AD1313" s="11"/>
      <c r="AE1313" s="11"/>
      <c r="AF1313" s="11"/>
      <c r="AG1313" s="11"/>
      <c r="AH1313" s="11"/>
      <c r="AI1313" s="11"/>
      <c r="AJ1313" s="11"/>
      <c r="AK1313" s="11"/>
      <c r="AL1313" s="11"/>
      <c r="AM1313" s="11"/>
      <c r="AN1313" s="11"/>
      <c r="AO1313" s="11"/>
      <c r="AP1313" s="11"/>
      <c r="AQ1313" s="11"/>
      <c r="AR1313" s="11"/>
      <c r="AS1313" s="11"/>
      <c r="AT1313" s="11"/>
      <c r="AU1313" s="11"/>
      <c r="AV1313" s="11"/>
      <c r="AW1313" s="11"/>
      <c r="AX1313" s="52" t="s">
        <v>2662</v>
      </c>
      <c r="AY1313" s="52" t="s">
        <v>2663</v>
      </c>
      <c r="AZ1313" s="52" t="s">
        <v>3828</v>
      </c>
      <c r="BA1313" s="52" t="s">
        <v>3829</v>
      </c>
      <c r="BB1313" s="52" t="s">
        <v>448</v>
      </c>
      <c r="BC1313" s="53">
        <v>44440</v>
      </c>
      <c r="BD1313" s="53">
        <v>44537</v>
      </c>
      <c r="BE1313" s="11"/>
      <c r="BF1313" s="55">
        <v>90</v>
      </c>
      <c r="BG1313" s="11"/>
      <c r="BH1313" s="54" t="s">
        <v>3830</v>
      </c>
      <c r="BI1313" s="11"/>
      <c r="BJ1313" s="11"/>
      <c r="BK1313" s="11"/>
      <c r="BL1313" s="11"/>
      <c r="BM1313" s="11"/>
      <c r="BN1313" s="11"/>
      <c r="BO1313" s="11"/>
      <c r="BP1313" s="11"/>
      <c r="BQ1313" s="11"/>
      <c r="BR1313" s="11"/>
      <c r="BS1313" s="11"/>
      <c r="BT1313" s="11"/>
      <c r="BU1313" s="11"/>
      <c r="BV1313" s="11"/>
      <c r="BW1313" s="52"/>
      <c r="BX1313" s="52"/>
      <c r="BY1313" s="11"/>
      <c r="BZ1313" s="52"/>
      <c r="CA1313" s="52"/>
      <c r="CB1313" s="52"/>
      <c r="CC1313" s="52"/>
      <c r="CD1313" s="53"/>
      <c r="CE1313" s="53"/>
      <c r="CF1313" s="52"/>
      <c r="CG1313" s="52"/>
      <c r="CH1313" s="11"/>
      <c r="CI1313" s="11"/>
      <c r="CJ1313" s="11"/>
      <c r="CK1313" s="11"/>
      <c r="CL1313" s="11"/>
      <c r="CM1313" s="11"/>
      <c r="CN1313" s="11"/>
      <c r="CO1313" s="11"/>
      <c r="CP1313" s="11"/>
      <c r="CQ1313" s="11"/>
      <c r="CR1313" s="11"/>
      <c r="CS1313" s="11"/>
      <c r="CT1313" s="11"/>
      <c r="CU1313" s="11"/>
      <c r="CV1313" s="11"/>
      <c r="CW1313" s="11"/>
      <c r="CX1313" s="11"/>
      <c r="CY1313" s="11"/>
      <c r="CZ1313" s="11"/>
      <c r="DA1313" s="11"/>
      <c r="DB1313" s="11"/>
      <c r="DC1313" s="11"/>
      <c r="DD1313" s="11"/>
      <c r="DE1313" s="11"/>
      <c r="DF1313" s="11"/>
      <c r="DG1313" s="11"/>
      <c r="DH1313" s="11"/>
      <c r="DI1313" s="11"/>
      <c r="DJ1313" s="11"/>
      <c r="DK1313" s="11"/>
      <c r="DL1313" s="11"/>
      <c r="DM1313" s="11"/>
      <c r="DN1313" s="11"/>
      <c r="DO1313" s="11"/>
      <c r="DP1313" s="11"/>
      <c r="DQ1313" s="11"/>
      <c r="DR1313" s="11"/>
      <c r="DS1313" s="11"/>
      <c r="DT1313" s="11"/>
      <c r="DU1313" s="11"/>
      <c r="DV1313" s="11"/>
      <c r="DW1313" s="11"/>
      <c r="DX1313" s="11"/>
      <c r="DY1313" s="11"/>
      <c r="DZ1313" s="11"/>
      <c r="EA1313" s="11"/>
      <c r="EB1313" s="11"/>
      <c r="EC1313" s="11"/>
      <c r="ED1313" s="11"/>
      <c r="EE1313" s="11"/>
      <c r="EF1313" s="11"/>
      <c r="EG1313" s="11"/>
      <c r="EH1313" s="11"/>
      <c r="EI1313" s="11"/>
      <c r="EJ1313" s="11"/>
      <c r="EK1313" s="11"/>
      <c r="EL1313" s="11"/>
      <c r="EM1313" s="11"/>
      <c r="EN1313" s="11"/>
      <c r="EO1313" s="11"/>
      <c r="EP1313" s="11"/>
      <c r="EQ1313" s="11"/>
      <c r="ER1313" s="11"/>
      <c r="ES1313" s="11"/>
      <c r="ET1313" s="11"/>
      <c r="EU1313" s="11"/>
      <c r="EV1313" s="11"/>
      <c r="EW1313" s="11"/>
      <c r="EX1313" s="11"/>
      <c r="EY1313" s="11"/>
      <c r="EZ1313" s="11"/>
      <c r="FA1313" s="11"/>
      <c r="FB1313" s="11"/>
      <c r="FC1313" s="11"/>
      <c r="FD1313" s="11"/>
      <c r="FE1313" s="11"/>
      <c r="FF1313" s="11"/>
      <c r="FG1313" s="11"/>
      <c r="FH1313" s="11"/>
      <c r="FI1313" s="11"/>
      <c r="FJ1313" s="11"/>
      <c r="FK1313" s="11"/>
      <c r="FL1313" s="52" t="s">
        <v>2668</v>
      </c>
      <c r="FM1313" s="52" t="s">
        <v>321</v>
      </c>
      <c r="FN1313" s="11"/>
      <c r="FO1313" s="11"/>
      <c r="FP1313" s="11"/>
      <c r="FQ1313" s="11"/>
      <c r="FR1313" s="11"/>
      <c r="FS1313" s="11"/>
      <c r="FT1313" s="11"/>
      <c r="FU1313" s="11"/>
      <c r="FV1313" s="11"/>
      <c r="FW1313" s="11"/>
      <c r="FX1313" s="11"/>
      <c r="FY1313" s="11"/>
      <c r="FZ1313" s="11"/>
      <c r="GA1313" s="11"/>
      <c r="GB1313" s="11"/>
      <c r="GC1313" s="11"/>
      <c r="GD1313" s="11"/>
      <c r="GE1313" s="11"/>
      <c r="GF1313" s="11"/>
      <c r="GG1313" s="11"/>
      <c r="GH1313" s="11"/>
      <c r="GI1313" s="11"/>
      <c r="GJ1313" s="11"/>
      <c r="GK1313" s="11"/>
      <c r="GL1313" s="11"/>
      <c r="GM1313" s="11"/>
      <c r="GN1313" s="11"/>
      <c r="GO1313" s="11"/>
      <c r="GP1313" s="11"/>
      <c r="GQ1313" s="11"/>
      <c r="GR1313" s="11"/>
      <c r="GS1313" s="11"/>
      <c r="GT1313" s="11"/>
      <c r="GU1313" s="11"/>
      <c r="GV1313" s="11"/>
      <c r="GW1313" s="11"/>
      <c r="GX1313" s="11"/>
      <c r="GY1313" s="11"/>
      <c r="GZ1313" s="11"/>
      <c r="HA1313" s="11"/>
    </row>
    <row r="1314" spans="1:209" ht="23.25" customHeight="1" x14ac:dyDescent="0.15">
      <c r="A1314" s="11"/>
      <c r="B1314" s="11"/>
      <c r="C1314" s="33" t="s">
        <v>11</v>
      </c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/>
      <c r="R1314" s="11"/>
      <c r="S1314" s="11"/>
      <c r="T1314" s="11"/>
      <c r="U1314" s="11"/>
      <c r="V1314" s="11"/>
      <c r="W1314" s="11"/>
      <c r="X1314" s="11"/>
      <c r="Y1314" s="11"/>
      <c r="Z1314" s="11"/>
      <c r="AA1314" s="11"/>
      <c r="AB1314" s="11"/>
      <c r="AC1314" s="11"/>
      <c r="AD1314" s="11"/>
      <c r="AE1314" s="11"/>
      <c r="AF1314" s="11"/>
      <c r="AG1314" s="11"/>
      <c r="AH1314" s="11"/>
      <c r="AI1314" s="11"/>
      <c r="AJ1314" s="11"/>
      <c r="AK1314" s="11"/>
      <c r="AL1314" s="11"/>
      <c r="AM1314" s="11"/>
      <c r="AN1314" s="11"/>
      <c r="AO1314" s="11"/>
      <c r="AP1314" s="11"/>
      <c r="AQ1314" s="11"/>
      <c r="AR1314" s="11"/>
      <c r="AS1314" s="11"/>
      <c r="AT1314" s="11"/>
      <c r="AU1314" s="11"/>
      <c r="AV1314" s="11"/>
      <c r="AW1314" s="11"/>
      <c r="AX1314" s="52" t="s">
        <v>2757</v>
      </c>
      <c r="AY1314" s="52" t="s">
        <v>2758</v>
      </c>
      <c r="AZ1314" s="52" t="s">
        <v>781</v>
      </c>
      <c r="BA1314" s="52" t="s">
        <v>343</v>
      </c>
      <c r="BB1314" s="52" t="s">
        <v>2782</v>
      </c>
      <c r="BC1314" s="53">
        <v>43923</v>
      </c>
      <c r="BD1314" s="53">
        <v>43953</v>
      </c>
      <c r="BE1314" s="11"/>
      <c r="BF1314" s="55">
        <v>90</v>
      </c>
      <c r="BG1314" s="11"/>
      <c r="BH1314" s="54" t="s">
        <v>3831</v>
      </c>
      <c r="BI1314" s="11"/>
      <c r="BJ1314" s="11"/>
      <c r="BK1314" s="11"/>
      <c r="BL1314" s="11"/>
      <c r="BM1314" s="11"/>
      <c r="BN1314" s="11"/>
      <c r="BO1314" s="11"/>
      <c r="BP1314" s="11"/>
      <c r="BQ1314" s="11"/>
      <c r="BR1314" s="11"/>
      <c r="BS1314" s="11"/>
      <c r="BT1314" s="11"/>
      <c r="BU1314" s="11"/>
      <c r="BV1314" s="11"/>
      <c r="BW1314" s="52"/>
      <c r="BX1314" s="52"/>
      <c r="BY1314" s="11"/>
      <c r="BZ1314" s="52"/>
      <c r="CA1314" s="52"/>
      <c r="CB1314" s="52"/>
      <c r="CC1314" s="52"/>
      <c r="CD1314" s="53"/>
      <c r="CE1314" s="53"/>
      <c r="CF1314" s="52"/>
      <c r="CG1314" s="52"/>
      <c r="CH1314" s="11"/>
      <c r="CI1314" s="11"/>
      <c r="CJ1314" s="11"/>
      <c r="CK1314" s="11"/>
      <c r="CL1314" s="11"/>
      <c r="CM1314" s="11"/>
      <c r="CN1314" s="11"/>
      <c r="CO1314" s="11"/>
      <c r="CP1314" s="11"/>
      <c r="CQ1314" s="11"/>
      <c r="CR1314" s="11"/>
      <c r="CS1314" s="11"/>
      <c r="CT1314" s="11"/>
      <c r="CU1314" s="11"/>
      <c r="CV1314" s="11"/>
      <c r="CW1314" s="11"/>
      <c r="CX1314" s="11"/>
      <c r="CY1314" s="11"/>
      <c r="CZ1314" s="11"/>
      <c r="DA1314" s="11"/>
      <c r="DB1314" s="11"/>
      <c r="DC1314" s="11"/>
      <c r="DD1314" s="11"/>
      <c r="DE1314" s="11"/>
      <c r="DF1314" s="11"/>
      <c r="DG1314" s="11"/>
      <c r="DH1314" s="11"/>
      <c r="DI1314" s="11"/>
      <c r="DJ1314" s="11"/>
      <c r="DK1314" s="11"/>
      <c r="DL1314" s="11"/>
      <c r="DM1314" s="11"/>
      <c r="DN1314" s="11"/>
      <c r="DO1314" s="11"/>
      <c r="DP1314" s="11"/>
      <c r="DQ1314" s="11"/>
      <c r="DR1314" s="11"/>
      <c r="DS1314" s="11"/>
      <c r="DT1314" s="11"/>
      <c r="DU1314" s="11"/>
      <c r="DV1314" s="11"/>
      <c r="DW1314" s="11"/>
      <c r="DX1314" s="11"/>
      <c r="DY1314" s="11"/>
      <c r="DZ1314" s="11"/>
      <c r="EA1314" s="11"/>
      <c r="EB1314" s="11"/>
      <c r="EC1314" s="11"/>
      <c r="ED1314" s="11"/>
      <c r="EE1314" s="11"/>
      <c r="EF1314" s="11"/>
      <c r="EG1314" s="11"/>
      <c r="EH1314" s="11"/>
      <c r="EI1314" s="11"/>
      <c r="EJ1314" s="11"/>
      <c r="EK1314" s="11"/>
      <c r="EL1314" s="11"/>
      <c r="EM1314" s="11"/>
      <c r="EN1314" s="11"/>
      <c r="EO1314" s="11"/>
      <c r="EP1314" s="11"/>
      <c r="EQ1314" s="11"/>
      <c r="ER1314" s="11"/>
      <c r="ES1314" s="11"/>
      <c r="ET1314" s="11"/>
      <c r="EU1314" s="11"/>
      <c r="EV1314" s="11"/>
      <c r="EW1314" s="11"/>
      <c r="EX1314" s="11"/>
      <c r="EY1314" s="11"/>
      <c r="EZ1314" s="11"/>
      <c r="FA1314" s="11"/>
      <c r="FB1314" s="11"/>
      <c r="FC1314" s="11"/>
      <c r="FD1314" s="11"/>
      <c r="FE1314" s="11"/>
      <c r="FF1314" s="11"/>
      <c r="FG1314" s="11"/>
      <c r="FH1314" s="11"/>
      <c r="FI1314" s="11"/>
      <c r="FJ1314" s="11"/>
      <c r="FK1314" s="11"/>
      <c r="FL1314" s="52" t="s">
        <v>2761</v>
      </c>
      <c r="FM1314" s="52" t="s">
        <v>321</v>
      </c>
      <c r="FN1314" s="11"/>
      <c r="FO1314" s="11"/>
      <c r="FP1314" s="11"/>
      <c r="FQ1314" s="11"/>
      <c r="FR1314" s="11"/>
      <c r="FS1314" s="11"/>
      <c r="FT1314" s="11"/>
      <c r="FU1314" s="11"/>
      <c r="FV1314" s="11"/>
      <c r="FW1314" s="11"/>
      <c r="FX1314" s="11"/>
      <c r="FY1314" s="11"/>
      <c r="FZ1314" s="11"/>
      <c r="GA1314" s="11"/>
      <c r="GB1314" s="11"/>
      <c r="GC1314" s="11"/>
      <c r="GD1314" s="11"/>
      <c r="GE1314" s="11"/>
      <c r="GF1314" s="11"/>
      <c r="GG1314" s="11"/>
      <c r="GH1314" s="11"/>
      <c r="GI1314" s="11"/>
      <c r="GJ1314" s="11"/>
      <c r="GK1314" s="11"/>
      <c r="GL1314" s="11"/>
      <c r="GM1314" s="11"/>
      <c r="GN1314" s="11"/>
      <c r="GO1314" s="11"/>
      <c r="GP1314" s="11"/>
      <c r="GQ1314" s="11"/>
      <c r="GR1314" s="11"/>
      <c r="GS1314" s="11"/>
      <c r="GT1314" s="11"/>
      <c r="GU1314" s="11"/>
      <c r="GV1314" s="11"/>
      <c r="GW1314" s="11"/>
      <c r="GX1314" s="11"/>
      <c r="GY1314" s="11"/>
      <c r="GZ1314" s="11"/>
      <c r="HA1314" s="11"/>
    </row>
    <row r="1315" spans="1:209" ht="23.25" customHeight="1" x14ac:dyDescent="0.15">
      <c r="A1315" s="11"/>
      <c r="B1315" s="11"/>
      <c r="C1315" s="33" t="s">
        <v>11</v>
      </c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/>
      <c r="R1315" s="11"/>
      <c r="S1315" s="11"/>
      <c r="T1315" s="11"/>
      <c r="U1315" s="11"/>
      <c r="V1315" s="11"/>
      <c r="W1315" s="11"/>
      <c r="X1315" s="11"/>
      <c r="Y1315" s="11"/>
      <c r="Z1315" s="11"/>
      <c r="AA1315" s="11"/>
      <c r="AB1315" s="11"/>
      <c r="AC1315" s="11"/>
      <c r="AD1315" s="11"/>
      <c r="AE1315" s="11"/>
      <c r="AF1315" s="11"/>
      <c r="AG1315" s="11"/>
      <c r="AH1315" s="11"/>
      <c r="AI1315" s="11"/>
      <c r="AJ1315" s="11"/>
      <c r="AK1315" s="11"/>
      <c r="AL1315" s="11"/>
      <c r="AM1315" s="11"/>
      <c r="AN1315" s="11"/>
      <c r="AO1315" s="11"/>
      <c r="AP1315" s="11"/>
      <c r="AQ1315" s="11"/>
      <c r="AR1315" s="11"/>
      <c r="AS1315" s="11"/>
      <c r="AT1315" s="11"/>
      <c r="AU1315" s="11"/>
      <c r="AV1315" s="11"/>
      <c r="AW1315" s="11"/>
      <c r="AX1315" s="52" t="s">
        <v>2757</v>
      </c>
      <c r="AY1315" s="52" t="s">
        <v>2758</v>
      </c>
      <c r="AZ1315" s="52" t="s">
        <v>3815</v>
      </c>
      <c r="BA1315" s="52" t="s">
        <v>343</v>
      </c>
      <c r="BB1315" s="52" t="s">
        <v>2782</v>
      </c>
      <c r="BC1315" s="53">
        <v>43950</v>
      </c>
      <c r="BD1315" s="53">
        <v>43980</v>
      </c>
      <c r="BE1315" s="11"/>
      <c r="BF1315" s="55">
        <v>90</v>
      </c>
      <c r="BG1315" s="11"/>
      <c r="BH1315" s="54" t="s">
        <v>3832</v>
      </c>
      <c r="BI1315" s="11"/>
      <c r="BJ1315" s="11"/>
      <c r="BK1315" s="11"/>
      <c r="BL1315" s="11"/>
      <c r="BM1315" s="11"/>
      <c r="BN1315" s="11"/>
      <c r="BO1315" s="11"/>
      <c r="BP1315" s="11"/>
      <c r="BQ1315" s="11"/>
      <c r="BR1315" s="11"/>
      <c r="BS1315" s="11"/>
      <c r="BT1315" s="11"/>
      <c r="BU1315" s="11"/>
      <c r="BV1315" s="11"/>
      <c r="BW1315" s="52"/>
      <c r="BX1315" s="52"/>
      <c r="BY1315" s="11"/>
      <c r="BZ1315" s="52"/>
      <c r="CA1315" s="52"/>
      <c r="CB1315" s="52"/>
      <c r="CC1315" s="52"/>
      <c r="CD1315" s="53"/>
      <c r="CE1315" s="53"/>
      <c r="CF1315" s="52"/>
      <c r="CG1315" s="52"/>
      <c r="CH1315" s="11"/>
      <c r="CI1315" s="11"/>
      <c r="CJ1315" s="11"/>
      <c r="CK1315" s="11"/>
      <c r="CL1315" s="11"/>
      <c r="CM1315" s="11"/>
      <c r="CN1315" s="11"/>
      <c r="CO1315" s="11"/>
      <c r="CP1315" s="11"/>
      <c r="CQ1315" s="11"/>
      <c r="CR1315" s="11"/>
      <c r="CS1315" s="11"/>
      <c r="CT1315" s="11"/>
      <c r="CU1315" s="11"/>
      <c r="CV1315" s="11"/>
      <c r="CW1315" s="11"/>
      <c r="CX1315" s="11"/>
      <c r="CY1315" s="11"/>
      <c r="CZ1315" s="11"/>
      <c r="DA1315" s="11"/>
      <c r="DB1315" s="11"/>
      <c r="DC1315" s="11"/>
      <c r="DD1315" s="11"/>
      <c r="DE1315" s="11"/>
      <c r="DF1315" s="11"/>
      <c r="DG1315" s="11"/>
      <c r="DH1315" s="11"/>
      <c r="DI1315" s="11"/>
      <c r="DJ1315" s="11"/>
      <c r="DK1315" s="11"/>
      <c r="DL1315" s="11"/>
      <c r="DM1315" s="11"/>
      <c r="DN1315" s="11"/>
      <c r="DO1315" s="11"/>
      <c r="DP1315" s="11"/>
      <c r="DQ1315" s="11"/>
      <c r="DR1315" s="11"/>
      <c r="DS1315" s="11"/>
      <c r="DT1315" s="11"/>
      <c r="DU1315" s="11"/>
      <c r="DV1315" s="11"/>
      <c r="DW1315" s="11"/>
      <c r="DX1315" s="11"/>
      <c r="DY1315" s="11"/>
      <c r="DZ1315" s="11"/>
      <c r="EA1315" s="11"/>
      <c r="EB1315" s="11"/>
      <c r="EC1315" s="11"/>
      <c r="ED1315" s="11"/>
      <c r="EE1315" s="11"/>
      <c r="EF1315" s="11"/>
      <c r="EG1315" s="11"/>
      <c r="EH1315" s="11"/>
      <c r="EI1315" s="11"/>
      <c r="EJ1315" s="11"/>
      <c r="EK1315" s="11"/>
      <c r="EL1315" s="11"/>
      <c r="EM1315" s="11"/>
      <c r="EN1315" s="11"/>
      <c r="EO1315" s="11"/>
      <c r="EP1315" s="11"/>
      <c r="EQ1315" s="11"/>
      <c r="ER1315" s="11"/>
      <c r="ES1315" s="11"/>
      <c r="ET1315" s="11"/>
      <c r="EU1315" s="11"/>
      <c r="EV1315" s="11"/>
      <c r="EW1315" s="11"/>
      <c r="EX1315" s="11"/>
      <c r="EY1315" s="11"/>
      <c r="EZ1315" s="11"/>
      <c r="FA1315" s="11"/>
      <c r="FB1315" s="11"/>
      <c r="FC1315" s="11"/>
      <c r="FD1315" s="11"/>
      <c r="FE1315" s="11"/>
      <c r="FF1315" s="11"/>
      <c r="FG1315" s="11"/>
      <c r="FH1315" s="11"/>
      <c r="FI1315" s="11"/>
      <c r="FJ1315" s="11"/>
      <c r="FK1315" s="11"/>
      <c r="FL1315" s="52" t="s">
        <v>2761</v>
      </c>
      <c r="FM1315" s="52" t="s">
        <v>321</v>
      </c>
      <c r="FN1315" s="11"/>
      <c r="FO1315" s="11"/>
      <c r="FP1315" s="11"/>
      <c r="FQ1315" s="11"/>
      <c r="FR1315" s="11"/>
      <c r="FS1315" s="11"/>
      <c r="FT1315" s="11"/>
      <c r="FU1315" s="11"/>
      <c r="FV1315" s="11"/>
      <c r="FW1315" s="11"/>
      <c r="FX1315" s="11"/>
      <c r="FY1315" s="11"/>
      <c r="FZ1315" s="11"/>
      <c r="GA1315" s="11"/>
      <c r="GB1315" s="11"/>
      <c r="GC1315" s="11"/>
      <c r="GD1315" s="11"/>
      <c r="GE1315" s="11"/>
      <c r="GF1315" s="11"/>
      <c r="GG1315" s="11"/>
      <c r="GH1315" s="11"/>
      <c r="GI1315" s="11"/>
      <c r="GJ1315" s="11"/>
      <c r="GK1315" s="11"/>
      <c r="GL1315" s="11"/>
      <c r="GM1315" s="11"/>
      <c r="GN1315" s="11"/>
      <c r="GO1315" s="11"/>
      <c r="GP1315" s="11"/>
      <c r="GQ1315" s="11"/>
      <c r="GR1315" s="11"/>
      <c r="GS1315" s="11"/>
      <c r="GT1315" s="11"/>
      <c r="GU1315" s="11"/>
      <c r="GV1315" s="11"/>
      <c r="GW1315" s="11"/>
      <c r="GX1315" s="11"/>
      <c r="GY1315" s="11"/>
      <c r="GZ1315" s="11"/>
      <c r="HA1315" s="11"/>
    </row>
    <row r="1316" spans="1:209" ht="23.25" customHeight="1" x14ac:dyDescent="0.15">
      <c r="A1316" s="11"/>
      <c r="B1316" s="11"/>
      <c r="C1316" s="33" t="s">
        <v>11</v>
      </c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/>
      <c r="R1316" s="11"/>
      <c r="S1316" s="11"/>
      <c r="T1316" s="11"/>
      <c r="U1316" s="11"/>
      <c r="V1316" s="11"/>
      <c r="W1316" s="11"/>
      <c r="X1316" s="11"/>
      <c r="Y1316" s="11"/>
      <c r="Z1316" s="11"/>
      <c r="AA1316" s="11"/>
      <c r="AB1316" s="11"/>
      <c r="AC1316" s="11"/>
      <c r="AD1316" s="11"/>
      <c r="AE1316" s="11"/>
      <c r="AF1316" s="11"/>
      <c r="AG1316" s="11"/>
      <c r="AH1316" s="11"/>
      <c r="AI1316" s="11"/>
      <c r="AJ1316" s="11"/>
      <c r="AK1316" s="11"/>
      <c r="AL1316" s="11"/>
      <c r="AM1316" s="11"/>
      <c r="AN1316" s="11"/>
      <c r="AO1316" s="11"/>
      <c r="AP1316" s="11"/>
      <c r="AQ1316" s="11"/>
      <c r="AR1316" s="11"/>
      <c r="AS1316" s="11"/>
      <c r="AT1316" s="11"/>
      <c r="AU1316" s="11"/>
      <c r="AV1316" s="11"/>
      <c r="AW1316" s="11"/>
      <c r="AX1316" s="52" t="s">
        <v>3209</v>
      </c>
      <c r="AY1316" s="52" t="s">
        <v>3213</v>
      </c>
      <c r="AZ1316" s="52" t="s">
        <v>2365</v>
      </c>
      <c r="BA1316" s="52" t="s">
        <v>335</v>
      </c>
      <c r="BB1316" s="52" t="s">
        <v>1808</v>
      </c>
      <c r="BC1316" s="53">
        <v>44056</v>
      </c>
      <c r="BD1316" s="53">
        <v>44070</v>
      </c>
      <c r="BE1316" s="11"/>
      <c r="BF1316" s="55">
        <v>100</v>
      </c>
      <c r="BG1316" s="11"/>
      <c r="BH1316" s="54" t="s">
        <v>3833</v>
      </c>
      <c r="BI1316" s="11"/>
      <c r="BJ1316" s="11"/>
      <c r="BK1316" s="11"/>
      <c r="BL1316" s="11"/>
      <c r="BM1316" s="11"/>
      <c r="BN1316" s="11"/>
      <c r="BO1316" s="11"/>
      <c r="BP1316" s="11"/>
      <c r="BQ1316" s="11"/>
      <c r="BR1316" s="11"/>
      <c r="BS1316" s="11"/>
      <c r="BT1316" s="11"/>
      <c r="BU1316" s="11"/>
      <c r="BV1316" s="11"/>
      <c r="BW1316" s="52"/>
      <c r="BX1316" s="52"/>
      <c r="BY1316" s="11"/>
      <c r="BZ1316" s="52"/>
      <c r="CA1316" s="52"/>
      <c r="CB1316" s="52"/>
      <c r="CC1316" s="52"/>
      <c r="CD1316" s="53"/>
      <c r="CE1316" s="53"/>
      <c r="CF1316" s="52"/>
      <c r="CG1316" s="52"/>
      <c r="CH1316" s="11"/>
      <c r="CI1316" s="11"/>
      <c r="CJ1316" s="11"/>
      <c r="CK1316" s="11"/>
      <c r="CL1316" s="11"/>
      <c r="CM1316" s="11"/>
      <c r="CN1316" s="11"/>
      <c r="CO1316" s="11"/>
      <c r="CP1316" s="11"/>
      <c r="CQ1316" s="11"/>
      <c r="CR1316" s="11"/>
      <c r="CS1316" s="11"/>
      <c r="CT1316" s="11"/>
      <c r="CU1316" s="11"/>
      <c r="CV1316" s="11"/>
      <c r="CW1316" s="11"/>
      <c r="CX1316" s="11"/>
      <c r="CY1316" s="11"/>
      <c r="CZ1316" s="11"/>
      <c r="DA1316" s="11"/>
      <c r="DB1316" s="11"/>
      <c r="DC1316" s="11"/>
      <c r="DD1316" s="11"/>
      <c r="DE1316" s="11"/>
      <c r="DF1316" s="11"/>
      <c r="DG1316" s="11"/>
      <c r="DH1316" s="11"/>
      <c r="DI1316" s="11"/>
      <c r="DJ1316" s="11"/>
      <c r="DK1316" s="11"/>
      <c r="DL1316" s="11"/>
      <c r="DM1316" s="11"/>
      <c r="DN1316" s="11"/>
      <c r="DO1316" s="11"/>
      <c r="DP1316" s="11"/>
      <c r="DQ1316" s="11"/>
      <c r="DR1316" s="11"/>
      <c r="DS1316" s="11"/>
      <c r="DT1316" s="11"/>
      <c r="DU1316" s="11"/>
      <c r="DV1316" s="11"/>
      <c r="DW1316" s="11"/>
      <c r="DX1316" s="11"/>
      <c r="DY1316" s="11"/>
      <c r="DZ1316" s="11"/>
      <c r="EA1316" s="11"/>
      <c r="EB1316" s="11"/>
      <c r="EC1316" s="11"/>
      <c r="ED1316" s="11"/>
      <c r="EE1316" s="11"/>
      <c r="EF1316" s="11"/>
      <c r="EG1316" s="11"/>
      <c r="EH1316" s="11"/>
      <c r="EI1316" s="11"/>
      <c r="EJ1316" s="11"/>
      <c r="EK1316" s="11"/>
      <c r="EL1316" s="11"/>
      <c r="EM1316" s="11"/>
      <c r="EN1316" s="11"/>
      <c r="EO1316" s="11"/>
      <c r="EP1316" s="11"/>
      <c r="EQ1316" s="11"/>
      <c r="ER1316" s="11"/>
      <c r="ES1316" s="11"/>
      <c r="ET1316" s="11"/>
      <c r="EU1316" s="11"/>
      <c r="EV1316" s="11"/>
      <c r="EW1316" s="11"/>
      <c r="EX1316" s="11"/>
      <c r="EY1316" s="11"/>
      <c r="EZ1316" s="11"/>
      <c r="FA1316" s="11"/>
      <c r="FB1316" s="11"/>
      <c r="FC1316" s="11"/>
      <c r="FD1316" s="11"/>
      <c r="FE1316" s="11"/>
      <c r="FF1316" s="11"/>
      <c r="FG1316" s="11"/>
      <c r="FH1316" s="11"/>
      <c r="FI1316" s="11"/>
      <c r="FJ1316" s="11"/>
      <c r="FK1316" s="11"/>
      <c r="FL1316" s="52" t="s">
        <v>3212</v>
      </c>
      <c r="FM1316" s="52" t="s">
        <v>321</v>
      </c>
      <c r="FN1316" s="11"/>
      <c r="FO1316" s="11"/>
      <c r="FP1316" s="11"/>
      <c r="FQ1316" s="11"/>
      <c r="FR1316" s="11"/>
      <c r="FS1316" s="11"/>
      <c r="FT1316" s="11"/>
      <c r="FU1316" s="11"/>
      <c r="FV1316" s="11"/>
      <c r="FW1316" s="11"/>
      <c r="FX1316" s="11"/>
      <c r="FY1316" s="11"/>
      <c r="FZ1316" s="11"/>
      <c r="GA1316" s="11"/>
      <c r="GB1316" s="11"/>
      <c r="GC1316" s="11"/>
      <c r="GD1316" s="11"/>
      <c r="GE1316" s="11"/>
      <c r="GF1316" s="11"/>
      <c r="GG1316" s="11"/>
      <c r="GH1316" s="11"/>
      <c r="GI1316" s="11"/>
      <c r="GJ1316" s="11"/>
      <c r="GK1316" s="11"/>
      <c r="GL1316" s="11"/>
      <c r="GM1316" s="11"/>
      <c r="GN1316" s="11"/>
      <c r="GO1316" s="11"/>
      <c r="GP1316" s="11"/>
      <c r="GQ1316" s="11"/>
      <c r="GR1316" s="11"/>
      <c r="GS1316" s="11"/>
      <c r="GT1316" s="11"/>
      <c r="GU1316" s="11"/>
      <c r="GV1316" s="11"/>
      <c r="GW1316" s="11"/>
      <c r="GX1316" s="11"/>
      <c r="GY1316" s="11"/>
      <c r="GZ1316" s="11"/>
      <c r="HA1316" s="11"/>
    </row>
    <row r="1317" spans="1:209" ht="23.25" customHeight="1" x14ac:dyDescent="0.15">
      <c r="A1317" s="11"/>
      <c r="B1317" s="11"/>
      <c r="C1317" s="33" t="s">
        <v>11</v>
      </c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/>
      <c r="R1317" s="11"/>
      <c r="S1317" s="11"/>
      <c r="T1317" s="11"/>
      <c r="U1317" s="11"/>
      <c r="V1317" s="11"/>
      <c r="W1317" s="11"/>
      <c r="X1317" s="11"/>
      <c r="Y1317" s="11"/>
      <c r="Z1317" s="11"/>
      <c r="AA1317" s="11"/>
      <c r="AB1317" s="11"/>
      <c r="AC1317" s="11"/>
      <c r="AD1317" s="11"/>
      <c r="AE1317" s="11"/>
      <c r="AF1317" s="11"/>
      <c r="AG1317" s="11"/>
      <c r="AH1317" s="11"/>
      <c r="AI1317" s="11"/>
      <c r="AJ1317" s="11"/>
      <c r="AK1317" s="11"/>
      <c r="AL1317" s="11"/>
      <c r="AM1317" s="11"/>
      <c r="AN1317" s="11"/>
      <c r="AO1317" s="11"/>
      <c r="AP1317" s="11"/>
      <c r="AQ1317" s="11"/>
      <c r="AR1317" s="11"/>
      <c r="AS1317" s="11"/>
      <c r="AT1317" s="11"/>
      <c r="AU1317" s="11"/>
      <c r="AV1317" s="11"/>
      <c r="AW1317" s="11"/>
      <c r="AX1317" s="52" t="s">
        <v>3296</v>
      </c>
      <c r="AY1317" s="52" t="s">
        <v>3297</v>
      </c>
      <c r="AZ1317" s="52" t="s">
        <v>3834</v>
      </c>
      <c r="BA1317" s="52" t="s">
        <v>1375</v>
      </c>
      <c r="BB1317" s="52" t="s">
        <v>698</v>
      </c>
      <c r="BC1317" s="53">
        <v>43983</v>
      </c>
      <c r="BD1317" s="53">
        <v>44013</v>
      </c>
      <c r="BE1317" s="11"/>
      <c r="BF1317" s="55">
        <v>100</v>
      </c>
      <c r="BG1317" s="11"/>
      <c r="BH1317" s="54" t="s">
        <v>3835</v>
      </c>
      <c r="BI1317" s="11"/>
      <c r="BJ1317" s="11"/>
      <c r="BK1317" s="11"/>
      <c r="BL1317" s="11"/>
      <c r="BM1317" s="11"/>
      <c r="BN1317" s="11"/>
      <c r="BO1317" s="11"/>
      <c r="BP1317" s="11"/>
      <c r="BQ1317" s="11"/>
      <c r="BR1317" s="11"/>
      <c r="BS1317" s="11"/>
      <c r="BT1317" s="11"/>
      <c r="BU1317" s="11"/>
      <c r="BV1317" s="11"/>
      <c r="BW1317" s="52"/>
      <c r="BX1317" s="52"/>
      <c r="BY1317" s="11"/>
      <c r="BZ1317" s="52"/>
      <c r="CA1317" s="52"/>
      <c r="CB1317" s="52"/>
      <c r="CC1317" s="52"/>
      <c r="CD1317" s="53"/>
      <c r="CE1317" s="53"/>
      <c r="CF1317" s="52"/>
      <c r="CG1317" s="52"/>
      <c r="CH1317" s="11"/>
      <c r="CI1317" s="11"/>
      <c r="CJ1317" s="11"/>
      <c r="CK1317" s="11"/>
      <c r="CL1317" s="11"/>
      <c r="CM1317" s="11"/>
      <c r="CN1317" s="11"/>
      <c r="CO1317" s="11"/>
      <c r="CP1317" s="11"/>
      <c r="CQ1317" s="11"/>
      <c r="CR1317" s="11"/>
      <c r="CS1317" s="11"/>
      <c r="CT1317" s="11"/>
      <c r="CU1317" s="11"/>
      <c r="CV1317" s="11"/>
      <c r="CW1317" s="11"/>
      <c r="CX1317" s="11"/>
      <c r="CY1317" s="11"/>
      <c r="CZ1317" s="11"/>
      <c r="DA1317" s="11"/>
      <c r="DB1317" s="11"/>
      <c r="DC1317" s="11"/>
      <c r="DD1317" s="11"/>
      <c r="DE1317" s="11"/>
      <c r="DF1317" s="11"/>
      <c r="DG1317" s="11"/>
      <c r="DH1317" s="11"/>
      <c r="DI1317" s="11"/>
      <c r="DJ1317" s="11"/>
      <c r="DK1317" s="11"/>
      <c r="DL1317" s="11"/>
      <c r="DM1317" s="11"/>
      <c r="DN1317" s="11"/>
      <c r="DO1317" s="11"/>
      <c r="DP1317" s="11"/>
      <c r="DQ1317" s="11"/>
      <c r="DR1317" s="11"/>
      <c r="DS1317" s="11"/>
      <c r="DT1317" s="11"/>
      <c r="DU1317" s="11"/>
      <c r="DV1317" s="11"/>
      <c r="DW1317" s="11"/>
      <c r="DX1317" s="11"/>
      <c r="DY1317" s="11"/>
      <c r="DZ1317" s="11"/>
      <c r="EA1317" s="11"/>
      <c r="EB1317" s="11"/>
      <c r="EC1317" s="11"/>
      <c r="ED1317" s="11"/>
      <c r="EE1317" s="11"/>
      <c r="EF1317" s="11"/>
      <c r="EG1317" s="11"/>
      <c r="EH1317" s="11"/>
      <c r="EI1317" s="11"/>
      <c r="EJ1317" s="11"/>
      <c r="EK1317" s="11"/>
      <c r="EL1317" s="11"/>
      <c r="EM1317" s="11"/>
      <c r="EN1317" s="11"/>
      <c r="EO1317" s="11"/>
      <c r="EP1317" s="11"/>
      <c r="EQ1317" s="11"/>
      <c r="ER1317" s="11"/>
      <c r="ES1317" s="11"/>
      <c r="ET1317" s="11"/>
      <c r="EU1317" s="11"/>
      <c r="EV1317" s="11"/>
      <c r="EW1317" s="11"/>
      <c r="EX1317" s="11"/>
      <c r="EY1317" s="11"/>
      <c r="EZ1317" s="11"/>
      <c r="FA1317" s="11"/>
      <c r="FB1317" s="11"/>
      <c r="FC1317" s="11"/>
      <c r="FD1317" s="11"/>
      <c r="FE1317" s="11"/>
      <c r="FF1317" s="11"/>
      <c r="FG1317" s="11"/>
      <c r="FH1317" s="11"/>
      <c r="FI1317" s="11"/>
      <c r="FJ1317" s="11"/>
      <c r="FK1317" s="11"/>
      <c r="FL1317" s="52" t="s">
        <v>3300</v>
      </c>
      <c r="FM1317" s="52" t="s">
        <v>339</v>
      </c>
      <c r="FN1317" s="11"/>
      <c r="FO1317" s="11"/>
      <c r="FP1317" s="11"/>
      <c r="FQ1317" s="11"/>
      <c r="FR1317" s="11"/>
      <c r="FS1317" s="11"/>
      <c r="FT1317" s="11"/>
      <c r="FU1317" s="11"/>
      <c r="FV1317" s="11"/>
      <c r="FW1317" s="11"/>
      <c r="FX1317" s="11"/>
      <c r="FY1317" s="11"/>
      <c r="FZ1317" s="11"/>
      <c r="GA1317" s="11"/>
      <c r="GB1317" s="11"/>
      <c r="GC1317" s="11"/>
      <c r="GD1317" s="11"/>
      <c r="GE1317" s="11"/>
      <c r="GF1317" s="11"/>
      <c r="GG1317" s="11"/>
      <c r="GH1317" s="11"/>
      <c r="GI1317" s="11"/>
      <c r="GJ1317" s="11"/>
      <c r="GK1317" s="11"/>
      <c r="GL1317" s="11"/>
      <c r="GM1317" s="11"/>
      <c r="GN1317" s="11"/>
      <c r="GO1317" s="11"/>
      <c r="GP1317" s="11"/>
      <c r="GQ1317" s="11"/>
      <c r="GR1317" s="11"/>
      <c r="GS1317" s="11"/>
      <c r="GT1317" s="11"/>
      <c r="GU1317" s="11"/>
      <c r="GV1317" s="11"/>
      <c r="GW1317" s="11"/>
      <c r="GX1317" s="11"/>
      <c r="GY1317" s="11"/>
      <c r="GZ1317" s="11"/>
      <c r="HA1317" s="11"/>
    </row>
    <row r="1318" spans="1:209" ht="23.25" customHeight="1" x14ac:dyDescent="0.15">
      <c r="A1318" s="11"/>
      <c r="B1318" s="11"/>
      <c r="C1318" s="33" t="s">
        <v>11</v>
      </c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/>
      <c r="R1318" s="11"/>
      <c r="S1318" s="11"/>
      <c r="T1318" s="11"/>
      <c r="U1318" s="11"/>
      <c r="V1318" s="11"/>
      <c r="W1318" s="11"/>
      <c r="X1318" s="11"/>
      <c r="Y1318" s="11"/>
      <c r="Z1318" s="11"/>
      <c r="AA1318" s="11"/>
      <c r="AB1318" s="11"/>
      <c r="AC1318" s="11"/>
      <c r="AD1318" s="11"/>
      <c r="AE1318" s="11"/>
      <c r="AF1318" s="11"/>
      <c r="AG1318" s="11"/>
      <c r="AH1318" s="11"/>
      <c r="AI1318" s="11"/>
      <c r="AJ1318" s="11"/>
      <c r="AK1318" s="11"/>
      <c r="AL1318" s="11"/>
      <c r="AM1318" s="11"/>
      <c r="AN1318" s="11"/>
      <c r="AO1318" s="11"/>
      <c r="AP1318" s="11"/>
      <c r="AQ1318" s="11"/>
      <c r="AR1318" s="11"/>
      <c r="AS1318" s="11"/>
      <c r="AT1318" s="11"/>
      <c r="AU1318" s="11"/>
      <c r="AV1318" s="11"/>
      <c r="AW1318" s="11"/>
      <c r="AX1318" s="52" t="s">
        <v>3296</v>
      </c>
      <c r="AY1318" s="52" t="s">
        <v>3297</v>
      </c>
      <c r="AZ1318" s="52" t="s">
        <v>3836</v>
      </c>
      <c r="BA1318" s="52" t="s">
        <v>1375</v>
      </c>
      <c r="BB1318" s="52" t="s">
        <v>501</v>
      </c>
      <c r="BC1318" s="53">
        <v>43872</v>
      </c>
      <c r="BD1318" s="53">
        <v>43962</v>
      </c>
      <c r="BE1318" s="11"/>
      <c r="BF1318" s="55">
        <v>100</v>
      </c>
      <c r="BG1318" s="11"/>
      <c r="BH1318" s="54" t="s">
        <v>3837</v>
      </c>
      <c r="BI1318" s="11"/>
      <c r="BJ1318" s="11"/>
      <c r="BK1318" s="11"/>
      <c r="BL1318" s="11"/>
      <c r="BM1318" s="11"/>
      <c r="BN1318" s="11"/>
      <c r="BO1318" s="11"/>
      <c r="BP1318" s="11"/>
      <c r="BQ1318" s="11"/>
      <c r="BR1318" s="11"/>
      <c r="BS1318" s="11"/>
      <c r="BT1318" s="11"/>
      <c r="BU1318" s="11"/>
      <c r="BV1318" s="11"/>
      <c r="BW1318" s="52"/>
      <c r="BX1318" s="52"/>
      <c r="BY1318" s="11"/>
      <c r="BZ1318" s="52"/>
      <c r="CA1318" s="52"/>
      <c r="CB1318" s="52"/>
      <c r="CC1318" s="52"/>
      <c r="CD1318" s="53"/>
      <c r="CE1318" s="53"/>
      <c r="CF1318" s="52"/>
      <c r="CG1318" s="52"/>
      <c r="CH1318" s="11"/>
      <c r="CI1318" s="11"/>
      <c r="CJ1318" s="11"/>
      <c r="CK1318" s="11"/>
      <c r="CL1318" s="11"/>
      <c r="CM1318" s="11"/>
      <c r="CN1318" s="11"/>
      <c r="CO1318" s="11"/>
      <c r="CP1318" s="11"/>
      <c r="CQ1318" s="11"/>
      <c r="CR1318" s="11"/>
      <c r="CS1318" s="11"/>
      <c r="CT1318" s="11"/>
      <c r="CU1318" s="11"/>
      <c r="CV1318" s="11"/>
      <c r="CW1318" s="11"/>
      <c r="CX1318" s="11"/>
      <c r="CY1318" s="11"/>
      <c r="CZ1318" s="11"/>
      <c r="DA1318" s="11"/>
      <c r="DB1318" s="11"/>
      <c r="DC1318" s="11"/>
      <c r="DD1318" s="11"/>
      <c r="DE1318" s="11"/>
      <c r="DF1318" s="11"/>
      <c r="DG1318" s="11"/>
      <c r="DH1318" s="11"/>
      <c r="DI1318" s="11"/>
      <c r="DJ1318" s="11"/>
      <c r="DK1318" s="11"/>
      <c r="DL1318" s="11"/>
      <c r="DM1318" s="11"/>
      <c r="DN1318" s="11"/>
      <c r="DO1318" s="11"/>
      <c r="DP1318" s="11"/>
      <c r="DQ1318" s="11"/>
      <c r="DR1318" s="11"/>
      <c r="DS1318" s="11"/>
      <c r="DT1318" s="11"/>
      <c r="DU1318" s="11"/>
      <c r="DV1318" s="11"/>
      <c r="DW1318" s="11"/>
      <c r="DX1318" s="11"/>
      <c r="DY1318" s="11"/>
      <c r="DZ1318" s="11"/>
      <c r="EA1318" s="11"/>
      <c r="EB1318" s="11"/>
      <c r="EC1318" s="11"/>
      <c r="ED1318" s="11"/>
      <c r="EE1318" s="11"/>
      <c r="EF1318" s="11"/>
      <c r="EG1318" s="11"/>
      <c r="EH1318" s="11"/>
      <c r="EI1318" s="11"/>
      <c r="EJ1318" s="11"/>
      <c r="EK1318" s="11"/>
      <c r="EL1318" s="11"/>
      <c r="EM1318" s="11"/>
      <c r="EN1318" s="11"/>
      <c r="EO1318" s="11"/>
      <c r="EP1318" s="11"/>
      <c r="EQ1318" s="11"/>
      <c r="ER1318" s="11"/>
      <c r="ES1318" s="11"/>
      <c r="ET1318" s="11"/>
      <c r="EU1318" s="11"/>
      <c r="EV1318" s="11"/>
      <c r="EW1318" s="11"/>
      <c r="EX1318" s="11"/>
      <c r="EY1318" s="11"/>
      <c r="EZ1318" s="11"/>
      <c r="FA1318" s="11"/>
      <c r="FB1318" s="11"/>
      <c r="FC1318" s="11"/>
      <c r="FD1318" s="11"/>
      <c r="FE1318" s="11"/>
      <c r="FF1318" s="11"/>
      <c r="FG1318" s="11"/>
      <c r="FH1318" s="11"/>
      <c r="FI1318" s="11"/>
      <c r="FJ1318" s="11"/>
      <c r="FK1318" s="11"/>
      <c r="FL1318" s="52" t="s">
        <v>3300</v>
      </c>
      <c r="FM1318" s="52" t="s">
        <v>321</v>
      </c>
      <c r="FN1318" s="11"/>
      <c r="FO1318" s="11"/>
      <c r="FP1318" s="11"/>
      <c r="FQ1318" s="11"/>
      <c r="FR1318" s="11"/>
      <c r="FS1318" s="11"/>
      <c r="FT1318" s="11"/>
      <c r="FU1318" s="11"/>
      <c r="FV1318" s="11"/>
      <c r="FW1318" s="11"/>
      <c r="FX1318" s="11"/>
      <c r="FY1318" s="11"/>
      <c r="FZ1318" s="11"/>
      <c r="GA1318" s="11"/>
      <c r="GB1318" s="11"/>
      <c r="GC1318" s="11"/>
      <c r="GD1318" s="11"/>
      <c r="GE1318" s="11"/>
      <c r="GF1318" s="11"/>
      <c r="GG1318" s="11"/>
      <c r="GH1318" s="11"/>
      <c r="GI1318" s="11"/>
      <c r="GJ1318" s="11"/>
      <c r="GK1318" s="11"/>
      <c r="GL1318" s="11"/>
      <c r="GM1318" s="11"/>
      <c r="GN1318" s="11"/>
      <c r="GO1318" s="11"/>
      <c r="GP1318" s="11"/>
      <c r="GQ1318" s="11"/>
      <c r="GR1318" s="11"/>
      <c r="GS1318" s="11"/>
      <c r="GT1318" s="11"/>
      <c r="GU1318" s="11"/>
      <c r="GV1318" s="11"/>
      <c r="GW1318" s="11"/>
      <c r="GX1318" s="11"/>
      <c r="GY1318" s="11"/>
      <c r="GZ1318" s="11"/>
      <c r="HA1318" s="11"/>
    </row>
    <row r="1319" spans="1:209" ht="23.25" customHeight="1" x14ac:dyDescent="0.15">
      <c r="A1319" s="11"/>
      <c r="B1319" s="11"/>
      <c r="C1319" s="33" t="s">
        <v>11</v>
      </c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/>
      <c r="R1319" s="11"/>
      <c r="S1319" s="11"/>
      <c r="T1319" s="11"/>
      <c r="U1319" s="11"/>
      <c r="V1319" s="11"/>
      <c r="W1319" s="11"/>
      <c r="X1319" s="11"/>
      <c r="Y1319" s="11"/>
      <c r="Z1319" s="11"/>
      <c r="AA1319" s="11"/>
      <c r="AB1319" s="11"/>
      <c r="AC1319" s="11"/>
      <c r="AD1319" s="11"/>
      <c r="AE1319" s="11"/>
      <c r="AF1319" s="11"/>
      <c r="AG1319" s="11"/>
      <c r="AH1319" s="11"/>
      <c r="AI1319" s="11"/>
      <c r="AJ1319" s="11"/>
      <c r="AK1319" s="11"/>
      <c r="AL1319" s="11"/>
      <c r="AM1319" s="11"/>
      <c r="AN1319" s="11"/>
      <c r="AO1319" s="11"/>
      <c r="AP1319" s="11"/>
      <c r="AQ1319" s="11"/>
      <c r="AR1319" s="11"/>
      <c r="AS1319" s="11"/>
      <c r="AT1319" s="11"/>
      <c r="AU1319" s="11"/>
      <c r="AV1319" s="11"/>
      <c r="AW1319" s="11"/>
      <c r="AX1319" s="52" t="s">
        <v>3296</v>
      </c>
      <c r="AY1319" s="52" t="s">
        <v>3297</v>
      </c>
      <c r="AZ1319" s="52" t="s">
        <v>3838</v>
      </c>
      <c r="BA1319" s="52" t="s">
        <v>1375</v>
      </c>
      <c r="BB1319" s="52" t="s">
        <v>698</v>
      </c>
      <c r="BC1319" s="53">
        <v>44334</v>
      </c>
      <c r="BD1319" s="53">
        <v>44365</v>
      </c>
      <c r="BE1319" s="11"/>
      <c r="BF1319" s="55">
        <v>100</v>
      </c>
      <c r="BG1319" s="11"/>
      <c r="BH1319" s="54" t="s">
        <v>3839</v>
      </c>
      <c r="BI1319" s="11"/>
      <c r="BJ1319" s="11"/>
      <c r="BK1319" s="11"/>
      <c r="BL1319" s="11"/>
      <c r="BM1319" s="11"/>
      <c r="BN1319" s="11"/>
      <c r="BO1319" s="11"/>
      <c r="BP1319" s="11"/>
      <c r="BQ1319" s="11"/>
      <c r="BR1319" s="11"/>
      <c r="BS1319" s="11"/>
      <c r="BT1319" s="11"/>
      <c r="BU1319" s="11"/>
      <c r="BV1319" s="11"/>
      <c r="BW1319" s="52"/>
      <c r="BX1319" s="52"/>
      <c r="BY1319" s="11"/>
      <c r="BZ1319" s="52"/>
      <c r="CA1319" s="52"/>
      <c r="CB1319" s="52"/>
      <c r="CC1319" s="52"/>
      <c r="CD1319" s="53"/>
      <c r="CE1319" s="53"/>
      <c r="CF1319" s="52"/>
      <c r="CG1319" s="52"/>
      <c r="CH1319" s="11"/>
      <c r="CI1319" s="11"/>
      <c r="CJ1319" s="11"/>
      <c r="CK1319" s="11"/>
      <c r="CL1319" s="11"/>
      <c r="CM1319" s="11"/>
      <c r="CN1319" s="11"/>
      <c r="CO1319" s="11"/>
      <c r="CP1319" s="11"/>
      <c r="CQ1319" s="11"/>
      <c r="CR1319" s="11"/>
      <c r="CS1319" s="11"/>
      <c r="CT1319" s="11"/>
      <c r="CU1319" s="11"/>
      <c r="CV1319" s="11"/>
      <c r="CW1319" s="11"/>
      <c r="CX1319" s="11"/>
      <c r="CY1319" s="11"/>
      <c r="CZ1319" s="11"/>
      <c r="DA1319" s="11"/>
      <c r="DB1319" s="11"/>
      <c r="DC1319" s="11"/>
      <c r="DD1319" s="11"/>
      <c r="DE1319" s="11"/>
      <c r="DF1319" s="11"/>
      <c r="DG1319" s="11"/>
      <c r="DH1319" s="11"/>
      <c r="DI1319" s="11"/>
      <c r="DJ1319" s="11"/>
      <c r="DK1319" s="11"/>
      <c r="DL1319" s="11"/>
      <c r="DM1319" s="11"/>
      <c r="DN1319" s="11"/>
      <c r="DO1319" s="11"/>
      <c r="DP1319" s="11"/>
      <c r="DQ1319" s="11"/>
      <c r="DR1319" s="11"/>
      <c r="DS1319" s="11"/>
      <c r="DT1319" s="11"/>
      <c r="DU1319" s="11"/>
      <c r="DV1319" s="11"/>
      <c r="DW1319" s="11"/>
      <c r="DX1319" s="11"/>
      <c r="DY1319" s="11"/>
      <c r="DZ1319" s="11"/>
      <c r="EA1319" s="11"/>
      <c r="EB1319" s="11"/>
      <c r="EC1319" s="11"/>
      <c r="ED1319" s="11"/>
      <c r="EE1319" s="11"/>
      <c r="EF1319" s="11"/>
      <c r="EG1319" s="11"/>
      <c r="EH1319" s="11"/>
      <c r="EI1319" s="11"/>
      <c r="EJ1319" s="11"/>
      <c r="EK1319" s="11"/>
      <c r="EL1319" s="11"/>
      <c r="EM1319" s="11"/>
      <c r="EN1319" s="11"/>
      <c r="EO1319" s="11"/>
      <c r="EP1319" s="11"/>
      <c r="EQ1319" s="11"/>
      <c r="ER1319" s="11"/>
      <c r="ES1319" s="11"/>
      <c r="ET1319" s="11"/>
      <c r="EU1319" s="11"/>
      <c r="EV1319" s="11"/>
      <c r="EW1319" s="11"/>
      <c r="EX1319" s="11"/>
      <c r="EY1319" s="11"/>
      <c r="EZ1319" s="11"/>
      <c r="FA1319" s="11"/>
      <c r="FB1319" s="11"/>
      <c r="FC1319" s="11"/>
      <c r="FD1319" s="11"/>
      <c r="FE1319" s="11"/>
      <c r="FF1319" s="11"/>
      <c r="FG1319" s="11"/>
      <c r="FH1319" s="11"/>
      <c r="FI1319" s="11"/>
      <c r="FJ1319" s="11"/>
      <c r="FK1319" s="11"/>
      <c r="FL1319" s="52" t="s">
        <v>3300</v>
      </c>
      <c r="FM1319" s="52" t="s">
        <v>321</v>
      </c>
      <c r="FN1319" s="11"/>
      <c r="FO1319" s="11"/>
      <c r="FP1319" s="11"/>
      <c r="FQ1319" s="11"/>
      <c r="FR1319" s="11"/>
      <c r="FS1319" s="11"/>
      <c r="FT1319" s="11"/>
      <c r="FU1319" s="11"/>
      <c r="FV1319" s="11"/>
      <c r="FW1319" s="11"/>
      <c r="FX1319" s="11"/>
      <c r="FY1319" s="11"/>
      <c r="FZ1319" s="11"/>
      <c r="GA1319" s="11"/>
      <c r="GB1319" s="11"/>
      <c r="GC1319" s="11"/>
      <c r="GD1319" s="11"/>
      <c r="GE1319" s="11"/>
      <c r="GF1319" s="11"/>
      <c r="GG1319" s="11"/>
      <c r="GH1319" s="11"/>
      <c r="GI1319" s="11"/>
      <c r="GJ1319" s="11"/>
      <c r="GK1319" s="11"/>
      <c r="GL1319" s="11"/>
      <c r="GM1319" s="11"/>
      <c r="GN1319" s="11"/>
      <c r="GO1319" s="11"/>
      <c r="GP1319" s="11"/>
      <c r="GQ1319" s="11"/>
      <c r="GR1319" s="11"/>
      <c r="GS1319" s="11"/>
      <c r="GT1319" s="11"/>
      <c r="GU1319" s="11"/>
      <c r="GV1319" s="11"/>
      <c r="GW1319" s="11"/>
      <c r="GX1319" s="11"/>
      <c r="GY1319" s="11"/>
      <c r="GZ1319" s="11"/>
      <c r="HA1319" s="11"/>
    </row>
    <row r="1320" spans="1:209" ht="23.25" customHeight="1" x14ac:dyDescent="0.15">
      <c r="A1320" s="11"/>
      <c r="B1320" s="11"/>
      <c r="C1320" s="33" t="s">
        <v>11</v>
      </c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/>
      <c r="R1320" s="11"/>
      <c r="S1320" s="11"/>
      <c r="T1320" s="11"/>
      <c r="U1320" s="11"/>
      <c r="V1320" s="11"/>
      <c r="W1320" s="11"/>
      <c r="X1320" s="11"/>
      <c r="Y1320" s="11"/>
      <c r="Z1320" s="11"/>
      <c r="AA1320" s="11"/>
      <c r="AB1320" s="11"/>
      <c r="AC1320" s="11"/>
      <c r="AD1320" s="11"/>
      <c r="AE1320" s="11"/>
      <c r="AF1320" s="11"/>
      <c r="AG1320" s="11"/>
      <c r="AH1320" s="11"/>
      <c r="AI1320" s="11"/>
      <c r="AJ1320" s="11"/>
      <c r="AK1320" s="11"/>
      <c r="AL1320" s="11"/>
      <c r="AM1320" s="11"/>
      <c r="AN1320" s="11"/>
      <c r="AO1320" s="11"/>
      <c r="AP1320" s="11"/>
      <c r="AQ1320" s="11"/>
      <c r="AR1320" s="11"/>
      <c r="AS1320" s="11"/>
      <c r="AT1320" s="11"/>
      <c r="AU1320" s="11"/>
      <c r="AV1320" s="11"/>
      <c r="AW1320" s="11"/>
      <c r="AX1320" s="52" t="s">
        <v>3434</v>
      </c>
      <c r="AY1320" s="52" t="s">
        <v>3435</v>
      </c>
      <c r="AZ1320" s="52" t="s">
        <v>3840</v>
      </c>
      <c r="BA1320" s="52" t="s">
        <v>343</v>
      </c>
      <c r="BB1320" s="52" t="s">
        <v>3841</v>
      </c>
      <c r="BC1320" s="53">
        <v>44060</v>
      </c>
      <c r="BD1320" s="53">
        <v>44127</v>
      </c>
      <c r="BE1320" s="11"/>
      <c r="BF1320" s="55">
        <v>100</v>
      </c>
      <c r="BG1320" s="11"/>
      <c r="BH1320" s="54" t="s">
        <v>3842</v>
      </c>
      <c r="BI1320" s="11"/>
      <c r="BJ1320" s="11"/>
      <c r="BK1320" s="11"/>
      <c r="BL1320" s="11"/>
      <c r="BM1320" s="11"/>
      <c r="BN1320" s="11"/>
      <c r="BO1320" s="11"/>
      <c r="BP1320" s="11"/>
      <c r="BQ1320" s="11"/>
      <c r="BR1320" s="11"/>
      <c r="BS1320" s="11"/>
      <c r="BT1320" s="11"/>
      <c r="BU1320" s="11"/>
      <c r="BV1320" s="11"/>
      <c r="BW1320" s="52"/>
      <c r="BX1320" s="52"/>
      <c r="BY1320" s="11"/>
      <c r="BZ1320" s="52"/>
      <c r="CA1320" s="52"/>
      <c r="CB1320" s="52"/>
      <c r="CC1320" s="52"/>
      <c r="CD1320" s="53"/>
      <c r="CE1320" s="53"/>
      <c r="CF1320" s="52"/>
      <c r="CG1320" s="52"/>
      <c r="CH1320" s="11"/>
      <c r="CI1320" s="11"/>
      <c r="CJ1320" s="11"/>
      <c r="CK1320" s="11"/>
      <c r="CL1320" s="11"/>
      <c r="CM1320" s="11"/>
      <c r="CN1320" s="11"/>
      <c r="CO1320" s="11"/>
      <c r="CP1320" s="11"/>
      <c r="CQ1320" s="11"/>
      <c r="CR1320" s="11"/>
      <c r="CS1320" s="11"/>
      <c r="CT1320" s="11"/>
      <c r="CU1320" s="11"/>
      <c r="CV1320" s="11"/>
      <c r="CW1320" s="11"/>
      <c r="CX1320" s="11"/>
      <c r="CY1320" s="11"/>
      <c r="CZ1320" s="11"/>
      <c r="DA1320" s="11"/>
      <c r="DB1320" s="11"/>
      <c r="DC1320" s="11"/>
      <c r="DD1320" s="11"/>
      <c r="DE1320" s="11"/>
      <c r="DF1320" s="11"/>
      <c r="DG1320" s="11"/>
      <c r="DH1320" s="11"/>
      <c r="DI1320" s="11"/>
      <c r="DJ1320" s="11"/>
      <c r="DK1320" s="11"/>
      <c r="DL1320" s="11"/>
      <c r="DM1320" s="11"/>
      <c r="DN1320" s="11"/>
      <c r="DO1320" s="11"/>
      <c r="DP1320" s="11"/>
      <c r="DQ1320" s="11"/>
      <c r="DR1320" s="11"/>
      <c r="DS1320" s="11"/>
      <c r="DT1320" s="11"/>
      <c r="DU1320" s="11"/>
      <c r="DV1320" s="11"/>
      <c r="DW1320" s="11"/>
      <c r="DX1320" s="11"/>
      <c r="DY1320" s="11"/>
      <c r="DZ1320" s="11"/>
      <c r="EA1320" s="11"/>
      <c r="EB1320" s="11"/>
      <c r="EC1320" s="11"/>
      <c r="ED1320" s="11"/>
      <c r="EE1320" s="11"/>
      <c r="EF1320" s="11"/>
      <c r="EG1320" s="11"/>
      <c r="EH1320" s="11"/>
      <c r="EI1320" s="11"/>
      <c r="EJ1320" s="11"/>
      <c r="EK1320" s="11"/>
      <c r="EL1320" s="11"/>
      <c r="EM1320" s="11"/>
      <c r="EN1320" s="11"/>
      <c r="EO1320" s="11"/>
      <c r="EP1320" s="11"/>
      <c r="EQ1320" s="11"/>
      <c r="ER1320" s="11"/>
      <c r="ES1320" s="11"/>
      <c r="ET1320" s="11"/>
      <c r="EU1320" s="11"/>
      <c r="EV1320" s="11"/>
      <c r="EW1320" s="11"/>
      <c r="EX1320" s="11"/>
      <c r="EY1320" s="11"/>
      <c r="EZ1320" s="11"/>
      <c r="FA1320" s="11"/>
      <c r="FB1320" s="11"/>
      <c r="FC1320" s="11"/>
      <c r="FD1320" s="11"/>
      <c r="FE1320" s="11"/>
      <c r="FF1320" s="11"/>
      <c r="FG1320" s="11"/>
      <c r="FH1320" s="11"/>
      <c r="FI1320" s="11"/>
      <c r="FJ1320" s="11"/>
      <c r="FK1320" s="11"/>
      <c r="FL1320" s="52" t="s">
        <v>3437</v>
      </c>
      <c r="FM1320" s="52" t="s">
        <v>321</v>
      </c>
      <c r="FN1320" s="11"/>
      <c r="FO1320" s="11"/>
      <c r="FP1320" s="11"/>
      <c r="FQ1320" s="11"/>
      <c r="FR1320" s="11"/>
      <c r="FS1320" s="11"/>
      <c r="FT1320" s="11"/>
      <c r="FU1320" s="11"/>
      <c r="FV1320" s="11"/>
      <c r="FW1320" s="11"/>
      <c r="FX1320" s="11"/>
      <c r="FY1320" s="11"/>
      <c r="FZ1320" s="11"/>
      <c r="GA1320" s="11"/>
      <c r="GB1320" s="11"/>
      <c r="GC1320" s="11"/>
      <c r="GD1320" s="11"/>
      <c r="GE1320" s="11"/>
      <c r="GF1320" s="11"/>
      <c r="GG1320" s="11"/>
      <c r="GH1320" s="11"/>
      <c r="GI1320" s="11"/>
      <c r="GJ1320" s="11"/>
      <c r="GK1320" s="11"/>
      <c r="GL1320" s="11"/>
      <c r="GM1320" s="11"/>
      <c r="GN1320" s="11"/>
      <c r="GO1320" s="11"/>
      <c r="GP1320" s="11"/>
      <c r="GQ1320" s="11"/>
      <c r="GR1320" s="11"/>
      <c r="GS1320" s="11"/>
      <c r="GT1320" s="11"/>
      <c r="GU1320" s="11"/>
      <c r="GV1320" s="11"/>
      <c r="GW1320" s="11"/>
      <c r="GX1320" s="11"/>
      <c r="GY1320" s="11"/>
      <c r="GZ1320" s="11"/>
      <c r="HA1320" s="11"/>
    </row>
    <row r="1321" spans="1:209" ht="23.25" customHeight="1" x14ac:dyDescent="0.15">
      <c r="A1321" s="11"/>
      <c r="B1321" s="11"/>
      <c r="C1321" s="33" t="s">
        <v>11</v>
      </c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/>
      <c r="R1321" s="11"/>
      <c r="S1321" s="11"/>
      <c r="T1321" s="11"/>
      <c r="U1321" s="11"/>
      <c r="V1321" s="11"/>
      <c r="W1321" s="11"/>
      <c r="X1321" s="11"/>
      <c r="Y1321" s="11"/>
      <c r="Z1321" s="11"/>
      <c r="AA1321" s="11"/>
      <c r="AB1321" s="11"/>
      <c r="AC1321" s="11"/>
      <c r="AD1321" s="11"/>
      <c r="AE1321" s="11"/>
      <c r="AF1321" s="11"/>
      <c r="AG1321" s="11"/>
      <c r="AH1321" s="11"/>
      <c r="AI1321" s="11"/>
      <c r="AJ1321" s="11"/>
      <c r="AK1321" s="11"/>
      <c r="AL1321" s="11"/>
      <c r="AM1321" s="11"/>
      <c r="AN1321" s="11"/>
      <c r="AO1321" s="11"/>
      <c r="AP1321" s="11"/>
      <c r="AQ1321" s="11"/>
      <c r="AR1321" s="11"/>
      <c r="AS1321" s="11"/>
      <c r="AT1321" s="11"/>
      <c r="AU1321" s="11"/>
      <c r="AV1321" s="11"/>
      <c r="AW1321" s="11"/>
      <c r="AX1321" s="52" t="s">
        <v>3434</v>
      </c>
      <c r="AY1321" s="52" t="s">
        <v>3435</v>
      </c>
      <c r="AZ1321" s="52" t="s">
        <v>1348</v>
      </c>
      <c r="BA1321" s="52" t="s">
        <v>3843</v>
      </c>
      <c r="BB1321" s="52" t="s">
        <v>879</v>
      </c>
      <c r="BC1321" s="53">
        <v>43866</v>
      </c>
      <c r="BD1321" s="53">
        <v>43895</v>
      </c>
      <c r="BE1321" s="11"/>
      <c r="BF1321" s="55">
        <v>100</v>
      </c>
      <c r="BG1321" s="11"/>
      <c r="BH1321" s="54" t="s">
        <v>3844</v>
      </c>
      <c r="BI1321" s="11"/>
      <c r="BJ1321" s="11"/>
      <c r="BK1321" s="11"/>
      <c r="BL1321" s="11"/>
      <c r="BM1321" s="11"/>
      <c r="BN1321" s="11"/>
      <c r="BO1321" s="11"/>
      <c r="BP1321" s="11"/>
      <c r="BQ1321" s="11"/>
      <c r="BR1321" s="11"/>
      <c r="BS1321" s="11"/>
      <c r="BT1321" s="11"/>
      <c r="BU1321" s="11"/>
      <c r="BV1321" s="11"/>
      <c r="BW1321" s="52"/>
      <c r="BX1321" s="52"/>
      <c r="BY1321" s="11"/>
      <c r="BZ1321" s="52"/>
      <c r="CA1321" s="52"/>
      <c r="CB1321" s="52"/>
      <c r="CC1321" s="52"/>
      <c r="CD1321" s="53"/>
      <c r="CE1321" s="53"/>
      <c r="CF1321" s="52"/>
      <c r="CG1321" s="52"/>
      <c r="CH1321" s="11"/>
      <c r="CI1321" s="11"/>
      <c r="CJ1321" s="11"/>
      <c r="CK1321" s="11"/>
      <c r="CL1321" s="11"/>
      <c r="CM1321" s="11"/>
      <c r="CN1321" s="11"/>
      <c r="CO1321" s="11"/>
      <c r="CP1321" s="11"/>
      <c r="CQ1321" s="11"/>
      <c r="CR1321" s="11"/>
      <c r="CS1321" s="11"/>
      <c r="CT1321" s="11"/>
      <c r="CU1321" s="11"/>
      <c r="CV1321" s="11"/>
      <c r="CW1321" s="11"/>
      <c r="CX1321" s="11"/>
      <c r="CY1321" s="11"/>
      <c r="CZ1321" s="11"/>
      <c r="DA1321" s="11"/>
      <c r="DB1321" s="11"/>
      <c r="DC1321" s="11"/>
      <c r="DD1321" s="11"/>
      <c r="DE1321" s="11"/>
      <c r="DF1321" s="11"/>
      <c r="DG1321" s="11"/>
      <c r="DH1321" s="11"/>
      <c r="DI1321" s="11"/>
      <c r="DJ1321" s="11"/>
      <c r="DK1321" s="11"/>
      <c r="DL1321" s="11"/>
      <c r="DM1321" s="11"/>
      <c r="DN1321" s="11"/>
      <c r="DO1321" s="11"/>
      <c r="DP1321" s="11"/>
      <c r="DQ1321" s="11"/>
      <c r="DR1321" s="11"/>
      <c r="DS1321" s="11"/>
      <c r="DT1321" s="11"/>
      <c r="DU1321" s="11"/>
      <c r="DV1321" s="11"/>
      <c r="DW1321" s="11"/>
      <c r="DX1321" s="11"/>
      <c r="DY1321" s="11"/>
      <c r="DZ1321" s="11"/>
      <c r="EA1321" s="11"/>
      <c r="EB1321" s="11"/>
      <c r="EC1321" s="11"/>
      <c r="ED1321" s="11"/>
      <c r="EE1321" s="11"/>
      <c r="EF1321" s="11"/>
      <c r="EG1321" s="11"/>
      <c r="EH1321" s="11"/>
      <c r="EI1321" s="11"/>
      <c r="EJ1321" s="11"/>
      <c r="EK1321" s="11"/>
      <c r="EL1321" s="11"/>
      <c r="EM1321" s="11"/>
      <c r="EN1321" s="11"/>
      <c r="EO1321" s="11"/>
      <c r="EP1321" s="11"/>
      <c r="EQ1321" s="11"/>
      <c r="ER1321" s="11"/>
      <c r="ES1321" s="11"/>
      <c r="ET1321" s="11"/>
      <c r="EU1321" s="11"/>
      <c r="EV1321" s="11"/>
      <c r="EW1321" s="11"/>
      <c r="EX1321" s="11"/>
      <c r="EY1321" s="11"/>
      <c r="EZ1321" s="11"/>
      <c r="FA1321" s="11"/>
      <c r="FB1321" s="11"/>
      <c r="FC1321" s="11"/>
      <c r="FD1321" s="11"/>
      <c r="FE1321" s="11"/>
      <c r="FF1321" s="11"/>
      <c r="FG1321" s="11"/>
      <c r="FH1321" s="11"/>
      <c r="FI1321" s="11"/>
      <c r="FJ1321" s="11"/>
      <c r="FK1321" s="11"/>
      <c r="FL1321" s="52" t="s">
        <v>3437</v>
      </c>
      <c r="FM1321" s="52" t="s">
        <v>321</v>
      </c>
      <c r="FN1321" s="11"/>
      <c r="FO1321" s="11"/>
      <c r="FP1321" s="11"/>
      <c r="FQ1321" s="11"/>
      <c r="FR1321" s="11"/>
      <c r="FS1321" s="11"/>
      <c r="FT1321" s="11"/>
      <c r="FU1321" s="11"/>
      <c r="FV1321" s="11"/>
      <c r="FW1321" s="11"/>
      <c r="FX1321" s="11"/>
      <c r="FY1321" s="11"/>
      <c r="FZ1321" s="11"/>
      <c r="GA1321" s="11"/>
      <c r="GB1321" s="11"/>
      <c r="GC1321" s="11"/>
      <c r="GD1321" s="11"/>
      <c r="GE1321" s="11"/>
      <c r="GF1321" s="11"/>
      <c r="GG1321" s="11"/>
      <c r="GH1321" s="11"/>
      <c r="GI1321" s="11"/>
      <c r="GJ1321" s="11"/>
      <c r="GK1321" s="11"/>
      <c r="GL1321" s="11"/>
      <c r="GM1321" s="11"/>
      <c r="GN1321" s="11"/>
      <c r="GO1321" s="11"/>
      <c r="GP1321" s="11"/>
      <c r="GQ1321" s="11"/>
      <c r="GR1321" s="11"/>
      <c r="GS1321" s="11"/>
      <c r="GT1321" s="11"/>
      <c r="GU1321" s="11"/>
      <c r="GV1321" s="11"/>
      <c r="GW1321" s="11"/>
      <c r="GX1321" s="11"/>
      <c r="GY1321" s="11"/>
      <c r="GZ1321" s="11"/>
      <c r="HA1321" s="11"/>
    </row>
    <row r="1322" spans="1:209" ht="23.25" customHeight="1" x14ac:dyDescent="0.15">
      <c r="A1322" s="11"/>
      <c r="B1322" s="11"/>
      <c r="C1322" s="33" t="s">
        <v>11</v>
      </c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/>
      <c r="R1322" s="11"/>
      <c r="S1322" s="11"/>
      <c r="T1322" s="11"/>
      <c r="U1322" s="11"/>
      <c r="V1322" s="11"/>
      <c r="W1322" s="11"/>
      <c r="X1322" s="11"/>
      <c r="Y1322" s="11"/>
      <c r="Z1322" s="11"/>
      <c r="AA1322" s="11"/>
      <c r="AB1322" s="11"/>
      <c r="AC1322" s="11"/>
      <c r="AD1322" s="11"/>
      <c r="AE1322" s="11"/>
      <c r="AF1322" s="11"/>
      <c r="AG1322" s="11"/>
      <c r="AH1322" s="11"/>
      <c r="AI1322" s="11"/>
      <c r="AJ1322" s="11"/>
      <c r="AK1322" s="11"/>
      <c r="AL1322" s="11"/>
      <c r="AM1322" s="11"/>
      <c r="AN1322" s="11"/>
      <c r="AO1322" s="11"/>
      <c r="AP1322" s="11"/>
      <c r="AQ1322" s="11"/>
      <c r="AR1322" s="11"/>
      <c r="AS1322" s="11"/>
      <c r="AT1322" s="11"/>
      <c r="AU1322" s="11"/>
      <c r="AV1322" s="11"/>
      <c r="AW1322" s="11"/>
      <c r="AX1322" s="52" t="s">
        <v>3434</v>
      </c>
      <c r="AY1322" s="52" t="s">
        <v>3435</v>
      </c>
      <c r="AZ1322" s="52" t="s">
        <v>3845</v>
      </c>
      <c r="BA1322" s="52" t="s">
        <v>3846</v>
      </c>
      <c r="BB1322" s="52" t="s">
        <v>970</v>
      </c>
      <c r="BC1322" s="53">
        <v>43913</v>
      </c>
      <c r="BD1322" s="53">
        <v>43957</v>
      </c>
      <c r="BE1322" s="11"/>
      <c r="BF1322" s="55">
        <v>100</v>
      </c>
      <c r="BG1322" s="11"/>
      <c r="BH1322" s="54" t="s">
        <v>3847</v>
      </c>
      <c r="BI1322" s="11"/>
      <c r="BJ1322" s="11"/>
      <c r="BK1322" s="11"/>
      <c r="BL1322" s="11"/>
      <c r="BM1322" s="11"/>
      <c r="BN1322" s="11"/>
      <c r="BO1322" s="11"/>
      <c r="BP1322" s="11"/>
      <c r="BQ1322" s="11"/>
      <c r="BR1322" s="11"/>
      <c r="BS1322" s="11"/>
      <c r="BT1322" s="11"/>
      <c r="BU1322" s="11"/>
      <c r="BV1322" s="11"/>
      <c r="BW1322" s="52"/>
      <c r="BX1322" s="52"/>
      <c r="BY1322" s="11"/>
      <c r="BZ1322" s="52"/>
      <c r="CA1322" s="52"/>
      <c r="CB1322" s="52"/>
      <c r="CC1322" s="52"/>
      <c r="CD1322" s="53"/>
      <c r="CE1322" s="53"/>
      <c r="CF1322" s="52"/>
      <c r="CG1322" s="52"/>
      <c r="CH1322" s="11"/>
      <c r="CI1322" s="11"/>
      <c r="CJ1322" s="11"/>
      <c r="CK1322" s="11"/>
      <c r="CL1322" s="11"/>
      <c r="CM1322" s="11"/>
      <c r="CN1322" s="11"/>
      <c r="CO1322" s="11"/>
      <c r="CP1322" s="11"/>
      <c r="CQ1322" s="11"/>
      <c r="CR1322" s="11"/>
      <c r="CS1322" s="11"/>
      <c r="CT1322" s="11"/>
      <c r="CU1322" s="11"/>
      <c r="CV1322" s="11"/>
      <c r="CW1322" s="11"/>
      <c r="CX1322" s="11"/>
      <c r="CY1322" s="11"/>
      <c r="CZ1322" s="11"/>
      <c r="DA1322" s="11"/>
      <c r="DB1322" s="11"/>
      <c r="DC1322" s="11"/>
      <c r="DD1322" s="11"/>
      <c r="DE1322" s="11"/>
      <c r="DF1322" s="11"/>
      <c r="DG1322" s="11"/>
      <c r="DH1322" s="11"/>
      <c r="DI1322" s="11"/>
      <c r="DJ1322" s="11"/>
      <c r="DK1322" s="11"/>
      <c r="DL1322" s="11"/>
      <c r="DM1322" s="11"/>
      <c r="DN1322" s="11"/>
      <c r="DO1322" s="11"/>
      <c r="DP1322" s="11"/>
      <c r="DQ1322" s="11"/>
      <c r="DR1322" s="11"/>
      <c r="DS1322" s="11"/>
      <c r="DT1322" s="11"/>
      <c r="DU1322" s="11"/>
      <c r="DV1322" s="11"/>
      <c r="DW1322" s="11"/>
      <c r="DX1322" s="11"/>
      <c r="DY1322" s="11"/>
      <c r="DZ1322" s="11"/>
      <c r="EA1322" s="11"/>
      <c r="EB1322" s="11"/>
      <c r="EC1322" s="11"/>
      <c r="ED1322" s="11"/>
      <c r="EE1322" s="11"/>
      <c r="EF1322" s="11"/>
      <c r="EG1322" s="11"/>
      <c r="EH1322" s="11"/>
      <c r="EI1322" s="11"/>
      <c r="EJ1322" s="11"/>
      <c r="EK1322" s="11"/>
      <c r="EL1322" s="11"/>
      <c r="EM1322" s="11"/>
      <c r="EN1322" s="11"/>
      <c r="EO1322" s="11"/>
      <c r="EP1322" s="11"/>
      <c r="EQ1322" s="11"/>
      <c r="ER1322" s="11"/>
      <c r="ES1322" s="11"/>
      <c r="ET1322" s="11"/>
      <c r="EU1322" s="11"/>
      <c r="EV1322" s="11"/>
      <c r="EW1322" s="11"/>
      <c r="EX1322" s="11"/>
      <c r="EY1322" s="11"/>
      <c r="EZ1322" s="11"/>
      <c r="FA1322" s="11"/>
      <c r="FB1322" s="11"/>
      <c r="FC1322" s="11"/>
      <c r="FD1322" s="11"/>
      <c r="FE1322" s="11"/>
      <c r="FF1322" s="11"/>
      <c r="FG1322" s="11"/>
      <c r="FH1322" s="11"/>
      <c r="FI1322" s="11"/>
      <c r="FJ1322" s="11"/>
      <c r="FK1322" s="11"/>
      <c r="FL1322" s="52" t="s">
        <v>3437</v>
      </c>
      <c r="FM1322" s="52" t="s">
        <v>321</v>
      </c>
      <c r="FN1322" s="11"/>
      <c r="FO1322" s="11"/>
      <c r="FP1322" s="11"/>
      <c r="FQ1322" s="11"/>
      <c r="FR1322" s="11"/>
      <c r="FS1322" s="11"/>
      <c r="FT1322" s="11"/>
      <c r="FU1322" s="11"/>
      <c r="FV1322" s="11"/>
      <c r="FW1322" s="11"/>
      <c r="FX1322" s="11"/>
      <c r="FY1322" s="11"/>
      <c r="FZ1322" s="11"/>
      <c r="GA1322" s="11"/>
      <c r="GB1322" s="11"/>
      <c r="GC1322" s="11"/>
      <c r="GD1322" s="11"/>
      <c r="GE1322" s="11"/>
      <c r="GF1322" s="11"/>
      <c r="GG1322" s="11"/>
      <c r="GH1322" s="11"/>
      <c r="GI1322" s="11"/>
      <c r="GJ1322" s="11"/>
      <c r="GK1322" s="11"/>
      <c r="GL1322" s="11"/>
      <c r="GM1322" s="11"/>
      <c r="GN1322" s="11"/>
      <c r="GO1322" s="11"/>
      <c r="GP1322" s="11"/>
      <c r="GQ1322" s="11"/>
      <c r="GR1322" s="11"/>
      <c r="GS1322" s="11"/>
      <c r="GT1322" s="11"/>
      <c r="GU1322" s="11"/>
      <c r="GV1322" s="11"/>
      <c r="GW1322" s="11"/>
      <c r="GX1322" s="11"/>
      <c r="GY1322" s="11"/>
      <c r="GZ1322" s="11"/>
      <c r="HA1322" s="11"/>
    </row>
    <row r="1323" spans="1:209" ht="23.25" customHeight="1" x14ac:dyDescent="0.15">
      <c r="A1323" s="11"/>
      <c r="B1323" s="11"/>
      <c r="C1323" s="33" t="s">
        <v>11</v>
      </c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/>
      <c r="R1323" s="11"/>
      <c r="S1323" s="11"/>
      <c r="T1323" s="11"/>
      <c r="U1323" s="11"/>
      <c r="V1323" s="11"/>
      <c r="W1323" s="11"/>
      <c r="X1323" s="11"/>
      <c r="Y1323" s="11"/>
      <c r="Z1323" s="11"/>
      <c r="AA1323" s="11"/>
      <c r="AB1323" s="11"/>
      <c r="AC1323" s="11"/>
      <c r="AD1323" s="11"/>
      <c r="AE1323" s="11"/>
      <c r="AF1323" s="11"/>
      <c r="AG1323" s="11"/>
      <c r="AH1323" s="11"/>
      <c r="AI1323" s="11"/>
      <c r="AJ1323" s="11"/>
      <c r="AK1323" s="11"/>
      <c r="AL1323" s="11"/>
      <c r="AM1323" s="11"/>
      <c r="AN1323" s="11"/>
      <c r="AO1323" s="11"/>
      <c r="AP1323" s="11"/>
      <c r="AQ1323" s="11"/>
      <c r="AR1323" s="11"/>
      <c r="AS1323" s="11"/>
      <c r="AT1323" s="11"/>
      <c r="AU1323" s="11"/>
      <c r="AV1323" s="11"/>
      <c r="AW1323" s="11"/>
      <c r="AX1323" s="52" t="s">
        <v>3434</v>
      </c>
      <c r="AY1323" s="52" t="s">
        <v>3435</v>
      </c>
      <c r="AZ1323" s="52" t="s">
        <v>1751</v>
      </c>
      <c r="BA1323" s="52" t="s">
        <v>3848</v>
      </c>
      <c r="BB1323" s="52" t="s">
        <v>2169</v>
      </c>
      <c r="BC1323" s="53">
        <v>43891</v>
      </c>
      <c r="BD1323" s="53">
        <v>43952</v>
      </c>
      <c r="BE1323" s="11"/>
      <c r="BF1323" s="55">
        <v>100</v>
      </c>
      <c r="BG1323" s="11"/>
      <c r="BH1323" s="54" t="s">
        <v>3849</v>
      </c>
      <c r="BI1323" s="11"/>
      <c r="BJ1323" s="11"/>
      <c r="BK1323" s="11"/>
      <c r="BL1323" s="11"/>
      <c r="BM1323" s="11"/>
      <c r="BN1323" s="11"/>
      <c r="BO1323" s="11"/>
      <c r="BP1323" s="11"/>
      <c r="BQ1323" s="11"/>
      <c r="BR1323" s="11"/>
      <c r="BS1323" s="11"/>
      <c r="BT1323" s="11"/>
      <c r="BU1323" s="11"/>
      <c r="BV1323" s="11"/>
      <c r="BW1323" s="52"/>
      <c r="BX1323" s="52"/>
      <c r="BY1323" s="11"/>
      <c r="BZ1323" s="52"/>
      <c r="CA1323" s="52"/>
      <c r="CB1323" s="52"/>
      <c r="CC1323" s="52"/>
      <c r="CD1323" s="53"/>
      <c r="CE1323" s="53"/>
      <c r="CF1323" s="52"/>
      <c r="CG1323" s="52"/>
      <c r="CH1323" s="11"/>
      <c r="CI1323" s="11"/>
      <c r="CJ1323" s="11"/>
      <c r="CK1323" s="11"/>
      <c r="CL1323" s="11"/>
      <c r="CM1323" s="11"/>
      <c r="CN1323" s="11"/>
      <c r="CO1323" s="11"/>
      <c r="CP1323" s="11"/>
      <c r="CQ1323" s="11"/>
      <c r="CR1323" s="11"/>
      <c r="CS1323" s="11"/>
      <c r="CT1323" s="11"/>
      <c r="CU1323" s="11"/>
      <c r="CV1323" s="11"/>
      <c r="CW1323" s="11"/>
      <c r="CX1323" s="11"/>
      <c r="CY1323" s="11"/>
      <c r="CZ1323" s="11"/>
      <c r="DA1323" s="11"/>
      <c r="DB1323" s="11"/>
      <c r="DC1323" s="11"/>
      <c r="DD1323" s="11"/>
      <c r="DE1323" s="11"/>
      <c r="DF1323" s="11"/>
      <c r="DG1323" s="11"/>
      <c r="DH1323" s="11"/>
      <c r="DI1323" s="11"/>
      <c r="DJ1323" s="11"/>
      <c r="DK1323" s="11"/>
      <c r="DL1323" s="11"/>
      <c r="DM1323" s="11"/>
      <c r="DN1323" s="11"/>
      <c r="DO1323" s="11"/>
      <c r="DP1323" s="11"/>
      <c r="DQ1323" s="11"/>
      <c r="DR1323" s="11"/>
      <c r="DS1323" s="11"/>
      <c r="DT1323" s="11"/>
      <c r="DU1323" s="11"/>
      <c r="DV1323" s="11"/>
      <c r="DW1323" s="11"/>
      <c r="DX1323" s="11"/>
      <c r="DY1323" s="11"/>
      <c r="DZ1323" s="11"/>
      <c r="EA1323" s="11"/>
      <c r="EB1323" s="11"/>
      <c r="EC1323" s="11"/>
      <c r="ED1323" s="11"/>
      <c r="EE1323" s="11"/>
      <c r="EF1323" s="11"/>
      <c r="EG1323" s="11"/>
      <c r="EH1323" s="11"/>
      <c r="EI1323" s="11"/>
      <c r="EJ1323" s="11"/>
      <c r="EK1323" s="11"/>
      <c r="EL1323" s="11"/>
      <c r="EM1323" s="11"/>
      <c r="EN1323" s="11"/>
      <c r="EO1323" s="11"/>
      <c r="EP1323" s="11"/>
      <c r="EQ1323" s="11"/>
      <c r="ER1323" s="11"/>
      <c r="ES1323" s="11"/>
      <c r="ET1323" s="11"/>
      <c r="EU1323" s="11"/>
      <c r="EV1323" s="11"/>
      <c r="EW1323" s="11"/>
      <c r="EX1323" s="11"/>
      <c r="EY1323" s="11"/>
      <c r="EZ1323" s="11"/>
      <c r="FA1323" s="11"/>
      <c r="FB1323" s="11"/>
      <c r="FC1323" s="11"/>
      <c r="FD1323" s="11"/>
      <c r="FE1323" s="11"/>
      <c r="FF1323" s="11"/>
      <c r="FG1323" s="11"/>
      <c r="FH1323" s="11"/>
      <c r="FI1323" s="11"/>
      <c r="FJ1323" s="11"/>
      <c r="FK1323" s="11"/>
      <c r="FL1323" s="52" t="s">
        <v>3437</v>
      </c>
      <c r="FM1323" s="52" t="s">
        <v>321</v>
      </c>
      <c r="FN1323" s="11"/>
      <c r="FO1323" s="11"/>
      <c r="FP1323" s="11"/>
      <c r="FQ1323" s="11"/>
      <c r="FR1323" s="11"/>
      <c r="FS1323" s="11"/>
      <c r="FT1323" s="11"/>
      <c r="FU1323" s="11"/>
      <c r="FV1323" s="11"/>
      <c r="FW1323" s="11"/>
      <c r="FX1323" s="11"/>
      <c r="FY1323" s="11"/>
      <c r="FZ1323" s="11"/>
      <c r="GA1323" s="11"/>
      <c r="GB1323" s="11"/>
      <c r="GC1323" s="11"/>
      <c r="GD1323" s="11"/>
      <c r="GE1323" s="11"/>
      <c r="GF1323" s="11"/>
      <c r="GG1323" s="11"/>
      <c r="GH1323" s="11"/>
      <c r="GI1323" s="11"/>
      <c r="GJ1323" s="11"/>
      <c r="GK1323" s="11"/>
      <c r="GL1323" s="11"/>
      <c r="GM1323" s="11"/>
      <c r="GN1323" s="11"/>
      <c r="GO1323" s="11"/>
      <c r="GP1323" s="11"/>
      <c r="GQ1323" s="11"/>
      <c r="GR1323" s="11"/>
      <c r="GS1323" s="11"/>
      <c r="GT1323" s="11"/>
      <c r="GU1323" s="11"/>
      <c r="GV1323" s="11"/>
      <c r="GW1323" s="11"/>
      <c r="GX1323" s="11"/>
      <c r="GY1323" s="11"/>
      <c r="GZ1323" s="11"/>
      <c r="HA1323" s="11"/>
    </row>
    <row r="1324" spans="1:209" ht="23.25" customHeight="1" x14ac:dyDescent="0.15">
      <c r="A1324" s="11"/>
      <c r="B1324" s="11"/>
      <c r="C1324" s="33" t="s">
        <v>11</v>
      </c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/>
      <c r="R1324" s="11"/>
      <c r="S1324" s="11"/>
      <c r="T1324" s="11"/>
      <c r="U1324" s="11"/>
      <c r="V1324" s="11"/>
      <c r="W1324" s="11"/>
      <c r="X1324" s="11"/>
      <c r="Y1324" s="11"/>
      <c r="Z1324" s="11"/>
      <c r="AA1324" s="11"/>
      <c r="AB1324" s="11"/>
      <c r="AC1324" s="11"/>
      <c r="AD1324" s="11"/>
      <c r="AE1324" s="11"/>
      <c r="AF1324" s="11"/>
      <c r="AG1324" s="11"/>
      <c r="AH1324" s="11"/>
      <c r="AI1324" s="11"/>
      <c r="AJ1324" s="11"/>
      <c r="AK1324" s="11"/>
      <c r="AL1324" s="11"/>
      <c r="AM1324" s="11"/>
      <c r="AN1324" s="11"/>
      <c r="AO1324" s="11"/>
      <c r="AP1324" s="11"/>
      <c r="AQ1324" s="11"/>
      <c r="AR1324" s="11"/>
      <c r="AS1324" s="11"/>
      <c r="AT1324" s="11"/>
      <c r="AU1324" s="11"/>
      <c r="AV1324" s="11"/>
      <c r="AW1324" s="11"/>
      <c r="AX1324" s="52" t="s">
        <v>3434</v>
      </c>
      <c r="AY1324" s="52" t="s">
        <v>3435</v>
      </c>
      <c r="AZ1324" s="52" t="s">
        <v>540</v>
      </c>
      <c r="BA1324" s="52" t="s">
        <v>3848</v>
      </c>
      <c r="BB1324" s="52" t="s">
        <v>550</v>
      </c>
      <c r="BC1324" s="53">
        <v>43891</v>
      </c>
      <c r="BD1324" s="53">
        <v>43952</v>
      </c>
      <c r="BE1324" s="11"/>
      <c r="BF1324" s="55">
        <v>100</v>
      </c>
      <c r="BG1324" s="11"/>
      <c r="BH1324" s="54" t="s">
        <v>3850</v>
      </c>
      <c r="BI1324" s="11"/>
      <c r="BJ1324" s="11"/>
      <c r="BK1324" s="11"/>
      <c r="BL1324" s="11"/>
      <c r="BM1324" s="11"/>
      <c r="BN1324" s="11"/>
      <c r="BO1324" s="11"/>
      <c r="BP1324" s="11"/>
      <c r="BQ1324" s="11"/>
      <c r="BR1324" s="11"/>
      <c r="BS1324" s="11"/>
      <c r="BT1324" s="11"/>
      <c r="BU1324" s="11"/>
      <c r="BV1324" s="11"/>
      <c r="BW1324" s="52"/>
      <c r="BX1324" s="52"/>
      <c r="BY1324" s="11"/>
      <c r="BZ1324" s="52"/>
      <c r="CA1324" s="52"/>
      <c r="CB1324" s="52"/>
      <c r="CC1324" s="52"/>
      <c r="CD1324" s="53"/>
      <c r="CE1324" s="53"/>
      <c r="CF1324" s="52"/>
      <c r="CG1324" s="52"/>
      <c r="CH1324" s="11"/>
      <c r="CI1324" s="11"/>
      <c r="CJ1324" s="11"/>
      <c r="CK1324" s="11"/>
      <c r="CL1324" s="11"/>
      <c r="CM1324" s="11"/>
      <c r="CN1324" s="11"/>
      <c r="CO1324" s="11"/>
      <c r="CP1324" s="11"/>
      <c r="CQ1324" s="11"/>
      <c r="CR1324" s="11"/>
      <c r="CS1324" s="11"/>
      <c r="CT1324" s="11"/>
      <c r="CU1324" s="11"/>
      <c r="CV1324" s="11"/>
      <c r="CW1324" s="11"/>
      <c r="CX1324" s="11"/>
      <c r="CY1324" s="11"/>
      <c r="CZ1324" s="11"/>
      <c r="DA1324" s="11"/>
      <c r="DB1324" s="11"/>
      <c r="DC1324" s="11"/>
      <c r="DD1324" s="11"/>
      <c r="DE1324" s="11"/>
      <c r="DF1324" s="11"/>
      <c r="DG1324" s="11"/>
      <c r="DH1324" s="11"/>
      <c r="DI1324" s="11"/>
      <c r="DJ1324" s="11"/>
      <c r="DK1324" s="11"/>
      <c r="DL1324" s="11"/>
      <c r="DM1324" s="11"/>
      <c r="DN1324" s="11"/>
      <c r="DO1324" s="11"/>
      <c r="DP1324" s="11"/>
      <c r="DQ1324" s="11"/>
      <c r="DR1324" s="11"/>
      <c r="DS1324" s="11"/>
      <c r="DT1324" s="11"/>
      <c r="DU1324" s="11"/>
      <c r="DV1324" s="11"/>
      <c r="DW1324" s="11"/>
      <c r="DX1324" s="11"/>
      <c r="DY1324" s="11"/>
      <c r="DZ1324" s="11"/>
      <c r="EA1324" s="11"/>
      <c r="EB1324" s="11"/>
      <c r="EC1324" s="11"/>
      <c r="ED1324" s="11"/>
      <c r="EE1324" s="11"/>
      <c r="EF1324" s="11"/>
      <c r="EG1324" s="11"/>
      <c r="EH1324" s="11"/>
      <c r="EI1324" s="11"/>
      <c r="EJ1324" s="11"/>
      <c r="EK1324" s="11"/>
      <c r="EL1324" s="11"/>
      <c r="EM1324" s="11"/>
      <c r="EN1324" s="11"/>
      <c r="EO1324" s="11"/>
      <c r="EP1324" s="11"/>
      <c r="EQ1324" s="11"/>
      <c r="ER1324" s="11"/>
      <c r="ES1324" s="11"/>
      <c r="ET1324" s="11"/>
      <c r="EU1324" s="11"/>
      <c r="EV1324" s="11"/>
      <c r="EW1324" s="11"/>
      <c r="EX1324" s="11"/>
      <c r="EY1324" s="11"/>
      <c r="EZ1324" s="11"/>
      <c r="FA1324" s="11"/>
      <c r="FB1324" s="11"/>
      <c r="FC1324" s="11"/>
      <c r="FD1324" s="11"/>
      <c r="FE1324" s="11"/>
      <c r="FF1324" s="11"/>
      <c r="FG1324" s="11"/>
      <c r="FH1324" s="11"/>
      <c r="FI1324" s="11"/>
      <c r="FJ1324" s="11"/>
      <c r="FK1324" s="11"/>
      <c r="FL1324" s="52" t="s">
        <v>3437</v>
      </c>
      <c r="FM1324" s="52" t="s">
        <v>321</v>
      </c>
      <c r="FN1324" s="11"/>
      <c r="FO1324" s="11"/>
      <c r="FP1324" s="11"/>
      <c r="FQ1324" s="11"/>
      <c r="FR1324" s="11"/>
      <c r="FS1324" s="11"/>
      <c r="FT1324" s="11"/>
      <c r="FU1324" s="11"/>
      <c r="FV1324" s="11"/>
      <c r="FW1324" s="11"/>
      <c r="FX1324" s="11"/>
      <c r="FY1324" s="11"/>
      <c r="FZ1324" s="11"/>
      <c r="GA1324" s="11"/>
      <c r="GB1324" s="11"/>
      <c r="GC1324" s="11"/>
      <c r="GD1324" s="11"/>
      <c r="GE1324" s="11"/>
      <c r="GF1324" s="11"/>
      <c r="GG1324" s="11"/>
      <c r="GH1324" s="11"/>
      <c r="GI1324" s="11"/>
      <c r="GJ1324" s="11"/>
      <c r="GK1324" s="11"/>
      <c r="GL1324" s="11"/>
      <c r="GM1324" s="11"/>
      <c r="GN1324" s="11"/>
      <c r="GO1324" s="11"/>
      <c r="GP1324" s="11"/>
      <c r="GQ1324" s="11"/>
      <c r="GR1324" s="11"/>
      <c r="GS1324" s="11"/>
      <c r="GT1324" s="11"/>
      <c r="GU1324" s="11"/>
      <c r="GV1324" s="11"/>
      <c r="GW1324" s="11"/>
      <c r="GX1324" s="11"/>
      <c r="GY1324" s="11"/>
      <c r="GZ1324" s="11"/>
      <c r="HA1324" s="11"/>
    </row>
    <row r="1325" spans="1:209" ht="23.25" customHeight="1" x14ac:dyDescent="0.15">
      <c r="A1325" s="11"/>
      <c r="B1325" s="11"/>
      <c r="C1325" s="33" t="s">
        <v>11</v>
      </c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/>
      <c r="R1325" s="11"/>
      <c r="S1325" s="11"/>
      <c r="T1325" s="11"/>
      <c r="U1325" s="11"/>
      <c r="V1325" s="11"/>
      <c r="W1325" s="11"/>
      <c r="X1325" s="11"/>
      <c r="Y1325" s="11"/>
      <c r="Z1325" s="11"/>
      <c r="AA1325" s="11"/>
      <c r="AB1325" s="11"/>
      <c r="AC1325" s="11"/>
      <c r="AD1325" s="11"/>
      <c r="AE1325" s="11"/>
      <c r="AF1325" s="11"/>
      <c r="AG1325" s="11"/>
      <c r="AH1325" s="11"/>
      <c r="AI1325" s="11"/>
      <c r="AJ1325" s="11"/>
      <c r="AK1325" s="11"/>
      <c r="AL1325" s="11"/>
      <c r="AM1325" s="11"/>
      <c r="AN1325" s="11"/>
      <c r="AO1325" s="11"/>
      <c r="AP1325" s="11"/>
      <c r="AQ1325" s="11"/>
      <c r="AR1325" s="11"/>
      <c r="AS1325" s="11"/>
      <c r="AT1325" s="11"/>
      <c r="AU1325" s="11"/>
      <c r="AV1325" s="11"/>
      <c r="AW1325" s="11"/>
      <c r="AX1325" s="52" t="s">
        <v>3434</v>
      </c>
      <c r="AY1325" s="52" t="s">
        <v>3435</v>
      </c>
      <c r="AZ1325" s="52" t="s">
        <v>3812</v>
      </c>
      <c r="BA1325" s="52" t="s">
        <v>3848</v>
      </c>
      <c r="BB1325" s="52" t="s">
        <v>550</v>
      </c>
      <c r="BC1325" s="53">
        <v>43891</v>
      </c>
      <c r="BD1325" s="53">
        <v>43952</v>
      </c>
      <c r="BE1325" s="11"/>
      <c r="BF1325" s="55">
        <v>100</v>
      </c>
      <c r="BG1325" s="11"/>
      <c r="BH1325" s="54" t="s">
        <v>3851</v>
      </c>
      <c r="BI1325" s="11"/>
      <c r="BJ1325" s="11"/>
      <c r="BK1325" s="11"/>
      <c r="BL1325" s="11"/>
      <c r="BM1325" s="11"/>
      <c r="BN1325" s="11"/>
      <c r="BO1325" s="11"/>
      <c r="BP1325" s="11"/>
      <c r="BQ1325" s="11"/>
      <c r="BR1325" s="11"/>
      <c r="BS1325" s="11"/>
      <c r="BT1325" s="11"/>
      <c r="BU1325" s="11"/>
      <c r="BV1325" s="11"/>
      <c r="BW1325" s="52"/>
      <c r="BX1325" s="52"/>
      <c r="BY1325" s="11"/>
      <c r="BZ1325" s="52"/>
      <c r="CA1325" s="52"/>
      <c r="CB1325" s="52"/>
      <c r="CC1325" s="52"/>
      <c r="CD1325" s="53"/>
      <c r="CE1325" s="53"/>
      <c r="CF1325" s="52"/>
      <c r="CG1325" s="52"/>
      <c r="CH1325" s="11"/>
      <c r="CI1325" s="11"/>
      <c r="CJ1325" s="11"/>
      <c r="CK1325" s="11"/>
      <c r="CL1325" s="11"/>
      <c r="CM1325" s="11"/>
      <c r="CN1325" s="11"/>
      <c r="CO1325" s="11"/>
      <c r="CP1325" s="11"/>
      <c r="CQ1325" s="11"/>
      <c r="CR1325" s="11"/>
      <c r="CS1325" s="11"/>
      <c r="CT1325" s="11"/>
      <c r="CU1325" s="11"/>
      <c r="CV1325" s="11"/>
      <c r="CW1325" s="11"/>
      <c r="CX1325" s="11"/>
      <c r="CY1325" s="11"/>
      <c r="CZ1325" s="11"/>
      <c r="DA1325" s="11"/>
      <c r="DB1325" s="11"/>
      <c r="DC1325" s="11"/>
      <c r="DD1325" s="11"/>
      <c r="DE1325" s="11"/>
      <c r="DF1325" s="11"/>
      <c r="DG1325" s="11"/>
      <c r="DH1325" s="11"/>
      <c r="DI1325" s="11"/>
      <c r="DJ1325" s="11"/>
      <c r="DK1325" s="11"/>
      <c r="DL1325" s="11"/>
      <c r="DM1325" s="11"/>
      <c r="DN1325" s="11"/>
      <c r="DO1325" s="11"/>
      <c r="DP1325" s="11"/>
      <c r="DQ1325" s="11"/>
      <c r="DR1325" s="11"/>
      <c r="DS1325" s="11"/>
      <c r="DT1325" s="11"/>
      <c r="DU1325" s="11"/>
      <c r="DV1325" s="11"/>
      <c r="DW1325" s="11"/>
      <c r="DX1325" s="11"/>
      <c r="DY1325" s="11"/>
      <c r="DZ1325" s="11"/>
      <c r="EA1325" s="11"/>
      <c r="EB1325" s="11"/>
      <c r="EC1325" s="11"/>
      <c r="ED1325" s="11"/>
      <c r="EE1325" s="11"/>
      <c r="EF1325" s="11"/>
      <c r="EG1325" s="11"/>
      <c r="EH1325" s="11"/>
      <c r="EI1325" s="11"/>
      <c r="EJ1325" s="11"/>
      <c r="EK1325" s="11"/>
      <c r="EL1325" s="11"/>
      <c r="EM1325" s="11"/>
      <c r="EN1325" s="11"/>
      <c r="EO1325" s="11"/>
      <c r="EP1325" s="11"/>
      <c r="EQ1325" s="11"/>
      <c r="ER1325" s="11"/>
      <c r="ES1325" s="11"/>
      <c r="ET1325" s="11"/>
      <c r="EU1325" s="11"/>
      <c r="EV1325" s="11"/>
      <c r="EW1325" s="11"/>
      <c r="EX1325" s="11"/>
      <c r="EY1325" s="11"/>
      <c r="EZ1325" s="11"/>
      <c r="FA1325" s="11"/>
      <c r="FB1325" s="11"/>
      <c r="FC1325" s="11"/>
      <c r="FD1325" s="11"/>
      <c r="FE1325" s="11"/>
      <c r="FF1325" s="11"/>
      <c r="FG1325" s="11"/>
      <c r="FH1325" s="11"/>
      <c r="FI1325" s="11"/>
      <c r="FJ1325" s="11"/>
      <c r="FK1325" s="11"/>
      <c r="FL1325" s="52" t="s">
        <v>3437</v>
      </c>
      <c r="FM1325" s="52" t="s">
        <v>321</v>
      </c>
      <c r="FN1325" s="11"/>
      <c r="FO1325" s="11"/>
      <c r="FP1325" s="11"/>
      <c r="FQ1325" s="11"/>
      <c r="FR1325" s="11"/>
      <c r="FS1325" s="11"/>
      <c r="FT1325" s="11"/>
      <c r="FU1325" s="11"/>
      <c r="FV1325" s="11"/>
      <c r="FW1325" s="11"/>
      <c r="FX1325" s="11"/>
      <c r="FY1325" s="11"/>
      <c r="FZ1325" s="11"/>
      <c r="GA1325" s="11"/>
      <c r="GB1325" s="11"/>
      <c r="GC1325" s="11"/>
      <c r="GD1325" s="11"/>
      <c r="GE1325" s="11"/>
      <c r="GF1325" s="11"/>
      <c r="GG1325" s="11"/>
      <c r="GH1325" s="11"/>
      <c r="GI1325" s="11"/>
      <c r="GJ1325" s="11"/>
      <c r="GK1325" s="11"/>
      <c r="GL1325" s="11"/>
      <c r="GM1325" s="11"/>
      <c r="GN1325" s="11"/>
      <c r="GO1325" s="11"/>
      <c r="GP1325" s="11"/>
      <c r="GQ1325" s="11"/>
      <c r="GR1325" s="11"/>
      <c r="GS1325" s="11"/>
      <c r="GT1325" s="11"/>
      <c r="GU1325" s="11"/>
      <c r="GV1325" s="11"/>
      <c r="GW1325" s="11"/>
      <c r="GX1325" s="11"/>
      <c r="GY1325" s="11"/>
      <c r="GZ1325" s="11"/>
      <c r="HA1325" s="11"/>
    </row>
    <row r="1326" spans="1:209" ht="23.25" customHeight="1" x14ac:dyDescent="0.15">
      <c r="A1326" s="11"/>
      <c r="B1326" s="11"/>
      <c r="C1326" s="33" t="s">
        <v>11</v>
      </c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/>
      <c r="R1326" s="11"/>
      <c r="S1326" s="11"/>
      <c r="T1326" s="11"/>
      <c r="U1326" s="11"/>
      <c r="V1326" s="11"/>
      <c r="W1326" s="11"/>
      <c r="X1326" s="11"/>
      <c r="Y1326" s="11"/>
      <c r="Z1326" s="11"/>
      <c r="AA1326" s="11"/>
      <c r="AB1326" s="11"/>
      <c r="AC1326" s="11"/>
      <c r="AD1326" s="11"/>
      <c r="AE1326" s="11"/>
      <c r="AF1326" s="11"/>
      <c r="AG1326" s="11"/>
      <c r="AH1326" s="11"/>
      <c r="AI1326" s="11"/>
      <c r="AJ1326" s="11"/>
      <c r="AK1326" s="11"/>
      <c r="AL1326" s="11"/>
      <c r="AM1326" s="11"/>
      <c r="AN1326" s="11"/>
      <c r="AO1326" s="11"/>
      <c r="AP1326" s="11"/>
      <c r="AQ1326" s="11"/>
      <c r="AR1326" s="11"/>
      <c r="AS1326" s="11"/>
      <c r="AT1326" s="11"/>
      <c r="AU1326" s="11"/>
      <c r="AV1326" s="11"/>
      <c r="AW1326" s="11"/>
      <c r="AX1326" s="52" t="s">
        <v>3434</v>
      </c>
      <c r="AY1326" s="52" t="s">
        <v>3435</v>
      </c>
      <c r="AZ1326" s="52" t="s">
        <v>3806</v>
      </c>
      <c r="BA1326" s="52" t="s">
        <v>3848</v>
      </c>
      <c r="BB1326" s="52" t="s">
        <v>550</v>
      </c>
      <c r="BC1326" s="53">
        <v>43891</v>
      </c>
      <c r="BD1326" s="53">
        <v>43952</v>
      </c>
      <c r="BE1326" s="11"/>
      <c r="BF1326" s="55">
        <v>100</v>
      </c>
      <c r="BG1326" s="11"/>
      <c r="BH1326" s="54" t="s">
        <v>3852</v>
      </c>
      <c r="BI1326" s="11"/>
      <c r="BJ1326" s="11"/>
      <c r="BK1326" s="11"/>
      <c r="BL1326" s="11"/>
      <c r="BM1326" s="11"/>
      <c r="BN1326" s="11"/>
      <c r="BO1326" s="11"/>
      <c r="BP1326" s="11"/>
      <c r="BQ1326" s="11"/>
      <c r="BR1326" s="11"/>
      <c r="BS1326" s="11"/>
      <c r="BT1326" s="11"/>
      <c r="BU1326" s="11"/>
      <c r="BV1326" s="11"/>
      <c r="BW1326" s="52"/>
      <c r="BX1326" s="52"/>
      <c r="BY1326" s="11"/>
      <c r="BZ1326" s="52"/>
      <c r="CA1326" s="52"/>
      <c r="CB1326" s="52"/>
      <c r="CC1326" s="52"/>
      <c r="CD1326" s="53"/>
      <c r="CE1326" s="53"/>
      <c r="CF1326" s="52"/>
      <c r="CG1326" s="52"/>
      <c r="CH1326" s="11"/>
      <c r="CI1326" s="11"/>
      <c r="CJ1326" s="11"/>
      <c r="CK1326" s="11"/>
      <c r="CL1326" s="11"/>
      <c r="CM1326" s="11"/>
      <c r="CN1326" s="11"/>
      <c r="CO1326" s="11"/>
      <c r="CP1326" s="11"/>
      <c r="CQ1326" s="11"/>
      <c r="CR1326" s="11"/>
      <c r="CS1326" s="11"/>
      <c r="CT1326" s="11"/>
      <c r="CU1326" s="11"/>
      <c r="CV1326" s="11"/>
      <c r="CW1326" s="11"/>
      <c r="CX1326" s="11"/>
      <c r="CY1326" s="11"/>
      <c r="CZ1326" s="11"/>
      <c r="DA1326" s="11"/>
      <c r="DB1326" s="11"/>
      <c r="DC1326" s="11"/>
      <c r="DD1326" s="11"/>
      <c r="DE1326" s="11"/>
      <c r="DF1326" s="11"/>
      <c r="DG1326" s="11"/>
      <c r="DH1326" s="11"/>
      <c r="DI1326" s="11"/>
      <c r="DJ1326" s="11"/>
      <c r="DK1326" s="11"/>
      <c r="DL1326" s="11"/>
      <c r="DM1326" s="11"/>
      <c r="DN1326" s="11"/>
      <c r="DO1326" s="11"/>
      <c r="DP1326" s="11"/>
      <c r="DQ1326" s="11"/>
      <c r="DR1326" s="11"/>
      <c r="DS1326" s="11"/>
      <c r="DT1326" s="11"/>
      <c r="DU1326" s="11"/>
      <c r="DV1326" s="11"/>
      <c r="DW1326" s="11"/>
      <c r="DX1326" s="11"/>
      <c r="DY1326" s="11"/>
      <c r="DZ1326" s="11"/>
      <c r="EA1326" s="11"/>
      <c r="EB1326" s="11"/>
      <c r="EC1326" s="11"/>
      <c r="ED1326" s="11"/>
      <c r="EE1326" s="11"/>
      <c r="EF1326" s="11"/>
      <c r="EG1326" s="11"/>
      <c r="EH1326" s="11"/>
      <c r="EI1326" s="11"/>
      <c r="EJ1326" s="11"/>
      <c r="EK1326" s="11"/>
      <c r="EL1326" s="11"/>
      <c r="EM1326" s="11"/>
      <c r="EN1326" s="11"/>
      <c r="EO1326" s="11"/>
      <c r="EP1326" s="11"/>
      <c r="EQ1326" s="11"/>
      <c r="ER1326" s="11"/>
      <c r="ES1326" s="11"/>
      <c r="ET1326" s="11"/>
      <c r="EU1326" s="11"/>
      <c r="EV1326" s="11"/>
      <c r="EW1326" s="11"/>
      <c r="EX1326" s="11"/>
      <c r="EY1326" s="11"/>
      <c r="EZ1326" s="11"/>
      <c r="FA1326" s="11"/>
      <c r="FB1326" s="11"/>
      <c r="FC1326" s="11"/>
      <c r="FD1326" s="11"/>
      <c r="FE1326" s="11"/>
      <c r="FF1326" s="11"/>
      <c r="FG1326" s="11"/>
      <c r="FH1326" s="11"/>
      <c r="FI1326" s="11"/>
      <c r="FJ1326" s="11"/>
      <c r="FK1326" s="11"/>
      <c r="FL1326" s="52" t="s">
        <v>3437</v>
      </c>
      <c r="FM1326" s="52" t="s">
        <v>321</v>
      </c>
      <c r="FN1326" s="11"/>
      <c r="FO1326" s="11"/>
      <c r="FP1326" s="11"/>
      <c r="FQ1326" s="11"/>
      <c r="FR1326" s="11"/>
      <c r="FS1326" s="11"/>
      <c r="FT1326" s="11"/>
      <c r="FU1326" s="11"/>
      <c r="FV1326" s="11"/>
      <c r="FW1326" s="11"/>
      <c r="FX1326" s="11"/>
      <c r="FY1326" s="11"/>
      <c r="FZ1326" s="11"/>
      <c r="GA1326" s="11"/>
      <c r="GB1326" s="11"/>
      <c r="GC1326" s="11"/>
      <c r="GD1326" s="11"/>
      <c r="GE1326" s="11"/>
      <c r="GF1326" s="11"/>
      <c r="GG1326" s="11"/>
      <c r="GH1326" s="11"/>
      <c r="GI1326" s="11"/>
      <c r="GJ1326" s="11"/>
      <c r="GK1326" s="11"/>
      <c r="GL1326" s="11"/>
      <c r="GM1326" s="11"/>
      <c r="GN1326" s="11"/>
      <c r="GO1326" s="11"/>
      <c r="GP1326" s="11"/>
      <c r="GQ1326" s="11"/>
      <c r="GR1326" s="11"/>
      <c r="GS1326" s="11"/>
      <c r="GT1326" s="11"/>
      <c r="GU1326" s="11"/>
      <c r="GV1326" s="11"/>
      <c r="GW1326" s="11"/>
      <c r="GX1326" s="11"/>
      <c r="GY1326" s="11"/>
      <c r="GZ1326" s="11"/>
      <c r="HA1326" s="11"/>
    </row>
    <row r="1327" spans="1:209" ht="23.25" customHeight="1" x14ac:dyDescent="0.15">
      <c r="A1327" s="11"/>
      <c r="B1327" s="11"/>
      <c r="C1327" s="33" t="s">
        <v>11</v>
      </c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/>
      <c r="R1327" s="11"/>
      <c r="S1327" s="11"/>
      <c r="T1327" s="11"/>
      <c r="U1327" s="11"/>
      <c r="V1327" s="11"/>
      <c r="W1327" s="11"/>
      <c r="X1327" s="11"/>
      <c r="Y1327" s="11"/>
      <c r="Z1327" s="11"/>
      <c r="AA1327" s="11"/>
      <c r="AB1327" s="11"/>
      <c r="AC1327" s="11"/>
      <c r="AD1327" s="11"/>
      <c r="AE1327" s="11"/>
      <c r="AF1327" s="11"/>
      <c r="AG1327" s="11"/>
      <c r="AH1327" s="11"/>
      <c r="AI1327" s="11"/>
      <c r="AJ1327" s="11"/>
      <c r="AK1327" s="11"/>
      <c r="AL1327" s="11"/>
      <c r="AM1327" s="11"/>
      <c r="AN1327" s="11"/>
      <c r="AO1327" s="11"/>
      <c r="AP1327" s="11"/>
      <c r="AQ1327" s="11"/>
      <c r="AR1327" s="11"/>
      <c r="AS1327" s="11"/>
      <c r="AT1327" s="11"/>
      <c r="AU1327" s="11"/>
      <c r="AV1327" s="11"/>
      <c r="AW1327" s="11"/>
      <c r="AX1327" s="52" t="s">
        <v>3434</v>
      </c>
      <c r="AY1327" s="52" t="s">
        <v>3435</v>
      </c>
      <c r="AZ1327" s="52" t="s">
        <v>2458</v>
      </c>
      <c r="BA1327" s="52" t="s">
        <v>3848</v>
      </c>
      <c r="BB1327" s="52" t="s">
        <v>550</v>
      </c>
      <c r="BC1327" s="53">
        <v>43891</v>
      </c>
      <c r="BD1327" s="53">
        <v>43952</v>
      </c>
      <c r="BE1327" s="11"/>
      <c r="BF1327" s="55">
        <v>100</v>
      </c>
      <c r="BG1327" s="11"/>
      <c r="BH1327" s="54" t="s">
        <v>3853</v>
      </c>
      <c r="BI1327" s="11"/>
      <c r="BJ1327" s="11"/>
      <c r="BK1327" s="11"/>
      <c r="BL1327" s="11"/>
      <c r="BM1327" s="11"/>
      <c r="BN1327" s="11"/>
      <c r="BO1327" s="11"/>
      <c r="BP1327" s="11"/>
      <c r="BQ1327" s="11"/>
      <c r="BR1327" s="11"/>
      <c r="BS1327" s="11"/>
      <c r="BT1327" s="11"/>
      <c r="BU1327" s="11"/>
      <c r="BV1327" s="11"/>
      <c r="BW1327" s="52"/>
      <c r="BX1327" s="52"/>
      <c r="BY1327" s="11"/>
      <c r="BZ1327" s="52"/>
      <c r="CA1327" s="52"/>
      <c r="CB1327" s="52"/>
      <c r="CC1327" s="52"/>
      <c r="CD1327" s="53"/>
      <c r="CE1327" s="53"/>
      <c r="CF1327" s="52"/>
      <c r="CG1327" s="52"/>
      <c r="CH1327" s="11"/>
      <c r="CI1327" s="11"/>
      <c r="CJ1327" s="11"/>
      <c r="CK1327" s="11"/>
      <c r="CL1327" s="11"/>
      <c r="CM1327" s="11"/>
      <c r="CN1327" s="11"/>
      <c r="CO1327" s="11"/>
      <c r="CP1327" s="11"/>
      <c r="CQ1327" s="11"/>
      <c r="CR1327" s="11"/>
      <c r="CS1327" s="11"/>
      <c r="CT1327" s="11"/>
      <c r="CU1327" s="11"/>
      <c r="CV1327" s="11"/>
      <c r="CW1327" s="11"/>
      <c r="CX1327" s="11"/>
      <c r="CY1327" s="11"/>
      <c r="CZ1327" s="11"/>
      <c r="DA1327" s="11"/>
      <c r="DB1327" s="11"/>
      <c r="DC1327" s="11"/>
      <c r="DD1327" s="11"/>
      <c r="DE1327" s="11"/>
      <c r="DF1327" s="11"/>
      <c r="DG1327" s="11"/>
      <c r="DH1327" s="11"/>
      <c r="DI1327" s="11"/>
      <c r="DJ1327" s="11"/>
      <c r="DK1327" s="11"/>
      <c r="DL1327" s="11"/>
      <c r="DM1327" s="11"/>
      <c r="DN1327" s="11"/>
      <c r="DO1327" s="11"/>
      <c r="DP1327" s="11"/>
      <c r="DQ1327" s="11"/>
      <c r="DR1327" s="11"/>
      <c r="DS1327" s="11"/>
      <c r="DT1327" s="11"/>
      <c r="DU1327" s="11"/>
      <c r="DV1327" s="11"/>
      <c r="DW1327" s="11"/>
      <c r="DX1327" s="11"/>
      <c r="DY1327" s="11"/>
      <c r="DZ1327" s="11"/>
      <c r="EA1327" s="11"/>
      <c r="EB1327" s="11"/>
      <c r="EC1327" s="11"/>
      <c r="ED1327" s="11"/>
      <c r="EE1327" s="11"/>
      <c r="EF1327" s="11"/>
      <c r="EG1327" s="11"/>
      <c r="EH1327" s="11"/>
      <c r="EI1327" s="11"/>
      <c r="EJ1327" s="11"/>
      <c r="EK1327" s="11"/>
      <c r="EL1327" s="11"/>
      <c r="EM1327" s="11"/>
      <c r="EN1327" s="11"/>
      <c r="EO1327" s="11"/>
      <c r="EP1327" s="11"/>
      <c r="EQ1327" s="11"/>
      <c r="ER1327" s="11"/>
      <c r="ES1327" s="11"/>
      <c r="ET1327" s="11"/>
      <c r="EU1327" s="11"/>
      <c r="EV1327" s="11"/>
      <c r="EW1327" s="11"/>
      <c r="EX1327" s="11"/>
      <c r="EY1327" s="11"/>
      <c r="EZ1327" s="11"/>
      <c r="FA1327" s="11"/>
      <c r="FB1327" s="11"/>
      <c r="FC1327" s="11"/>
      <c r="FD1327" s="11"/>
      <c r="FE1327" s="11"/>
      <c r="FF1327" s="11"/>
      <c r="FG1327" s="11"/>
      <c r="FH1327" s="11"/>
      <c r="FI1327" s="11"/>
      <c r="FJ1327" s="11"/>
      <c r="FK1327" s="11"/>
      <c r="FL1327" s="52" t="s">
        <v>3437</v>
      </c>
      <c r="FM1327" s="52" t="s">
        <v>321</v>
      </c>
      <c r="FN1327" s="11"/>
      <c r="FO1327" s="11"/>
      <c r="FP1327" s="11"/>
      <c r="FQ1327" s="11"/>
      <c r="FR1327" s="11"/>
      <c r="FS1327" s="11"/>
      <c r="FT1327" s="11"/>
      <c r="FU1327" s="11"/>
      <c r="FV1327" s="11"/>
      <c r="FW1327" s="11"/>
      <c r="FX1327" s="11"/>
      <c r="FY1327" s="11"/>
      <c r="FZ1327" s="11"/>
      <c r="GA1327" s="11"/>
      <c r="GB1327" s="11"/>
      <c r="GC1327" s="11"/>
      <c r="GD1327" s="11"/>
      <c r="GE1327" s="11"/>
      <c r="GF1327" s="11"/>
      <c r="GG1327" s="11"/>
      <c r="GH1327" s="11"/>
      <c r="GI1327" s="11"/>
      <c r="GJ1327" s="11"/>
      <c r="GK1327" s="11"/>
      <c r="GL1327" s="11"/>
      <c r="GM1327" s="11"/>
      <c r="GN1327" s="11"/>
      <c r="GO1327" s="11"/>
      <c r="GP1327" s="11"/>
      <c r="GQ1327" s="11"/>
      <c r="GR1327" s="11"/>
      <c r="GS1327" s="11"/>
      <c r="GT1327" s="11"/>
      <c r="GU1327" s="11"/>
      <c r="GV1327" s="11"/>
      <c r="GW1327" s="11"/>
      <c r="GX1327" s="11"/>
      <c r="GY1327" s="11"/>
      <c r="GZ1327" s="11"/>
      <c r="HA1327" s="11"/>
    </row>
    <row r="1328" spans="1:209" ht="23.25" customHeight="1" x14ac:dyDescent="0.15">
      <c r="A1328" s="11"/>
      <c r="B1328" s="11"/>
      <c r="C1328" s="33" t="s">
        <v>11</v>
      </c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/>
      <c r="R1328" s="11"/>
      <c r="S1328" s="11"/>
      <c r="T1328" s="11"/>
      <c r="U1328" s="11"/>
      <c r="V1328" s="11"/>
      <c r="W1328" s="11"/>
      <c r="X1328" s="11"/>
      <c r="Y1328" s="11"/>
      <c r="Z1328" s="11"/>
      <c r="AA1328" s="11"/>
      <c r="AB1328" s="11"/>
      <c r="AC1328" s="11"/>
      <c r="AD1328" s="11"/>
      <c r="AE1328" s="11"/>
      <c r="AF1328" s="11"/>
      <c r="AG1328" s="11"/>
      <c r="AH1328" s="11"/>
      <c r="AI1328" s="11"/>
      <c r="AJ1328" s="11"/>
      <c r="AK1328" s="11"/>
      <c r="AL1328" s="11"/>
      <c r="AM1328" s="11"/>
      <c r="AN1328" s="11"/>
      <c r="AO1328" s="11"/>
      <c r="AP1328" s="11"/>
      <c r="AQ1328" s="11"/>
      <c r="AR1328" s="11"/>
      <c r="AS1328" s="11"/>
      <c r="AT1328" s="11"/>
      <c r="AU1328" s="11"/>
      <c r="AV1328" s="11"/>
      <c r="AW1328" s="11"/>
      <c r="AX1328" s="52" t="s">
        <v>3434</v>
      </c>
      <c r="AY1328" s="52" t="s">
        <v>3435</v>
      </c>
      <c r="AZ1328" s="52" t="s">
        <v>3854</v>
      </c>
      <c r="BA1328" s="52" t="s">
        <v>3855</v>
      </c>
      <c r="BB1328" s="52" t="s">
        <v>550</v>
      </c>
      <c r="BC1328" s="53">
        <v>43922</v>
      </c>
      <c r="BD1328" s="53">
        <v>43971</v>
      </c>
      <c r="BE1328" s="11"/>
      <c r="BF1328" s="55">
        <v>100</v>
      </c>
      <c r="BG1328" s="11"/>
      <c r="BH1328" s="54" t="s">
        <v>3856</v>
      </c>
      <c r="BI1328" s="11"/>
      <c r="BJ1328" s="11"/>
      <c r="BK1328" s="11"/>
      <c r="BL1328" s="11"/>
      <c r="BM1328" s="11"/>
      <c r="BN1328" s="11"/>
      <c r="BO1328" s="11"/>
      <c r="BP1328" s="11"/>
      <c r="BQ1328" s="11"/>
      <c r="BR1328" s="11"/>
      <c r="BS1328" s="11"/>
      <c r="BT1328" s="11"/>
      <c r="BU1328" s="11"/>
      <c r="BV1328" s="11"/>
      <c r="BW1328" s="52"/>
      <c r="BX1328" s="52"/>
      <c r="BY1328" s="11"/>
      <c r="BZ1328" s="52"/>
      <c r="CA1328" s="52"/>
      <c r="CB1328" s="52"/>
      <c r="CC1328" s="52"/>
      <c r="CD1328" s="53"/>
      <c r="CE1328" s="53"/>
      <c r="CF1328" s="52"/>
      <c r="CG1328" s="52"/>
      <c r="CH1328" s="11"/>
      <c r="CI1328" s="11"/>
      <c r="CJ1328" s="11"/>
      <c r="CK1328" s="11"/>
      <c r="CL1328" s="11"/>
      <c r="CM1328" s="11"/>
      <c r="CN1328" s="11"/>
      <c r="CO1328" s="11"/>
      <c r="CP1328" s="11"/>
      <c r="CQ1328" s="11"/>
      <c r="CR1328" s="11"/>
      <c r="CS1328" s="11"/>
      <c r="CT1328" s="11"/>
      <c r="CU1328" s="11"/>
      <c r="CV1328" s="11"/>
      <c r="CW1328" s="11"/>
      <c r="CX1328" s="11"/>
      <c r="CY1328" s="11"/>
      <c r="CZ1328" s="11"/>
      <c r="DA1328" s="11"/>
      <c r="DB1328" s="11"/>
      <c r="DC1328" s="11"/>
      <c r="DD1328" s="11"/>
      <c r="DE1328" s="11"/>
      <c r="DF1328" s="11"/>
      <c r="DG1328" s="11"/>
      <c r="DH1328" s="11"/>
      <c r="DI1328" s="11"/>
      <c r="DJ1328" s="11"/>
      <c r="DK1328" s="11"/>
      <c r="DL1328" s="11"/>
      <c r="DM1328" s="11"/>
      <c r="DN1328" s="11"/>
      <c r="DO1328" s="11"/>
      <c r="DP1328" s="11"/>
      <c r="DQ1328" s="11"/>
      <c r="DR1328" s="11"/>
      <c r="DS1328" s="11"/>
      <c r="DT1328" s="11"/>
      <c r="DU1328" s="11"/>
      <c r="DV1328" s="11"/>
      <c r="DW1328" s="11"/>
      <c r="DX1328" s="11"/>
      <c r="DY1328" s="11"/>
      <c r="DZ1328" s="11"/>
      <c r="EA1328" s="11"/>
      <c r="EB1328" s="11"/>
      <c r="EC1328" s="11"/>
      <c r="ED1328" s="11"/>
      <c r="EE1328" s="11"/>
      <c r="EF1328" s="11"/>
      <c r="EG1328" s="11"/>
      <c r="EH1328" s="11"/>
      <c r="EI1328" s="11"/>
      <c r="EJ1328" s="11"/>
      <c r="EK1328" s="11"/>
      <c r="EL1328" s="11"/>
      <c r="EM1328" s="11"/>
      <c r="EN1328" s="11"/>
      <c r="EO1328" s="11"/>
      <c r="EP1328" s="11"/>
      <c r="EQ1328" s="11"/>
      <c r="ER1328" s="11"/>
      <c r="ES1328" s="11"/>
      <c r="ET1328" s="11"/>
      <c r="EU1328" s="11"/>
      <c r="EV1328" s="11"/>
      <c r="EW1328" s="11"/>
      <c r="EX1328" s="11"/>
      <c r="EY1328" s="11"/>
      <c r="EZ1328" s="11"/>
      <c r="FA1328" s="11"/>
      <c r="FB1328" s="11"/>
      <c r="FC1328" s="11"/>
      <c r="FD1328" s="11"/>
      <c r="FE1328" s="11"/>
      <c r="FF1328" s="11"/>
      <c r="FG1328" s="11"/>
      <c r="FH1328" s="11"/>
      <c r="FI1328" s="11"/>
      <c r="FJ1328" s="11"/>
      <c r="FK1328" s="11"/>
      <c r="FL1328" s="52" t="s">
        <v>3437</v>
      </c>
      <c r="FM1328" s="52" t="s">
        <v>321</v>
      </c>
      <c r="FN1328" s="11"/>
      <c r="FO1328" s="11"/>
      <c r="FP1328" s="11"/>
      <c r="FQ1328" s="11"/>
      <c r="FR1328" s="11"/>
      <c r="FS1328" s="11"/>
      <c r="FT1328" s="11"/>
      <c r="FU1328" s="11"/>
      <c r="FV1328" s="11"/>
      <c r="FW1328" s="11"/>
      <c r="FX1328" s="11"/>
      <c r="FY1328" s="11"/>
      <c r="FZ1328" s="11"/>
      <c r="GA1328" s="11"/>
      <c r="GB1328" s="11"/>
      <c r="GC1328" s="11"/>
      <c r="GD1328" s="11"/>
      <c r="GE1328" s="11"/>
      <c r="GF1328" s="11"/>
      <c r="GG1328" s="11"/>
      <c r="GH1328" s="11"/>
      <c r="GI1328" s="11"/>
      <c r="GJ1328" s="11"/>
      <c r="GK1328" s="11"/>
      <c r="GL1328" s="11"/>
      <c r="GM1328" s="11"/>
      <c r="GN1328" s="11"/>
      <c r="GO1328" s="11"/>
      <c r="GP1328" s="11"/>
      <c r="GQ1328" s="11"/>
      <c r="GR1328" s="11"/>
      <c r="GS1328" s="11"/>
      <c r="GT1328" s="11"/>
      <c r="GU1328" s="11"/>
      <c r="GV1328" s="11"/>
      <c r="GW1328" s="11"/>
      <c r="GX1328" s="11"/>
      <c r="GY1328" s="11"/>
      <c r="GZ1328" s="11"/>
      <c r="HA1328" s="11"/>
    </row>
    <row r="1329" spans="1:209" ht="23.25" customHeight="1" x14ac:dyDescent="0.15">
      <c r="A1329" s="11"/>
      <c r="B1329" s="11"/>
      <c r="C1329" s="33" t="s">
        <v>11</v>
      </c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/>
      <c r="R1329" s="11"/>
      <c r="S1329" s="11"/>
      <c r="T1329" s="11"/>
      <c r="U1329" s="11"/>
      <c r="V1329" s="11"/>
      <c r="W1329" s="11"/>
      <c r="X1329" s="11"/>
      <c r="Y1329" s="11"/>
      <c r="Z1329" s="11"/>
      <c r="AA1329" s="11"/>
      <c r="AB1329" s="11"/>
      <c r="AC1329" s="11"/>
      <c r="AD1329" s="11"/>
      <c r="AE1329" s="11"/>
      <c r="AF1329" s="11"/>
      <c r="AG1329" s="11"/>
      <c r="AH1329" s="11"/>
      <c r="AI1329" s="11"/>
      <c r="AJ1329" s="11"/>
      <c r="AK1329" s="11"/>
      <c r="AL1329" s="11"/>
      <c r="AM1329" s="11"/>
      <c r="AN1329" s="11"/>
      <c r="AO1329" s="11"/>
      <c r="AP1329" s="11"/>
      <c r="AQ1329" s="11"/>
      <c r="AR1329" s="11"/>
      <c r="AS1329" s="11"/>
      <c r="AT1329" s="11"/>
      <c r="AU1329" s="11"/>
      <c r="AV1329" s="11"/>
      <c r="AW1329" s="11"/>
      <c r="AX1329" s="52" t="s">
        <v>3434</v>
      </c>
      <c r="AY1329" s="52" t="s">
        <v>3435</v>
      </c>
      <c r="AZ1329" s="52" t="s">
        <v>3857</v>
      </c>
      <c r="BA1329" s="52" t="s">
        <v>3855</v>
      </c>
      <c r="BB1329" s="52" t="s">
        <v>550</v>
      </c>
      <c r="BC1329" s="53">
        <v>43891</v>
      </c>
      <c r="BD1329" s="53">
        <v>43952</v>
      </c>
      <c r="BE1329" s="11"/>
      <c r="BF1329" s="55">
        <v>100</v>
      </c>
      <c r="BG1329" s="11"/>
      <c r="BH1329" s="54" t="s">
        <v>3858</v>
      </c>
      <c r="BI1329" s="11"/>
      <c r="BJ1329" s="11"/>
      <c r="BK1329" s="11"/>
      <c r="BL1329" s="11"/>
      <c r="BM1329" s="11"/>
      <c r="BN1329" s="11"/>
      <c r="BO1329" s="11"/>
      <c r="BP1329" s="11"/>
      <c r="BQ1329" s="11"/>
      <c r="BR1329" s="11"/>
      <c r="BS1329" s="11"/>
      <c r="BT1329" s="11"/>
      <c r="BU1329" s="11"/>
      <c r="BV1329" s="11"/>
      <c r="BW1329" s="52"/>
      <c r="BX1329" s="52"/>
      <c r="BY1329" s="11"/>
      <c r="BZ1329" s="52"/>
      <c r="CA1329" s="52"/>
      <c r="CB1329" s="52"/>
      <c r="CC1329" s="52"/>
      <c r="CD1329" s="53"/>
      <c r="CE1329" s="53"/>
      <c r="CF1329" s="52"/>
      <c r="CG1329" s="52"/>
      <c r="CH1329" s="11"/>
      <c r="CI1329" s="11"/>
      <c r="CJ1329" s="11"/>
      <c r="CK1329" s="11"/>
      <c r="CL1329" s="11"/>
      <c r="CM1329" s="11"/>
      <c r="CN1329" s="11"/>
      <c r="CO1329" s="11"/>
      <c r="CP1329" s="11"/>
      <c r="CQ1329" s="11"/>
      <c r="CR1329" s="11"/>
      <c r="CS1329" s="11"/>
      <c r="CT1329" s="11"/>
      <c r="CU1329" s="11"/>
      <c r="CV1329" s="11"/>
      <c r="CW1329" s="11"/>
      <c r="CX1329" s="11"/>
      <c r="CY1329" s="11"/>
      <c r="CZ1329" s="11"/>
      <c r="DA1329" s="11"/>
      <c r="DB1329" s="11"/>
      <c r="DC1329" s="11"/>
      <c r="DD1329" s="11"/>
      <c r="DE1329" s="11"/>
      <c r="DF1329" s="11"/>
      <c r="DG1329" s="11"/>
      <c r="DH1329" s="11"/>
      <c r="DI1329" s="11"/>
      <c r="DJ1329" s="11"/>
      <c r="DK1329" s="11"/>
      <c r="DL1329" s="11"/>
      <c r="DM1329" s="11"/>
      <c r="DN1329" s="11"/>
      <c r="DO1329" s="11"/>
      <c r="DP1329" s="11"/>
      <c r="DQ1329" s="11"/>
      <c r="DR1329" s="11"/>
      <c r="DS1329" s="11"/>
      <c r="DT1329" s="11"/>
      <c r="DU1329" s="11"/>
      <c r="DV1329" s="11"/>
      <c r="DW1329" s="11"/>
      <c r="DX1329" s="11"/>
      <c r="DY1329" s="11"/>
      <c r="DZ1329" s="11"/>
      <c r="EA1329" s="11"/>
      <c r="EB1329" s="11"/>
      <c r="EC1329" s="11"/>
      <c r="ED1329" s="11"/>
      <c r="EE1329" s="11"/>
      <c r="EF1329" s="11"/>
      <c r="EG1329" s="11"/>
      <c r="EH1329" s="11"/>
      <c r="EI1329" s="11"/>
      <c r="EJ1329" s="11"/>
      <c r="EK1329" s="11"/>
      <c r="EL1329" s="11"/>
      <c r="EM1329" s="11"/>
      <c r="EN1329" s="11"/>
      <c r="EO1329" s="11"/>
      <c r="EP1329" s="11"/>
      <c r="EQ1329" s="11"/>
      <c r="ER1329" s="11"/>
      <c r="ES1329" s="11"/>
      <c r="ET1329" s="11"/>
      <c r="EU1329" s="11"/>
      <c r="EV1329" s="11"/>
      <c r="EW1329" s="11"/>
      <c r="EX1329" s="11"/>
      <c r="EY1329" s="11"/>
      <c r="EZ1329" s="11"/>
      <c r="FA1329" s="11"/>
      <c r="FB1329" s="11"/>
      <c r="FC1329" s="11"/>
      <c r="FD1329" s="11"/>
      <c r="FE1329" s="11"/>
      <c r="FF1329" s="11"/>
      <c r="FG1329" s="11"/>
      <c r="FH1329" s="11"/>
      <c r="FI1329" s="11"/>
      <c r="FJ1329" s="11"/>
      <c r="FK1329" s="11"/>
      <c r="FL1329" s="52" t="s">
        <v>3437</v>
      </c>
      <c r="FM1329" s="52" t="s">
        <v>321</v>
      </c>
      <c r="FN1329" s="11"/>
      <c r="FO1329" s="11"/>
      <c r="FP1329" s="11"/>
      <c r="FQ1329" s="11"/>
      <c r="FR1329" s="11"/>
      <c r="FS1329" s="11"/>
      <c r="FT1329" s="11"/>
      <c r="FU1329" s="11"/>
      <c r="FV1329" s="11"/>
      <c r="FW1329" s="11"/>
      <c r="FX1329" s="11"/>
      <c r="FY1329" s="11"/>
      <c r="FZ1329" s="11"/>
      <c r="GA1329" s="11"/>
      <c r="GB1329" s="11"/>
      <c r="GC1329" s="11"/>
      <c r="GD1329" s="11"/>
      <c r="GE1329" s="11"/>
      <c r="GF1329" s="11"/>
      <c r="GG1329" s="11"/>
      <c r="GH1329" s="11"/>
      <c r="GI1329" s="11"/>
      <c r="GJ1329" s="11"/>
      <c r="GK1329" s="11"/>
      <c r="GL1329" s="11"/>
      <c r="GM1329" s="11"/>
      <c r="GN1329" s="11"/>
      <c r="GO1329" s="11"/>
      <c r="GP1329" s="11"/>
      <c r="GQ1329" s="11"/>
      <c r="GR1329" s="11"/>
      <c r="GS1329" s="11"/>
      <c r="GT1329" s="11"/>
      <c r="GU1329" s="11"/>
      <c r="GV1329" s="11"/>
      <c r="GW1329" s="11"/>
      <c r="GX1329" s="11"/>
      <c r="GY1329" s="11"/>
      <c r="GZ1329" s="11"/>
      <c r="HA1329" s="11"/>
    </row>
    <row r="1330" spans="1:209" ht="23.25" customHeight="1" x14ac:dyDescent="0.15">
      <c r="A1330" s="11"/>
      <c r="B1330" s="11"/>
      <c r="C1330" s="33" t="s">
        <v>11</v>
      </c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/>
      <c r="R1330" s="11"/>
      <c r="S1330" s="11"/>
      <c r="T1330" s="11"/>
      <c r="U1330" s="11"/>
      <c r="V1330" s="11"/>
      <c r="W1330" s="11"/>
      <c r="X1330" s="11"/>
      <c r="Y1330" s="11"/>
      <c r="Z1330" s="11"/>
      <c r="AA1330" s="11"/>
      <c r="AB1330" s="11"/>
      <c r="AC1330" s="11"/>
      <c r="AD1330" s="11"/>
      <c r="AE1330" s="11"/>
      <c r="AF1330" s="11"/>
      <c r="AG1330" s="11"/>
      <c r="AH1330" s="11"/>
      <c r="AI1330" s="11"/>
      <c r="AJ1330" s="11"/>
      <c r="AK1330" s="11"/>
      <c r="AL1330" s="11"/>
      <c r="AM1330" s="11"/>
      <c r="AN1330" s="11"/>
      <c r="AO1330" s="11"/>
      <c r="AP1330" s="11"/>
      <c r="AQ1330" s="11"/>
      <c r="AR1330" s="11"/>
      <c r="AS1330" s="11"/>
      <c r="AT1330" s="11"/>
      <c r="AU1330" s="11"/>
      <c r="AV1330" s="11"/>
      <c r="AW1330" s="11"/>
      <c r="AX1330" s="52" t="s">
        <v>3434</v>
      </c>
      <c r="AY1330" s="52" t="s">
        <v>3435</v>
      </c>
      <c r="AZ1330" s="52" t="s">
        <v>3775</v>
      </c>
      <c r="BA1330" s="52" t="s">
        <v>3859</v>
      </c>
      <c r="BB1330" s="52" t="s">
        <v>879</v>
      </c>
      <c r="BC1330" s="53">
        <v>43952</v>
      </c>
      <c r="BD1330" s="53">
        <v>44013</v>
      </c>
      <c r="BE1330" s="11"/>
      <c r="BF1330" s="55">
        <v>100</v>
      </c>
      <c r="BG1330" s="11"/>
      <c r="BH1330" s="54" t="s">
        <v>3860</v>
      </c>
      <c r="BI1330" s="11"/>
      <c r="BJ1330" s="11"/>
      <c r="BK1330" s="11"/>
      <c r="BL1330" s="11"/>
      <c r="BM1330" s="11"/>
      <c r="BN1330" s="11"/>
      <c r="BO1330" s="11"/>
      <c r="BP1330" s="11"/>
      <c r="BQ1330" s="11"/>
      <c r="BR1330" s="11"/>
      <c r="BS1330" s="11"/>
      <c r="BT1330" s="11"/>
      <c r="BU1330" s="11"/>
      <c r="BV1330" s="11"/>
      <c r="BW1330" s="52"/>
      <c r="BX1330" s="52"/>
      <c r="BY1330" s="11"/>
      <c r="BZ1330" s="52"/>
      <c r="CA1330" s="52"/>
      <c r="CB1330" s="52"/>
      <c r="CC1330" s="52"/>
      <c r="CD1330" s="53"/>
      <c r="CE1330" s="53"/>
      <c r="CF1330" s="52"/>
      <c r="CG1330" s="52"/>
      <c r="CH1330" s="11"/>
      <c r="CI1330" s="11"/>
      <c r="CJ1330" s="11"/>
      <c r="CK1330" s="11"/>
      <c r="CL1330" s="11"/>
      <c r="CM1330" s="11"/>
      <c r="CN1330" s="11"/>
      <c r="CO1330" s="11"/>
      <c r="CP1330" s="11"/>
      <c r="CQ1330" s="11"/>
      <c r="CR1330" s="11"/>
      <c r="CS1330" s="11"/>
      <c r="CT1330" s="11"/>
      <c r="CU1330" s="11"/>
      <c r="CV1330" s="11"/>
      <c r="CW1330" s="11"/>
      <c r="CX1330" s="11"/>
      <c r="CY1330" s="11"/>
      <c r="CZ1330" s="11"/>
      <c r="DA1330" s="11"/>
      <c r="DB1330" s="11"/>
      <c r="DC1330" s="11"/>
      <c r="DD1330" s="11"/>
      <c r="DE1330" s="11"/>
      <c r="DF1330" s="11"/>
      <c r="DG1330" s="11"/>
      <c r="DH1330" s="11"/>
      <c r="DI1330" s="11"/>
      <c r="DJ1330" s="11"/>
      <c r="DK1330" s="11"/>
      <c r="DL1330" s="11"/>
      <c r="DM1330" s="11"/>
      <c r="DN1330" s="11"/>
      <c r="DO1330" s="11"/>
      <c r="DP1330" s="11"/>
      <c r="DQ1330" s="11"/>
      <c r="DR1330" s="11"/>
      <c r="DS1330" s="11"/>
      <c r="DT1330" s="11"/>
      <c r="DU1330" s="11"/>
      <c r="DV1330" s="11"/>
      <c r="DW1330" s="11"/>
      <c r="DX1330" s="11"/>
      <c r="DY1330" s="11"/>
      <c r="DZ1330" s="11"/>
      <c r="EA1330" s="11"/>
      <c r="EB1330" s="11"/>
      <c r="EC1330" s="11"/>
      <c r="ED1330" s="11"/>
      <c r="EE1330" s="11"/>
      <c r="EF1330" s="11"/>
      <c r="EG1330" s="11"/>
      <c r="EH1330" s="11"/>
      <c r="EI1330" s="11"/>
      <c r="EJ1330" s="11"/>
      <c r="EK1330" s="11"/>
      <c r="EL1330" s="11"/>
      <c r="EM1330" s="11"/>
      <c r="EN1330" s="11"/>
      <c r="EO1330" s="11"/>
      <c r="EP1330" s="11"/>
      <c r="EQ1330" s="11"/>
      <c r="ER1330" s="11"/>
      <c r="ES1330" s="11"/>
      <c r="ET1330" s="11"/>
      <c r="EU1330" s="11"/>
      <c r="EV1330" s="11"/>
      <c r="EW1330" s="11"/>
      <c r="EX1330" s="11"/>
      <c r="EY1330" s="11"/>
      <c r="EZ1330" s="11"/>
      <c r="FA1330" s="11"/>
      <c r="FB1330" s="11"/>
      <c r="FC1330" s="11"/>
      <c r="FD1330" s="11"/>
      <c r="FE1330" s="11"/>
      <c r="FF1330" s="11"/>
      <c r="FG1330" s="11"/>
      <c r="FH1330" s="11"/>
      <c r="FI1330" s="11"/>
      <c r="FJ1330" s="11"/>
      <c r="FK1330" s="11"/>
      <c r="FL1330" s="52" t="s">
        <v>3437</v>
      </c>
      <c r="FM1330" s="52" t="s">
        <v>321</v>
      </c>
      <c r="FN1330" s="11"/>
      <c r="FO1330" s="11"/>
      <c r="FP1330" s="11"/>
      <c r="FQ1330" s="11"/>
      <c r="FR1330" s="11"/>
      <c r="FS1330" s="11"/>
      <c r="FT1330" s="11"/>
      <c r="FU1330" s="11"/>
      <c r="FV1330" s="11"/>
      <c r="FW1330" s="11"/>
      <c r="FX1330" s="11"/>
      <c r="FY1330" s="11"/>
      <c r="FZ1330" s="11"/>
      <c r="GA1330" s="11"/>
      <c r="GB1330" s="11"/>
      <c r="GC1330" s="11"/>
      <c r="GD1330" s="11"/>
      <c r="GE1330" s="11"/>
      <c r="GF1330" s="11"/>
      <c r="GG1330" s="11"/>
      <c r="GH1330" s="11"/>
      <c r="GI1330" s="11"/>
      <c r="GJ1330" s="11"/>
      <c r="GK1330" s="11"/>
      <c r="GL1330" s="11"/>
      <c r="GM1330" s="11"/>
      <c r="GN1330" s="11"/>
      <c r="GO1330" s="11"/>
      <c r="GP1330" s="11"/>
      <c r="GQ1330" s="11"/>
      <c r="GR1330" s="11"/>
      <c r="GS1330" s="11"/>
      <c r="GT1330" s="11"/>
      <c r="GU1330" s="11"/>
      <c r="GV1330" s="11"/>
      <c r="GW1330" s="11"/>
      <c r="GX1330" s="11"/>
      <c r="GY1330" s="11"/>
      <c r="GZ1330" s="11"/>
      <c r="HA1330" s="11"/>
    </row>
    <row r="1331" spans="1:209" ht="23.25" customHeight="1" x14ac:dyDescent="0.15">
      <c r="A1331" s="11"/>
      <c r="B1331" s="11"/>
      <c r="C1331" s="33" t="s">
        <v>11</v>
      </c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/>
      <c r="R1331" s="11"/>
      <c r="S1331" s="11"/>
      <c r="T1331" s="11"/>
      <c r="U1331" s="11"/>
      <c r="V1331" s="11"/>
      <c r="W1331" s="11"/>
      <c r="X1331" s="11"/>
      <c r="Y1331" s="11"/>
      <c r="Z1331" s="11"/>
      <c r="AA1331" s="11"/>
      <c r="AB1331" s="11"/>
      <c r="AC1331" s="11"/>
      <c r="AD1331" s="11"/>
      <c r="AE1331" s="11"/>
      <c r="AF1331" s="11"/>
      <c r="AG1331" s="11"/>
      <c r="AH1331" s="11"/>
      <c r="AI1331" s="11"/>
      <c r="AJ1331" s="11"/>
      <c r="AK1331" s="11"/>
      <c r="AL1331" s="11"/>
      <c r="AM1331" s="11"/>
      <c r="AN1331" s="11"/>
      <c r="AO1331" s="11"/>
      <c r="AP1331" s="11"/>
      <c r="AQ1331" s="11"/>
      <c r="AR1331" s="11"/>
      <c r="AS1331" s="11"/>
      <c r="AT1331" s="11"/>
      <c r="AU1331" s="11"/>
      <c r="AV1331" s="11"/>
      <c r="AW1331" s="11"/>
      <c r="AX1331" s="52" t="s">
        <v>3434</v>
      </c>
      <c r="AY1331" s="52" t="s">
        <v>3435</v>
      </c>
      <c r="AZ1331" s="52" t="s">
        <v>3861</v>
      </c>
      <c r="BA1331" s="52" t="s">
        <v>3859</v>
      </c>
      <c r="BB1331" s="52" t="s">
        <v>879</v>
      </c>
      <c r="BC1331" s="53">
        <v>43983</v>
      </c>
      <c r="BD1331" s="53">
        <v>44013</v>
      </c>
      <c r="BE1331" s="11"/>
      <c r="BF1331" s="55">
        <v>100</v>
      </c>
      <c r="BG1331" s="11"/>
      <c r="BH1331" s="54" t="s">
        <v>3862</v>
      </c>
      <c r="BI1331" s="11"/>
      <c r="BJ1331" s="11"/>
      <c r="BK1331" s="11"/>
      <c r="BL1331" s="11"/>
      <c r="BM1331" s="11"/>
      <c r="BN1331" s="11"/>
      <c r="BO1331" s="11"/>
      <c r="BP1331" s="11"/>
      <c r="BQ1331" s="11"/>
      <c r="BR1331" s="11"/>
      <c r="BS1331" s="11"/>
      <c r="BT1331" s="11"/>
      <c r="BU1331" s="11"/>
      <c r="BV1331" s="11"/>
      <c r="BW1331" s="52"/>
      <c r="BX1331" s="52"/>
      <c r="BY1331" s="11"/>
      <c r="BZ1331" s="52"/>
      <c r="CA1331" s="52"/>
      <c r="CB1331" s="52"/>
      <c r="CC1331" s="52"/>
      <c r="CD1331" s="53"/>
      <c r="CE1331" s="53"/>
      <c r="CF1331" s="52"/>
      <c r="CG1331" s="52"/>
      <c r="CH1331" s="11"/>
      <c r="CI1331" s="11"/>
      <c r="CJ1331" s="11"/>
      <c r="CK1331" s="11"/>
      <c r="CL1331" s="11"/>
      <c r="CM1331" s="11"/>
      <c r="CN1331" s="11"/>
      <c r="CO1331" s="11"/>
      <c r="CP1331" s="11"/>
      <c r="CQ1331" s="11"/>
      <c r="CR1331" s="11"/>
      <c r="CS1331" s="11"/>
      <c r="CT1331" s="11"/>
      <c r="CU1331" s="11"/>
      <c r="CV1331" s="11"/>
      <c r="CW1331" s="11"/>
      <c r="CX1331" s="11"/>
      <c r="CY1331" s="11"/>
      <c r="CZ1331" s="11"/>
      <c r="DA1331" s="11"/>
      <c r="DB1331" s="11"/>
      <c r="DC1331" s="11"/>
      <c r="DD1331" s="11"/>
      <c r="DE1331" s="11"/>
      <c r="DF1331" s="11"/>
      <c r="DG1331" s="11"/>
      <c r="DH1331" s="11"/>
      <c r="DI1331" s="11"/>
      <c r="DJ1331" s="11"/>
      <c r="DK1331" s="11"/>
      <c r="DL1331" s="11"/>
      <c r="DM1331" s="11"/>
      <c r="DN1331" s="11"/>
      <c r="DO1331" s="11"/>
      <c r="DP1331" s="11"/>
      <c r="DQ1331" s="11"/>
      <c r="DR1331" s="11"/>
      <c r="DS1331" s="11"/>
      <c r="DT1331" s="11"/>
      <c r="DU1331" s="11"/>
      <c r="DV1331" s="11"/>
      <c r="DW1331" s="11"/>
      <c r="DX1331" s="11"/>
      <c r="DY1331" s="11"/>
      <c r="DZ1331" s="11"/>
      <c r="EA1331" s="11"/>
      <c r="EB1331" s="11"/>
      <c r="EC1331" s="11"/>
      <c r="ED1331" s="11"/>
      <c r="EE1331" s="11"/>
      <c r="EF1331" s="11"/>
      <c r="EG1331" s="11"/>
      <c r="EH1331" s="11"/>
      <c r="EI1331" s="11"/>
      <c r="EJ1331" s="11"/>
      <c r="EK1331" s="11"/>
      <c r="EL1331" s="11"/>
      <c r="EM1331" s="11"/>
      <c r="EN1331" s="11"/>
      <c r="EO1331" s="11"/>
      <c r="EP1331" s="11"/>
      <c r="EQ1331" s="11"/>
      <c r="ER1331" s="11"/>
      <c r="ES1331" s="11"/>
      <c r="ET1331" s="11"/>
      <c r="EU1331" s="11"/>
      <c r="EV1331" s="11"/>
      <c r="EW1331" s="11"/>
      <c r="EX1331" s="11"/>
      <c r="EY1331" s="11"/>
      <c r="EZ1331" s="11"/>
      <c r="FA1331" s="11"/>
      <c r="FB1331" s="11"/>
      <c r="FC1331" s="11"/>
      <c r="FD1331" s="11"/>
      <c r="FE1331" s="11"/>
      <c r="FF1331" s="11"/>
      <c r="FG1331" s="11"/>
      <c r="FH1331" s="11"/>
      <c r="FI1331" s="11"/>
      <c r="FJ1331" s="11"/>
      <c r="FK1331" s="11"/>
      <c r="FL1331" s="52" t="s">
        <v>3437</v>
      </c>
      <c r="FM1331" s="52" t="s">
        <v>321</v>
      </c>
      <c r="FN1331" s="11"/>
      <c r="FO1331" s="11"/>
      <c r="FP1331" s="11"/>
      <c r="FQ1331" s="11"/>
      <c r="FR1331" s="11"/>
      <c r="FS1331" s="11"/>
      <c r="FT1331" s="11"/>
      <c r="FU1331" s="11"/>
      <c r="FV1331" s="11"/>
      <c r="FW1331" s="11"/>
      <c r="FX1331" s="11"/>
      <c r="FY1331" s="11"/>
      <c r="FZ1331" s="11"/>
      <c r="GA1331" s="11"/>
      <c r="GB1331" s="11"/>
      <c r="GC1331" s="11"/>
      <c r="GD1331" s="11"/>
      <c r="GE1331" s="11"/>
      <c r="GF1331" s="11"/>
      <c r="GG1331" s="11"/>
      <c r="GH1331" s="11"/>
      <c r="GI1331" s="11"/>
      <c r="GJ1331" s="11"/>
      <c r="GK1331" s="11"/>
      <c r="GL1331" s="11"/>
      <c r="GM1331" s="11"/>
      <c r="GN1331" s="11"/>
      <c r="GO1331" s="11"/>
      <c r="GP1331" s="11"/>
      <c r="GQ1331" s="11"/>
      <c r="GR1331" s="11"/>
      <c r="GS1331" s="11"/>
      <c r="GT1331" s="11"/>
      <c r="GU1331" s="11"/>
      <c r="GV1331" s="11"/>
      <c r="GW1331" s="11"/>
      <c r="GX1331" s="11"/>
      <c r="GY1331" s="11"/>
      <c r="GZ1331" s="11"/>
      <c r="HA1331" s="11"/>
    </row>
    <row r="1332" spans="1:209" ht="23.25" customHeight="1" x14ac:dyDescent="0.15">
      <c r="A1332" s="11"/>
      <c r="B1332" s="11"/>
      <c r="C1332" s="33" t="s">
        <v>11</v>
      </c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/>
      <c r="R1332" s="11"/>
      <c r="S1332" s="11"/>
      <c r="T1332" s="11"/>
      <c r="U1332" s="11"/>
      <c r="V1332" s="11"/>
      <c r="W1332" s="11"/>
      <c r="X1332" s="11"/>
      <c r="Y1332" s="11"/>
      <c r="Z1332" s="11"/>
      <c r="AA1332" s="11"/>
      <c r="AB1332" s="11"/>
      <c r="AC1332" s="11"/>
      <c r="AD1332" s="11"/>
      <c r="AE1332" s="11"/>
      <c r="AF1332" s="11"/>
      <c r="AG1332" s="11"/>
      <c r="AH1332" s="11"/>
      <c r="AI1332" s="11"/>
      <c r="AJ1332" s="11"/>
      <c r="AK1332" s="11"/>
      <c r="AL1332" s="11"/>
      <c r="AM1332" s="11"/>
      <c r="AN1332" s="11"/>
      <c r="AO1332" s="11"/>
      <c r="AP1332" s="11"/>
      <c r="AQ1332" s="11"/>
      <c r="AR1332" s="11"/>
      <c r="AS1332" s="11"/>
      <c r="AT1332" s="11"/>
      <c r="AU1332" s="11"/>
      <c r="AV1332" s="11"/>
      <c r="AW1332" s="11"/>
      <c r="AX1332" s="52" t="s">
        <v>3456</v>
      </c>
      <c r="AY1332" s="52" t="s">
        <v>3457</v>
      </c>
      <c r="AZ1332" s="52" t="s">
        <v>3863</v>
      </c>
      <c r="BA1332" s="52" t="s">
        <v>1449</v>
      </c>
      <c r="BB1332" s="52" t="s">
        <v>3605</v>
      </c>
      <c r="BC1332" s="53">
        <v>43551</v>
      </c>
      <c r="BD1332" s="53">
        <v>43551</v>
      </c>
      <c r="BE1332" s="11"/>
      <c r="BF1332" s="55">
        <v>100</v>
      </c>
      <c r="BG1332" s="11"/>
      <c r="BH1332" s="54" t="s">
        <v>3864</v>
      </c>
      <c r="BI1332" s="11"/>
      <c r="BJ1332" s="11"/>
      <c r="BK1332" s="11"/>
      <c r="BL1332" s="11"/>
      <c r="BM1332" s="11"/>
      <c r="BN1332" s="11"/>
      <c r="BO1332" s="11"/>
      <c r="BP1332" s="11"/>
      <c r="BQ1332" s="11"/>
      <c r="BR1332" s="11"/>
      <c r="BS1332" s="11"/>
      <c r="BT1332" s="11"/>
      <c r="BU1332" s="11"/>
      <c r="BV1332" s="11"/>
      <c r="BW1332" s="52"/>
      <c r="BX1332" s="52"/>
      <c r="BY1332" s="11"/>
      <c r="BZ1332" s="52"/>
      <c r="CA1332" s="52"/>
      <c r="CB1332" s="52"/>
      <c r="CC1332" s="52"/>
      <c r="CD1332" s="53"/>
      <c r="CE1332" s="53"/>
      <c r="CF1332" s="52"/>
      <c r="CG1332" s="52"/>
      <c r="CH1332" s="11"/>
      <c r="CI1332" s="11"/>
      <c r="CJ1332" s="11"/>
      <c r="CK1332" s="11"/>
      <c r="CL1332" s="11"/>
      <c r="CM1332" s="11"/>
      <c r="CN1332" s="11"/>
      <c r="CO1332" s="11"/>
      <c r="CP1332" s="11"/>
      <c r="CQ1332" s="11"/>
      <c r="CR1332" s="11"/>
      <c r="CS1332" s="11"/>
      <c r="CT1332" s="11"/>
      <c r="CU1332" s="11"/>
      <c r="CV1332" s="11"/>
      <c r="CW1332" s="11"/>
      <c r="CX1332" s="11"/>
      <c r="CY1332" s="11"/>
      <c r="CZ1332" s="11"/>
      <c r="DA1332" s="11"/>
      <c r="DB1332" s="11"/>
      <c r="DC1332" s="11"/>
      <c r="DD1332" s="11"/>
      <c r="DE1332" s="11"/>
      <c r="DF1332" s="11"/>
      <c r="DG1332" s="11"/>
      <c r="DH1332" s="11"/>
      <c r="DI1332" s="11"/>
      <c r="DJ1332" s="11"/>
      <c r="DK1332" s="11"/>
      <c r="DL1332" s="11"/>
      <c r="DM1332" s="11"/>
      <c r="DN1332" s="11"/>
      <c r="DO1332" s="11"/>
      <c r="DP1332" s="11"/>
      <c r="DQ1332" s="11"/>
      <c r="DR1332" s="11"/>
      <c r="DS1332" s="11"/>
      <c r="DT1332" s="11"/>
      <c r="DU1332" s="11"/>
      <c r="DV1332" s="11"/>
      <c r="DW1332" s="11"/>
      <c r="DX1332" s="11"/>
      <c r="DY1332" s="11"/>
      <c r="DZ1332" s="11"/>
      <c r="EA1332" s="11"/>
      <c r="EB1332" s="11"/>
      <c r="EC1332" s="11"/>
      <c r="ED1332" s="11"/>
      <c r="EE1332" s="11"/>
      <c r="EF1332" s="11"/>
      <c r="EG1332" s="11"/>
      <c r="EH1332" s="11"/>
      <c r="EI1332" s="11"/>
      <c r="EJ1332" s="11"/>
      <c r="EK1332" s="11"/>
      <c r="EL1332" s="11"/>
      <c r="EM1332" s="11"/>
      <c r="EN1332" s="11"/>
      <c r="EO1332" s="11"/>
      <c r="EP1332" s="11"/>
      <c r="EQ1332" s="11"/>
      <c r="ER1332" s="11"/>
      <c r="ES1332" s="11"/>
      <c r="ET1332" s="11"/>
      <c r="EU1332" s="11"/>
      <c r="EV1332" s="11"/>
      <c r="EW1332" s="11"/>
      <c r="EX1332" s="11"/>
      <c r="EY1332" s="11"/>
      <c r="EZ1332" s="11"/>
      <c r="FA1332" s="11"/>
      <c r="FB1332" s="11"/>
      <c r="FC1332" s="11"/>
      <c r="FD1332" s="11"/>
      <c r="FE1332" s="11"/>
      <c r="FF1332" s="11"/>
      <c r="FG1332" s="11"/>
      <c r="FH1332" s="11"/>
      <c r="FI1332" s="11"/>
      <c r="FJ1332" s="11"/>
      <c r="FK1332" s="11"/>
      <c r="FL1332" s="52" t="s">
        <v>3459</v>
      </c>
      <c r="FM1332" s="52" t="s">
        <v>255</v>
      </c>
      <c r="FN1332" s="11"/>
      <c r="FO1332" s="11"/>
      <c r="FP1332" s="11"/>
      <c r="FQ1332" s="11"/>
      <c r="FR1332" s="11"/>
      <c r="FS1332" s="11"/>
      <c r="FT1332" s="11"/>
      <c r="FU1332" s="11"/>
      <c r="FV1332" s="11"/>
      <c r="FW1332" s="11"/>
      <c r="FX1332" s="11"/>
      <c r="FY1332" s="11"/>
      <c r="FZ1332" s="11"/>
      <c r="GA1332" s="11"/>
      <c r="GB1332" s="11"/>
      <c r="GC1332" s="11"/>
      <c r="GD1332" s="11"/>
      <c r="GE1332" s="11"/>
      <c r="GF1332" s="11"/>
      <c r="GG1332" s="11"/>
      <c r="GH1332" s="11"/>
      <c r="GI1332" s="11"/>
      <c r="GJ1332" s="11"/>
      <c r="GK1332" s="11"/>
      <c r="GL1332" s="11"/>
      <c r="GM1332" s="11"/>
      <c r="GN1332" s="11"/>
      <c r="GO1332" s="11"/>
      <c r="GP1332" s="11"/>
      <c r="GQ1332" s="11"/>
      <c r="GR1332" s="11"/>
      <c r="GS1332" s="11"/>
      <c r="GT1332" s="11"/>
      <c r="GU1332" s="11"/>
      <c r="GV1332" s="11"/>
      <c r="GW1332" s="11"/>
      <c r="GX1332" s="11"/>
      <c r="GY1332" s="11"/>
      <c r="GZ1332" s="11"/>
      <c r="HA1332" s="11"/>
    </row>
    <row r="1333" spans="1:209" ht="23.25" customHeight="1" x14ac:dyDescent="0.15">
      <c r="A1333" s="11"/>
      <c r="B1333" s="11"/>
      <c r="C1333" s="33" t="s">
        <v>11</v>
      </c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/>
      <c r="R1333" s="11"/>
      <c r="S1333" s="11"/>
      <c r="T1333" s="11"/>
      <c r="U1333" s="11"/>
      <c r="V1333" s="11"/>
      <c r="W1333" s="11"/>
      <c r="X1333" s="11"/>
      <c r="Y1333" s="11"/>
      <c r="Z1333" s="11"/>
      <c r="AA1333" s="11"/>
      <c r="AB1333" s="11"/>
      <c r="AC1333" s="11"/>
      <c r="AD1333" s="11"/>
      <c r="AE1333" s="11"/>
      <c r="AF1333" s="11"/>
      <c r="AG1333" s="11"/>
      <c r="AH1333" s="11"/>
      <c r="AI1333" s="11"/>
      <c r="AJ1333" s="11"/>
      <c r="AK1333" s="11"/>
      <c r="AL1333" s="11"/>
      <c r="AM1333" s="11"/>
      <c r="AN1333" s="11"/>
      <c r="AO1333" s="11"/>
      <c r="AP1333" s="11"/>
      <c r="AQ1333" s="11"/>
      <c r="AR1333" s="11"/>
      <c r="AS1333" s="11"/>
      <c r="AT1333" s="11"/>
      <c r="AU1333" s="11"/>
      <c r="AV1333" s="11"/>
      <c r="AW1333" s="11"/>
      <c r="AX1333" s="52" t="s">
        <v>3456</v>
      </c>
      <c r="AY1333" s="52" t="s">
        <v>3457</v>
      </c>
      <c r="AZ1333" s="52" t="s">
        <v>1751</v>
      </c>
      <c r="BA1333" s="52" t="s">
        <v>343</v>
      </c>
      <c r="BB1333" s="52" t="s">
        <v>2114</v>
      </c>
      <c r="BC1333" s="53">
        <v>43995</v>
      </c>
      <c r="BD1333" s="53">
        <v>44025</v>
      </c>
      <c r="BE1333" s="11"/>
      <c r="BF1333" s="55">
        <v>100</v>
      </c>
      <c r="BG1333" s="11"/>
      <c r="BH1333" s="54" t="s">
        <v>3865</v>
      </c>
      <c r="BI1333" s="11"/>
      <c r="BJ1333" s="11"/>
      <c r="BK1333" s="11"/>
      <c r="BL1333" s="11"/>
      <c r="BM1333" s="11"/>
      <c r="BN1333" s="11"/>
      <c r="BO1333" s="11"/>
      <c r="BP1333" s="11"/>
      <c r="BQ1333" s="11"/>
      <c r="BR1333" s="11"/>
      <c r="BS1333" s="11"/>
      <c r="BT1333" s="11"/>
      <c r="BU1333" s="11"/>
      <c r="BV1333" s="11"/>
      <c r="BW1333" s="52"/>
      <c r="BX1333" s="52"/>
      <c r="BY1333" s="11"/>
      <c r="BZ1333" s="52"/>
      <c r="CA1333" s="52"/>
      <c r="CB1333" s="52"/>
      <c r="CC1333" s="52"/>
      <c r="CD1333" s="53"/>
      <c r="CE1333" s="53"/>
      <c r="CF1333" s="52"/>
      <c r="CG1333" s="52"/>
      <c r="CH1333" s="11"/>
      <c r="CI1333" s="11"/>
      <c r="CJ1333" s="11"/>
      <c r="CK1333" s="11"/>
      <c r="CL1333" s="11"/>
      <c r="CM1333" s="11"/>
      <c r="CN1333" s="11"/>
      <c r="CO1333" s="11"/>
      <c r="CP1333" s="11"/>
      <c r="CQ1333" s="11"/>
      <c r="CR1333" s="11"/>
      <c r="CS1333" s="11"/>
      <c r="CT1333" s="11"/>
      <c r="CU1333" s="11"/>
      <c r="CV1333" s="11"/>
      <c r="CW1333" s="11"/>
      <c r="CX1333" s="11"/>
      <c r="CY1333" s="11"/>
      <c r="CZ1333" s="11"/>
      <c r="DA1333" s="11"/>
      <c r="DB1333" s="11"/>
      <c r="DC1333" s="11"/>
      <c r="DD1333" s="11"/>
      <c r="DE1333" s="11"/>
      <c r="DF1333" s="11"/>
      <c r="DG1333" s="11"/>
      <c r="DH1333" s="11"/>
      <c r="DI1333" s="11"/>
      <c r="DJ1333" s="11"/>
      <c r="DK1333" s="11"/>
      <c r="DL1333" s="11"/>
      <c r="DM1333" s="11"/>
      <c r="DN1333" s="11"/>
      <c r="DO1333" s="11"/>
      <c r="DP1333" s="11"/>
      <c r="DQ1333" s="11"/>
      <c r="DR1333" s="11"/>
      <c r="DS1333" s="11"/>
      <c r="DT1333" s="11"/>
      <c r="DU1333" s="11"/>
      <c r="DV1333" s="11"/>
      <c r="DW1333" s="11"/>
      <c r="DX1333" s="11"/>
      <c r="DY1333" s="11"/>
      <c r="DZ1333" s="11"/>
      <c r="EA1333" s="11"/>
      <c r="EB1333" s="11"/>
      <c r="EC1333" s="11"/>
      <c r="ED1333" s="11"/>
      <c r="EE1333" s="11"/>
      <c r="EF1333" s="11"/>
      <c r="EG1333" s="11"/>
      <c r="EH1333" s="11"/>
      <c r="EI1333" s="11"/>
      <c r="EJ1333" s="11"/>
      <c r="EK1333" s="11"/>
      <c r="EL1333" s="11"/>
      <c r="EM1333" s="11"/>
      <c r="EN1333" s="11"/>
      <c r="EO1333" s="11"/>
      <c r="EP1333" s="11"/>
      <c r="EQ1333" s="11"/>
      <c r="ER1333" s="11"/>
      <c r="ES1333" s="11"/>
      <c r="ET1333" s="11"/>
      <c r="EU1333" s="11"/>
      <c r="EV1333" s="11"/>
      <c r="EW1333" s="11"/>
      <c r="EX1333" s="11"/>
      <c r="EY1333" s="11"/>
      <c r="EZ1333" s="11"/>
      <c r="FA1333" s="11"/>
      <c r="FB1333" s="11"/>
      <c r="FC1333" s="11"/>
      <c r="FD1333" s="11"/>
      <c r="FE1333" s="11"/>
      <c r="FF1333" s="11"/>
      <c r="FG1333" s="11"/>
      <c r="FH1333" s="11"/>
      <c r="FI1333" s="11"/>
      <c r="FJ1333" s="11"/>
      <c r="FK1333" s="11"/>
      <c r="FL1333" s="52" t="s">
        <v>3459</v>
      </c>
      <c r="FM1333" s="52" t="s">
        <v>255</v>
      </c>
      <c r="FN1333" s="11"/>
      <c r="FO1333" s="11"/>
      <c r="FP1333" s="11"/>
      <c r="FQ1333" s="11"/>
      <c r="FR1333" s="11"/>
      <c r="FS1333" s="11"/>
      <c r="FT1333" s="11"/>
      <c r="FU1333" s="11"/>
      <c r="FV1333" s="11"/>
      <c r="FW1333" s="11"/>
      <c r="FX1333" s="11"/>
      <c r="FY1333" s="11"/>
      <c r="FZ1333" s="11"/>
      <c r="GA1333" s="11"/>
      <c r="GB1333" s="11"/>
      <c r="GC1333" s="11"/>
      <c r="GD1333" s="11"/>
      <c r="GE1333" s="11"/>
      <c r="GF1333" s="11"/>
      <c r="GG1333" s="11"/>
      <c r="GH1333" s="11"/>
      <c r="GI1333" s="11"/>
      <c r="GJ1333" s="11"/>
      <c r="GK1333" s="11"/>
      <c r="GL1333" s="11"/>
      <c r="GM1333" s="11"/>
      <c r="GN1333" s="11"/>
      <c r="GO1333" s="11"/>
      <c r="GP1333" s="11"/>
      <c r="GQ1333" s="11"/>
      <c r="GR1333" s="11"/>
      <c r="GS1333" s="11"/>
      <c r="GT1333" s="11"/>
      <c r="GU1333" s="11"/>
      <c r="GV1333" s="11"/>
      <c r="GW1333" s="11"/>
      <c r="GX1333" s="11"/>
      <c r="GY1333" s="11"/>
      <c r="GZ1333" s="11"/>
      <c r="HA1333" s="11"/>
    </row>
    <row r="1334" spans="1:209" ht="23.25" customHeight="1" x14ac:dyDescent="0.15">
      <c r="A1334" s="11"/>
      <c r="B1334" s="11"/>
      <c r="C1334" s="33" t="s">
        <v>11</v>
      </c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/>
      <c r="R1334" s="11"/>
      <c r="S1334" s="11"/>
      <c r="T1334" s="11"/>
      <c r="U1334" s="11"/>
      <c r="V1334" s="11"/>
      <c r="W1334" s="11"/>
      <c r="X1334" s="11"/>
      <c r="Y1334" s="11"/>
      <c r="Z1334" s="11"/>
      <c r="AA1334" s="11"/>
      <c r="AB1334" s="11"/>
      <c r="AC1334" s="11"/>
      <c r="AD1334" s="11"/>
      <c r="AE1334" s="11"/>
      <c r="AF1334" s="11"/>
      <c r="AG1334" s="11"/>
      <c r="AH1334" s="11"/>
      <c r="AI1334" s="11"/>
      <c r="AJ1334" s="11"/>
      <c r="AK1334" s="11"/>
      <c r="AL1334" s="11"/>
      <c r="AM1334" s="11"/>
      <c r="AN1334" s="11"/>
      <c r="AO1334" s="11"/>
      <c r="AP1334" s="11"/>
      <c r="AQ1334" s="11"/>
      <c r="AR1334" s="11"/>
      <c r="AS1334" s="11"/>
      <c r="AT1334" s="11"/>
      <c r="AU1334" s="11"/>
      <c r="AV1334" s="11"/>
      <c r="AW1334" s="11"/>
      <c r="AX1334" s="52" t="s">
        <v>3456</v>
      </c>
      <c r="AY1334" s="52" t="s">
        <v>3457</v>
      </c>
      <c r="AZ1334" s="52" t="s">
        <v>1348</v>
      </c>
      <c r="BA1334" s="52" t="s">
        <v>343</v>
      </c>
      <c r="BB1334" s="52" t="s">
        <v>2114</v>
      </c>
      <c r="BC1334" s="53">
        <v>44022</v>
      </c>
      <c r="BD1334" s="53">
        <v>44053</v>
      </c>
      <c r="BE1334" s="11"/>
      <c r="BF1334" s="55">
        <v>100</v>
      </c>
      <c r="BG1334" s="11"/>
      <c r="BH1334" s="54" t="s">
        <v>3866</v>
      </c>
      <c r="BI1334" s="11"/>
      <c r="BJ1334" s="11"/>
      <c r="BK1334" s="11"/>
      <c r="BL1334" s="11"/>
      <c r="BM1334" s="11"/>
      <c r="BN1334" s="11"/>
      <c r="BO1334" s="11"/>
      <c r="BP1334" s="11"/>
      <c r="BQ1334" s="11"/>
      <c r="BR1334" s="11"/>
      <c r="BS1334" s="11"/>
      <c r="BT1334" s="11"/>
      <c r="BU1334" s="11"/>
      <c r="BV1334" s="11"/>
      <c r="BW1334" s="52"/>
      <c r="BX1334" s="52"/>
      <c r="BY1334" s="11"/>
      <c r="BZ1334" s="52"/>
      <c r="CA1334" s="52"/>
      <c r="CB1334" s="52"/>
      <c r="CC1334" s="52"/>
      <c r="CD1334" s="53"/>
      <c r="CE1334" s="53"/>
      <c r="CF1334" s="52"/>
      <c r="CG1334" s="52"/>
      <c r="CH1334" s="11"/>
      <c r="CI1334" s="11"/>
      <c r="CJ1334" s="11"/>
      <c r="CK1334" s="11"/>
      <c r="CL1334" s="11"/>
      <c r="CM1334" s="11"/>
      <c r="CN1334" s="11"/>
      <c r="CO1334" s="11"/>
      <c r="CP1334" s="11"/>
      <c r="CQ1334" s="11"/>
      <c r="CR1334" s="11"/>
      <c r="CS1334" s="11"/>
      <c r="CT1334" s="11"/>
      <c r="CU1334" s="11"/>
      <c r="CV1334" s="11"/>
      <c r="CW1334" s="11"/>
      <c r="CX1334" s="11"/>
      <c r="CY1334" s="11"/>
      <c r="CZ1334" s="11"/>
      <c r="DA1334" s="11"/>
      <c r="DB1334" s="11"/>
      <c r="DC1334" s="11"/>
      <c r="DD1334" s="11"/>
      <c r="DE1334" s="11"/>
      <c r="DF1334" s="11"/>
      <c r="DG1334" s="11"/>
      <c r="DH1334" s="11"/>
      <c r="DI1334" s="11"/>
      <c r="DJ1334" s="11"/>
      <c r="DK1334" s="11"/>
      <c r="DL1334" s="11"/>
      <c r="DM1334" s="11"/>
      <c r="DN1334" s="11"/>
      <c r="DO1334" s="11"/>
      <c r="DP1334" s="11"/>
      <c r="DQ1334" s="11"/>
      <c r="DR1334" s="11"/>
      <c r="DS1334" s="11"/>
      <c r="DT1334" s="11"/>
      <c r="DU1334" s="11"/>
      <c r="DV1334" s="11"/>
      <c r="DW1334" s="11"/>
      <c r="DX1334" s="11"/>
      <c r="DY1334" s="11"/>
      <c r="DZ1334" s="11"/>
      <c r="EA1334" s="11"/>
      <c r="EB1334" s="11"/>
      <c r="EC1334" s="11"/>
      <c r="ED1334" s="11"/>
      <c r="EE1334" s="11"/>
      <c r="EF1334" s="11"/>
      <c r="EG1334" s="11"/>
      <c r="EH1334" s="11"/>
      <c r="EI1334" s="11"/>
      <c r="EJ1334" s="11"/>
      <c r="EK1334" s="11"/>
      <c r="EL1334" s="11"/>
      <c r="EM1334" s="11"/>
      <c r="EN1334" s="11"/>
      <c r="EO1334" s="11"/>
      <c r="EP1334" s="11"/>
      <c r="EQ1334" s="11"/>
      <c r="ER1334" s="11"/>
      <c r="ES1334" s="11"/>
      <c r="ET1334" s="11"/>
      <c r="EU1334" s="11"/>
      <c r="EV1334" s="11"/>
      <c r="EW1334" s="11"/>
      <c r="EX1334" s="11"/>
      <c r="EY1334" s="11"/>
      <c r="EZ1334" s="11"/>
      <c r="FA1334" s="11"/>
      <c r="FB1334" s="11"/>
      <c r="FC1334" s="11"/>
      <c r="FD1334" s="11"/>
      <c r="FE1334" s="11"/>
      <c r="FF1334" s="11"/>
      <c r="FG1334" s="11"/>
      <c r="FH1334" s="11"/>
      <c r="FI1334" s="11"/>
      <c r="FJ1334" s="11"/>
      <c r="FK1334" s="11"/>
      <c r="FL1334" s="52" t="s">
        <v>3459</v>
      </c>
      <c r="FM1334" s="52" t="s">
        <v>255</v>
      </c>
      <c r="FN1334" s="11"/>
      <c r="FO1334" s="11"/>
      <c r="FP1334" s="11"/>
      <c r="FQ1334" s="11"/>
      <c r="FR1334" s="11"/>
      <c r="FS1334" s="11"/>
      <c r="FT1334" s="11"/>
      <c r="FU1334" s="11"/>
      <c r="FV1334" s="11"/>
      <c r="FW1334" s="11"/>
      <c r="FX1334" s="11"/>
      <c r="FY1334" s="11"/>
      <c r="FZ1334" s="11"/>
      <c r="GA1334" s="11"/>
      <c r="GB1334" s="11"/>
      <c r="GC1334" s="11"/>
      <c r="GD1334" s="11"/>
      <c r="GE1334" s="11"/>
      <c r="GF1334" s="11"/>
      <c r="GG1334" s="11"/>
      <c r="GH1334" s="11"/>
      <c r="GI1334" s="11"/>
      <c r="GJ1334" s="11"/>
      <c r="GK1334" s="11"/>
      <c r="GL1334" s="11"/>
      <c r="GM1334" s="11"/>
      <c r="GN1334" s="11"/>
      <c r="GO1334" s="11"/>
      <c r="GP1334" s="11"/>
      <c r="GQ1334" s="11"/>
      <c r="GR1334" s="11"/>
      <c r="GS1334" s="11"/>
      <c r="GT1334" s="11"/>
      <c r="GU1334" s="11"/>
      <c r="GV1334" s="11"/>
      <c r="GW1334" s="11"/>
      <c r="GX1334" s="11"/>
      <c r="GY1334" s="11"/>
      <c r="GZ1334" s="11"/>
      <c r="HA1334" s="11"/>
    </row>
  </sheetData>
  <customSheetViews>
    <customSheetView guid="{B7E71E30-8C1B-44F2-8CCD-898BEED9B302}" filter="1" showAutoFilter="1">
      <pageMargins left="0.7" right="0.7" top="0.75" bottom="0.75" header="0.3" footer="0.3"/>
      <autoFilter ref="A1:HA1334" xr:uid="{0B4EE3B4-0511-7449-8C43-6A5C3B2F134F}"/>
    </customSheetView>
  </customSheetViews>
  <hyperlinks>
    <hyperlink ref="DC2" r:id="rId1" xr:uid="{00000000-0004-0000-0100-000000000000}"/>
    <hyperlink ref="DC3" r:id="rId2" xr:uid="{00000000-0004-0000-0100-000001000000}"/>
    <hyperlink ref="BV4" r:id="rId3" xr:uid="{00000000-0004-0000-0100-000002000000}"/>
    <hyperlink ref="ED5" r:id="rId4" xr:uid="{00000000-0004-0000-0100-000003000000}"/>
    <hyperlink ref="DM6" r:id="rId5" xr:uid="{00000000-0004-0000-0100-000004000000}"/>
    <hyperlink ref="BV7" r:id="rId6" xr:uid="{00000000-0004-0000-0100-000005000000}"/>
    <hyperlink ref="BV8" r:id="rId7" xr:uid="{00000000-0004-0000-0100-000006000000}"/>
    <hyperlink ref="BV9" r:id="rId8" xr:uid="{00000000-0004-0000-0100-000007000000}"/>
    <hyperlink ref="BV10" r:id="rId9" xr:uid="{00000000-0004-0000-0100-000008000000}"/>
    <hyperlink ref="BV11" r:id="rId10" xr:uid="{00000000-0004-0000-0100-000009000000}"/>
    <hyperlink ref="DC12" r:id="rId11" xr:uid="{00000000-0004-0000-0100-00000A000000}"/>
    <hyperlink ref="BV13" r:id="rId12" xr:uid="{00000000-0004-0000-0100-00000B000000}"/>
    <hyperlink ref="BV14" r:id="rId13" xr:uid="{00000000-0004-0000-0100-00000C000000}"/>
    <hyperlink ref="BV15" r:id="rId14" xr:uid="{00000000-0004-0000-0100-00000D000000}"/>
    <hyperlink ref="BV16" r:id="rId15" xr:uid="{00000000-0004-0000-0100-00000E000000}"/>
    <hyperlink ref="BV17" r:id="rId16" xr:uid="{00000000-0004-0000-0100-00000F000000}"/>
    <hyperlink ref="DC18" r:id="rId17" xr:uid="{00000000-0004-0000-0100-000010000000}"/>
    <hyperlink ref="DC19" r:id="rId18" xr:uid="{00000000-0004-0000-0100-000011000000}"/>
    <hyperlink ref="DC20" r:id="rId19" xr:uid="{00000000-0004-0000-0100-000012000000}"/>
    <hyperlink ref="FF21" r:id="rId20" xr:uid="{00000000-0004-0000-0100-000013000000}"/>
    <hyperlink ref="FF22" r:id="rId21" xr:uid="{00000000-0004-0000-0100-000014000000}"/>
    <hyperlink ref="FF23" r:id="rId22" xr:uid="{00000000-0004-0000-0100-000015000000}"/>
    <hyperlink ref="FF24" r:id="rId23" xr:uid="{00000000-0004-0000-0100-000016000000}"/>
    <hyperlink ref="AW25" r:id="rId24" xr:uid="{00000000-0004-0000-0100-000017000000}"/>
    <hyperlink ref="AW26" r:id="rId25" xr:uid="{00000000-0004-0000-0100-000018000000}"/>
    <hyperlink ref="AW27" r:id="rId26" xr:uid="{00000000-0004-0000-0100-000019000000}"/>
    <hyperlink ref="BV28" r:id="rId27" xr:uid="{00000000-0004-0000-0100-00001A000000}"/>
    <hyperlink ref="DW29" r:id="rId28" xr:uid="{00000000-0004-0000-0100-00001B000000}"/>
    <hyperlink ref="DW30" r:id="rId29" xr:uid="{00000000-0004-0000-0100-00001C000000}"/>
    <hyperlink ref="DC31" r:id="rId30" xr:uid="{00000000-0004-0000-0100-00001D000000}"/>
    <hyperlink ref="DW32" r:id="rId31" xr:uid="{00000000-0004-0000-0100-00001E000000}"/>
    <hyperlink ref="DC33" r:id="rId32" xr:uid="{00000000-0004-0000-0100-00001F000000}"/>
    <hyperlink ref="FK34" r:id="rId33" xr:uid="{00000000-0004-0000-0100-000020000000}"/>
    <hyperlink ref="AW35" r:id="rId34" xr:uid="{00000000-0004-0000-0100-000021000000}"/>
    <hyperlink ref="AW36" r:id="rId35" xr:uid="{00000000-0004-0000-0100-000022000000}"/>
    <hyperlink ref="AW37" r:id="rId36" xr:uid="{00000000-0004-0000-0100-000023000000}"/>
    <hyperlink ref="BV38" r:id="rId37" xr:uid="{00000000-0004-0000-0100-000024000000}"/>
    <hyperlink ref="AW39" r:id="rId38" xr:uid="{00000000-0004-0000-0100-000025000000}"/>
    <hyperlink ref="BV40" r:id="rId39" xr:uid="{00000000-0004-0000-0100-000026000000}"/>
    <hyperlink ref="BH41" r:id="rId40" xr:uid="{00000000-0004-0000-0100-000027000000}"/>
    <hyperlink ref="BH42" r:id="rId41" xr:uid="{00000000-0004-0000-0100-000028000000}"/>
    <hyperlink ref="BH43" r:id="rId42" xr:uid="{00000000-0004-0000-0100-000029000000}"/>
    <hyperlink ref="BH44" r:id="rId43" xr:uid="{00000000-0004-0000-0100-00002A000000}"/>
    <hyperlink ref="BH45" r:id="rId44" xr:uid="{00000000-0004-0000-0100-00002B000000}"/>
    <hyperlink ref="BH46" r:id="rId45" xr:uid="{00000000-0004-0000-0100-00002C000000}"/>
    <hyperlink ref="BH47" r:id="rId46" xr:uid="{00000000-0004-0000-0100-00002D000000}"/>
    <hyperlink ref="BH48" r:id="rId47" xr:uid="{00000000-0004-0000-0100-00002E000000}"/>
    <hyperlink ref="BH49" r:id="rId48" xr:uid="{00000000-0004-0000-0100-00002F000000}"/>
    <hyperlink ref="BH50" r:id="rId49" xr:uid="{00000000-0004-0000-0100-000030000000}"/>
    <hyperlink ref="BH51" r:id="rId50" xr:uid="{00000000-0004-0000-0100-000031000000}"/>
    <hyperlink ref="BH52" r:id="rId51" xr:uid="{00000000-0004-0000-0100-000032000000}"/>
    <hyperlink ref="BH53" r:id="rId52" xr:uid="{00000000-0004-0000-0100-000033000000}"/>
    <hyperlink ref="ED54" r:id="rId53" xr:uid="{00000000-0004-0000-0100-000034000000}"/>
    <hyperlink ref="BH55" r:id="rId54" xr:uid="{00000000-0004-0000-0100-000035000000}"/>
    <hyperlink ref="BH56" r:id="rId55" xr:uid="{00000000-0004-0000-0100-000036000000}"/>
    <hyperlink ref="BH57" r:id="rId56" xr:uid="{00000000-0004-0000-0100-000037000000}"/>
    <hyperlink ref="BH58" r:id="rId57" xr:uid="{00000000-0004-0000-0100-000038000000}"/>
    <hyperlink ref="BH59" r:id="rId58" xr:uid="{00000000-0004-0000-0100-000039000000}"/>
    <hyperlink ref="ED60" r:id="rId59" xr:uid="{00000000-0004-0000-0100-00003A000000}"/>
    <hyperlink ref="AW61" r:id="rId60" xr:uid="{00000000-0004-0000-0100-00003B000000}"/>
    <hyperlink ref="BH62" r:id="rId61" xr:uid="{00000000-0004-0000-0100-00003C000000}"/>
    <hyperlink ref="BH63" r:id="rId62" xr:uid="{00000000-0004-0000-0100-00003D000000}"/>
    <hyperlink ref="BH64" r:id="rId63" xr:uid="{00000000-0004-0000-0100-00003E000000}"/>
    <hyperlink ref="BV65" r:id="rId64" xr:uid="{00000000-0004-0000-0100-00003F000000}"/>
    <hyperlink ref="AW66" r:id="rId65" xr:uid="{00000000-0004-0000-0100-000040000000}"/>
    <hyperlink ref="BH67" r:id="rId66" xr:uid="{00000000-0004-0000-0100-000041000000}"/>
    <hyperlink ref="AW68" r:id="rId67" xr:uid="{00000000-0004-0000-0100-000042000000}"/>
    <hyperlink ref="ED69" r:id="rId68" xr:uid="{00000000-0004-0000-0100-000043000000}"/>
    <hyperlink ref="BH70" r:id="rId69" xr:uid="{00000000-0004-0000-0100-000044000000}"/>
    <hyperlink ref="BH71" r:id="rId70" xr:uid="{00000000-0004-0000-0100-000045000000}"/>
    <hyperlink ref="BV72" r:id="rId71" xr:uid="{00000000-0004-0000-0100-000046000000}"/>
    <hyperlink ref="BV73" r:id="rId72" xr:uid="{00000000-0004-0000-0100-000047000000}"/>
    <hyperlink ref="BH74" r:id="rId73" xr:uid="{00000000-0004-0000-0100-000048000000}"/>
    <hyperlink ref="BH75" r:id="rId74" xr:uid="{00000000-0004-0000-0100-000049000000}"/>
    <hyperlink ref="CG76" r:id="rId75" xr:uid="{00000000-0004-0000-0100-00004A000000}"/>
    <hyperlink ref="AW77" r:id="rId76" xr:uid="{00000000-0004-0000-0100-00004B000000}"/>
    <hyperlink ref="BV78" r:id="rId77" xr:uid="{00000000-0004-0000-0100-00004C000000}"/>
    <hyperlink ref="ED79" r:id="rId78" xr:uid="{00000000-0004-0000-0100-00004D000000}"/>
    <hyperlink ref="BH80" r:id="rId79" xr:uid="{00000000-0004-0000-0100-00004E000000}"/>
    <hyperlink ref="CG81" r:id="rId80" xr:uid="{00000000-0004-0000-0100-00004F000000}"/>
    <hyperlink ref="FK82" r:id="rId81" xr:uid="{00000000-0004-0000-0100-000050000000}"/>
    <hyperlink ref="BH83" r:id="rId82" xr:uid="{00000000-0004-0000-0100-000051000000}"/>
    <hyperlink ref="BV84" r:id="rId83" xr:uid="{00000000-0004-0000-0100-000052000000}"/>
    <hyperlink ref="BH85" r:id="rId84" xr:uid="{00000000-0004-0000-0100-000053000000}"/>
    <hyperlink ref="AW86" r:id="rId85" xr:uid="{00000000-0004-0000-0100-000054000000}"/>
    <hyperlink ref="BH87" r:id="rId86" xr:uid="{00000000-0004-0000-0100-000055000000}"/>
    <hyperlink ref="BH88" r:id="rId87" xr:uid="{00000000-0004-0000-0100-000056000000}"/>
    <hyperlink ref="BH89" r:id="rId88" xr:uid="{00000000-0004-0000-0100-000057000000}"/>
    <hyperlink ref="BH90" r:id="rId89" xr:uid="{00000000-0004-0000-0100-000058000000}"/>
    <hyperlink ref="BH91" r:id="rId90" xr:uid="{00000000-0004-0000-0100-000059000000}"/>
    <hyperlink ref="BH92" r:id="rId91" xr:uid="{00000000-0004-0000-0100-00005A000000}"/>
    <hyperlink ref="BH93" r:id="rId92" xr:uid="{00000000-0004-0000-0100-00005B000000}"/>
    <hyperlink ref="BH94" r:id="rId93" xr:uid="{00000000-0004-0000-0100-00005C000000}"/>
    <hyperlink ref="AW95" r:id="rId94" xr:uid="{00000000-0004-0000-0100-00005D000000}"/>
    <hyperlink ref="BH96" r:id="rId95" xr:uid="{00000000-0004-0000-0100-00005E000000}"/>
    <hyperlink ref="BH97" r:id="rId96" xr:uid="{00000000-0004-0000-0100-00005F000000}"/>
    <hyperlink ref="AW98" r:id="rId97" xr:uid="{00000000-0004-0000-0100-000060000000}"/>
    <hyperlink ref="BH99" r:id="rId98" xr:uid="{00000000-0004-0000-0100-000061000000}"/>
    <hyperlink ref="BH100" r:id="rId99" xr:uid="{00000000-0004-0000-0100-000062000000}"/>
    <hyperlink ref="BH101" r:id="rId100" xr:uid="{00000000-0004-0000-0100-000063000000}"/>
    <hyperlink ref="BH102" r:id="rId101" xr:uid="{00000000-0004-0000-0100-000064000000}"/>
    <hyperlink ref="BH103" r:id="rId102" xr:uid="{00000000-0004-0000-0100-000065000000}"/>
    <hyperlink ref="BH104" r:id="rId103" xr:uid="{00000000-0004-0000-0100-000066000000}"/>
    <hyperlink ref="BH105" r:id="rId104" xr:uid="{00000000-0004-0000-0100-000067000000}"/>
    <hyperlink ref="BH106" r:id="rId105" xr:uid="{00000000-0004-0000-0100-000068000000}"/>
    <hyperlink ref="BH107" r:id="rId106" xr:uid="{00000000-0004-0000-0100-000069000000}"/>
    <hyperlink ref="AW108" r:id="rId107" xr:uid="{00000000-0004-0000-0100-00006A000000}"/>
    <hyperlink ref="CG109" r:id="rId108" xr:uid="{00000000-0004-0000-0100-00006B000000}"/>
    <hyperlink ref="CG110" r:id="rId109" xr:uid="{00000000-0004-0000-0100-00006C000000}"/>
    <hyperlink ref="AW111" r:id="rId110" xr:uid="{00000000-0004-0000-0100-00006D000000}"/>
    <hyperlink ref="BH112" r:id="rId111" xr:uid="{00000000-0004-0000-0100-00006E000000}"/>
    <hyperlink ref="BH113" r:id="rId112" xr:uid="{00000000-0004-0000-0100-00006F000000}"/>
    <hyperlink ref="ED114" r:id="rId113" xr:uid="{00000000-0004-0000-0100-000070000000}"/>
    <hyperlink ref="BH115" r:id="rId114" xr:uid="{00000000-0004-0000-0100-000071000000}"/>
    <hyperlink ref="AW116" r:id="rId115" xr:uid="{00000000-0004-0000-0100-000072000000}"/>
    <hyperlink ref="BH117" r:id="rId116" xr:uid="{00000000-0004-0000-0100-000073000000}"/>
    <hyperlink ref="AW118" r:id="rId117" xr:uid="{00000000-0004-0000-0100-000074000000}"/>
    <hyperlink ref="BH119" r:id="rId118" xr:uid="{00000000-0004-0000-0100-000075000000}"/>
    <hyperlink ref="AW120" r:id="rId119" xr:uid="{00000000-0004-0000-0100-000076000000}"/>
    <hyperlink ref="AW121" r:id="rId120" xr:uid="{00000000-0004-0000-0100-000077000000}"/>
    <hyperlink ref="BH122" r:id="rId121" xr:uid="{00000000-0004-0000-0100-000078000000}"/>
    <hyperlink ref="BH123" r:id="rId122" xr:uid="{00000000-0004-0000-0100-000079000000}"/>
    <hyperlink ref="BH124" r:id="rId123" xr:uid="{00000000-0004-0000-0100-00007A000000}"/>
    <hyperlink ref="BH125" r:id="rId124" xr:uid="{00000000-0004-0000-0100-00007B000000}"/>
    <hyperlink ref="BH126" r:id="rId125" xr:uid="{00000000-0004-0000-0100-00007C000000}"/>
    <hyperlink ref="BH127" r:id="rId126" xr:uid="{00000000-0004-0000-0100-00007D000000}"/>
    <hyperlink ref="BH128" r:id="rId127" xr:uid="{00000000-0004-0000-0100-00007E000000}"/>
    <hyperlink ref="BH129" r:id="rId128" xr:uid="{00000000-0004-0000-0100-00007F000000}"/>
    <hyperlink ref="AW130" r:id="rId129" xr:uid="{00000000-0004-0000-0100-000080000000}"/>
    <hyperlink ref="BV131" r:id="rId130" xr:uid="{00000000-0004-0000-0100-000081000000}"/>
    <hyperlink ref="BH132" r:id="rId131" xr:uid="{00000000-0004-0000-0100-000082000000}"/>
    <hyperlink ref="BV133" r:id="rId132" xr:uid="{00000000-0004-0000-0100-000083000000}"/>
    <hyperlink ref="BV134" r:id="rId133" xr:uid="{00000000-0004-0000-0100-000084000000}"/>
    <hyperlink ref="BH135" r:id="rId134" xr:uid="{00000000-0004-0000-0100-000085000000}"/>
    <hyperlink ref="BV136" r:id="rId135" xr:uid="{00000000-0004-0000-0100-000086000000}"/>
    <hyperlink ref="BH137" r:id="rId136" xr:uid="{00000000-0004-0000-0100-000087000000}"/>
    <hyperlink ref="AW138" r:id="rId137" xr:uid="{00000000-0004-0000-0100-000088000000}"/>
    <hyperlink ref="AW139" r:id="rId138" xr:uid="{00000000-0004-0000-0100-000089000000}"/>
    <hyperlink ref="BH140" r:id="rId139" xr:uid="{00000000-0004-0000-0100-00008A000000}"/>
    <hyperlink ref="BV141" r:id="rId140" xr:uid="{00000000-0004-0000-0100-00008B000000}"/>
    <hyperlink ref="BH142" r:id="rId141" xr:uid="{00000000-0004-0000-0100-00008C000000}"/>
    <hyperlink ref="BH143" r:id="rId142" xr:uid="{00000000-0004-0000-0100-00008D000000}"/>
    <hyperlink ref="AW144" r:id="rId143" xr:uid="{00000000-0004-0000-0100-00008E000000}"/>
    <hyperlink ref="BH145" r:id="rId144" xr:uid="{00000000-0004-0000-0100-00008F000000}"/>
    <hyperlink ref="BH146" r:id="rId145" xr:uid="{00000000-0004-0000-0100-000090000000}"/>
    <hyperlink ref="GJ147" r:id="rId146" xr:uid="{00000000-0004-0000-0100-000091000000}"/>
    <hyperlink ref="BH148" r:id="rId147" xr:uid="{00000000-0004-0000-0100-000092000000}"/>
    <hyperlink ref="AW149" r:id="rId148" xr:uid="{00000000-0004-0000-0100-000093000000}"/>
    <hyperlink ref="BH150" r:id="rId149" xr:uid="{00000000-0004-0000-0100-000094000000}"/>
    <hyperlink ref="BH151" r:id="rId150" xr:uid="{00000000-0004-0000-0100-000095000000}"/>
    <hyperlink ref="BH152" r:id="rId151" xr:uid="{00000000-0004-0000-0100-000096000000}"/>
    <hyperlink ref="BH153" r:id="rId152" xr:uid="{00000000-0004-0000-0100-000097000000}"/>
    <hyperlink ref="BH154" r:id="rId153" xr:uid="{00000000-0004-0000-0100-000098000000}"/>
    <hyperlink ref="BH155" r:id="rId154" xr:uid="{00000000-0004-0000-0100-000099000000}"/>
    <hyperlink ref="BH156" r:id="rId155" xr:uid="{00000000-0004-0000-0100-00009A000000}"/>
    <hyperlink ref="BH157" r:id="rId156" xr:uid="{00000000-0004-0000-0100-00009B000000}"/>
    <hyperlink ref="AW158" r:id="rId157" xr:uid="{00000000-0004-0000-0100-00009C000000}"/>
    <hyperlink ref="BH159" r:id="rId158" xr:uid="{00000000-0004-0000-0100-00009D000000}"/>
    <hyperlink ref="BH160" r:id="rId159" xr:uid="{00000000-0004-0000-0100-00009E000000}"/>
    <hyperlink ref="BH161" r:id="rId160" xr:uid="{00000000-0004-0000-0100-00009F000000}"/>
    <hyperlink ref="BH162" r:id="rId161" xr:uid="{00000000-0004-0000-0100-0000A0000000}"/>
    <hyperlink ref="AW163" r:id="rId162" xr:uid="{00000000-0004-0000-0100-0000A1000000}"/>
    <hyperlink ref="BV164" r:id="rId163" xr:uid="{00000000-0004-0000-0100-0000A2000000}"/>
    <hyperlink ref="BH165" r:id="rId164" xr:uid="{00000000-0004-0000-0100-0000A3000000}"/>
    <hyperlink ref="BH166" r:id="rId165" xr:uid="{00000000-0004-0000-0100-0000A4000000}"/>
    <hyperlink ref="BH167" r:id="rId166" xr:uid="{00000000-0004-0000-0100-0000A5000000}"/>
    <hyperlink ref="BH168" r:id="rId167" xr:uid="{00000000-0004-0000-0100-0000A6000000}"/>
    <hyperlink ref="BH169" r:id="rId168" xr:uid="{00000000-0004-0000-0100-0000A7000000}"/>
    <hyperlink ref="BH170" r:id="rId169" xr:uid="{00000000-0004-0000-0100-0000A8000000}"/>
    <hyperlink ref="BV171" r:id="rId170" xr:uid="{00000000-0004-0000-0100-0000A9000000}"/>
    <hyperlink ref="BH172" r:id="rId171" xr:uid="{00000000-0004-0000-0100-0000AA000000}"/>
    <hyperlink ref="BH173" r:id="rId172" xr:uid="{00000000-0004-0000-0100-0000AB000000}"/>
    <hyperlink ref="BH174" r:id="rId173" xr:uid="{00000000-0004-0000-0100-0000AC000000}"/>
    <hyperlink ref="BH175" r:id="rId174" xr:uid="{00000000-0004-0000-0100-0000AD000000}"/>
    <hyperlink ref="BH176" r:id="rId175" xr:uid="{00000000-0004-0000-0100-0000AE000000}"/>
    <hyperlink ref="BH177" r:id="rId176" xr:uid="{00000000-0004-0000-0100-0000AF000000}"/>
    <hyperlink ref="BH178" r:id="rId177" xr:uid="{00000000-0004-0000-0100-0000B0000000}"/>
    <hyperlink ref="BH179" r:id="rId178" xr:uid="{00000000-0004-0000-0100-0000B1000000}"/>
    <hyperlink ref="AW180" r:id="rId179" xr:uid="{00000000-0004-0000-0100-0000B2000000}"/>
    <hyperlink ref="BV181" r:id="rId180" xr:uid="{00000000-0004-0000-0100-0000B3000000}"/>
    <hyperlink ref="AW182" r:id="rId181" xr:uid="{00000000-0004-0000-0100-0000B4000000}"/>
    <hyperlink ref="FK183" r:id="rId182" xr:uid="{00000000-0004-0000-0100-0000B5000000}"/>
    <hyperlink ref="AW184" r:id="rId183" xr:uid="{00000000-0004-0000-0100-0000B6000000}"/>
    <hyperlink ref="AW185" r:id="rId184" xr:uid="{00000000-0004-0000-0100-0000B7000000}"/>
    <hyperlink ref="BV186" r:id="rId185" xr:uid="{00000000-0004-0000-0100-0000B8000000}"/>
    <hyperlink ref="BV187" r:id="rId186" xr:uid="{00000000-0004-0000-0100-0000B9000000}"/>
    <hyperlink ref="BH188" r:id="rId187" xr:uid="{00000000-0004-0000-0100-0000BA000000}"/>
    <hyperlink ref="ED189" r:id="rId188" xr:uid="{00000000-0004-0000-0100-0000BB000000}"/>
    <hyperlink ref="BH190" r:id="rId189" xr:uid="{00000000-0004-0000-0100-0000BC000000}"/>
    <hyperlink ref="AW191" r:id="rId190" xr:uid="{00000000-0004-0000-0100-0000BD000000}"/>
    <hyperlink ref="BH192" r:id="rId191" xr:uid="{00000000-0004-0000-0100-0000BE000000}"/>
    <hyperlink ref="AW193" r:id="rId192" xr:uid="{00000000-0004-0000-0100-0000BF000000}"/>
    <hyperlink ref="BH194" r:id="rId193" xr:uid="{00000000-0004-0000-0100-0000C0000000}"/>
    <hyperlink ref="BH195" r:id="rId194" xr:uid="{00000000-0004-0000-0100-0000C1000000}"/>
    <hyperlink ref="BH196" r:id="rId195" xr:uid="{00000000-0004-0000-0100-0000C2000000}"/>
    <hyperlink ref="BH197" r:id="rId196" xr:uid="{00000000-0004-0000-0100-0000C3000000}"/>
    <hyperlink ref="BH198" r:id="rId197" xr:uid="{00000000-0004-0000-0100-0000C4000000}"/>
    <hyperlink ref="ED199" r:id="rId198" xr:uid="{00000000-0004-0000-0100-0000C5000000}"/>
    <hyperlink ref="AW200" r:id="rId199" xr:uid="{00000000-0004-0000-0100-0000C6000000}"/>
    <hyperlink ref="BH201" r:id="rId200" xr:uid="{00000000-0004-0000-0100-0000C7000000}"/>
    <hyperlink ref="BH202" r:id="rId201" xr:uid="{00000000-0004-0000-0100-0000C8000000}"/>
    <hyperlink ref="GD203" r:id="rId202" xr:uid="{00000000-0004-0000-0100-0000C9000000}"/>
    <hyperlink ref="AW204" r:id="rId203" xr:uid="{00000000-0004-0000-0100-0000CA000000}"/>
    <hyperlink ref="BV205" r:id="rId204" xr:uid="{00000000-0004-0000-0100-0000CB000000}"/>
    <hyperlink ref="BV206" r:id="rId205" xr:uid="{00000000-0004-0000-0100-0000CC000000}"/>
    <hyperlink ref="BV207" r:id="rId206" xr:uid="{00000000-0004-0000-0100-0000CD000000}"/>
    <hyperlink ref="BV208" r:id="rId207" xr:uid="{00000000-0004-0000-0100-0000CE000000}"/>
    <hyperlink ref="BH209" r:id="rId208" xr:uid="{00000000-0004-0000-0100-0000CF000000}"/>
    <hyperlink ref="AW210" r:id="rId209" xr:uid="{00000000-0004-0000-0100-0000D0000000}"/>
    <hyperlink ref="BH211" r:id="rId210" xr:uid="{00000000-0004-0000-0100-0000D1000000}"/>
    <hyperlink ref="BH212" r:id="rId211" xr:uid="{00000000-0004-0000-0100-0000D2000000}"/>
    <hyperlink ref="BH213" r:id="rId212" xr:uid="{00000000-0004-0000-0100-0000D3000000}"/>
    <hyperlink ref="AW214" r:id="rId213" xr:uid="{00000000-0004-0000-0100-0000D4000000}"/>
    <hyperlink ref="BH215" r:id="rId214" xr:uid="{00000000-0004-0000-0100-0000D5000000}"/>
    <hyperlink ref="BH216" r:id="rId215" xr:uid="{00000000-0004-0000-0100-0000D6000000}"/>
    <hyperlink ref="BH217" r:id="rId216" xr:uid="{00000000-0004-0000-0100-0000D7000000}"/>
    <hyperlink ref="CG218" r:id="rId217" xr:uid="{00000000-0004-0000-0100-0000D8000000}"/>
    <hyperlink ref="BH219" r:id="rId218" xr:uid="{00000000-0004-0000-0100-0000D9000000}"/>
    <hyperlink ref="BH220" r:id="rId219" xr:uid="{00000000-0004-0000-0100-0000DA000000}"/>
    <hyperlink ref="BH221" r:id="rId220" xr:uid="{00000000-0004-0000-0100-0000DB000000}"/>
    <hyperlink ref="BH222" r:id="rId221" xr:uid="{00000000-0004-0000-0100-0000DC000000}"/>
    <hyperlink ref="AW223" r:id="rId222" xr:uid="{00000000-0004-0000-0100-0000DD000000}"/>
    <hyperlink ref="BH224" r:id="rId223" xr:uid="{00000000-0004-0000-0100-0000DE000000}"/>
    <hyperlink ref="BH225" r:id="rId224" xr:uid="{00000000-0004-0000-0100-0000DF000000}"/>
    <hyperlink ref="BH226" r:id="rId225" xr:uid="{00000000-0004-0000-0100-0000E0000000}"/>
    <hyperlink ref="BH227" r:id="rId226" xr:uid="{00000000-0004-0000-0100-0000E1000000}"/>
    <hyperlink ref="BH228" r:id="rId227" xr:uid="{00000000-0004-0000-0100-0000E2000000}"/>
    <hyperlink ref="CG229" r:id="rId228" xr:uid="{00000000-0004-0000-0100-0000E3000000}"/>
    <hyperlink ref="AW230" r:id="rId229" xr:uid="{00000000-0004-0000-0100-0000E4000000}"/>
    <hyperlink ref="CG231" r:id="rId230" xr:uid="{00000000-0004-0000-0100-0000E5000000}"/>
    <hyperlink ref="AW232" r:id="rId231" xr:uid="{00000000-0004-0000-0100-0000E6000000}"/>
    <hyperlink ref="AW233" r:id="rId232" xr:uid="{00000000-0004-0000-0100-0000E7000000}"/>
    <hyperlink ref="AW234" r:id="rId233" xr:uid="{00000000-0004-0000-0100-0000E8000000}"/>
    <hyperlink ref="BH235" r:id="rId234" xr:uid="{00000000-0004-0000-0100-0000E9000000}"/>
    <hyperlink ref="AW236" r:id="rId235" xr:uid="{00000000-0004-0000-0100-0000EA000000}"/>
    <hyperlink ref="AW237" r:id="rId236" xr:uid="{00000000-0004-0000-0100-0000EB000000}"/>
    <hyperlink ref="BH238" r:id="rId237" xr:uid="{00000000-0004-0000-0100-0000EC000000}"/>
    <hyperlink ref="BV239" r:id="rId238" xr:uid="{00000000-0004-0000-0100-0000ED000000}"/>
    <hyperlink ref="BV240" r:id="rId239" xr:uid="{00000000-0004-0000-0100-0000EE000000}"/>
    <hyperlink ref="BH241" r:id="rId240" xr:uid="{00000000-0004-0000-0100-0000EF000000}"/>
    <hyperlink ref="BV242" r:id="rId241" xr:uid="{00000000-0004-0000-0100-0000F0000000}"/>
    <hyperlink ref="BH243" r:id="rId242" xr:uid="{00000000-0004-0000-0100-0000F1000000}"/>
    <hyperlink ref="BV244" r:id="rId243" xr:uid="{00000000-0004-0000-0100-0000F2000000}"/>
    <hyperlink ref="BH245" r:id="rId244" xr:uid="{00000000-0004-0000-0100-0000F3000000}"/>
    <hyperlink ref="BV246" r:id="rId245" xr:uid="{00000000-0004-0000-0100-0000F4000000}"/>
    <hyperlink ref="ED247" r:id="rId246" xr:uid="{00000000-0004-0000-0100-0000F5000000}"/>
    <hyperlink ref="BV248" r:id="rId247" xr:uid="{00000000-0004-0000-0100-0000F6000000}"/>
    <hyperlink ref="BV249" r:id="rId248" xr:uid="{00000000-0004-0000-0100-0000F7000000}"/>
    <hyperlink ref="BH250" r:id="rId249" xr:uid="{00000000-0004-0000-0100-0000F8000000}"/>
    <hyperlink ref="BH251" r:id="rId250" xr:uid="{00000000-0004-0000-0100-0000F9000000}"/>
    <hyperlink ref="BH252" r:id="rId251" xr:uid="{00000000-0004-0000-0100-0000FA000000}"/>
    <hyperlink ref="BH253" r:id="rId252" xr:uid="{00000000-0004-0000-0100-0000FB000000}"/>
    <hyperlink ref="BH254" r:id="rId253" xr:uid="{00000000-0004-0000-0100-0000FC000000}"/>
    <hyperlink ref="ED255" r:id="rId254" xr:uid="{00000000-0004-0000-0100-0000FD000000}"/>
    <hyperlink ref="BV256" r:id="rId255" xr:uid="{00000000-0004-0000-0100-0000FE000000}"/>
    <hyperlink ref="BV257" r:id="rId256" xr:uid="{00000000-0004-0000-0100-0000FF000000}"/>
    <hyperlink ref="ED258" r:id="rId257" xr:uid="{00000000-0004-0000-0100-000000010000}"/>
    <hyperlink ref="BH259" r:id="rId258" xr:uid="{00000000-0004-0000-0100-000001010000}"/>
    <hyperlink ref="BH260" r:id="rId259" xr:uid="{00000000-0004-0000-0100-000002010000}"/>
    <hyperlink ref="BH261" r:id="rId260" xr:uid="{00000000-0004-0000-0100-000003010000}"/>
    <hyperlink ref="BV262" r:id="rId261" xr:uid="{00000000-0004-0000-0100-000004010000}"/>
    <hyperlink ref="BH263" r:id="rId262" xr:uid="{00000000-0004-0000-0100-000005010000}"/>
    <hyperlink ref="BH264" r:id="rId263" xr:uid="{00000000-0004-0000-0100-000006010000}"/>
    <hyperlink ref="BH265" r:id="rId264" xr:uid="{00000000-0004-0000-0100-000007010000}"/>
    <hyperlink ref="BH266" r:id="rId265" xr:uid="{00000000-0004-0000-0100-000008010000}"/>
    <hyperlink ref="BH267" r:id="rId266" xr:uid="{00000000-0004-0000-0100-000009010000}"/>
    <hyperlink ref="BH268" r:id="rId267" xr:uid="{00000000-0004-0000-0100-00000A010000}"/>
    <hyperlink ref="AW269" r:id="rId268" xr:uid="{00000000-0004-0000-0100-00000B010000}"/>
    <hyperlink ref="GJ270" r:id="rId269" xr:uid="{00000000-0004-0000-0100-00000C010000}"/>
    <hyperlink ref="BH271" r:id="rId270" xr:uid="{00000000-0004-0000-0100-00000D010000}"/>
    <hyperlink ref="BV272" r:id="rId271" xr:uid="{00000000-0004-0000-0100-00000E010000}"/>
    <hyperlink ref="AW273" r:id="rId272" xr:uid="{00000000-0004-0000-0100-00000F010000}"/>
    <hyperlink ref="BH274" r:id="rId273" xr:uid="{00000000-0004-0000-0100-000010010000}"/>
    <hyperlink ref="AW275" r:id="rId274" xr:uid="{00000000-0004-0000-0100-000011010000}"/>
    <hyperlink ref="AW276" r:id="rId275" xr:uid="{00000000-0004-0000-0100-000012010000}"/>
    <hyperlink ref="AW277" r:id="rId276" xr:uid="{00000000-0004-0000-0100-000013010000}"/>
    <hyperlink ref="BH278" r:id="rId277" xr:uid="{00000000-0004-0000-0100-000014010000}"/>
    <hyperlink ref="BH279" r:id="rId278" xr:uid="{00000000-0004-0000-0100-000015010000}"/>
    <hyperlink ref="BH280" r:id="rId279" xr:uid="{00000000-0004-0000-0100-000016010000}"/>
    <hyperlink ref="BH281" r:id="rId280" xr:uid="{00000000-0004-0000-0100-000017010000}"/>
    <hyperlink ref="BH282" r:id="rId281" xr:uid="{00000000-0004-0000-0100-000018010000}"/>
    <hyperlink ref="BH283" r:id="rId282" xr:uid="{00000000-0004-0000-0100-000019010000}"/>
    <hyperlink ref="BH284" r:id="rId283" xr:uid="{00000000-0004-0000-0100-00001A010000}"/>
    <hyperlink ref="BH285" r:id="rId284" xr:uid="{00000000-0004-0000-0100-00001B010000}"/>
    <hyperlink ref="BH286" r:id="rId285" xr:uid="{00000000-0004-0000-0100-00001C010000}"/>
    <hyperlink ref="BH287" r:id="rId286" xr:uid="{00000000-0004-0000-0100-00001D010000}"/>
    <hyperlink ref="BH288" r:id="rId287" xr:uid="{00000000-0004-0000-0100-00001E010000}"/>
    <hyperlink ref="BH289" r:id="rId288" xr:uid="{00000000-0004-0000-0100-00001F010000}"/>
    <hyperlink ref="AW290" r:id="rId289" xr:uid="{00000000-0004-0000-0100-000020010000}"/>
    <hyperlink ref="BH291" r:id="rId290" xr:uid="{00000000-0004-0000-0100-000021010000}"/>
    <hyperlink ref="BH292" r:id="rId291" xr:uid="{00000000-0004-0000-0100-000022010000}"/>
    <hyperlink ref="ED293" r:id="rId292" xr:uid="{00000000-0004-0000-0100-000023010000}"/>
    <hyperlink ref="BH294" r:id="rId293" xr:uid="{00000000-0004-0000-0100-000024010000}"/>
    <hyperlink ref="BH295" r:id="rId294" xr:uid="{00000000-0004-0000-0100-000025010000}"/>
    <hyperlink ref="BH296" r:id="rId295" xr:uid="{00000000-0004-0000-0100-000026010000}"/>
    <hyperlink ref="BH297" r:id="rId296" xr:uid="{00000000-0004-0000-0100-000027010000}"/>
    <hyperlink ref="BH298" r:id="rId297" xr:uid="{00000000-0004-0000-0100-000028010000}"/>
    <hyperlink ref="AW299" r:id="rId298" xr:uid="{00000000-0004-0000-0100-000029010000}"/>
    <hyperlink ref="BH300" r:id="rId299" xr:uid="{00000000-0004-0000-0100-00002A010000}"/>
    <hyperlink ref="BH301" r:id="rId300" xr:uid="{00000000-0004-0000-0100-00002B010000}"/>
    <hyperlink ref="BH302" r:id="rId301" xr:uid="{00000000-0004-0000-0100-00002C010000}"/>
    <hyperlink ref="BH303" r:id="rId302" xr:uid="{00000000-0004-0000-0100-00002D010000}"/>
    <hyperlink ref="BH304" r:id="rId303" xr:uid="{00000000-0004-0000-0100-00002E010000}"/>
    <hyperlink ref="BH305" r:id="rId304" xr:uid="{00000000-0004-0000-0100-00002F010000}"/>
    <hyperlink ref="BH306" r:id="rId305" xr:uid="{00000000-0004-0000-0100-000030010000}"/>
    <hyperlink ref="BH307" r:id="rId306" xr:uid="{00000000-0004-0000-0100-000031010000}"/>
    <hyperlink ref="BH308" r:id="rId307" xr:uid="{00000000-0004-0000-0100-000032010000}"/>
    <hyperlink ref="ED309" r:id="rId308" xr:uid="{00000000-0004-0000-0100-000033010000}"/>
    <hyperlink ref="ED310" r:id="rId309" xr:uid="{00000000-0004-0000-0100-000034010000}"/>
    <hyperlink ref="BH311" r:id="rId310" xr:uid="{00000000-0004-0000-0100-000035010000}"/>
    <hyperlink ref="GJ312" r:id="rId311" xr:uid="{00000000-0004-0000-0100-000036010000}"/>
    <hyperlink ref="GJ313" r:id="rId312" xr:uid="{00000000-0004-0000-0100-000037010000}"/>
    <hyperlink ref="FY314" r:id="rId313" xr:uid="{00000000-0004-0000-0100-000038010000}"/>
    <hyperlink ref="ED315" r:id="rId314" xr:uid="{00000000-0004-0000-0100-000039010000}"/>
    <hyperlink ref="BV316" r:id="rId315" xr:uid="{00000000-0004-0000-0100-00003A010000}"/>
    <hyperlink ref="AW317" r:id="rId316" xr:uid="{00000000-0004-0000-0100-00003B010000}"/>
    <hyperlink ref="CG318" r:id="rId317" xr:uid="{00000000-0004-0000-0100-00003C010000}"/>
    <hyperlink ref="BH319" r:id="rId318" xr:uid="{00000000-0004-0000-0100-00003D010000}"/>
    <hyperlink ref="CG320" r:id="rId319" xr:uid="{00000000-0004-0000-0100-00003E010000}"/>
    <hyperlink ref="AW321" r:id="rId320" xr:uid="{00000000-0004-0000-0100-00003F010000}"/>
    <hyperlink ref="BH322" r:id="rId321" xr:uid="{00000000-0004-0000-0100-000040010000}"/>
    <hyperlink ref="BH323" r:id="rId322" xr:uid="{00000000-0004-0000-0100-000041010000}"/>
    <hyperlink ref="BV324" r:id="rId323" xr:uid="{00000000-0004-0000-0100-000042010000}"/>
    <hyperlink ref="BH325" r:id="rId324" xr:uid="{00000000-0004-0000-0100-000043010000}"/>
    <hyperlink ref="BH326" r:id="rId325" xr:uid="{00000000-0004-0000-0100-000044010000}"/>
    <hyperlink ref="AW327" r:id="rId326" xr:uid="{00000000-0004-0000-0100-000045010000}"/>
    <hyperlink ref="BH328" r:id="rId327" xr:uid="{00000000-0004-0000-0100-000046010000}"/>
    <hyperlink ref="AW329" r:id="rId328" xr:uid="{00000000-0004-0000-0100-000047010000}"/>
    <hyperlink ref="BH330" r:id="rId329" xr:uid="{00000000-0004-0000-0100-000048010000}"/>
    <hyperlink ref="BH331" r:id="rId330" xr:uid="{00000000-0004-0000-0100-000049010000}"/>
    <hyperlink ref="ED332" r:id="rId331" xr:uid="{00000000-0004-0000-0100-00004A010000}"/>
    <hyperlink ref="BH333" r:id="rId332" xr:uid="{00000000-0004-0000-0100-00004B010000}"/>
    <hyperlink ref="BH334" r:id="rId333" xr:uid="{00000000-0004-0000-0100-00004C010000}"/>
    <hyperlink ref="AW335" r:id="rId334" xr:uid="{00000000-0004-0000-0100-00004D010000}"/>
    <hyperlink ref="BH336" r:id="rId335" xr:uid="{00000000-0004-0000-0100-00004E010000}"/>
    <hyperlink ref="CG337" r:id="rId336" xr:uid="{00000000-0004-0000-0100-00004F010000}"/>
    <hyperlink ref="BH338" r:id="rId337" xr:uid="{00000000-0004-0000-0100-000050010000}"/>
    <hyperlink ref="BH339" r:id="rId338" xr:uid="{00000000-0004-0000-0100-000051010000}"/>
    <hyperlink ref="BH340" r:id="rId339" xr:uid="{00000000-0004-0000-0100-000052010000}"/>
    <hyperlink ref="BH341" r:id="rId340" xr:uid="{00000000-0004-0000-0100-000053010000}"/>
    <hyperlink ref="BH342" r:id="rId341" xr:uid="{00000000-0004-0000-0100-000054010000}"/>
    <hyperlink ref="BH343" r:id="rId342" xr:uid="{00000000-0004-0000-0100-000055010000}"/>
    <hyperlink ref="FK344" r:id="rId343" xr:uid="{00000000-0004-0000-0100-000056010000}"/>
    <hyperlink ref="BH345" r:id="rId344" xr:uid="{00000000-0004-0000-0100-000057010000}"/>
    <hyperlink ref="BH346" r:id="rId345" xr:uid="{00000000-0004-0000-0100-000058010000}"/>
    <hyperlink ref="BH347" r:id="rId346" xr:uid="{00000000-0004-0000-0100-000059010000}"/>
    <hyperlink ref="AW348" r:id="rId347" xr:uid="{00000000-0004-0000-0100-00005A010000}"/>
    <hyperlink ref="BH349" r:id="rId348" xr:uid="{00000000-0004-0000-0100-00005B010000}"/>
    <hyperlink ref="GJ350" r:id="rId349" xr:uid="{00000000-0004-0000-0100-00005C010000}"/>
    <hyperlink ref="BH351" r:id="rId350" xr:uid="{00000000-0004-0000-0100-00005D010000}"/>
    <hyperlink ref="BH352" r:id="rId351" xr:uid="{00000000-0004-0000-0100-00005E010000}"/>
    <hyperlink ref="BH353" r:id="rId352" xr:uid="{00000000-0004-0000-0100-00005F010000}"/>
    <hyperlink ref="BH354" r:id="rId353" xr:uid="{00000000-0004-0000-0100-000060010000}"/>
    <hyperlink ref="BH355" r:id="rId354" xr:uid="{00000000-0004-0000-0100-000061010000}"/>
    <hyperlink ref="BH356" r:id="rId355" xr:uid="{00000000-0004-0000-0100-000062010000}"/>
    <hyperlink ref="BH357" r:id="rId356" xr:uid="{00000000-0004-0000-0100-000063010000}"/>
    <hyperlink ref="DC358" r:id="rId357" xr:uid="{00000000-0004-0000-0100-000064010000}"/>
    <hyperlink ref="BV359" r:id="rId358" xr:uid="{00000000-0004-0000-0100-000065010000}"/>
    <hyperlink ref="AW360" r:id="rId359" xr:uid="{00000000-0004-0000-0100-000066010000}"/>
    <hyperlink ref="BV361" r:id="rId360" xr:uid="{00000000-0004-0000-0100-000067010000}"/>
    <hyperlink ref="BV362" r:id="rId361" xr:uid="{00000000-0004-0000-0100-000068010000}"/>
    <hyperlink ref="BH363" r:id="rId362" xr:uid="{00000000-0004-0000-0100-000069010000}"/>
    <hyperlink ref="BH364" r:id="rId363" xr:uid="{00000000-0004-0000-0100-00006A010000}"/>
    <hyperlink ref="BH365" r:id="rId364" xr:uid="{00000000-0004-0000-0100-00006B010000}"/>
    <hyperlink ref="BH366" r:id="rId365" xr:uid="{00000000-0004-0000-0100-00006C010000}"/>
    <hyperlink ref="BH367" r:id="rId366" xr:uid="{00000000-0004-0000-0100-00006D010000}"/>
    <hyperlink ref="BH368" r:id="rId367" xr:uid="{00000000-0004-0000-0100-00006E010000}"/>
    <hyperlink ref="BH369" r:id="rId368" xr:uid="{00000000-0004-0000-0100-00006F010000}"/>
    <hyperlink ref="CG370" r:id="rId369" xr:uid="{00000000-0004-0000-0100-000070010000}"/>
    <hyperlink ref="BH371" r:id="rId370" xr:uid="{00000000-0004-0000-0100-000071010000}"/>
    <hyperlink ref="CG372" r:id="rId371" xr:uid="{00000000-0004-0000-0100-000072010000}"/>
    <hyperlink ref="BH373" r:id="rId372" xr:uid="{00000000-0004-0000-0100-000073010000}"/>
    <hyperlink ref="BH374" r:id="rId373" xr:uid="{00000000-0004-0000-0100-000074010000}"/>
    <hyperlink ref="BH375" r:id="rId374" xr:uid="{00000000-0004-0000-0100-000075010000}"/>
    <hyperlink ref="CG376" r:id="rId375" xr:uid="{00000000-0004-0000-0100-000076010000}"/>
    <hyperlink ref="BH377" r:id="rId376" xr:uid="{00000000-0004-0000-0100-000077010000}"/>
    <hyperlink ref="CG378" r:id="rId377" xr:uid="{00000000-0004-0000-0100-000078010000}"/>
    <hyperlink ref="BH379" r:id="rId378" xr:uid="{00000000-0004-0000-0100-000079010000}"/>
    <hyperlink ref="ED380" r:id="rId379" xr:uid="{00000000-0004-0000-0100-00007A010000}"/>
    <hyperlink ref="BH381" r:id="rId380" xr:uid="{00000000-0004-0000-0100-00007B010000}"/>
    <hyperlink ref="ED382" r:id="rId381" xr:uid="{00000000-0004-0000-0100-00007C010000}"/>
    <hyperlink ref="BH383" r:id="rId382" xr:uid="{00000000-0004-0000-0100-00007D010000}"/>
    <hyperlink ref="BH384" r:id="rId383" xr:uid="{00000000-0004-0000-0100-00007E010000}"/>
    <hyperlink ref="BH385" r:id="rId384" xr:uid="{00000000-0004-0000-0100-00007F010000}"/>
    <hyperlink ref="ED386" r:id="rId385" xr:uid="{00000000-0004-0000-0100-000080010000}"/>
    <hyperlink ref="BH387" r:id="rId386" xr:uid="{00000000-0004-0000-0100-000081010000}"/>
    <hyperlink ref="BH388" r:id="rId387" xr:uid="{00000000-0004-0000-0100-000082010000}"/>
    <hyperlink ref="BH389" r:id="rId388" xr:uid="{00000000-0004-0000-0100-000083010000}"/>
    <hyperlink ref="BH390" r:id="rId389" xr:uid="{00000000-0004-0000-0100-000084010000}"/>
    <hyperlink ref="BH391" r:id="rId390" xr:uid="{00000000-0004-0000-0100-000085010000}"/>
    <hyperlink ref="BH392" r:id="rId391" xr:uid="{00000000-0004-0000-0100-000086010000}"/>
    <hyperlink ref="BH393" r:id="rId392" xr:uid="{00000000-0004-0000-0100-000087010000}"/>
    <hyperlink ref="BH394" r:id="rId393" xr:uid="{00000000-0004-0000-0100-000088010000}"/>
    <hyperlink ref="BH395" r:id="rId394" xr:uid="{00000000-0004-0000-0100-000089010000}"/>
    <hyperlink ref="BH396" r:id="rId395" xr:uid="{00000000-0004-0000-0100-00008A010000}"/>
    <hyperlink ref="BH397" r:id="rId396" xr:uid="{00000000-0004-0000-0100-00008B010000}"/>
    <hyperlink ref="AW398" r:id="rId397" xr:uid="{00000000-0004-0000-0100-00008C010000}"/>
    <hyperlink ref="BH399" r:id="rId398" xr:uid="{00000000-0004-0000-0100-00008D010000}"/>
    <hyperlink ref="BH400" r:id="rId399" xr:uid="{00000000-0004-0000-0100-00008E010000}"/>
    <hyperlink ref="AW401" r:id="rId400" xr:uid="{00000000-0004-0000-0100-00008F010000}"/>
    <hyperlink ref="BH402" r:id="rId401" xr:uid="{00000000-0004-0000-0100-000090010000}"/>
    <hyperlink ref="BH403" r:id="rId402" xr:uid="{00000000-0004-0000-0100-000091010000}"/>
    <hyperlink ref="BH404" r:id="rId403" xr:uid="{00000000-0004-0000-0100-000092010000}"/>
    <hyperlink ref="BH405" r:id="rId404" xr:uid="{00000000-0004-0000-0100-000093010000}"/>
    <hyperlink ref="BH406" r:id="rId405" xr:uid="{00000000-0004-0000-0100-000094010000}"/>
    <hyperlink ref="BH407" r:id="rId406" xr:uid="{00000000-0004-0000-0100-000095010000}"/>
    <hyperlink ref="BH408" r:id="rId407" xr:uid="{00000000-0004-0000-0100-000096010000}"/>
    <hyperlink ref="BH409" r:id="rId408" xr:uid="{00000000-0004-0000-0100-000097010000}"/>
    <hyperlink ref="BH410" r:id="rId409" xr:uid="{00000000-0004-0000-0100-000098010000}"/>
    <hyperlink ref="BH411" r:id="rId410" xr:uid="{00000000-0004-0000-0100-000099010000}"/>
    <hyperlink ref="BH412" r:id="rId411" xr:uid="{00000000-0004-0000-0100-00009A010000}"/>
    <hyperlink ref="BH413" r:id="rId412" xr:uid="{00000000-0004-0000-0100-00009B010000}"/>
    <hyperlink ref="BH414" r:id="rId413" xr:uid="{00000000-0004-0000-0100-00009C010000}"/>
    <hyperlink ref="BH415" r:id="rId414" xr:uid="{00000000-0004-0000-0100-00009D010000}"/>
    <hyperlink ref="BH416" r:id="rId415" xr:uid="{00000000-0004-0000-0100-00009E010000}"/>
    <hyperlink ref="AW417" r:id="rId416" xr:uid="{00000000-0004-0000-0100-00009F010000}"/>
    <hyperlink ref="BH418" r:id="rId417" xr:uid="{00000000-0004-0000-0100-0000A0010000}"/>
    <hyperlink ref="AW419" r:id="rId418" xr:uid="{00000000-0004-0000-0100-0000A1010000}"/>
    <hyperlink ref="BH420" r:id="rId419" xr:uid="{00000000-0004-0000-0100-0000A2010000}"/>
    <hyperlink ref="ED421" r:id="rId420" xr:uid="{00000000-0004-0000-0100-0000A3010000}"/>
    <hyperlink ref="BH422" r:id="rId421" xr:uid="{00000000-0004-0000-0100-0000A4010000}"/>
    <hyperlink ref="BH423" r:id="rId422" xr:uid="{00000000-0004-0000-0100-0000A5010000}"/>
    <hyperlink ref="BH424" r:id="rId423" xr:uid="{00000000-0004-0000-0100-0000A6010000}"/>
    <hyperlink ref="BH425" r:id="rId424" xr:uid="{00000000-0004-0000-0100-0000A7010000}"/>
    <hyperlink ref="ED426" r:id="rId425" xr:uid="{00000000-0004-0000-0100-0000A8010000}"/>
    <hyperlink ref="ED427" r:id="rId426" xr:uid="{00000000-0004-0000-0100-0000A9010000}"/>
    <hyperlink ref="BH428" r:id="rId427" xr:uid="{00000000-0004-0000-0100-0000AA010000}"/>
    <hyperlink ref="GJ429" r:id="rId428" xr:uid="{00000000-0004-0000-0100-0000AB010000}"/>
    <hyperlink ref="AW430" r:id="rId429" xr:uid="{00000000-0004-0000-0100-0000AC010000}"/>
    <hyperlink ref="BH431" r:id="rId430" xr:uid="{00000000-0004-0000-0100-0000AD010000}"/>
    <hyperlink ref="BH432" r:id="rId431" xr:uid="{00000000-0004-0000-0100-0000AE010000}"/>
    <hyperlink ref="BH433" r:id="rId432" xr:uid="{00000000-0004-0000-0100-0000AF010000}"/>
    <hyperlink ref="BH434" r:id="rId433" xr:uid="{00000000-0004-0000-0100-0000B0010000}"/>
    <hyperlink ref="BH435" r:id="rId434" xr:uid="{00000000-0004-0000-0100-0000B1010000}"/>
    <hyperlink ref="AW436" r:id="rId435" xr:uid="{00000000-0004-0000-0100-0000B2010000}"/>
    <hyperlink ref="AW437" r:id="rId436" xr:uid="{00000000-0004-0000-0100-0000B3010000}"/>
    <hyperlink ref="AW438" r:id="rId437" xr:uid="{00000000-0004-0000-0100-0000B4010000}"/>
    <hyperlink ref="BH439" r:id="rId438" xr:uid="{00000000-0004-0000-0100-0000B5010000}"/>
    <hyperlink ref="BH440" r:id="rId439" xr:uid="{00000000-0004-0000-0100-0000B6010000}"/>
    <hyperlink ref="BH441" r:id="rId440" xr:uid="{00000000-0004-0000-0100-0000B7010000}"/>
    <hyperlink ref="BH442" r:id="rId441" xr:uid="{00000000-0004-0000-0100-0000B8010000}"/>
    <hyperlink ref="BH443" r:id="rId442" xr:uid="{00000000-0004-0000-0100-0000B9010000}"/>
    <hyperlink ref="BH444" r:id="rId443" xr:uid="{00000000-0004-0000-0100-0000BA010000}"/>
    <hyperlink ref="BH445" r:id="rId444" xr:uid="{00000000-0004-0000-0100-0000BB010000}"/>
    <hyperlink ref="BH446" r:id="rId445" xr:uid="{00000000-0004-0000-0100-0000BC010000}"/>
    <hyperlink ref="BH447" r:id="rId446" xr:uid="{00000000-0004-0000-0100-0000BD010000}"/>
    <hyperlink ref="BV448" r:id="rId447" xr:uid="{00000000-0004-0000-0100-0000BE010000}"/>
    <hyperlink ref="BH449" r:id="rId448" xr:uid="{00000000-0004-0000-0100-0000BF010000}"/>
    <hyperlink ref="GJ450" r:id="rId449" xr:uid="{00000000-0004-0000-0100-0000C0010000}"/>
    <hyperlink ref="BH451" r:id="rId450" xr:uid="{00000000-0004-0000-0100-0000C1010000}"/>
    <hyperlink ref="BV452" r:id="rId451" xr:uid="{00000000-0004-0000-0100-0000C2010000}"/>
    <hyperlink ref="AW453" r:id="rId452" xr:uid="{00000000-0004-0000-0100-0000C3010000}"/>
    <hyperlink ref="BH454" r:id="rId453" xr:uid="{00000000-0004-0000-0100-0000C4010000}"/>
    <hyperlink ref="BH455" r:id="rId454" xr:uid="{00000000-0004-0000-0100-0000C5010000}"/>
    <hyperlink ref="BH456" r:id="rId455" xr:uid="{00000000-0004-0000-0100-0000C6010000}"/>
    <hyperlink ref="BH457" r:id="rId456" xr:uid="{00000000-0004-0000-0100-0000C7010000}"/>
    <hyperlink ref="BH458" r:id="rId457" xr:uid="{00000000-0004-0000-0100-0000C8010000}"/>
    <hyperlink ref="BH459" r:id="rId458" xr:uid="{00000000-0004-0000-0100-0000C9010000}"/>
    <hyperlink ref="GJ460" r:id="rId459" xr:uid="{00000000-0004-0000-0100-0000CA010000}"/>
    <hyperlink ref="FY461" r:id="rId460" xr:uid="{00000000-0004-0000-0100-0000CB010000}"/>
    <hyperlink ref="ED462" r:id="rId461" xr:uid="{00000000-0004-0000-0100-0000CC010000}"/>
    <hyperlink ref="CG463" r:id="rId462" xr:uid="{00000000-0004-0000-0100-0000CD010000}"/>
    <hyperlink ref="BH464" r:id="rId463" xr:uid="{00000000-0004-0000-0100-0000CE010000}"/>
    <hyperlink ref="BH465" r:id="rId464" xr:uid="{00000000-0004-0000-0100-0000CF010000}"/>
    <hyperlink ref="BH466" r:id="rId465" xr:uid="{00000000-0004-0000-0100-0000D0010000}"/>
    <hyperlink ref="FK467" r:id="rId466" xr:uid="{00000000-0004-0000-0100-0000D1010000}"/>
    <hyperlink ref="BH468" r:id="rId467" xr:uid="{00000000-0004-0000-0100-0000D2010000}"/>
    <hyperlink ref="BH469" r:id="rId468" xr:uid="{00000000-0004-0000-0100-0000D3010000}"/>
    <hyperlink ref="ED470" r:id="rId469" xr:uid="{00000000-0004-0000-0100-0000D4010000}"/>
    <hyperlink ref="CG471" r:id="rId470" xr:uid="{00000000-0004-0000-0100-0000D5010000}"/>
    <hyperlink ref="BV472" r:id="rId471" xr:uid="{00000000-0004-0000-0100-0000D6010000}"/>
    <hyperlink ref="BH473" r:id="rId472" xr:uid="{00000000-0004-0000-0100-0000D7010000}"/>
    <hyperlink ref="BH474" r:id="rId473" xr:uid="{00000000-0004-0000-0100-0000D8010000}"/>
    <hyperlink ref="BH475" r:id="rId474" xr:uid="{00000000-0004-0000-0100-0000D9010000}"/>
    <hyperlink ref="BH476" r:id="rId475" xr:uid="{00000000-0004-0000-0100-0000DA010000}"/>
    <hyperlink ref="AW477" r:id="rId476" xr:uid="{00000000-0004-0000-0100-0000DB010000}"/>
    <hyperlink ref="BH478" r:id="rId477" xr:uid="{00000000-0004-0000-0100-0000DC010000}"/>
    <hyperlink ref="BH479" r:id="rId478" xr:uid="{00000000-0004-0000-0100-0000DD010000}"/>
    <hyperlink ref="BH480" r:id="rId479" xr:uid="{00000000-0004-0000-0100-0000DE010000}"/>
    <hyperlink ref="BH481" r:id="rId480" xr:uid="{00000000-0004-0000-0100-0000DF010000}"/>
    <hyperlink ref="AW482" r:id="rId481" xr:uid="{00000000-0004-0000-0100-0000E0010000}"/>
    <hyperlink ref="FK483" r:id="rId482" xr:uid="{00000000-0004-0000-0100-0000E1010000}"/>
    <hyperlink ref="AW484" r:id="rId483" xr:uid="{00000000-0004-0000-0100-0000E2010000}"/>
    <hyperlink ref="BH485" r:id="rId484" xr:uid="{00000000-0004-0000-0100-0000E3010000}"/>
    <hyperlink ref="AW486" r:id="rId485" xr:uid="{00000000-0004-0000-0100-0000E4010000}"/>
    <hyperlink ref="GJ487" r:id="rId486" xr:uid="{00000000-0004-0000-0100-0000E5010000}"/>
    <hyperlink ref="GJ488" r:id="rId487" xr:uid="{00000000-0004-0000-0100-0000E6010000}"/>
    <hyperlink ref="GJ489" r:id="rId488" xr:uid="{00000000-0004-0000-0100-0000E7010000}"/>
    <hyperlink ref="AW490" r:id="rId489" xr:uid="{00000000-0004-0000-0100-0000E8010000}"/>
    <hyperlink ref="BH491" r:id="rId490" xr:uid="{00000000-0004-0000-0100-0000E9010000}"/>
    <hyperlink ref="AW492" r:id="rId491" xr:uid="{00000000-0004-0000-0100-0000EA010000}"/>
    <hyperlink ref="BH493" r:id="rId492" xr:uid="{00000000-0004-0000-0100-0000EB010000}"/>
    <hyperlink ref="GJ494" r:id="rId493" xr:uid="{00000000-0004-0000-0100-0000EC010000}"/>
    <hyperlink ref="BH495" r:id="rId494" xr:uid="{00000000-0004-0000-0100-0000ED010000}"/>
    <hyperlink ref="GJ496" r:id="rId495" xr:uid="{00000000-0004-0000-0100-0000EE010000}"/>
    <hyperlink ref="AW497" r:id="rId496" xr:uid="{00000000-0004-0000-0100-0000EF010000}"/>
    <hyperlink ref="GJ498" r:id="rId497" xr:uid="{00000000-0004-0000-0100-0000F0010000}"/>
    <hyperlink ref="BH499" r:id="rId498" xr:uid="{00000000-0004-0000-0100-0000F1010000}"/>
    <hyperlink ref="BH500" r:id="rId499" xr:uid="{00000000-0004-0000-0100-0000F2010000}"/>
    <hyperlink ref="BV501" r:id="rId500" xr:uid="{00000000-0004-0000-0100-0000F3010000}"/>
    <hyperlink ref="BH502" r:id="rId501" xr:uid="{00000000-0004-0000-0100-0000F4010000}"/>
    <hyperlink ref="GJ503" r:id="rId502" xr:uid="{00000000-0004-0000-0100-0000F5010000}"/>
    <hyperlink ref="BH504" r:id="rId503" xr:uid="{00000000-0004-0000-0100-0000F6010000}"/>
    <hyperlink ref="BH505" r:id="rId504" xr:uid="{00000000-0004-0000-0100-0000F7010000}"/>
    <hyperlink ref="BH506" r:id="rId505" xr:uid="{00000000-0004-0000-0100-0000F8010000}"/>
    <hyperlink ref="BH507" r:id="rId506" xr:uid="{00000000-0004-0000-0100-0000F9010000}"/>
    <hyperlink ref="BH508" r:id="rId507" xr:uid="{00000000-0004-0000-0100-0000FA010000}"/>
    <hyperlink ref="BV509" r:id="rId508" xr:uid="{00000000-0004-0000-0100-0000FB010000}"/>
    <hyperlink ref="BV510" r:id="rId509" xr:uid="{00000000-0004-0000-0100-0000FC010000}"/>
    <hyperlink ref="BH511" r:id="rId510" xr:uid="{00000000-0004-0000-0100-0000FD010000}"/>
    <hyperlink ref="BH512" r:id="rId511" xr:uid="{00000000-0004-0000-0100-0000FE010000}"/>
    <hyperlink ref="BV513" r:id="rId512" xr:uid="{00000000-0004-0000-0100-0000FF010000}"/>
    <hyperlink ref="CG514" r:id="rId513" xr:uid="{00000000-0004-0000-0100-000000020000}"/>
    <hyperlink ref="BV515" r:id="rId514" xr:uid="{00000000-0004-0000-0100-000001020000}"/>
    <hyperlink ref="BH516" r:id="rId515" xr:uid="{00000000-0004-0000-0100-000002020000}"/>
    <hyperlink ref="BH517" r:id="rId516" xr:uid="{00000000-0004-0000-0100-000003020000}"/>
    <hyperlink ref="BH518" r:id="rId517" xr:uid="{00000000-0004-0000-0100-000004020000}"/>
    <hyperlink ref="BH519" r:id="rId518" xr:uid="{00000000-0004-0000-0100-000005020000}"/>
    <hyperlink ref="BH520" r:id="rId519" xr:uid="{00000000-0004-0000-0100-000006020000}"/>
    <hyperlink ref="BH521" r:id="rId520" xr:uid="{00000000-0004-0000-0100-000007020000}"/>
    <hyperlink ref="BH522" r:id="rId521" xr:uid="{00000000-0004-0000-0100-000008020000}"/>
    <hyperlink ref="BH523" r:id="rId522" xr:uid="{00000000-0004-0000-0100-000009020000}"/>
    <hyperlink ref="BH524" r:id="rId523" xr:uid="{00000000-0004-0000-0100-00000A020000}"/>
    <hyperlink ref="AW525" r:id="rId524" xr:uid="{00000000-0004-0000-0100-00000B020000}"/>
    <hyperlink ref="BH526" r:id="rId525" xr:uid="{00000000-0004-0000-0100-00000C020000}"/>
    <hyperlink ref="BV527" r:id="rId526" xr:uid="{00000000-0004-0000-0100-00000D020000}"/>
    <hyperlink ref="BV528" r:id="rId527" xr:uid="{00000000-0004-0000-0100-00000E020000}"/>
    <hyperlink ref="BH529" r:id="rId528" xr:uid="{00000000-0004-0000-0100-00000F020000}"/>
    <hyperlink ref="BH530" r:id="rId529" xr:uid="{00000000-0004-0000-0100-000010020000}"/>
    <hyperlink ref="BH531" r:id="rId530" xr:uid="{00000000-0004-0000-0100-000011020000}"/>
    <hyperlink ref="BH532" r:id="rId531" xr:uid="{00000000-0004-0000-0100-000012020000}"/>
    <hyperlink ref="BH533" r:id="rId532" xr:uid="{00000000-0004-0000-0100-000013020000}"/>
    <hyperlink ref="BH534" r:id="rId533" xr:uid="{00000000-0004-0000-0100-000014020000}"/>
    <hyperlink ref="BH535" r:id="rId534" xr:uid="{00000000-0004-0000-0100-000015020000}"/>
    <hyperlink ref="BH536" r:id="rId535" xr:uid="{00000000-0004-0000-0100-000016020000}"/>
    <hyperlink ref="BH537" r:id="rId536" xr:uid="{00000000-0004-0000-0100-000017020000}"/>
    <hyperlink ref="BH538" r:id="rId537" xr:uid="{00000000-0004-0000-0100-000018020000}"/>
    <hyperlink ref="GJ539" r:id="rId538" xr:uid="{00000000-0004-0000-0100-000019020000}"/>
    <hyperlink ref="BH540" r:id="rId539" xr:uid="{00000000-0004-0000-0100-00001A020000}"/>
    <hyperlink ref="BH541" r:id="rId540" xr:uid="{00000000-0004-0000-0100-00001B020000}"/>
    <hyperlink ref="BH542" r:id="rId541" xr:uid="{00000000-0004-0000-0100-00001C020000}"/>
    <hyperlink ref="BH543" r:id="rId542" xr:uid="{00000000-0004-0000-0100-00001D020000}"/>
    <hyperlink ref="BH544" r:id="rId543" xr:uid="{00000000-0004-0000-0100-00001E020000}"/>
    <hyperlink ref="BH545" r:id="rId544" xr:uid="{00000000-0004-0000-0100-00001F020000}"/>
    <hyperlink ref="BH546" r:id="rId545" xr:uid="{00000000-0004-0000-0100-000020020000}"/>
    <hyperlink ref="BH547" r:id="rId546" xr:uid="{00000000-0004-0000-0100-000021020000}"/>
    <hyperlink ref="BH548" r:id="rId547" xr:uid="{00000000-0004-0000-0100-000022020000}"/>
    <hyperlink ref="BH549" r:id="rId548" xr:uid="{00000000-0004-0000-0100-000023020000}"/>
    <hyperlink ref="BH550" r:id="rId549" xr:uid="{00000000-0004-0000-0100-000024020000}"/>
    <hyperlink ref="BH551" r:id="rId550" xr:uid="{00000000-0004-0000-0100-000025020000}"/>
    <hyperlink ref="BH552" r:id="rId551" xr:uid="{00000000-0004-0000-0100-000026020000}"/>
    <hyperlink ref="BH553" r:id="rId552" xr:uid="{00000000-0004-0000-0100-000027020000}"/>
    <hyperlink ref="BH554" r:id="rId553" xr:uid="{00000000-0004-0000-0100-000028020000}"/>
    <hyperlink ref="BH555" r:id="rId554" xr:uid="{00000000-0004-0000-0100-000029020000}"/>
    <hyperlink ref="BH556" r:id="rId555" xr:uid="{00000000-0004-0000-0100-00002A020000}"/>
    <hyperlink ref="BH557" r:id="rId556" xr:uid="{00000000-0004-0000-0100-00002B020000}"/>
    <hyperlink ref="BV558" r:id="rId557" xr:uid="{00000000-0004-0000-0100-00002C020000}"/>
    <hyperlink ref="BH559" r:id="rId558" xr:uid="{00000000-0004-0000-0100-00002D020000}"/>
    <hyperlink ref="BH560" r:id="rId559" xr:uid="{00000000-0004-0000-0100-00002E020000}"/>
    <hyperlink ref="GJ561" r:id="rId560" xr:uid="{00000000-0004-0000-0100-00002F020000}"/>
    <hyperlink ref="AW562" r:id="rId561" xr:uid="{00000000-0004-0000-0100-000030020000}"/>
    <hyperlink ref="BH563" r:id="rId562" xr:uid="{00000000-0004-0000-0100-000031020000}"/>
    <hyperlink ref="BH564" r:id="rId563" xr:uid="{00000000-0004-0000-0100-000032020000}"/>
    <hyperlink ref="BH565" r:id="rId564" xr:uid="{00000000-0004-0000-0100-000033020000}"/>
    <hyperlink ref="BH566" r:id="rId565" xr:uid="{00000000-0004-0000-0100-000034020000}"/>
    <hyperlink ref="BH567" r:id="rId566" xr:uid="{00000000-0004-0000-0100-000035020000}"/>
    <hyperlink ref="BH568" r:id="rId567" xr:uid="{00000000-0004-0000-0100-000036020000}"/>
    <hyperlink ref="BH569" r:id="rId568" xr:uid="{00000000-0004-0000-0100-000037020000}"/>
    <hyperlink ref="BV570" r:id="rId569" xr:uid="{00000000-0004-0000-0100-000038020000}"/>
    <hyperlink ref="GJ571" r:id="rId570" xr:uid="{00000000-0004-0000-0100-000039020000}"/>
    <hyperlink ref="BH572" r:id="rId571" xr:uid="{00000000-0004-0000-0100-00003A020000}"/>
    <hyperlink ref="BH573" r:id="rId572" xr:uid="{00000000-0004-0000-0100-00003B020000}"/>
    <hyperlink ref="BH574" r:id="rId573" xr:uid="{00000000-0004-0000-0100-00003C020000}"/>
    <hyperlink ref="BH575" r:id="rId574" xr:uid="{00000000-0004-0000-0100-00003D020000}"/>
    <hyperlink ref="BH576" r:id="rId575" xr:uid="{00000000-0004-0000-0100-00003E020000}"/>
    <hyperlink ref="BH577" r:id="rId576" xr:uid="{00000000-0004-0000-0100-00003F020000}"/>
    <hyperlink ref="BH578" r:id="rId577" xr:uid="{00000000-0004-0000-0100-000040020000}"/>
    <hyperlink ref="BH579" r:id="rId578" xr:uid="{00000000-0004-0000-0100-000041020000}"/>
    <hyperlink ref="BH580" r:id="rId579" xr:uid="{00000000-0004-0000-0100-000042020000}"/>
    <hyperlink ref="BH581" r:id="rId580" xr:uid="{00000000-0004-0000-0100-000043020000}"/>
    <hyperlink ref="BH582" r:id="rId581" xr:uid="{00000000-0004-0000-0100-000044020000}"/>
    <hyperlink ref="AW583" r:id="rId582" xr:uid="{00000000-0004-0000-0100-000045020000}"/>
    <hyperlink ref="AW584" r:id="rId583" xr:uid="{00000000-0004-0000-0100-000046020000}"/>
    <hyperlink ref="DC585" r:id="rId584" xr:uid="{00000000-0004-0000-0100-000047020000}"/>
    <hyperlink ref="BH586" r:id="rId585" xr:uid="{00000000-0004-0000-0100-000048020000}"/>
    <hyperlink ref="BH587" r:id="rId586" xr:uid="{00000000-0004-0000-0100-000049020000}"/>
    <hyperlink ref="BH588" r:id="rId587" xr:uid="{00000000-0004-0000-0100-00004A020000}"/>
    <hyperlink ref="BH589" r:id="rId588" xr:uid="{00000000-0004-0000-0100-00004B020000}"/>
    <hyperlink ref="BH590" r:id="rId589" xr:uid="{00000000-0004-0000-0100-00004C020000}"/>
    <hyperlink ref="BH591" r:id="rId590" xr:uid="{00000000-0004-0000-0100-00004D020000}"/>
    <hyperlink ref="BH592" r:id="rId591" xr:uid="{00000000-0004-0000-0100-00004E020000}"/>
    <hyperlink ref="BH593" r:id="rId592" xr:uid="{00000000-0004-0000-0100-00004F020000}"/>
    <hyperlink ref="BH594" r:id="rId593" xr:uid="{00000000-0004-0000-0100-000050020000}"/>
    <hyperlink ref="AW595" r:id="rId594" xr:uid="{00000000-0004-0000-0100-000051020000}"/>
    <hyperlink ref="BH596" r:id="rId595" xr:uid="{00000000-0004-0000-0100-000052020000}"/>
    <hyperlink ref="BH597" r:id="rId596" xr:uid="{00000000-0004-0000-0100-000053020000}"/>
    <hyperlink ref="GJ598" r:id="rId597" xr:uid="{00000000-0004-0000-0100-000054020000}"/>
    <hyperlink ref="BH599" r:id="rId598" xr:uid="{00000000-0004-0000-0100-000055020000}"/>
    <hyperlink ref="GJ600" r:id="rId599" xr:uid="{00000000-0004-0000-0100-000056020000}"/>
    <hyperlink ref="BH601" r:id="rId600" xr:uid="{00000000-0004-0000-0100-000057020000}"/>
    <hyperlink ref="AW602" r:id="rId601" xr:uid="{00000000-0004-0000-0100-000058020000}"/>
    <hyperlink ref="BH603" r:id="rId602" xr:uid="{00000000-0004-0000-0100-000059020000}"/>
    <hyperlink ref="AW604" r:id="rId603" xr:uid="{00000000-0004-0000-0100-00005A020000}"/>
    <hyperlink ref="BV605" r:id="rId604" xr:uid="{00000000-0004-0000-0100-00005B020000}"/>
    <hyperlink ref="BH606" r:id="rId605" xr:uid="{00000000-0004-0000-0100-00005C020000}"/>
    <hyperlink ref="BH607" r:id="rId606" xr:uid="{00000000-0004-0000-0100-00005D020000}"/>
    <hyperlink ref="BH608" r:id="rId607" xr:uid="{00000000-0004-0000-0100-00005E020000}"/>
    <hyperlink ref="BH609" r:id="rId608" xr:uid="{00000000-0004-0000-0100-00005F020000}"/>
    <hyperlink ref="BV610" r:id="rId609" xr:uid="{00000000-0004-0000-0100-000060020000}"/>
    <hyperlink ref="BH611" r:id="rId610" xr:uid="{00000000-0004-0000-0100-000061020000}"/>
    <hyperlink ref="GJ612" r:id="rId611" xr:uid="{00000000-0004-0000-0100-000062020000}"/>
    <hyperlink ref="BH613" r:id="rId612" xr:uid="{00000000-0004-0000-0100-000063020000}"/>
    <hyperlink ref="BH614" r:id="rId613" xr:uid="{00000000-0004-0000-0100-000064020000}"/>
    <hyperlink ref="BH615" r:id="rId614" xr:uid="{00000000-0004-0000-0100-000065020000}"/>
    <hyperlink ref="BH616" r:id="rId615" xr:uid="{00000000-0004-0000-0100-000066020000}"/>
    <hyperlink ref="BH617" r:id="rId616" xr:uid="{00000000-0004-0000-0100-000067020000}"/>
    <hyperlink ref="BV618" r:id="rId617" xr:uid="{00000000-0004-0000-0100-000068020000}"/>
    <hyperlink ref="BH619" r:id="rId618" xr:uid="{00000000-0004-0000-0100-000069020000}"/>
    <hyperlink ref="BH620" r:id="rId619" xr:uid="{00000000-0004-0000-0100-00006A020000}"/>
    <hyperlink ref="BH621" r:id="rId620" xr:uid="{00000000-0004-0000-0100-00006B020000}"/>
    <hyperlink ref="BH622" r:id="rId621" xr:uid="{00000000-0004-0000-0100-00006C020000}"/>
    <hyperlink ref="BH623" r:id="rId622" xr:uid="{00000000-0004-0000-0100-00006D020000}"/>
    <hyperlink ref="BH624" r:id="rId623" xr:uid="{00000000-0004-0000-0100-00006E020000}"/>
    <hyperlink ref="BH625" r:id="rId624" xr:uid="{00000000-0004-0000-0100-00006F020000}"/>
    <hyperlink ref="BH626" r:id="rId625" xr:uid="{00000000-0004-0000-0100-000070020000}"/>
    <hyperlink ref="BH627" r:id="rId626" xr:uid="{00000000-0004-0000-0100-000071020000}"/>
    <hyperlink ref="BH628" r:id="rId627" xr:uid="{00000000-0004-0000-0100-000072020000}"/>
    <hyperlink ref="BH629" r:id="rId628" xr:uid="{00000000-0004-0000-0100-000073020000}"/>
    <hyperlink ref="BH630" r:id="rId629" xr:uid="{00000000-0004-0000-0100-000074020000}"/>
    <hyperlink ref="BH631" r:id="rId630" xr:uid="{00000000-0004-0000-0100-000075020000}"/>
    <hyperlink ref="ED632" r:id="rId631" xr:uid="{00000000-0004-0000-0100-000076020000}"/>
    <hyperlink ref="BV633" r:id="rId632" xr:uid="{00000000-0004-0000-0100-000077020000}"/>
    <hyperlink ref="BV634" r:id="rId633" xr:uid="{00000000-0004-0000-0100-000078020000}"/>
    <hyperlink ref="BH635" r:id="rId634" xr:uid="{00000000-0004-0000-0100-000079020000}"/>
    <hyperlink ref="BH636" r:id="rId635" xr:uid="{00000000-0004-0000-0100-00007A020000}"/>
    <hyperlink ref="AW637" r:id="rId636" xr:uid="{00000000-0004-0000-0100-00007B020000}"/>
    <hyperlink ref="AW638" r:id="rId637" xr:uid="{00000000-0004-0000-0100-00007C020000}"/>
    <hyperlink ref="BH639" r:id="rId638" xr:uid="{00000000-0004-0000-0100-00007D020000}"/>
    <hyperlink ref="BH640" r:id="rId639" xr:uid="{00000000-0004-0000-0100-00007E020000}"/>
    <hyperlink ref="BH641" r:id="rId640" xr:uid="{00000000-0004-0000-0100-00007F020000}"/>
    <hyperlink ref="ED642" r:id="rId641" xr:uid="{00000000-0004-0000-0100-000080020000}"/>
    <hyperlink ref="GJ643" r:id="rId642" xr:uid="{00000000-0004-0000-0100-000081020000}"/>
    <hyperlink ref="AW644" r:id="rId643" xr:uid="{00000000-0004-0000-0100-000082020000}"/>
    <hyperlink ref="BH645" r:id="rId644" xr:uid="{00000000-0004-0000-0100-000083020000}"/>
    <hyperlink ref="GJ646" r:id="rId645" xr:uid="{00000000-0004-0000-0100-000084020000}"/>
    <hyperlink ref="BH647" r:id="rId646" xr:uid="{00000000-0004-0000-0100-000085020000}"/>
    <hyperlink ref="BH648" r:id="rId647" xr:uid="{00000000-0004-0000-0100-000086020000}"/>
    <hyperlink ref="BH649" r:id="rId648" xr:uid="{00000000-0004-0000-0100-000087020000}"/>
    <hyperlink ref="BV650" r:id="rId649" xr:uid="{00000000-0004-0000-0100-000088020000}"/>
    <hyperlink ref="BH651" r:id="rId650" xr:uid="{00000000-0004-0000-0100-000089020000}"/>
    <hyperlink ref="AW652" r:id="rId651" xr:uid="{00000000-0004-0000-0100-00008A020000}"/>
    <hyperlink ref="GJ653" r:id="rId652" xr:uid="{00000000-0004-0000-0100-00008B020000}"/>
    <hyperlink ref="BH654" r:id="rId653" xr:uid="{00000000-0004-0000-0100-00008C020000}"/>
    <hyperlink ref="BH655" r:id="rId654" xr:uid="{00000000-0004-0000-0100-00008D020000}"/>
    <hyperlink ref="BH656" r:id="rId655" xr:uid="{00000000-0004-0000-0100-00008E020000}"/>
    <hyperlink ref="BH657" r:id="rId656" xr:uid="{00000000-0004-0000-0100-00008F020000}"/>
    <hyperlink ref="BH658" r:id="rId657" xr:uid="{00000000-0004-0000-0100-000090020000}"/>
    <hyperlink ref="AW659" r:id="rId658" xr:uid="{00000000-0004-0000-0100-000091020000}"/>
    <hyperlink ref="BH660" r:id="rId659" xr:uid="{00000000-0004-0000-0100-000092020000}"/>
    <hyperlink ref="BH661" r:id="rId660" xr:uid="{00000000-0004-0000-0100-000093020000}"/>
    <hyperlink ref="BH662" r:id="rId661" xr:uid="{00000000-0004-0000-0100-000094020000}"/>
    <hyperlink ref="BH663" r:id="rId662" xr:uid="{00000000-0004-0000-0100-000095020000}"/>
    <hyperlink ref="BH664" r:id="rId663" xr:uid="{00000000-0004-0000-0100-000096020000}"/>
    <hyperlink ref="BH665" r:id="rId664" xr:uid="{00000000-0004-0000-0100-000097020000}"/>
    <hyperlink ref="BH666" r:id="rId665" xr:uid="{00000000-0004-0000-0100-000098020000}"/>
    <hyperlink ref="BH667" r:id="rId666" xr:uid="{00000000-0004-0000-0100-000099020000}"/>
    <hyperlink ref="BH668" r:id="rId667" xr:uid="{00000000-0004-0000-0100-00009A020000}"/>
    <hyperlink ref="BV669" r:id="rId668" xr:uid="{00000000-0004-0000-0100-00009B020000}"/>
    <hyperlink ref="AW670" r:id="rId669" xr:uid="{00000000-0004-0000-0100-00009C020000}"/>
    <hyperlink ref="GJ671" r:id="rId670" xr:uid="{00000000-0004-0000-0100-00009D020000}"/>
    <hyperlink ref="FK672" r:id="rId671" xr:uid="{00000000-0004-0000-0100-00009E020000}"/>
    <hyperlink ref="BH673" r:id="rId672" xr:uid="{00000000-0004-0000-0100-00009F020000}"/>
    <hyperlink ref="BH674" r:id="rId673" xr:uid="{00000000-0004-0000-0100-0000A0020000}"/>
    <hyperlink ref="CG675" r:id="rId674" xr:uid="{00000000-0004-0000-0100-0000A1020000}"/>
    <hyperlink ref="ED676" r:id="rId675" xr:uid="{00000000-0004-0000-0100-0000A2020000}"/>
    <hyperlink ref="ED677" r:id="rId676" xr:uid="{00000000-0004-0000-0100-0000A3020000}"/>
    <hyperlink ref="BV678" r:id="rId677" xr:uid="{00000000-0004-0000-0100-0000A4020000}"/>
    <hyperlink ref="AW679" r:id="rId678" xr:uid="{00000000-0004-0000-0100-0000A5020000}"/>
    <hyperlink ref="BH680" r:id="rId679" xr:uid="{00000000-0004-0000-0100-0000A6020000}"/>
    <hyperlink ref="ED681" r:id="rId680" xr:uid="{00000000-0004-0000-0100-0000A7020000}"/>
    <hyperlink ref="BH682" r:id="rId681" xr:uid="{00000000-0004-0000-0100-0000A8020000}"/>
    <hyperlink ref="AW683" r:id="rId682" xr:uid="{00000000-0004-0000-0100-0000A9020000}"/>
    <hyperlink ref="BV684" r:id="rId683" xr:uid="{00000000-0004-0000-0100-0000AA020000}"/>
    <hyperlink ref="BH685" r:id="rId684" xr:uid="{00000000-0004-0000-0100-0000AB020000}"/>
    <hyperlink ref="BH686" r:id="rId685" xr:uid="{00000000-0004-0000-0100-0000AC020000}"/>
    <hyperlink ref="BH687" r:id="rId686" xr:uid="{00000000-0004-0000-0100-0000AD020000}"/>
    <hyperlink ref="AW688" r:id="rId687" xr:uid="{00000000-0004-0000-0100-0000AE020000}"/>
    <hyperlink ref="ED689" r:id="rId688" xr:uid="{00000000-0004-0000-0100-0000AF020000}"/>
    <hyperlink ref="BH690" r:id="rId689" xr:uid="{00000000-0004-0000-0100-0000B0020000}"/>
    <hyperlink ref="BV691" r:id="rId690" xr:uid="{00000000-0004-0000-0100-0000B1020000}"/>
    <hyperlink ref="AW692" r:id="rId691" xr:uid="{00000000-0004-0000-0100-0000B2020000}"/>
    <hyperlink ref="BV693" r:id="rId692" xr:uid="{00000000-0004-0000-0100-0000B3020000}"/>
    <hyperlink ref="BH694" r:id="rId693" xr:uid="{00000000-0004-0000-0100-0000B4020000}"/>
    <hyperlink ref="BH695" r:id="rId694" xr:uid="{00000000-0004-0000-0100-0000B5020000}"/>
    <hyperlink ref="BV696" r:id="rId695" xr:uid="{00000000-0004-0000-0100-0000B6020000}"/>
    <hyperlink ref="BH697" r:id="rId696" xr:uid="{00000000-0004-0000-0100-0000B7020000}"/>
    <hyperlink ref="BH698" r:id="rId697" xr:uid="{00000000-0004-0000-0100-0000B8020000}"/>
    <hyperlink ref="BH699" r:id="rId698" xr:uid="{00000000-0004-0000-0100-0000B9020000}"/>
    <hyperlink ref="BV700" r:id="rId699" xr:uid="{00000000-0004-0000-0100-0000BA020000}"/>
    <hyperlink ref="BH701" r:id="rId700" xr:uid="{00000000-0004-0000-0100-0000BB020000}"/>
    <hyperlink ref="ED702" r:id="rId701" xr:uid="{00000000-0004-0000-0100-0000BC020000}"/>
    <hyperlink ref="AW703" r:id="rId702" xr:uid="{00000000-0004-0000-0100-0000BD020000}"/>
    <hyperlink ref="ED704" r:id="rId703" xr:uid="{00000000-0004-0000-0100-0000BE020000}"/>
    <hyperlink ref="BH705" r:id="rId704" xr:uid="{00000000-0004-0000-0100-0000BF020000}"/>
    <hyperlink ref="ED706" r:id="rId705" xr:uid="{00000000-0004-0000-0100-0000C0020000}"/>
    <hyperlink ref="BH707" r:id="rId706" xr:uid="{00000000-0004-0000-0100-0000C1020000}"/>
    <hyperlink ref="ED708" r:id="rId707" xr:uid="{00000000-0004-0000-0100-0000C2020000}"/>
    <hyperlink ref="BV709" r:id="rId708" xr:uid="{00000000-0004-0000-0100-0000C3020000}"/>
    <hyperlink ref="ED710" r:id="rId709" xr:uid="{00000000-0004-0000-0100-0000C4020000}"/>
    <hyperlink ref="ED711" r:id="rId710" xr:uid="{00000000-0004-0000-0100-0000C5020000}"/>
    <hyperlink ref="BH712" r:id="rId711" xr:uid="{00000000-0004-0000-0100-0000C6020000}"/>
    <hyperlink ref="BV713" r:id="rId712" xr:uid="{00000000-0004-0000-0100-0000C7020000}"/>
    <hyperlink ref="ED714" r:id="rId713" xr:uid="{00000000-0004-0000-0100-0000C8020000}"/>
    <hyperlink ref="BH715" r:id="rId714" xr:uid="{00000000-0004-0000-0100-0000C9020000}"/>
    <hyperlink ref="BH716" r:id="rId715" xr:uid="{00000000-0004-0000-0100-0000CA020000}"/>
    <hyperlink ref="BH717" r:id="rId716" xr:uid="{00000000-0004-0000-0100-0000CB020000}"/>
    <hyperlink ref="BH718" r:id="rId717" xr:uid="{00000000-0004-0000-0100-0000CC020000}"/>
    <hyperlink ref="BH719" r:id="rId718" xr:uid="{00000000-0004-0000-0100-0000CD020000}"/>
    <hyperlink ref="BH720" r:id="rId719" xr:uid="{00000000-0004-0000-0100-0000CE020000}"/>
    <hyperlink ref="AW721" r:id="rId720" xr:uid="{00000000-0004-0000-0100-0000CF020000}"/>
    <hyperlink ref="BH722" r:id="rId721" xr:uid="{00000000-0004-0000-0100-0000D0020000}"/>
    <hyperlink ref="BH723" r:id="rId722" xr:uid="{00000000-0004-0000-0100-0000D1020000}"/>
    <hyperlink ref="BH724" r:id="rId723" xr:uid="{00000000-0004-0000-0100-0000D2020000}"/>
    <hyperlink ref="BH725" r:id="rId724" xr:uid="{00000000-0004-0000-0100-0000D3020000}"/>
    <hyperlink ref="AW726" r:id="rId725" xr:uid="{00000000-0004-0000-0100-0000D4020000}"/>
    <hyperlink ref="BH727" r:id="rId726" xr:uid="{00000000-0004-0000-0100-0000D5020000}"/>
    <hyperlink ref="BH728" r:id="rId727" xr:uid="{00000000-0004-0000-0100-0000D6020000}"/>
    <hyperlink ref="BH729" r:id="rId728" xr:uid="{00000000-0004-0000-0100-0000D7020000}"/>
    <hyperlink ref="BV730" r:id="rId729" xr:uid="{00000000-0004-0000-0100-0000D8020000}"/>
    <hyperlink ref="BH731" r:id="rId730" xr:uid="{00000000-0004-0000-0100-0000D9020000}"/>
    <hyperlink ref="BV732" r:id="rId731" xr:uid="{00000000-0004-0000-0100-0000DA020000}"/>
    <hyperlink ref="AW733" r:id="rId732" xr:uid="{00000000-0004-0000-0100-0000DB020000}"/>
    <hyperlink ref="AW734" r:id="rId733" xr:uid="{00000000-0004-0000-0100-0000DC020000}"/>
    <hyperlink ref="AW735" r:id="rId734" xr:uid="{00000000-0004-0000-0100-0000DD020000}"/>
    <hyperlink ref="AW736" r:id="rId735" xr:uid="{00000000-0004-0000-0100-0000DE020000}"/>
    <hyperlink ref="BH737" r:id="rId736" xr:uid="{00000000-0004-0000-0100-0000DF020000}"/>
    <hyperlink ref="BH738" r:id="rId737" xr:uid="{00000000-0004-0000-0100-0000E0020000}"/>
    <hyperlink ref="CG739" r:id="rId738" xr:uid="{00000000-0004-0000-0100-0000E1020000}"/>
    <hyperlink ref="ED740" r:id="rId739" xr:uid="{00000000-0004-0000-0100-0000E2020000}"/>
    <hyperlink ref="BV741" r:id="rId740" xr:uid="{00000000-0004-0000-0100-0000E3020000}"/>
    <hyperlink ref="ED742" r:id="rId741" xr:uid="{00000000-0004-0000-0100-0000E4020000}"/>
    <hyperlink ref="ED743" r:id="rId742" xr:uid="{00000000-0004-0000-0100-0000E5020000}"/>
    <hyperlink ref="ED744" r:id="rId743" xr:uid="{00000000-0004-0000-0100-0000E6020000}"/>
    <hyperlink ref="ED745" r:id="rId744" xr:uid="{00000000-0004-0000-0100-0000E7020000}"/>
    <hyperlink ref="GJ746" r:id="rId745" xr:uid="{00000000-0004-0000-0100-0000E8020000}"/>
    <hyperlink ref="ED747" r:id="rId746" xr:uid="{00000000-0004-0000-0100-0000E9020000}"/>
    <hyperlink ref="ED748" r:id="rId747" xr:uid="{00000000-0004-0000-0100-0000EA020000}"/>
    <hyperlink ref="AW749" r:id="rId748" xr:uid="{00000000-0004-0000-0100-0000EB020000}"/>
    <hyperlink ref="ED750" r:id="rId749" xr:uid="{00000000-0004-0000-0100-0000EC020000}"/>
    <hyperlink ref="BH751" r:id="rId750" xr:uid="{00000000-0004-0000-0100-0000ED020000}"/>
    <hyperlink ref="BH752" r:id="rId751" xr:uid="{00000000-0004-0000-0100-0000EE020000}"/>
    <hyperlink ref="ED753" r:id="rId752" xr:uid="{00000000-0004-0000-0100-0000EF020000}"/>
    <hyperlink ref="BV754" r:id="rId753" xr:uid="{00000000-0004-0000-0100-0000F0020000}"/>
    <hyperlink ref="AW755" r:id="rId754" xr:uid="{00000000-0004-0000-0100-0000F1020000}"/>
    <hyperlink ref="BH756" r:id="rId755" xr:uid="{00000000-0004-0000-0100-0000F2020000}"/>
    <hyperlink ref="BH757" r:id="rId756" xr:uid="{00000000-0004-0000-0100-0000F3020000}"/>
    <hyperlink ref="BH758" r:id="rId757" xr:uid="{00000000-0004-0000-0100-0000F4020000}"/>
    <hyperlink ref="ED759" r:id="rId758" xr:uid="{00000000-0004-0000-0100-0000F5020000}"/>
    <hyperlink ref="GJ760" r:id="rId759" xr:uid="{00000000-0004-0000-0100-0000F6020000}"/>
    <hyperlink ref="BV761" r:id="rId760" xr:uid="{00000000-0004-0000-0100-0000F7020000}"/>
    <hyperlink ref="BH762" r:id="rId761" xr:uid="{00000000-0004-0000-0100-0000F8020000}"/>
    <hyperlink ref="BH763" r:id="rId762" xr:uid="{00000000-0004-0000-0100-0000F9020000}"/>
    <hyperlink ref="BV764" r:id="rId763" xr:uid="{00000000-0004-0000-0100-0000FA020000}"/>
    <hyperlink ref="BV765" r:id="rId764" xr:uid="{00000000-0004-0000-0100-0000FB020000}"/>
    <hyperlink ref="BV766" r:id="rId765" xr:uid="{00000000-0004-0000-0100-0000FC020000}"/>
    <hyperlink ref="BV767" r:id="rId766" xr:uid="{00000000-0004-0000-0100-0000FD020000}"/>
    <hyperlink ref="BH768" r:id="rId767" xr:uid="{00000000-0004-0000-0100-0000FE020000}"/>
    <hyperlink ref="BH769" r:id="rId768" xr:uid="{00000000-0004-0000-0100-0000FF020000}"/>
    <hyperlink ref="BH770" r:id="rId769" xr:uid="{00000000-0004-0000-0100-000000030000}"/>
    <hyperlink ref="AW771" r:id="rId770" xr:uid="{00000000-0004-0000-0100-000001030000}"/>
    <hyperlink ref="GJ772" r:id="rId771" xr:uid="{00000000-0004-0000-0100-000002030000}"/>
    <hyperlink ref="BH773" r:id="rId772" xr:uid="{00000000-0004-0000-0100-000003030000}"/>
    <hyperlink ref="BH774" r:id="rId773" xr:uid="{00000000-0004-0000-0100-000004030000}"/>
    <hyperlink ref="BH775" r:id="rId774" xr:uid="{00000000-0004-0000-0100-000005030000}"/>
    <hyperlink ref="BH776" r:id="rId775" xr:uid="{00000000-0004-0000-0100-000006030000}"/>
    <hyperlink ref="BH777" r:id="rId776" xr:uid="{00000000-0004-0000-0100-000007030000}"/>
    <hyperlink ref="BH778" r:id="rId777" xr:uid="{00000000-0004-0000-0100-000008030000}"/>
    <hyperlink ref="BH779" r:id="rId778" xr:uid="{00000000-0004-0000-0100-000009030000}"/>
    <hyperlink ref="BH780" r:id="rId779" xr:uid="{00000000-0004-0000-0100-00000A030000}"/>
    <hyperlink ref="BH781" r:id="rId780" xr:uid="{00000000-0004-0000-0100-00000B030000}"/>
    <hyperlink ref="BH782" r:id="rId781" xr:uid="{00000000-0004-0000-0100-00000C030000}"/>
    <hyperlink ref="AW783" r:id="rId782" xr:uid="{00000000-0004-0000-0100-00000D030000}"/>
    <hyperlink ref="AW784" r:id="rId783" xr:uid="{00000000-0004-0000-0100-00000E030000}"/>
    <hyperlink ref="BV785" r:id="rId784" xr:uid="{00000000-0004-0000-0100-00000F030000}"/>
    <hyperlink ref="ED786" r:id="rId785" xr:uid="{00000000-0004-0000-0100-000010030000}"/>
    <hyperlink ref="BQ787" r:id="rId786" xr:uid="{00000000-0004-0000-0100-000011030000}"/>
    <hyperlink ref="BV787" r:id="rId787" xr:uid="{00000000-0004-0000-0100-000012030000}"/>
    <hyperlink ref="BH788" r:id="rId788" xr:uid="{00000000-0004-0000-0100-000013030000}"/>
    <hyperlink ref="BQ789" r:id="rId789" xr:uid="{00000000-0004-0000-0100-000014030000}"/>
    <hyperlink ref="BV789" r:id="rId790" xr:uid="{00000000-0004-0000-0100-000015030000}"/>
    <hyperlink ref="GJ790" r:id="rId791" xr:uid="{00000000-0004-0000-0100-000016030000}"/>
    <hyperlink ref="BH791" r:id="rId792" xr:uid="{00000000-0004-0000-0100-000017030000}"/>
    <hyperlink ref="GJ792" r:id="rId793" xr:uid="{00000000-0004-0000-0100-000018030000}"/>
    <hyperlink ref="BH793" r:id="rId794" xr:uid="{00000000-0004-0000-0100-000019030000}"/>
    <hyperlink ref="ED794" r:id="rId795" xr:uid="{00000000-0004-0000-0100-00001A030000}"/>
    <hyperlink ref="AW795" r:id="rId796" xr:uid="{00000000-0004-0000-0100-00001B030000}"/>
    <hyperlink ref="BH796" r:id="rId797" xr:uid="{00000000-0004-0000-0100-00001C030000}"/>
    <hyperlink ref="BV797" r:id="rId798" xr:uid="{00000000-0004-0000-0100-00001D030000}"/>
    <hyperlink ref="BH798" r:id="rId799" xr:uid="{00000000-0004-0000-0100-00001E030000}"/>
    <hyperlink ref="BH799" r:id="rId800" xr:uid="{00000000-0004-0000-0100-00001F030000}"/>
    <hyperlink ref="AW800" r:id="rId801" xr:uid="{00000000-0004-0000-0100-000020030000}"/>
    <hyperlink ref="BH801" r:id="rId802" xr:uid="{00000000-0004-0000-0100-000021030000}"/>
    <hyperlink ref="BH802" r:id="rId803" xr:uid="{00000000-0004-0000-0100-000022030000}"/>
    <hyperlink ref="BH803" r:id="rId804" xr:uid="{00000000-0004-0000-0100-000023030000}"/>
    <hyperlink ref="BH804" r:id="rId805" xr:uid="{00000000-0004-0000-0100-000024030000}"/>
    <hyperlink ref="BH805" r:id="rId806" xr:uid="{00000000-0004-0000-0100-000025030000}"/>
    <hyperlink ref="BH806" r:id="rId807" xr:uid="{00000000-0004-0000-0100-000026030000}"/>
    <hyperlink ref="BV807" r:id="rId808" xr:uid="{00000000-0004-0000-0100-000027030000}"/>
    <hyperlink ref="FY808" r:id="rId809" xr:uid="{00000000-0004-0000-0100-000028030000}"/>
    <hyperlink ref="GJ809" r:id="rId810" xr:uid="{00000000-0004-0000-0100-000029030000}"/>
    <hyperlink ref="BH810" r:id="rId811" xr:uid="{00000000-0004-0000-0100-00002A030000}"/>
    <hyperlink ref="BH811" r:id="rId812" xr:uid="{00000000-0004-0000-0100-00002B030000}"/>
    <hyperlink ref="BH812" r:id="rId813" xr:uid="{00000000-0004-0000-0100-00002C030000}"/>
    <hyperlink ref="AW813" r:id="rId814" xr:uid="{00000000-0004-0000-0100-00002D030000}"/>
    <hyperlink ref="ED814" r:id="rId815" xr:uid="{00000000-0004-0000-0100-00002E030000}"/>
    <hyperlink ref="BH815" r:id="rId816" xr:uid="{00000000-0004-0000-0100-00002F030000}"/>
    <hyperlink ref="BH816" r:id="rId817" xr:uid="{00000000-0004-0000-0100-000030030000}"/>
    <hyperlink ref="BH817" r:id="rId818" xr:uid="{00000000-0004-0000-0100-000031030000}"/>
    <hyperlink ref="AW818" r:id="rId819" xr:uid="{00000000-0004-0000-0100-000032030000}"/>
    <hyperlink ref="BH819" r:id="rId820" xr:uid="{00000000-0004-0000-0100-000033030000}"/>
    <hyperlink ref="BH820" r:id="rId821" xr:uid="{00000000-0004-0000-0100-000034030000}"/>
    <hyperlink ref="ED821" r:id="rId822" xr:uid="{00000000-0004-0000-0100-000035030000}"/>
    <hyperlink ref="BH822" r:id="rId823" xr:uid="{00000000-0004-0000-0100-000036030000}"/>
    <hyperlink ref="BH823" r:id="rId824" xr:uid="{00000000-0004-0000-0100-000037030000}"/>
    <hyperlink ref="BH824" r:id="rId825" xr:uid="{00000000-0004-0000-0100-000038030000}"/>
    <hyperlink ref="BH825" r:id="rId826" xr:uid="{00000000-0004-0000-0100-000039030000}"/>
    <hyperlink ref="BH826" r:id="rId827" xr:uid="{00000000-0004-0000-0100-00003A030000}"/>
    <hyperlink ref="BH827" r:id="rId828" xr:uid="{00000000-0004-0000-0100-00003B030000}"/>
    <hyperlink ref="BH828" r:id="rId829" xr:uid="{00000000-0004-0000-0100-00003C030000}"/>
    <hyperlink ref="AW829" r:id="rId830" xr:uid="{00000000-0004-0000-0100-00003D030000}"/>
    <hyperlink ref="BH830" r:id="rId831" xr:uid="{00000000-0004-0000-0100-00003E030000}"/>
    <hyperlink ref="BH831" r:id="rId832" xr:uid="{00000000-0004-0000-0100-00003F030000}"/>
    <hyperlink ref="BH832" r:id="rId833" xr:uid="{00000000-0004-0000-0100-000040030000}"/>
    <hyperlink ref="BH833" r:id="rId834" xr:uid="{00000000-0004-0000-0100-000041030000}"/>
    <hyperlink ref="AW834" r:id="rId835" xr:uid="{00000000-0004-0000-0100-000042030000}"/>
    <hyperlink ref="AW835" r:id="rId836" xr:uid="{00000000-0004-0000-0100-000043030000}"/>
    <hyperlink ref="BH836" r:id="rId837" xr:uid="{00000000-0004-0000-0100-000044030000}"/>
    <hyperlink ref="BH837" r:id="rId838" xr:uid="{00000000-0004-0000-0100-000045030000}"/>
    <hyperlink ref="GJ838" r:id="rId839" xr:uid="{00000000-0004-0000-0100-000046030000}"/>
    <hyperlink ref="BV839" r:id="rId840" xr:uid="{00000000-0004-0000-0100-000047030000}"/>
    <hyperlink ref="BH840" r:id="rId841" xr:uid="{00000000-0004-0000-0100-000048030000}"/>
    <hyperlink ref="ED841" r:id="rId842" xr:uid="{00000000-0004-0000-0100-000049030000}"/>
    <hyperlink ref="BH842" r:id="rId843" xr:uid="{00000000-0004-0000-0100-00004A030000}"/>
    <hyperlink ref="BV843" r:id="rId844" xr:uid="{00000000-0004-0000-0100-00004B030000}"/>
    <hyperlink ref="AW844" r:id="rId845" xr:uid="{00000000-0004-0000-0100-00004C030000}"/>
    <hyperlink ref="GJ845" r:id="rId846" xr:uid="{00000000-0004-0000-0100-00004D030000}"/>
    <hyperlink ref="BH846" r:id="rId847" xr:uid="{00000000-0004-0000-0100-00004E030000}"/>
    <hyperlink ref="BH847" r:id="rId848" xr:uid="{00000000-0004-0000-0100-00004F030000}"/>
    <hyperlink ref="BH848" r:id="rId849" xr:uid="{00000000-0004-0000-0100-000050030000}"/>
    <hyperlink ref="BH849" r:id="rId850" xr:uid="{00000000-0004-0000-0100-000051030000}"/>
    <hyperlink ref="BH850" r:id="rId851" xr:uid="{00000000-0004-0000-0100-000052030000}"/>
    <hyperlink ref="BH851" r:id="rId852" xr:uid="{00000000-0004-0000-0100-000053030000}"/>
    <hyperlink ref="BH852" r:id="rId853" xr:uid="{00000000-0004-0000-0100-000054030000}"/>
    <hyperlink ref="AW853" r:id="rId854" xr:uid="{00000000-0004-0000-0100-000055030000}"/>
    <hyperlink ref="BV854" r:id="rId855" xr:uid="{00000000-0004-0000-0100-000056030000}"/>
    <hyperlink ref="BH855" r:id="rId856" xr:uid="{00000000-0004-0000-0100-000057030000}"/>
    <hyperlink ref="BH856" r:id="rId857" xr:uid="{00000000-0004-0000-0100-000058030000}"/>
    <hyperlink ref="BH857" r:id="rId858" xr:uid="{00000000-0004-0000-0100-000059030000}"/>
    <hyperlink ref="BV858" r:id="rId859" xr:uid="{00000000-0004-0000-0100-00005A030000}"/>
    <hyperlink ref="AW859" r:id="rId860" xr:uid="{00000000-0004-0000-0100-00005B030000}"/>
    <hyperlink ref="BH860" r:id="rId861" xr:uid="{00000000-0004-0000-0100-00005C030000}"/>
    <hyperlink ref="BV861" r:id="rId862" xr:uid="{00000000-0004-0000-0100-00005D030000}"/>
    <hyperlink ref="BH862" r:id="rId863" xr:uid="{00000000-0004-0000-0100-00005E030000}"/>
    <hyperlink ref="BH863" r:id="rId864" xr:uid="{00000000-0004-0000-0100-00005F030000}"/>
    <hyperlink ref="BH864" r:id="rId865" xr:uid="{00000000-0004-0000-0100-000060030000}"/>
    <hyperlink ref="AW865" r:id="rId866" xr:uid="{00000000-0004-0000-0100-000061030000}"/>
    <hyperlink ref="AW866" r:id="rId867" xr:uid="{00000000-0004-0000-0100-000062030000}"/>
    <hyperlink ref="AW867" r:id="rId868" xr:uid="{00000000-0004-0000-0100-000063030000}"/>
    <hyperlink ref="AW868" r:id="rId869" xr:uid="{00000000-0004-0000-0100-000064030000}"/>
    <hyperlink ref="BH869" r:id="rId870" xr:uid="{00000000-0004-0000-0100-000065030000}"/>
    <hyperlink ref="AW870" r:id="rId871" xr:uid="{00000000-0004-0000-0100-000066030000}"/>
    <hyperlink ref="CG871" r:id="rId872" xr:uid="{00000000-0004-0000-0100-000067030000}"/>
    <hyperlink ref="AW872" r:id="rId873" xr:uid="{00000000-0004-0000-0100-000068030000}"/>
    <hyperlink ref="BV873" r:id="rId874" xr:uid="{00000000-0004-0000-0100-000069030000}"/>
    <hyperlink ref="AW874" r:id="rId875" xr:uid="{00000000-0004-0000-0100-00006A030000}"/>
    <hyperlink ref="ED875" r:id="rId876" xr:uid="{00000000-0004-0000-0100-00006B030000}"/>
    <hyperlink ref="BH876" r:id="rId877" xr:uid="{00000000-0004-0000-0100-00006C030000}"/>
    <hyperlink ref="BH877" r:id="rId878" xr:uid="{00000000-0004-0000-0100-00006D030000}"/>
    <hyperlink ref="BH878" r:id="rId879" xr:uid="{00000000-0004-0000-0100-00006E030000}"/>
    <hyperlink ref="BH879" r:id="rId880" xr:uid="{00000000-0004-0000-0100-00006F030000}"/>
    <hyperlink ref="BH880" r:id="rId881" xr:uid="{00000000-0004-0000-0100-000070030000}"/>
    <hyperlink ref="ED881" r:id="rId882" xr:uid="{00000000-0004-0000-0100-000071030000}"/>
    <hyperlink ref="BH882" r:id="rId883" xr:uid="{00000000-0004-0000-0100-000072030000}"/>
    <hyperlink ref="BV883" r:id="rId884" xr:uid="{00000000-0004-0000-0100-000073030000}"/>
    <hyperlink ref="BV884" r:id="rId885" xr:uid="{00000000-0004-0000-0100-000074030000}"/>
    <hyperlink ref="BH885" r:id="rId886" xr:uid="{00000000-0004-0000-0100-000075030000}"/>
    <hyperlink ref="BH886" r:id="rId887" xr:uid="{00000000-0004-0000-0100-000076030000}"/>
    <hyperlink ref="BH887" r:id="rId888" xr:uid="{00000000-0004-0000-0100-000077030000}"/>
    <hyperlink ref="ED888" r:id="rId889" xr:uid="{00000000-0004-0000-0100-000078030000}"/>
    <hyperlink ref="AW889" r:id="rId890" xr:uid="{00000000-0004-0000-0100-000079030000}"/>
    <hyperlink ref="AW890" r:id="rId891" xr:uid="{00000000-0004-0000-0100-00007A030000}"/>
    <hyperlink ref="BH891" r:id="rId892" xr:uid="{00000000-0004-0000-0100-00007B030000}"/>
    <hyperlink ref="AW892" r:id="rId893" xr:uid="{00000000-0004-0000-0100-00007C030000}"/>
    <hyperlink ref="BH893" r:id="rId894" xr:uid="{00000000-0004-0000-0100-00007D030000}"/>
    <hyperlink ref="BH894" r:id="rId895" xr:uid="{00000000-0004-0000-0100-00007E030000}"/>
    <hyperlink ref="BH895" r:id="rId896" xr:uid="{00000000-0004-0000-0100-00007F030000}"/>
    <hyperlink ref="AW896" r:id="rId897" xr:uid="{00000000-0004-0000-0100-000080030000}"/>
    <hyperlink ref="BH897" r:id="rId898" xr:uid="{00000000-0004-0000-0100-000081030000}"/>
    <hyperlink ref="AW898" r:id="rId899" xr:uid="{00000000-0004-0000-0100-000082030000}"/>
    <hyperlink ref="AW899" r:id="rId900" xr:uid="{00000000-0004-0000-0100-000083030000}"/>
    <hyperlink ref="AW900" r:id="rId901" xr:uid="{00000000-0004-0000-0100-000084030000}"/>
    <hyperlink ref="AW901" r:id="rId902" xr:uid="{00000000-0004-0000-0100-000085030000}"/>
    <hyperlink ref="AW902" r:id="rId903" xr:uid="{00000000-0004-0000-0100-000086030000}"/>
    <hyperlink ref="AW903" r:id="rId904" xr:uid="{00000000-0004-0000-0100-000087030000}"/>
    <hyperlink ref="AW904" r:id="rId905" xr:uid="{00000000-0004-0000-0100-000088030000}"/>
    <hyperlink ref="BH905" r:id="rId906" xr:uid="{00000000-0004-0000-0100-000089030000}"/>
    <hyperlink ref="BH906" r:id="rId907" xr:uid="{00000000-0004-0000-0100-00008A030000}"/>
    <hyperlink ref="BH907" r:id="rId908" xr:uid="{00000000-0004-0000-0100-00008B030000}"/>
    <hyperlink ref="BV908" r:id="rId909" xr:uid="{00000000-0004-0000-0100-00008C030000}"/>
    <hyperlink ref="BH909" r:id="rId910" xr:uid="{00000000-0004-0000-0100-00008D030000}"/>
    <hyperlink ref="BH910" r:id="rId911" xr:uid="{00000000-0004-0000-0100-00008E030000}"/>
    <hyperlink ref="AW911" r:id="rId912" xr:uid="{00000000-0004-0000-0100-00008F030000}"/>
    <hyperlink ref="BV912" r:id="rId913" xr:uid="{00000000-0004-0000-0100-000090030000}"/>
    <hyperlink ref="BH913" r:id="rId914" xr:uid="{00000000-0004-0000-0100-000091030000}"/>
    <hyperlink ref="BH914" r:id="rId915" xr:uid="{00000000-0004-0000-0100-000092030000}"/>
    <hyperlink ref="BH915" r:id="rId916" xr:uid="{00000000-0004-0000-0100-000093030000}"/>
    <hyperlink ref="ED916" r:id="rId917" xr:uid="{00000000-0004-0000-0100-000094030000}"/>
    <hyperlink ref="AW917" r:id="rId918" xr:uid="{00000000-0004-0000-0100-000095030000}"/>
    <hyperlink ref="BH918" r:id="rId919" xr:uid="{00000000-0004-0000-0100-000096030000}"/>
    <hyperlink ref="ED919" r:id="rId920" xr:uid="{00000000-0004-0000-0100-000097030000}"/>
    <hyperlink ref="BH920" r:id="rId921" xr:uid="{00000000-0004-0000-0100-000098030000}"/>
    <hyperlink ref="BH921" r:id="rId922" xr:uid="{00000000-0004-0000-0100-000099030000}"/>
    <hyperlink ref="AW922" r:id="rId923" xr:uid="{00000000-0004-0000-0100-00009A030000}"/>
    <hyperlink ref="BH923" r:id="rId924" xr:uid="{00000000-0004-0000-0100-00009B030000}"/>
    <hyperlink ref="BH924" r:id="rId925" xr:uid="{00000000-0004-0000-0100-00009C030000}"/>
    <hyperlink ref="BH925" r:id="rId926" xr:uid="{00000000-0004-0000-0100-00009D030000}"/>
    <hyperlink ref="BH926" r:id="rId927" xr:uid="{00000000-0004-0000-0100-00009E030000}"/>
    <hyperlink ref="BH927" r:id="rId928" xr:uid="{00000000-0004-0000-0100-00009F030000}"/>
    <hyperlink ref="AW928" r:id="rId929" xr:uid="{00000000-0004-0000-0100-0000A0030000}"/>
    <hyperlink ref="AW929" r:id="rId930" xr:uid="{00000000-0004-0000-0100-0000A1030000}"/>
    <hyperlink ref="BH930" r:id="rId931" xr:uid="{00000000-0004-0000-0100-0000A2030000}"/>
    <hyperlink ref="AW931" r:id="rId932" xr:uid="{00000000-0004-0000-0100-0000A3030000}"/>
    <hyperlink ref="BV932" r:id="rId933" xr:uid="{00000000-0004-0000-0100-0000A4030000}"/>
    <hyperlink ref="BH933" r:id="rId934" xr:uid="{00000000-0004-0000-0100-0000A5030000}"/>
    <hyperlink ref="BH934" r:id="rId935" xr:uid="{00000000-0004-0000-0100-0000A6030000}"/>
    <hyperlink ref="BH935" r:id="rId936" xr:uid="{00000000-0004-0000-0100-0000A7030000}"/>
    <hyperlink ref="BH936" r:id="rId937" xr:uid="{00000000-0004-0000-0100-0000A8030000}"/>
    <hyperlink ref="BH937" r:id="rId938" xr:uid="{00000000-0004-0000-0100-0000A9030000}"/>
    <hyperlink ref="BH938" r:id="rId939" xr:uid="{00000000-0004-0000-0100-0000AA030000}"/>
    <hyperlink ref="BH939" r:id="rId940" xr:uid="{00000000-0004-0000-0100-0000AB030000}"/>
    <hyperlink ref="BH940" r:id="rId941" xr:uid="{00000000-0004-0000-0100-0000AC030000}"/>
    <hyperlink ref="BH941" r:id="rId942" xr:uid="{00000000-0004-0000-0100-0000AD030000}"/>
    <hyperlink ref="BH942" r:id="rId943" xr:uid="{00000000-0004-0000-0100-0000AE030000}"/>
    <hyperlink ref="BH943" r:id="rId944" xr:uid="{00000000-0004-0000-0100-0000AF030000}"/>
    <hyperlink ref="BH944" r:id="rId945" xr:uid="{00000000-0004-0000-0100-0000B0030000}"/>
    <hyperlink ref="BH945" r:id="rId946" xr:uid="{00000000-0004-0000-0100-0000B1030000}"/>
    <hyperlink ref="BH946" r:id="rId947" xr:uid="{00000000-0004-0000-0100-0000B2030000}"/>
    <hyperlink ref="BH947" r:id="rId948" xr:uid="{00000000-0004-0000-0100-0000B3030000}"/>
    <hyperlink ref="BH948" r:id="rId949" xr:uid="{00000000-0004-0000-0100-0000B4030000}"/>
    <hyperlink ref="AW949" r:id="rId950" xr:uid="{00000000-0004-0000-0100-0000B5030000}"/>
    <hyperlink ref="BH950" r:id="rId951" xr:uid="{00000000-0004-0000-0100-0000B6030000}"/>
    <hyperlink ref="BH951" r:id="rId952" xr:uid="{00000000-0004-0000-0100-0000B7030000}"/>
    <hyperlink ref="AW952" r:id="rId953" xr:uid="{00000000-0004-0000-0100-0000B8030000}"/>
    <hyperlink ref="AW953" r:id="rId954" xr:uid="{00000000-0004-0000-0100-0000B9030000}"/>
    <hyperlink ref="GJ954" r:id="rId955" xr:uid="{00000000-0004-0000-0100-0000BA030000}"/>
    <hyperlink ref="BH955" r:id="rId956" xr:uid="{00000000-0004-0000-0100-0000BB030000}"/>
    <hyperlink ref="GJ956" r:id="rId957" xr:uid="{00000000-0004-0000-0100-0000BC030000}"/>
    <hyperlink ref="GJ957" r:id="rId958" xr:uid="{00000000-0004-0000-0100-0000BD030000}"/>
    <hyperlink ref="AW958" r:id="rId959" xr:uid="{00000000-0004-0000-0100-0000BE030000}"/>
    <hyperlink ref="AW959" r:id="rId960" xr:uid="{00000000-0004-0000-0100-0000BF030000}"/>
    <hyperlink ref="BH960" r:id="rId961" xr:uid="{00000000-0004-0000-0100-0000C0030000}"/>
    <hyperlink ref="BV961" r:id="rId962" xr:uid="{00000000-0004-0000-0100-0000C1030000}"/>
    <hyperlink ref="AW962" r:id="rId963" xr:uid="{00000000-0004-0000-0100-0000C2030000}"/>
    <hyperlink ref="AW963" r:id="rId964" xr:uid="{00000000-0004-0000-0100-0000C3030000}"/>
    <hyperlink ref="AW964" r:id="rId965" xr:uid="{00000000-0004-0000-0100-0000C4030000}"/>
    <hyperlink ref="BV965" r:id="rId966" xr:uid="{00000000-0004-0000-0100-0000C5030000}"/>
    <hyperlink ref="AW966" r:id="rId967" xr:uid="{00000000-0004-0000-0100-0000C6030000}"/>
    <hyperlink ref="GJ967" r:id="rId968" xr:uid="{00000000-0004-0000-0100-0000C7030000}"/>
    <hyperlink ref="AW968" r:id="rId969" xr:uid="{00000000-0004-0000-0100-0000C8030000}"/>
    <hyperlink ref="GJ969" r:id="rId970" xr:uid="{00000000-0004-0000-0100-0000C9030000}"/>
    <hyperlink ref="AW970" r:id="rId971" xr:uid="{00000000-0004-0000-0100-0000CA030000}"/>
    <hyperlink ref="AW971" r:id="rId972" xr:uid="{00000000-0004-0000-0100-0000CB030000}"/>
    <hyperlink ref="BH972" r:id="rId973" xr:uid="{00000000-0004-0000-0100-0000CC030000}"/>
    <hyperlink ref="BH973" r:id="rId974" xr:uid="{00000000-0004-0000-0100-0000CD030000}"/>
    <hyperlink ref="BH974" r:id="rId975" xr:uid="{00000000-0004-0000-0100-0000CE030000}"/>
    <hyperlink ref="AW975" r:id="rId976" xr:uid="{00000000-0004-0000-0100-0000CF030000}"/>
    <hyperlink ref="BH976" r:id="rId977" xr:uid="{00000000-0004-0000-0100-0000D0030000}"/>
    <hyperlink ref="BH977" r:id="rId978" xr:uid="{00000000-0004-0000-0100-0000D1030000}"/>
    <hyperlink ref="BH978" r:id="rId979" xr:uid="{00000000-0004-0000-0100-0000D2030000}"/>
    <hyperlink ref="GJ979" r:id="rId980" xr:uid="{00000000-0004-0000-0100-0000D3030000}"/>
    <hyperlink ref="GJ980" r:id="rId981" xr:uid="{00000000-0004-0000-0100-0000D4030000}"/>
    <hyperlink ref="GJ981" r:id="rId982" xr:uid="{00000000-0004-0000-0100-0000D5030000}"/>
    <hyperlink ref="GJ982" r:id="rId983" xr:uid="{00000000-0004-0000-0100-0000D6030000}"/>
    <hyperlink ref="AW983" r:id="rId984" xr:uid="{00000000-0004-0000-0100-0000D7030000}"/>
    <hyperlink ref="BH984" r:id="rId985" xr:uid="{00000000-0004-0000-0100-0000D8030000}"/>
    <hyperlink ref="BH985" r:id="rId986" xr:uid="{00000000-0004-0000-0100-0000D9030000}"/>
    <hyperlink ref="BH986" r:id="rId987" xr:uid="{00000000-0004-0000-0100-0000DA030000}"/>
    <hyperlink ref="BH987" r:id="rId988" xr:uid="{00000000-0004-0000-0100-0000DB030000}"/>
    <hyperlink ref="AW988" r:id="rId989" xr:uid="{00000000-0004-0000-0100-0000DC030000}"/>
    <hyperlink ref="GJ989" r:id="rId990" xr:uid="{00000000-0004-0000-0100-0000DD030000}"/>
    <hyperlink ref="BV990" r:id="rId991" xr:uid="{00000000-0004-0000-0100-0000DE030000}"/>
    <hyperlink ref="BH991" r:id="rId992" xr:uid="{00000000-0004-0000-0100-0000DF030000}"/>
    <hyperlink ref="BH992" r:id="rId993" xr:uid="{00000000-0004-0000-0100-0000E0030000}"/>
    <hyperlink ref="AW993" r:id="rId994" xr:uid="{00000000-0004-0000-0100-0000E1030000}"/>
    <hyperlink ref="AW994" r:id="rId995" xr:uid="{00000000-0004-0000-0100-0000E2030000}"/>
    <hyperlink ref="AW995" r:id="rId996" xr:uid="{00000000-0004-0000-0100-0000E3030000}"/>
    <hyperlink ref="BH996" r:id="rId997" xr:uid="{00000000-0004-0000-0100-0000E4030000}"/>
    <hyperlink ref="BH997" r:id="rId998" xr:uid="{00000000-0004-0000-0100-0000E5030000}"/>
    <hyperlink ref="BH998" r:id="rId999" xr:uid="{00000000-0004-0000-0100-0000E6030000}"/>
    <hyperlink ref="AW999" r:id="rId1000" xr:uid="{00000000-0004-0000-0100-0000E7030000}"/>
    <hyperlink ref="BH1000" r:id="rId1001" xr:uid="{00000000-0004-0000-0100-0000E8030000}"/>
    <hyperlink ref="BH1001" r:id="rId1002" xr:uid="{00000000-0004-0000-0100-0000E9030000}"/>
    <hyperlink ref="BH1002" r:id="rId1003" xr:uid="{00000000-0004-0000-0100-0000EA030000}"/>
    <hyperlink ref="BH1003" r:id="rId1004" xr:uid="{00000000-0004-0000-0100-0000EB030000}"/>
    <hyperlink ref="BH1004" r:id="rId1005" xr:uid="{00000000-0004-0000-0100-0000EC030000}"/>
    <hyperlink ref="BH1005" r:id="rId1006" xr:uid="{00000000-0004-0000-0100-0000ED030000}"/>
    <hyperlink ref="BH1006" r:id="rId1007" xr:uid="{00000000-0004-0000-0100-0000EE030000}"/>
    <hyperlink ref="AW1007" r:id="rId1008" xr:uid="{00000000-0004-0000-0100-0000EF030000}"/>
    <hyperlink ref="BH1008" r:id="rId1009" xr:uid="{00000000-0004-0000-0100-0000F0030000}"/>
    <hyperlink ref="AW1009" r:id="rId1010" xr:uid="{00000000-0004-0000-0100-0000F1030000}"/>
    <hyperlink ref="BH1010" r:id="rId1011" xr:uid="{00000000-0004-0000-0100-0000F2030000}"/>
    <hyperlink ref="BH1011" r:id="rId1012" xr:uid="{00000000-0004-0000-0100-0000F3030000}"/>
    <hyperlink ref="AW1012" r:id="rId1013" xr:uid="{00000000-0004-0000-0100-0000F4030000}"/>
    <hyperlink ref="AW1013" r:id="rId1014" xr:uid="{00000000-0004-0000-0100-0000F5030000}"/>
    <hyperlink ref="BH1014" r:id="rId1015" xr:uid="{00000000-0004-0000-0100-0000F6030000}"/>
    <hyperlink ref="BH1015" r:id="rId1016" xr:uid="{00000000-0004-0000-0100-0000F7030000}"/>
    <hyperlink ref="BH1016" r:id="rId1017" xr:uid="{00000000-0004-0000-0100-0000F8030000}"/>
    <hyperlink ref="ED1017" r:id="rId1018" xr:uid="{00000000-0004-0000-0100-0000F9030000}"/>
    <hyperlink ref="AW1018" r:id="rId1019" xr:uid="{00000000-0004-0000-0100-0000FA030000}"/>
    <hyperlink ref="ED1019" r:id="rId1020" xr:uid="{00000000-0004-0000-0100-0000FB030000}"/>
    <hyperlink ref="ED1020" r:id="rId1021" xr:uid="{00000000-0004-0000-0100-0000FC030000}"/>
    <hyperlink ref="BH1021" r:id="rId1022" xr:uid="{00000000-0004-0000-0100-0000FD030000}"/>
    <hyperlink ref="AW1022" r:id="rId1023" xr:uid="{00000000-0004-0000-0100-0000FE030000}"/>
    <hyperlink ref="CG1023" r:id="rId1024" xr:uid="{00000000-0004-0000-0100-0000FF030000}"/>
    <hyperlink ref="BH1024" r:id="rId1025" xr:uid="{00000000-0004-0000-0100-000000040000}"/>
    <hyperlink ref="BH1025" r:id="rId1026" xr:uid="{00000000-0004-0000-0100-000001040000}"/>
    <hyperlink ref="BH1026" r:id="rId1027" xr:uid="{00000000-0004-0000-0100-000002040000}"/>
    <hyperlink ref="AW1027" r:id="rId1028" xr:uid="{00000000-0004-0000-0100-000003040000}"/>
    <hyperlink ref="AW1028" r:id="rId1029" xr:uid="{00000000-0004-0000-0100-000004040000}"/>
    <hyperlink ref="BH1029" r:id="rId1030" xr:uid="{00000000-0004-0000-0100-000005040000}"/>
    <hyperlink ref="AW1030" r:id="rId1031" xr:uid="{00000000-0004-0000-0100-000006040000}"/>
    <hyperlink ref="BH1031" r:id="rId1032" xr:uid="{00000000-0004-0000-0100-000007040000}"/>
    <hyperlink ref="AW1032" r:id="rId1033" xr:uid="{00000000-0004-0000-0100-000008040000}"/>
    <hyperlink ref="AW1034" r:id="rId1034" xr:uid="{00000000-0004-0000-0100-000009040000}"/>
    <hyperlink ref="BH1035" r:id="rId1035" xr:uid="{00000000-0004-0000-0100-00000A040000}"/>
    <hyperlink ref="AW1036" r:id="rId1036" xr:uid="{00000000-0004-0000-0100-00000B040000}"/>
    <hyperlink ref="BH1037" r:id="rId1037" xr:uid="{00000000-0004-0000-0100-00000C040000}"/>
    <hyperlink ref="BH1038" r:id="rId1038" xr:uid="{00000000-0004-0000-0100-00000D040000}"/>
    <hyperlink ref="AW1039" r:id="rId1039" xr:uid="{00000000-0004-0000-0100-00000E040000}"/>
    <hyperlink ref="BH1040" r:id="rId1040" xr:uid="{00000000-0004-0000-0100-00000F040000}"/>
    <hyperlink ref="BH1041" r:id="rId1041" xr:uid="{00000000-0004-0000-0100-000010040000}"/>
    <hyperlink ref="BH1042" r:id="rId1042" xr:uid="{00000000-0004-0000-0100-000011040000}"/>
    <hyperlink ref="AW1043" r:id="rId1043" xr:uid="{00000000-0004-0000-0100-000012040000}"/>
    <hyperlink ref="AW1044" r:id="rId1044" xr:uid="{00000000-0004-0000-0100-000013040000}"/>
    <hyperlink ref="AW1045" r:id="rId1045" xr:uid="{00000000-0004-0000-0100-000014040000}"/>
    <hyperlink ref="BH1046" r:id="rId1046" xr:uid="{00000000-0004-0000-0100-000015040000}"/>
    <hyperlink ref="AW1047" r:id="rId1047" xr:uid="{00000000-0004-0000-0100-000016040000}"/>
    <hyperlink ref="BH1048" r:id="rId1048" xr:uid="{00000000-0004-0000-0100-000017040000}"/>
    <hyperlink ref="BH1049" r:id="rId1049" xr:uid="{00000000-0004-0000-0100-000018040000}"/>
    <hyperlink ref="BH1050" r:id="rId1050" xr:uid="{00000000-0004-0000-0100-000019040000}"/>
    <hyperlink ref="BH1051" r:id="rId1051" xr:uid="{00000000-0004-0000-0100-00001A040000}"/>
    <hyperlink ref="AW1052" r:id="rId1052" xr:uid="{00000000-0004-0000-0100-00001B040000}"/>
    <hyperlink ref="BH1053" r:id="rId1053" xr:uid="{00000000-0004-0000-0100-00001C040000}"/>
    <hyperlink ref="BH1054" r:id="rId1054" xr:uid="{00000000-0004-0000-0100-00001D040000}"/>
    <hyperlink ref="AW1055" r:id="rId1055" xr:uid="{00000000-0004-0000-0100-00001E040000}"/>
    <hyperlink ref="BH1056" r:id="rId1056" xr:uid="{00000000-0004-0000-0100-00001F040000}"/>
    <hyperlink ref="BH1057" r:id="rId1057" xr:uid="{00000000-0004-0000-0100-000020040000}"/>
    <hyperlink ref="BH1058" r:id="rId1058" xr:uid="{00000000-0004-0000-0100-000021040000}"/>
    <hyperlink ref="BV1059" r:id="rId1059" xr:uid="{00000000-0004-0000-0100-000022040000}"/>
    <hyperlink ref="BH1060" r:id="rId1060" xr:uid="{00000000-0004-0000-0100-000023040000}"/>
    <hyperlink ref="BH1061" r:id="rId1061" xr:uid="{00000000-0004-0000-0100-000024040000}"/>
    <hyperlink ref="BH1062" r:id="rId1062" xr:uid="{00000000-0004-0000-0100-000025040000}"/>
    <hyperlink ref="BH1063" r:id="rId1063" xr:uid="{00000000-0004-0000-0100-000026040000}"/>
    <hyperlink ref="AW1064" r:id="rId1064" xr:uid="{00000000-0004-0000-0100-000027040000}"/>
    <hyperlink ref="DC1065" r:id="rId1065" xr:uid="{00000000-0004-0000-0100-000028040000}"/>
    <hyperlink ref="BH1066" r:id="rId1066" xr:uid="{00000000-0004-0000-0100-000029040000}"/>
    <hyperlink ref="AW1067" r:id="rId1067" xr:uid="{00000000-0004-0000-0100-00002A040000}"/>
    <hyperlink ref="BH1068" r:id="rId1068" xr:uid="{00000000-0004-0000-0100-00002B040000}"/>
    <hyperlink ref="BH1069" r:id="rId1069" xr:uid="{00000000-0004-0000-0100-00002C040000}"/>
    <hyperlink ref="BV1070" r:id="rId1070" xr:uid="{00000000-0004-0000-0100-00002D040000}"/>
    <hyperlink ref="BH1071" r:id="rId1071" xr:uid="{00000000-0004-0000-0100-00002E040000}"/>
    <hyperlink ref="BH1072" r:id="rId1072" xr:uid="{00000000-0004-0000-0100-00002F040000}"/>
    <hyperlink ref="BV1073" r:id="rId1073" xr:uid="{00000000-0004-0000-0100-000030040000}"/>
    <hyperlink ref="BV1074" r:id="rId1074" xr:uid="{00000000-0004-0000-0100-000031040000}"/>
    <hyperlink ref="BH1075" r:id="rId1075" xr:uid="{00000000-0004-0000-0100-000032040000}"/>
    <hyperlink ref="BH1076" r:id="rId1076" xr:uid="{00000000-0004-0000-0100-000033040000}"/>
    <hyperlink ref="BH1077" r:id="rId1077" xr:uid="{00000000-0004-0000-0100-000034040000}"/>
    <hyperlink ref="CG1078" r:id="rId1078" xr:uid="{00000000-0004-0000-0100-000035040000}"/>
    <hyperlink ref="BH1079" r:id="rId1079" xr:uid="{00000000-0004-0000-0100-000036040000}"/>
    <hyperlink ref="BH1080" r:id="rId1080" xr:uid="{00000000-0004-0000-0100-000037040000}"/>
    <hyperlink ref="BH1081" r:id="rId1081" xr:uid="{00000000-0004-0000-0100-000038040000}"/>
    <hyperlink ref="BH1082" r:id="rId1082" xr:uid="{00000000-0004-0000-0100-000039040000}"/>
    <hyperlink ref="BH1083" r:id="rId1083" xr:uid="{00000000-0004-0000-0100-00003A040000}"/>
    <hyperlink ref="BH1084" r:id="rId1084" xr:uid="{00000000-0004-0000-0100-00003B040000}"/>
    <hyperlink ref="BH1085" r:id="rId1085" xr:uid="{00000000-0004-0000-0100-00003C040000}"/>
    <hyperlink ref="BH1086" r:id="rId1086" xr:uid="{00000000-0004-0000-0100-00003D040000}"/>
    <hyperlink ref="GJ1087" r:id="rId1087" xr:uid="{00000000-0004-0000-0100-00003E040000}"/>
    <hyperlink ref="BV1088" r:id="rId1088" xr:uid="{00000000-0004-0000-0100-00003F040000}"/>
    <hyperlink ref="BH1089" r:id="rId1089" xr:uid="{00000000-0004-0000-0100-000040040000}"/>
    <hyperlink ref="GD1090" r:id="rId1090" xr:uid="{00000000-0004-0000-0100-000041040000}"/>
    <hyperlink ref="AW1091" r:id="rId1091" xr:uid="{00000000-0004-0000-0100-000042040000}"/>
    <hyperlink ref="AW1092" r:id="rId1092" xr:uid="{00000000-0004-0000-0100-000043040000}"/>
    <hyperlink ref="AW1093" r:id="rId1093" xr:uid="{00000000-0004-0000-0100-000044040000}"/>
    <hyperlink ref="AW1094" r:id="rId1094" xr:uid="{00000000-0004-0000-0100-000045040000}"/>
    <hyperlink ref="GJ1095" r:id="rId1095" xr:uid="{00000000-0004-0000-0100-000046040000}"/>
    <hyperlink ref="GJ1096" r:id="rId1096" xr:uid="{00000000-0004-0000-0100-000047040000}"/>
    <hyperlink ref="AW1097" r:id="rId1097" xr:uid="{00000000-0004-0000-0100-000048040000}"/>
    <hyperlink ref="GJ1098" r:id="rId1098" xr:uid="{00000000-0004-0000-0100-000049040000}"/>
    <hyperlink ref="BH1099" r:id="rId1099" xr:uid="{00000000-0004-0000-0100-00004A040000}"/>
    <hyperlink ref="BH1100" r:id="rId1100" xr:uid="{00000000-0004-0000-0100-00004B040000}"/>
    <hyperlink ref="AW1101" r:id="rId1101" xr:uid="{00000000-0004-0000-0100-00004C040000}"/>
    <hyperlink ref="BH1102" r:id="rId1102" xr:uid="{00000000-0004-0000-0100-00004D040000}"/>
    <hyperlink ref="BH1103" r:id="rId1103" xr:uid="{00000000-0004-0000-0100-00004E040000}"/>
    <hyperlink ref="BH1104" r:id="rId1104" xr:uid="{00000000-0004-0000-0100-00004F040000}"/>
    <hyperlink ref="AW1105" r:id="rId1105" xr:uid="{00000000-0004-0000-0100-000050040000}"/>
    <hyperlink ref="BH1106" r:id="rId1106" xr:uid="{00000000-0004-0000-0100-000051040000}"/>
    <hyperlink ref="BH1107" r:id="rId1107" xr:uid="{00000000-0004-0000-0100-000052040000}"/>
    <hyperlink ref="BH1108" r:id="rId1108" xr:uid="{00000000-0004-0000-0100-000053040000}"/>
    <hyperlink ref="AW1109" r:id="rId1109" xr:uid="{00000000-0004-0000-0100-000054040000}"/>
    <hyperlink ref="BH1110" r:id="rId1110" xr:uid="{00000000-0004-0000-0100-000055040000}"/>
    <hyperlink ref="AW1111" r:id="rId1111" xr:uid="{00000000-0004-0000-0100-000056040000}"/>
    <hyperlink ref="BV1112" r:id="rId1112" xr:uid="{00000000-0004-0000-0100-000057040000}"/>
    <hyperlink ref="BH1113" r:id="rId1113" xr:uid="{00000000-0004-0000-0100-000058040000}"/>
    <hyperlink ref="BV1114" r:id="rId1114" xr:uid="{00000000-0004-0000-0100-000059040000}"/>
    <hyperlink ref="BH1115" r:id="rId1115" xr:uid="{00000000-0004-0000-0100-00005A040000}"/>
    <hyperlink ref="AW1116" r:id="rId1116" xr:uid="{00000000-0004-0000-0100-00005B040000}"/>
    <hyperlink ref="AW1117" r:id="rId1117" xr:uid="{00000000-0004-0000-0100-00005C040000}"/>
    <hyperlink ref="BH1118" r:id="rId1118" xr:uid="{00000000-0004-0000-0100-00005D040000}"/>
    <hyperlink ref="BH1119" r:id="rId1119" xr:uid="{00000000-0004-0000-0100-00005E040000}"/>
    <hyperlink ref="ED1120" r:id="rId1120" xr:uid="{00000000-0004-0000-0100-00005F040000}"/>
    <hyperlink ref="BH1121" r:id="rId1121" xr:uid="{00000000-0004-0000-0100-000060040000}"/>
    <hyperlink ref="BH1122" r:id="rId1122" xr:uid="{00000000-0004-0000-0100-000061040000}"/>
    <hyperlink ref="BH1123" r:id="rId1123" xr:uid="{00000000-0004-0000-0100-000062040000}"/>
    <hyperlink ref="FY1124" r:id="rId1124" xr:uid="{00000000-0004-0000-0100-000063040000}"/>
    <hyperlink ref="AW1125" r:id="rId1125" xr:uid="{00000000-0004-0000-0100-000064040000}"/>
    <hyperlink ref="ED1126" r:id="rId1126" xr:uid="{00000000-0004-0000-0100-000065040000}"/>
    <hyperlink ref="AW1127" r:id="rId1127" xr:uid="{00000000-0004-0000-0100-000066040000}"/>
    <hyperlink ref="BH1128" r:id="rId1128" xr:uid="{00000000-0004-0000-0100-000067040000}"/>
    <hyperlink ref="BH1129" r:id="rId1129" xr:uid="{00000000-0004-0000-0100-000068040000}"/>
    <hyperlink ref="BH1130" r:id="rId1130" xr:uid="{00000000-0004-0000-0100-000069040000}"/>
    <hyperlink ref="BH1131" r:id="rId1131" xr:uid="{00000000-0004-0000-0100-00006A040000}"/>
    <hyperlink ref="BH1132" r:id="rId1132" xr:uid="{00000000-0004-0000-0100-00006B040000}"/>
    <hyperlink ref="BV1133" r:id="rId1133" xr:uid="{00000000-0004-0000-0100-00006C040000}"/>
    <hyperlink ref="BV1135" r:id="rId1134" xr:uid="{00000000-0004-0000-0100-00006D040000}"/>
    <hyperlink ref="BV1136" r:id="rId1135" xr:uid="{00000000-0004-0000-0100-00006E040000}"/>
    <hyperlink ref="BV1137" r:id="rId1136" xr:uid="{00000000-0004-0000-0100-00006F040000}"/>
    <hyperlink ref="BV1138" r:id="rId1137" xr:uid="{00000000-0004-0000-0100-000070040000}"/>
    <hyperlink ref="BH1139" r:id="rId1138" xr:uid="{00000000-0004-0000-0100-000071040000}"/>
    <hyperlink ref="BH1140" r:id="rId1139" xr:uid="{00000000-0004-0000-0100-000072040000}"/>
    <hyperlink ref="AW1141" r:id="rId1140" xr:uid="{00000000-0004-0000-0100-000073040000}"/>
    <hyperlink ref="AW1142" r:id="rId1141" xr:uid="{00000000-0004-0000-0100-000074040000}"/>
    <hyperlink ref="AW1143" r:id="rId1142" xr:uid="{00000000-0004-0000-0100-000075040000}"/>
    <hyperlink ref="AW1144" r:id="rId1143" xr:uid="{00000000-0004-0000-0100-000076040000}"/>
    <hyperlink ref="AW1145" r:id="rId1144" xr:uid="{00000000-0004-0000-0100-000077040000}"/>
    <hyperlink ref="AW1146" r:id="rId1145" xr:uid="{00000000-0004-0000-0100-000078040000}"/>
    <hyperlink ref="AW1147" r:id="rId1146" xr:uid="{00000000-0004-0000-0100-000079040000}"/>
    <hyperlink ref="FY1148" r:id="rId1147" xr:uid="{00000000-0004-0000-0100-00007A040000}"/>
    <hyperlink ref="BH1149" r:id="rId1148" xr:uid="{00000000-0004-0000-0100-00007B040000}"/>
    <hyperlink ref="BV1150" r:id="rId1149" xr:uid="{00000000-0004-0000-0100-00007C040000}"/>
    <hyperlink ref="BV1151" r:id="rId1150" xr:uid="{00000000-0004-0000-0100-00007D040000}"/>
    <hyperlink ref="AW1152" r:id="rId1151" xr:uid="{00000000-0004-0000-0100-00007E040000}"/>
    <hyperlink ref="BH1153" r:id="rId1152" xr:uid="{00000000-0004-0000-0100-00007F040000}"/>
    <hyperlink ref="BH1154" r:id="rId1153" xr:uid="{00000000-0004-0000-0100-000080040000}"/>
    <hyperlink ref="BH1155" r:id="rId1154" xr:uid="{00000000-0004-0000-0100-000081040000}"/>
    <hyperlink ref="BH1156" r:id="rId1155" xr:uid="{00000000-0004-0000-0100-000082040000}"/>
    <hyperlink ref="BH1157" r:id="rId1156" xr:uid="{00000000-0004-0000-0100-000083040000}"/>
    <hyperlink ref="CG1158" r:id="rId1157" xr:uid="{00000000-0004-0000-0100-000084040000}"/>
    <hyperlink ref="CG1159" r:id="rId1158" xr:uid="{00000000-0004-0000-0100-000085040000}"/>
    <hyperlink ref="CG1160" r:id="rId1159" xr:uid="{00000000-0004-0000-0100-000086040000}"/>
    <hyperlink ref="CG1161" r:id="rId1160" xr:uid="{00000000-0004-0000-0100-000087040000}"/>
    <hyperlink ref="CG1162" r:id="rId1161" xr:uid="{00000000-0004-0000-0100-000088040000}"/>
    <hyperlink ref="CG1163" r:id="rId1162" xr:uid="{00000000-0004-0000-0100-000089040000}"/>
    <hyperlink ref="CG1164" r:id="rId1163" xr:uid="{00000000-0004-0000-0100-00008A040000}"/>
    <hyperlink ref="CG1165" r:id="rId1164" xr:uid="{00000000-0004-0000-0100-00008B040000}"/>
    <hyperlink ref="CG1166" r:id="rId1165" xr:uid="{00000000-0004-0000-0100-00008C040000}"/>
    <hyperlink ref="CG1167" r:id="rId1166" xr:uid="{00000000-0004-0000-0100-00008D040000}"/>
    <hyperlink ref="CG1168" r:id="rId1167" xr:uid="{00000000-0004-0000-0100-00008E040000}"/>
    <hyperlink ref="CG1169" r:id="rId1168" xr:uid="{00000000-0004-0000-0100-00008F040000}"/>
    <hyperlink ref="CG1170" r:id="rId1169" xr:uid="{00000000-0004-0000-0100-000090040000}"/>
    <hyperlink ref="CG1171" r:id="rId1170" xr:uid="{00000000-0004-0000-0100-000091040000}"/>
    <hyperlink ref="CG1172" r:id="rId1171" xr:uid="{00000000-0004-0000-0100-000092040000}"/>
    <hyperlink ref="CG1173" r:id="rId1172" xr:uid="{00000000-0004-0000-0100-000093040000}"/>
    <hyperlink ref="CG1174" r:id="rId1173" xr:uid="{00000000-0004-0000-0100-000094040000}"/>
    <hyperlink ref="CG1175" r:id="rId1174" xr:uid="{00000000-0004-0000-0100-000095040000}"/>
    <hyperlink ref="CG1176" r:id="rId1175" xr:uid="{00000000-0004-0000-0100-000096040000}"/>
    <hyperlink ref="CG1177" r:id="rId1176" xr:uid="{00000000-0004-0000-0100-000097040000}"/>
    <hyperlink ref="CG1178" r:id="rId1177" xr:uid="{00000000-0004-0000-0100-000098040000}"/>
    <hyperlink ref="CG1179" r:id="rId1178" xr:uid="{00000000-0004-0000-0100-000099040000}"/>
    <hyperlink ref="CG1180" r:id="rId1179" xr:uid="{00000000-0004-0000-0100-00009A040000}"/>
    <hyperlink ref="CG1181" r:id="rId1180" xr:uid="{00000000-0004-0000-0100-00009B040000}"/>
    <hyperlink ref="CG1182" r:id="rId1181" xr:uid="{00000000-0004-0000-0100-00009C040000}"/>
    <hyperlink ref="CG1183" r:id="rId1182" xr:uid="{00000000-0004-0000-0100-00009D040000}"/>
    <hyperlink ref="CG1184" r:id="rId1183" xr:uid="{00000000-0004-0000-0100-00009E040000}"/>
    <hyperlink ref="CG1185" r:id="rId1184" xr:uid="{00000000-0004-0000-0100-00009F040000}"/>
    <hyperlink ref="CG1186" r:id="rId1185" xr:uid="{00000000-0004-0000-0100-0000A0040000}"/>
    <hyperlink ref="CG1187" r:id="rId1186" xr:uid="{00000000-0004-0000-0100-0000A1040000}"/>
    <hyperlink ref="CG1188" r:id="rId1187" xr:uid="{00000000-0004-0000-0100-0000A2040000}"/>
    <hyperlink ref="CG1189" r:id="rId1188" xr:uid="{00000000-0004-0000-0100-0000A3040000}"/>
    <hyperlink ref="CG1190" r:id="rId1189" xr:uid="{00000000-0004-0000-0100-0000A4040000}"/>
    <hyperlink ref="CG1191" r:id="rId1190" xr:uid="{00000000-0004-0000-0100-0000A5040000}"/>
    <hyperlink ref="CG1192" r:id="rId1191" xr:uid="{00000000-0004-0000-0100-0000A6040000}"/>
    <hyperlink ref="CG1193" r:id="rId1192" xr:uid="{00000000-0004-0000-0100-0000A7040000}"/>
    <hyperlink ref="CG1194" r:id="rId1193" xr:uid="{00000000-0004-0000-0100-0000A8040000}"/>
    <hyperlink ref="CG1195" r:id="rId1194" xr:uid="{00000000-0004-0000-0100-0000A9040000}"/>
    <hyperlink ref="CG1196" r:id="rId1195" xr:uid="{00000000-0004-0000-0100-0000AA040000}"/>
    <hyperlink ref="CG1197" r:id="rId1196" xr:uid="{00000000-0004-0000-0100-0000AB040000}"/>
    <hyperlink ref="CG1198" r:id="rId1197" xr:uid="{00000000-0004-0000-0100-0000AC040000}"/>
    <hyperlink ref="CG1199" r:id="rId1198" xr:uid="{00000000-0004-0000-0100-0000AD040000}"/>
    <hyperlink ref="CG1200" r:id="rId1199" xr:uid="{00000000-0004-0000-0100-0000AE040000}"/>
    <hyperlink ref="CG1201" r:id="rId1200" xr:uid="{00000000-0004-0000-0100-0000AF040000}"/>
    <hyperlink ref="CG1202" r:id="rId1201" xr:uid="{00000000-0004-0000-0100-0000B0040000}"/>
    <hyperlink ref="CG1203" r:id="rId1202" xr:uid="{00000000-0004-0000-0100-0000B1040000}"/>
    <hyperlink ref="CG1204" r:id="rId1203" xr:uid="{00000000-0004-0000-0100-0000B2040000}"/>
    <hyperlink ref="CG1205" r:id="rId1204" xr:uid="{00000000-0004-0000-0100-0000B3040000}"/>
    <hyperlink ref="CG1206" r:id="rId1205" xr:uid="{00000000-0004-0000-0100-0000B4040000}"/>
    <hyperlink ref="CG1207" r:id="rId1206" xr:uid="{00000000-0004-0000-0100-0000B5040000}"/>
    <hyperlink ref="CG1208" r:id="rId1207" xr:uid="{00000000-0004-0000-0100-0000B6040000}"/>
    <hyperlink ref="CG1209" r:id="rId1208" xr:uid="{00000000-0004-0000-0100-0000B7040000}"/>
    <hyperlink ref="CG1210" r:id="rId1209" xr:uid="{00000000-0004-0000-0100-0000B8040000}"/>
    <hyperlink ref="CG1211" r:id="rId1210" xr:uid="{00000000-0004-0000-0100-0000B9040000}"/>
    <hyperlink ref="CG1212" r:id="rId1211" xr:uid="{00000000-0004-0000-0100-0000BA040000}"/>
    <hyperlink ref="CG1213" r:id="rId1212" xr:uid="{00000000-0004-0000-0100-0000BB040000}"/>
    <hyperlink ref="CG1214" r:id="rId1213" xr:uid="{00000000-0004-0000-0100-0000BC040000}"/>
    <hyperlink ref="CG1215" r:id="rId1214" xr:uid="{00000000-0004-0000-0100-0000BD040000}"/>
    <hyperlink ref="CG1216" r:id="rId1215" xr:uid="{00000000-0004-0000-0100-0000BE040000}"/>
    <hyperlink ref="CG1217" r:id="rId1216" xr:uid="{00000000-0004-0000-0100-0000BF040000}"/>
    <hyperlink ref="CG1218" r:id="rId1217" xr:uid="{00000000-0004-0000-0100-0000C0040000}"/>
    <hyperlink ref="CB1219" r:id="rId1218" xr:uid="{00000000-0004-0000-0100-0000C1040000}"/>
    <hyperlink ref="CG1219" r:id="rId1219" xr:uid="{00000000-0004-0000-0100-0000C2040000}"/>
    <hyperlink ref="CG1220" r:id="rId1220" xr:uid="{00000000-0004-0000-0100-0000C3040000}"/>
    <hyperlink ref="CG1221" r:id="rId1221" xr:uid="{00000000-0004-0000-0100-0000C4040000}"/>
    <hyperlink ref="CG1222" r:id="rId1222" xr:uid="{00000000-0004-0000-0100-0000C5040000}"/>
    <hyperlink ref="CG1223" r:id="rId1223" xr:uid="{00000000-0004-0000-0100-0000C6040000}"/>
    <hyperlink ref="CG1224" r:id="rId1224" xr:uid="{00000000-0004-0000-0100-0000C7040000}"/>
    <hyperlink ref="CG1225" r:id="rId1225" xr:uid="{00000000-0004-0000-0100-0000C8040000}"/>
    <hyperlink ref="CG1226" r:id="rId1226" xr:uid="{00000000-0004-0000-0100-0000C9040000}"/>
    <hyperlink ref="CG1227" r:id="rId1227" xr:uid="{00000000-0004-0000-0100-0000CA040000}"/>
    <hyperlink ref="CG1228" r:id="rId1228" xr:uid="{00000000-0004-0000-0100-0000CB040000}"/>
    <hyperlink ref="CG1229" r:id="rId1229" xr:uid="{00000000-0004-0000-0100-0000CC040000}"/>
    <hyperlink ref="CG1230" r:id="rId1230" xr:uid="{00000000-0004-0000-0100-0000CD040000}"/>
    <hyperlink ref="CG1231" r:id="rId1231" xr:uid="{00000000-0004-0000-0100-0000CE040000}"/>
    <hyperlink ref="CG1232" r:id="rId1232" xr:uid="{00000000-0004-0000-0100-0000CF040000}"/>
    <hyperlink ref="CG1233" r:id="rId1233" xr:uid="{00000000-0004-0000-0100-0000D0040000}"/>
    <hyperlink ref="CG1234" r:id="rId1234" xr:uid="{00000000-0004-0000-0100-0000D1040000}"/>
    <hyperlink ref="CG1235" r:id="rId1235" xr:uid="{00000000-0004-0000-0100-0000D2040000}"/>
    <hyperlink ref="CG1236" r:id="rId1236" xr:uid="{00000000-0004-0000-0100-0000D3040000}"/>
    <hyperlink ref="CG1237" r:id="rId1237" xr:uid="{00000000-0004-0000-0100-0000D4040000}"/>
    <hyperlink ref="CG1238" r:id="rId1238" xr:uid="{00000000-0004-0000-0100-0000D5040000}"/>
    <hyperlink ref="CG1239" r:id="rId1239" xr:uid="{00000000-0004-0000-0100-0000D6040000}"/>
    <hyperlink ref="CG1240" r:id="rId1240" xr:uid="{00000000-0004-0000-0100-0000D7040000}"/>
    <hyperlink ref="CG1241" r:id="rId1241" xr:uid="{00000000-0004-0000-0100-0000D8040000}"/>
    <hyperlink ref="CG1242" r:id="rId1242" xr:uid="{00000000-0004-0000-0100-0000D9040000}"/>
    <hyperlink ref="CG1243" r:id="rId1243" xr:uid="{00000000-0004-0000-0100-0000DA040000}"/>
    <hyperlink ref="CG1244" r:id="rId1244" xr:uid="{00000000-0004-0000-0100-0000DB040000}"/>
    <hyperlink ref="CG1245" r:id="rId1245" xr:uid="{00000000-0004-0000-0100-0000DC040000}"/>
    <hyperlink ref="CG1246" r:id="rId1246" xr:uid="{00000000-0004-0000-0100-0000DD040000}"/>
    <hyperlink ref="BH1247" r:id="rId1247" xr:uid="{00000000-0004-0000-0100-0000DE040000}"/>
    <hyperlink ref="BH1248" r:id="rId1248" xr:uid="{00000000-0004-0000-0100-0000DF040000}"/>
    <hyperlink ref="BH1249" r:id="rId1249" xr:uid="{00000000-0004-0000-0100-0000E0040000}"/>
    <hyperlink ref="BH1250" r:id="rId1250" xr:uid="{00000000-0004-0000-0100-0000E1040000}"/>
    <hyperlink ref="BH1251" r:id="rId1251" xr:uid="{00000000-0004-0000-0100-0000E2040000}"/>
    <hyperlink ref="BH1252" r:id="rId1252" xr:uid="{00000000-0004-0000-0100-0000E3040000}"/>
    <hyperlink ref="BH1253" r:id="rId1253" xr:uid="{00000000-0004-0000-0100-0000E4040000}"/>
    <hyperlink ref="BH1254" r:id="rId1254" xr:uid="{00000000-0004-0000-0100-0000E5040000}"/>
    <hyperlink ref="BH1255" r:id="rId1255" xr:uid="{00000000-0004-0000-0100-0000E6040000}"/>
    <hyperlink ref="BH1256" r:id="rId1256" xr:uid="{00000000-0004-0000-0100-0000E7040000}"/>
    <hyperlink ref="BH1257" r:id="rId1257" xr:uid="{00000000-0004-0000-0100-0000E8040000}"/>
    <hyperlink ref="BH1258" r:id="rId1258" xr:uid="{00000000-0004-0000-0100-0000E9040000}"/>
    <hyperlink ref="BH1259" r:id="rId1259" xr:uid="{00000000-0004-0000-0100-0000EA040000}"/>
    <hyperlink ref="BH1260" r:id="rId1260" xr:uid="{00000000-0004-0000-0100-0000EB040000}"/>
    <hyperlink ref="BH1261" r:id="rId1261" xr:uid="{00000000-0004-0000-0100-0000EC040000}"/>
    <hyperlink ref="BH1262" r:id="rId1262" xr:uid="{00000000-0004-0000-0100-0000ED040000}"/>
    <hyperlink ref="BH1263" r:id="rId1263" xr:uid="{00000000-0004-0000-0100-0000EE040000}"/>
    <hyperlink ref="BH1264" r:id="rId1264" xr:uid="{00000000-0004-0000-0100-0000EF040000}"/>
    <hyperlink ref="BH1265" r:id="rId1265" xr:uid="{00000000-0004-0000-0100-0000F0040000}"/>
    <hyperlink ref="BH1266" r:id="rId1266" xr:uid="{00000000-0004-0000-0100-0000F1040000}"/>
    <hyperlink ref="BH1267" r:id="rId1267" xr:uid="{00000000-0004-0000-0100-0000F2040000}"/>
    <hyperlink ref="BH1268" r:id="rId1268" xr:uid="{00000000-0004-0000-0100-0000F3040000}"/>
    <hyperlink ref="BH1269" r:id="rId1269" xr:uid="{00000000-0004-0000-0100-0000F4040000}"/>
    <hyperlink ref="BH1270" r:id="rId1270" xr:uid="{00000000-0004-0000-0100-0000F5040000}"/>
    <hyperlink ref="BH1271" r:id="rId1271" xr:uid="{00000000-0004-0000-0100-0000F6040000}"/>
    <hyperlink ref="BH1272" r:id="rId1272" xr:uid="{00000000-0004-0000-0100-0000F7040000}"/>
    <hyperlink ref="BH1273" r:id="rId1273" xr:uid="{00000000-0004-0000-0100-0000F8040000}"/>
    <hyperlink ref="BH1274" r:id="rId1274" xr:uid="{00000000-0004-0000-0100-0000F9040000}"/>
    <hyperlink ref="BH1275" r:id="rId1275" xr:uid="{00000000-0004-0000-0100-0000FA040000}"/>
    <hyperlink ref="BH1276" r:id="rId1276" xr:uid="{00000000-0004-0000-0100-0000FB040000}"/>
    <hyperlink ref="BH1277" r:id="rId1277" xr:uid="{00000000-0004-0000-0100-0000FC040000}"/>
    <hyperlink ref="BH1278" r:id="rId1278" xr:uid="{00000000-0004-0000-0100-0000FD040000}"/>
    <hyperlink ref="BH1279" r:id="rId1279" xr:uid="{00000000-0004-0000-0100-0000FE040000}"/>
    <hyperlink ref="BH1280" r:id="rId1280" xr:uid="{00000000-0004-0000-0100-0000FF040000}"/>
    <hyperlink ref="BH1281" r:id="rId1281" xr:uid="{00000000-0004-0000-0100-000000050000}"/>
    <hyperlink ref="BH1282" r:id="rId1282" xr:uid="{00000000-0004-0000-0100-000001050000}"/>
    <hyperlink ref="BH1283" r:id="rId1283" xr:uid="{00000000-0004-0000-0100-000002050000}"/>
    <hyperlink ref="BH1284" r:id="rId1284" xr:uid="{00000000-0004-0000-0100-000003050000}"/>
    <hyperlink ref="BH1285" r:id="rId1285" xr:uid="{00000000-0004-0000-0100-000004050000}"/>
    <hyperlink ref="BH1286" r:id="rId1286" xr:uid="{00000000-0004-0000-0100-000005050000}"/>
    <hyperlink ref="BH1287" r:id="rId1287" xr:uid="{00000000-0004-0000-0100-000006050000}"/>
    <hyperlink ref="BH1288" r:id="rId1288" xr:uid="{00000000-0004-0000-0100-000007050000}"/>
    <hyperlink ref="BH1289" r:id="rId1289" xr:uid="{00000000-0004-0000-0100-000008050000}"/>
    <hyperlink ref="BH1290" r:id="rId1290" xr:uid="{00000000-0004-0000-0100-000009050000}"/>
    <hyperlink ref="BH1291" r:id="rId1291" xr:uid="{00000000-0004-0000-0100-00000A050000}"/>
    <hyperlink ref="BH1292" r:id="rId1292" xr:uid="{00000000-0004-0000-0100-00000B050000}"/>
    <hyperlink ref="BH1293" r:id="rId1293" xr:uid="{00000000-0004-0000-0100-00000C050000}"/>
    <hyperlink ref="BH1294" r:id="rId1294" xr:uid="{00000000-0004-0000-0100-00000D050000}"/>
    <hyperlink ref="BH1295" r:id="rId1295" xr:uid="{00000000-0004-0000-0100-00000E050000}"/>
    <hyperlink ref="BH1296" r:id="rId1296" xr:uid="{00000000-0004-0000-0100-00000F050000}"/>
    <hyperlink ref="BH1297" r:id="rId1297" xr:uid="{00000000-0004-0000-0100-000010050000}"/>
    <hyperlink ref="BH1298" r:id="rId1298" xr:uid="{00000000-0004-0000-0100-000011050000}"/>
    <hyperlink ref="BH1299" r:id="rId1299" xr:uid="{00000000-0004-0000-0100-000012050000}"/>
    <hyperlink ref="BH1300" r:id="rId1300" xr:uid="{00000000-0004-0000-0100-000013050000}"/>
    <hyperlink ref="BH1301" r:id="rId1301" xr:uid="{00000000-0004-0000-0100-000014050000}"/>
    <hyperlink ref="BH1302" r:id="rId1302" xr:uid="{00000000-0004-0000-0100-000015050000}"/>
    <hyperlink ref="BH1303" r:id="rId1303" xr:uid="{00000000-0004-0000-0100-000016050000}"/>
    <hyperlink ref="BH1304" r:id="rId1304" xr:uid="{00000000-0004-0000-0100-000017050000}"/>
    <hyperlink ref="BH1305" r:id="rId1305" xr:uid="{00000000-0004-0000-0100-000018050000}"/>
    <hyperlink ref="BH1306" r:id="rId1306" xr:uid="{00000000-0004-0000-0100-000019050000}"/>
    <hyperlink ref="BA1307" r:id="rId1307" xr:uid="{00000000-0004-0000-0100-00001A050000}"/>
    <hyperlink ref="BH1307" r:id="rId1308" xr:uid="{00000000-0004-0000-0100-00001B050000}"/>
    <hyperlink ref="BH1308" r:id="rId1309" xr:uid="{00000000-0004-0000-0100-00001C050000}"/>
    <hyperlink ref="BH1309" r:id="rId1310" xr:uid="{00000000-0004-0000-0100-00001D050000}"/>
    <hyperlink ref="BH1310" r:id="rId1311" xr:uid="{00000000-0004-0000-0100-00001E050000}"/>
    <hyperlink ref="BH1311" r:id="rId1312" xr:uid="{00000000-0004-0000-0100-00001F050000}"/>
    <hyperlink ref="BH1312" r:id="rId1313" xr:uid="{00000000-0004-0000-0100-000020050000}"/>
    <hyperlink ref="BH1313" r:id="rId1314" xr:uid="{00000000-0004-0000-0100-000021050000}"/>
    <hyperlink ref="BH1314" r:id="rId1315" xr:uid="{00000000-0004-0000-0100-000022050000}"/>
    <hyperlink ref="BH1315" r:id="rId1316" xr:uid="{00000000-0004-0000-0100-000023050000}"/>
    <hyperlink ref="BH1316" r:id="rId1317" xr:uid="{00000000-0004-0000-0100-000024050000}"/>
    <hyperlink ref="BH1317" r:id="rId1318" xr:uid="{00000000-0004-0000-0100-000025050000}"/>
    <hyperlink ref="BH1318" r:id="rId1319" xr:uid="{00000000-0004-0000-0100-000026050000}"/>
    <hyperlink ref="BH1319" r:id="rId1320" xr:uid="{00000000-0004-0000-0100-000027050000}"/>
    <hyperlink ref="BH1320" r:id="rId1321" xr:uid="{00000000-0004-0000-0100-000028050000}"/>
    <hyperlink ref="BH1321" r:id="rId1322" xr:uid="{00000000-0004-0000-0100-000029050000}"/>
    <hyperlink ref="BH1322" r:id="rId1323" xr:uid="{00000000-0004-0000-0100-00002A050000}"/>
    <hyperlink ref="BH1323" r:id="rId1324" xr:uid="{00000000-0004-0000-0100-00002B050000}"/>
    <hyperlink ref="BH1324" r:id="rId1325" xr:uid="{00000000-0004-0000-0100-00002C050000}"/>
    <hyperlink ref="BH1325" r:id="rId1326" xr:uid="{00000000-0004-0000-0100-00002D050000}"/>
    <hyperlink ref="BH1326" r:id="rId1327" xr:uid="{00000000-0004-0000-0100-00002E050000}"/>
    <hyperlink ref="BH1327" r:id="rId1328" xr:uid="{00000000-0004-0000-0100-00002F050000}"/>
    <hyperlink ref="BH1328" r:id="rId1329" xr:uid="{00000000-0004-0000-0100-000030050000}"/>
    <hyperlink ref="BH1329" r:id="rId1330" xr:uid="{00000000-0004-0000-0100-000031050000}"/>
    <hyperlink ref="BH1330" r:id="rId1331" xr:uid="{00000000-0004-0000-0100-000032050000}"/>
    <hyperlink ref="BH1331" r:id="rId1332" xr:uid="{00000000-0004-0000-0100-000033050000}"/>
    <hyperlink ref="BH1332" r:id="rId1333" xr:uid="{00000000-0004-0000-0100-000034050000}"/>
    <hyperlink ref="BH1333" r:id="rId1334" xr:uid="{00000000-0004-0000-0100-000035050000}"/>
    <hyperlink ref="BH1334" r:id="rId1335" xr:uid="{00000000-0004-0000-0100-00003605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D1001"/>
  <sheetViews>
    <sheetView workbookViewId="0">
      <selection activeCell="A20" sqref="A3:A20"/>
    </sheetView>
  </sheetViews>
  <sheetFormatPr baseColWidth="10" defaultColWidth="12.6640625" defaultRowHeight="15.75" customHeight="1" x14ac:dyDescent="0.15"/>
  <cols>
    <col min="1" max="1" width="38.5" customWidth="1"/>
  </cols>
  <sheetData>
    <row r="1" spans="1:30" ht="28.5" customHeight="1" x14ac:dyDescent="0.15">
      <c r="A1" s="101" t="s">
        <v>0</v>
      </c>
      <c r="B1" s="102"/>
      <c r="C1" s="102"/>
      <c r="D1" s="102"/>
      <c r="E1" s="102"/>
      <c r="F1" s="102"/>
      <c r="G1" s="102"/>
      <c r="H1" s="102"/>
      <c r="I1" s="103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28.5" customHeight="1" x14ac:dyDescent="0.15">
      <c r="A2" s="2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ht="28.5" customHeight="1" x14ac:dyDescent="0.15">
      <c r="A3" s="4" t="s">
        <v>3893</v>
      </c>
      <c r="B3" s="5">
        <f>COUNTIFS('S1 Student Journal Pub'!R2:R199, "=S1: Student Journal Pub", 'S1 Student Journal Pub'!Q2:Q199, "=2014-2018")</f>
        <v>0</v>
      </c>
      <c r="C3" s="5">
        <f>COUNTIFS('S1 Student Journal Pub'!R2:R199, "=S1: Student Journal Pub", 'S1 Student Journal Pub'!Q2:Q199, "=2015-2019")</f>
        <v>0</v>
      </c>
      <c r="D3" s="5">
        <f>COUNTIFS('S1 Student Journal Pub'!R2:R199, "=S1: Student Journal Pub", 'S1 Student Journal Pub'!Q2:Q199, "=2016-2020")</f>
        <v>0</v>
      </c>
      <c r="E3" s="5">
        <f>COUNTIFS('S1 Student Journal Pub'!R2:R199, "=S1: Student Journal Pub", 'S1 Student Journal Pub'!Q2:Q199, "=2017-2021")</f>
        <v>0</v>
      </c>
      <c r="F3" s="5">
        <f>COUNTIFS('S1 Student Journal Pub'!R2:R199, "=S1: Student Journal Pub", 'S1 Student Journal Pub'!Q2:Q199, "=2018-2022")</f>
        <v>0</v>
      </c>
      <c r="G3" s="5">
        <f>COUNTIFS('S1 Student Journal Pub'!R2:R199, "=S1: Student Journal Pub", 'S1 Student Journal Pub'!Q2:Q199, "=2019-2023")</f>
        <v>0</v>
      </c>
      <c r="H3" s="5">
        <f>COUNTIFS('S1 Student Journal Pub'!R2:R199, "=S1: Student Journal Pub", 'S1 Student Journal Pub'!Q2:Q199, "=2020-2024")</f>
        <v>0</v>
      </c>
      <c r="I3" s="5">
        <f>COUNTIFS('S1 Student Journal Pub'!R2:R199, "=S1: Student Journal Pub", 'S1 Student Journal Pub'!Q2:Q199, "=2021-2025")</f>
        <v>0</v>
      </c>
    </row>
    <row r="4" spans="1:30" ht="28.5" customHeight="1" x14ac:dyDescent="0.15">
      <c r="A4" s="4" t="s">
        <v>3894</v>
      </c>
      <c r="B4" s="6">
        <f>COUNTIFS('S2 Student Conference Publicati'!W2:W199, "=S2: Student Conference Publication", 'S2 Student Conference Publicati'!V2:V199, "=2014-2018")</f>
        <v>0</v>
      </c>
      <c r="C4" s="6">
        <f>COUNTIFS('S2 Student Conference Publicati'!W2:W199, "=S2: Student Conference Publication", 'S2 Student Conference Publicati'!V2:V199, "=2015-2019")</f>
        <v>0</v>
      </c>
      <c r="D4" s="6">
        <f>COUNTIFS('S2 Student Conference Publicati'!W2:W199, "=S2: Student Conference Publication", 'S2 Student Conference Publicati'!V2:V199, "=2016-2020")</f>
        <v>0</v>
      </c>
      <c r="E4" s="6">
        <f>COUNTIFS('S2 Student Conference Publicati'!W2:W199, "=S2: Student Conference Publication", 'S2 Student Conference Publicati'!V2:V199, "=2017-2021")</f>
        <v>0</v>
      </c>
      <c r="F4" s="6">
        <f>COUNTIFS('S2 Student Conference Publicati'!W2:W199, "=S2: Student Conference Publication", 'S2 Student Conference Publicati'!V2:V199, "=2018-2022")</f>
        <v>0</v>
      </c>
      <c r="G4" s="6">
        <f>COUNTIFS('S2 Student Conference Publicati'!W2:W199, "=S2: Student Conference Publication", 'S2 Student Conference Publicati'!V2:V199, "=2019-2023")</f>
        <v>0</v>
      </c>
      <c r="H4" s="6">
        <f>COUNTIFS('S2 Student Conference Publicati'!W2:W199, "=S2: Student Conference Publication", 'S2 Student Conference Publicati'!V2:V199, "=2020-2024")</f>
        <v>0</v>
      </c>
      <c r="I4" s="6">
        <f>COUNTIFS('S2 Student Conference Publicati'!W2:W199, "=S2: Student Conference Publication", 'S2 Student Conference Publicati'!V2:V199, "=2021-2025")</f>
        <v>0</v>
      </c>
    </row>
    <row r="5" spans="1:30" ht="28.5" customHeight="1" x14ac:dyDescent="0.15">
      <c r="A5" s="4" t="s">
        <v>3895</v>
      </c>
      <c r="B5" s="6">
        <f ca="1">COUNTIFS('S3 Student Internships'!L2:L199, "=S3: Student Internships", 'S3 Student Internships'!K2:K199, "=2014-2018")</f>
        <v>0</v>
      </c>
      <c r="C5" s="6">
        <f ca="1">COUNTIFS('S3 Student Internships'!L2:L199, "=S3: Student Internships", 'S3 Student Internships'!K2:K199, "=2015-2019")</f>
        <v>0</v>
      </c>
      <c r="D5" s="6">
        <f ca="1">COUNTIFS('S3 Student Internships'!L2:L199, "=S3: Student Internships", 'S3 Student Internships'!K2:K199, "=2016-2020")</f>
        <v>0</v>
      </c>
      <c r="E5" s="6">
        <f ca="1">COUNTIFS('S3 Student Internships'!L2:L199, "=S3: Student Internships", 'S3 Student Internships'!K2:K199, "=2017-2021")</f>
        <v>0</v>
      </c>
      <c r="F5" s="6">
        <f ca="1">COUNTIFS('S3 Student Internships'!L2:L199, "=S3: Student Internships", 'S3 Student Internships'!K2:K199, "=2018-2022")</f>
        <v>116</v>
      </c>
      <c r="G5" s="7">
        <f ca="1">COUNTIFS('S3 Student Internships'!L2:L199, "=S3: Student Internships", 'S3 Student Internships'!K2:K199, "=2019-2023")</f>
        <v>42</v>
      </c>
      <c r="H5" s="6">
        <f ca="1">COUNTIFS('S3 Student Internships'!L2:L199, "=S3: Student Internships", 'S3 Student Internships'!K2:K199, "=2020-2024")</f>
        <v>40</v>
      </c>
      <c r="I5" s="6">
        <f ca="1">COUNTIFS('S3 Student Internships'!L2:L199, "=S3: Student Internships", 'S3 Student Internships'!K2:K199, "=2021-2025")</f>
        <v>0</v>
      </c>
    </row>
    <row r="6" spans="1:30" ht="28.5" customHeight="1" x14ac:dyDescent="0.15">
      <c r="A6" s="4" t="s">
        <v>3896</v>
      </c>
      <c r="B6" s="6">
        <f ca="1">COUNTIFS('S4 Student Certifications'!M2:M999, "=S4: Student Certifications", 'S4 Student Certifications'!L2:L999, "=2014-2018")</f>
        <v>0</v>
      </c>
      <c r="C6" s="6">
        <f ca="1">COUNTIFS('S4 Student Certifications'!M2:M999, "=S4: Student Certifications", 'S4 Student Certifications'!L2:L999, "=2015-2019")</f>
        <v>0</v>
      </c>
      <c r="D6" s="6">
        <f ca="1">COUNTIFS('S4 Student Certifications'!M2:M999, "=S4: Student Certifications", 'S4 Student Certifications'!L2:L999, "=2016-2020")</f>
        <v>0</v>
      </c>
      <c r="E6" s="6">
        <f ca="1">COUNTIFS('S4 Student Certifications'!M2:M999, "=S4: Student Certifications", 'S4 Student Certifications'!L2:L999, "=2017-2021")</f>
        <v>0</v>
      </c>
      <c r="F6" s="6">
        <f ca="1">COUNTIFS('S4 Student Certifications'!M2:M999, "=S4: Student Certifications", 'S4 Student Certifications'!L2:L999, "=2018-2022")</f>
        <v>587</v>
      </c>
      <c r="G6" s="6">
        <f ca="1">COUNTIFS('S4 Student Certifications'!M2:M999, "=S4: Student Certifications", 'S4 Student Certifications'!L2:L999, "=2019-2023")</f>
        <v>9</v>
      </c>
      <c r="H6" s="6">
        <f ca="1">COUNTIFS('S4 Student Certifications'!M2:M999, "=S4: Student Certifications", 'S4 Student Certifications'!L2:L999, "=2020-2024")</f>
        <v>77</v>
      </c>
      <c r="I6" s="6">
        <f ca="1">COUNTIFS('S4 Student Certifications'!M2:M999, "=S4: Student Certifications", 'S4 Student Certifications'!L2:L999, "=2021-2025")</f>
        <v>0</v>
      </c>
    </row>
    <row r="7" spans="1:30" ht="28.5" customHeight="1" x14ac:dyDescent="0.15">
      <c r="A7" s="4" t="s">
        <v>3897</v>
      </c>
      <c r="B7" s="6">
        <f ca="1">COUNTIFS('S5 Student WorkshopsConf attend'!P2:P1000, "=S5: Student Workshops/Conf attended", 'S5 Student WorkshopsConf attend'!O2:O1000, "=2014-2018")</f>
        <v>0</v>
      </c>
      <c r="C7" s="6">
        <f ca="1">COUNTIFS('S5 Student WorkshopsConf attend'!P2:P1000, "=S5: Student Workshops/Conf attended", 'S5 Student WorkshopsConf attend'!O2:O1000, "=2015-2019")</f>
        <v>0</v>
      </c>
      <c r="D7" s="8">
        <f ca="1">COUNTIFS('S5 Student WorkshopsConf attend'!P2:P1000, "=S5: Student Workshops/Conf attended", 'S5 Student WorkshopsConf attend'!O2:O1000, "=2016-2020")</f>
        <v>0</v>
      </c>
      <c r="E7" s="6">
        <f ca="1">COUNTIFS('S5 Student WorkshopsConf attend'!P2:P1000, "=S5: Student Workshops/Conf attended", 'S5 Student WorkshopsConf attend'!O2:O1000, "=2017-2021")</f>
        <v>0</v>
      </c>
      <c r="F7" s="6">
        <f ca="1">COUNTIFS('S5 Student WorkshopsConf attend'!P2:P1000, "=S5: Student Workshops/Conf attended", 'S5 Student WorkshopsConf attend'!O2:O1000, "=2018-2022")</f>
        <v>92</v>
      </c>
      <c r="G7" s="6">
        <f ca="1">COUNTIFS('S5 Student WorkshopsConf attend'!P2:P1000, "=S5: Student Workshops/Conf attended", 'S5 Student WorkshopsConf attend'!O2:O1000, "=2019-2023")</f>
        <v>0</v>
      </c>
      <c r="H7" s="6">
        <f ca="1">COUNTIFS('S5 Student WorkshopsConf attend'!P2:P1000, "=S5: Student Workshops/Conf attended", 'S5 Student WorkshopsConf attend'!O2:O1000, "=2020-2024")</f>
        <v>11</v>
      </c>
      <c r="I7" s="6">
        <f ca="1">COUNTIFS('S5 Student WorkshopsConf attend'!P2:P1000, "=S5: Student Workshops/Conf attended", 'S5 Student WorkshopsConf attend'!O2:O1000, "=2021-2025")</f>
        <v>4</v>
      </c>
      <c r="N7" s="9"/>
    </row>
    <row r="8" spans="1:30" ht="28.5" customHeight="1" x14ac:dyDescent="0.15">
      <c r="A8" s="4" t="s">
        <v>3898</v>
      </c>
      <c r="B8" s="6">
        <f ca="1">COUNTIFS('S6 Student NPTEL'!L2:L1001, "=S6: Student NPTEL", 'S6 Student NPTEL'!K2:K1001, "=2014-2018")</f>
        <v>0</v>
      </c>
      <c r="C8" s="6">
        <f ca="1">COUNTIFS('S6 Student NPTEL'!L2:L1001, "=S6: Student NPTEL", 'S6 Student NPTEL'!K2:K1001, "=2015-2019")</f>
        <v>0</v>
      </c>
      <c r="D8" s="6">
        <f ca="1">COUNTIFS('S6 Student NPTEL'!L2:L1001, "=S6: Student NPTEL", 'S6 Student NPTEL'!K2:K1001, "=2016-2020")</f>
        <v>0</v>
      </c>
      <c r="E8" s="6">
        <f ca="1">COUNTIFS('S6 Student NPTEL'!L2:L1001, "=S6: Student NPTEL", 'S6 Student NPTEL'!K2:K1001, "=2017-2021")</f>
        <v>0</v>
      </c>
      <c r="F8" s="6">
        <f ca="1">COUNTIFS('S6 Student NPTEL'!L2:L1001, "=S6: Student NPTEL", 'S6 Student NPTEL'!K2:K1001, "=2018-2022")</f>
        <v>22</v>
      </c>
      <c r="G8" s="6">
        <f ca="1">COUNTIFS('S6 Student NPTEL'!L2:L1001, "=S6: Student NPTEL", 'S6 Student NPTEL'!K2:K1001, "=2019-2023")</f>
        <v>0</v>
      </c>
      <c r="H8" s="6">
        <f ca="1">COUNTIFS('S6 Student NPTEL'!L2:L1001, "=S6: Student NPTEL", 'S6 Student NPTEL'!K2:K1001, "=2020-2024")</f>
        <v>0</v>
      </c>
      <c r="I8" s="6">
        <f ca="1">COUNTIFS('S6 Student NPTEL'!L2:L1001, "=S6: Student NPTEL", 'S6 Student NPTEL'!K2:K1001, "=2021-2025")</f>
        <v>0</v>
      </c>
    </row>
    <row r="9" spans="1:30" ht="28.5" customHeight="1" x14ac:dyDescent="0.15">
      <c r="A9" s="4" t="s">
        <v>3899</v>
      </c>
      <c r="B9" s="6">
        <f>COUNTIFS('S7 Student Workshops Organized'!L2:L1002, "=S7: Student Workshops Organized", 'S7 Student Workshops Organized'!K2:K1002, "=2014-2018")</f>
        <v>0</v>
      </c>
      <c r="C9" s="6">
        <f>COUNTIFS('S7 Student Workshops Organized'!L2:L1002, "=S7: Student Workshops Organized", 'S7 Student Workshops Organized'!K2:K1002, "=2015-2019")</f>
        <v>0</v>
      </c>
      <c r="D9" s="6">
        <f>COUNTIFS('S7 Student Workshops Organized'!L2:L1002, "=S7: Student Workshops Organized", 'S7 Student Workshops Organized'!K2:K1002, "=2016-2020")</f>
        <v>0</v>
      </c>
      <c r="E9" s="6">
        <f>COUNTIFS('S7 Student Workshops Organized'!L2:L1002, "=S7: Student Workshops Organized", 'S7 Student Workshops Organized'!K2:K1002, "=2017-2021")</f>
        <v>0</v>
      </c>
      <c r="F9" s="6">
        <f>COUNTIFS('S7 Student Workshops Organized'!L2:L1002, "=S7: Student Workshops Organized", 'S7 Student Workshops Organized'!K2:K1002, "=2018-2022")</f>
        <v>0</v>
      </c>
      <c r="G9" s="6">
        <f>COUNTIFS('S7 Student Workshops Organized'!L2:L1002, "=S7: Student Workshops Organized", 'S7 Student Workshops Organized'!K2:K1002, "=2019-2023")</f>
        <v>0</v>
      </c>
      <c r="H9" s="6">
        <f>COUNTIFS('S7 Student Workshops Organized'!L2:L1002, "=S7: Student Workshops Organized", 'S7 Student Workshops Organized'!K2:K1002, "=2020-2024")</f>
        <v>0</v>
      </c>
      <c r="I9" s="6">
        <f>COUNTIFS('S7 Student Workshops Organized'!L2:L1002, "=S7: Student Workshops Organized", 'S7 Student Workshops Organized'!K2:K1002, "=2021-2025")</f>
        <v>0</v>
      </c>
    </row>
    <row r="10" spans="1:30" ht="28.5" customHeight="1" x14ac:dyDescent="0.15">
      <c r="A10" s="4" t="s">
        <v>3900</v>
      </c>
      <c r="B10" s="6">
        <f ca="1">COUNTIFS('S8 Student Events Organized'!M2:M1003, "=S8: Student Events Organized", 'S8 Student Events Organized'!L2:L1003, "=2014-2018")</f>
        <v>0</v>
      </c>
      <c r="C10" s="6">
        <f ca="1">COUNTIFS('S8 Student Events Organized'!M2:M1003, "=S8: Student Events Organized", 'S8 Student Events Organized'!L2:L1003, "=2015-2019")</f>
        <v>0</v>
      </c>
      <c r="D10" s="6">
        <f ca="1">COUNTIFS('S8 Student Events Organized'!M2:M1003, "=S8: Student Events Organized", 'S8 Student Events Organized'!L2:L1003, "=2016-2020")</f>
        <v>0</v>
      </c>
      <c r="E10" s="6">
        <f ca="1">COUNTIFS('S8 Student Events Organized'!M2:M1003, "=S8: Student Events Organized", 'S8 Student Events Organized'!L2:L1003, "=2017-2021")</f>
        <v>0</v>
      </c>
      <c r="F10" s="6">
        <f ca="1">COUNTIFS('S8 Student Events Organized'!M2:M1003, "=S8: Student Events Organized", 'S8 Student Events Organized'!L2:L1003, "=2018-2022")</f>
        <v>3</v>
      </c>
      <c r="G10" s="6">
        <f ca="1">COUNTIFS('S8 Student Events Organized'!M2:M1003, "=S8: Student Events Organized", 'S8 Student Events Organized'!L2:L1003, "=2019-2023")</f>
        <v>2</v>
      </c>
      <c r="H10" s="6">
        <f ca="1">COUNTIFS('S8 Student Events Organized'!M2:M1003, "=S8: Student Events Organized", 'S8 Student Events Organized'!L2:L1003, "=2020-2024")</f>
        <v>0</v>
      </c>
      <c r="I10" s="6">
        <f ca="1">COUNTIFS('S8 Student Events Organized'!M2:M1003, "=S8: Student Events Organized", 'S8 Student Events Organized'!L2:L1003, "=2021-2025")</f>
        <v>0</v>
      </c>
    </row>
    <row r="11" spans="1:30" ht="28.5" customHeight="1" x14ac:dyDescent="0.15">
      <c r="A11" s="4" t="s">
        <v>3901</v>
      </c>
      <c r="B11" s="6" t="e">
        <f>COUNTIFS('[1] Student Guest Lecutres Organiz'!P2:P1004, "=S9: Student Guest Lecutres Organized", '[1] Student Guest Lecutres Organiz'!O2:O1004, "=2014-2018")</f>
        <v>#VALUE!</v>
      </c>
      <c r="C11" s="6" t="e">
        <f>COUNTIFS('[1] Student Guest Lecutres Organiz'!P2:P1004, "=S9: Student Guest Lecutres Organized", '[1] Student Guest Lecutres Organiz'!O2:O1004, "=2015-2019")</f>
        <v>#VALUE!</v>
      </c>
      <c r="D11" s="6" t="e">
        <f>COUNTIFS('[1] Student Guest Lecutres Organiz'!P2:P1004, "=S9: Student Guest Lecutres Organized", '[1] Student Guest Lecutres Organiz'!O2:O1004, "=2016-2020")</f>
        <v>#VALUE!</v>
      </c>
      <c r="E11" s="6" t="e">
        <f>COUNTIFS('[1] Student Guest Lecutres Organiz'!P2:P1004, "=S9: Student Guest Lecutres Organized", '[1] Student Guest Lecutres Organiz'!O2:O1004, "=2017-2021")</f>
        <v>#VALUE!</v>
      </c>
      <c r="F11" s="6" t="e">
        <f>COUNTIFS('[1] Student Guest Lecutres Organiz'!P2:P1004, "=S9: Student Guest Lecutres Organized", '[1] Student Guest Lecutres Organiz'!O2:O1004, "=2018-2022")</f>
        <v>#VALUE!</v>
      </c>
      <c r="G11" s="6" t="e">
        <f>COUNTIFS('[1] Student Guest Lecutres Organiz'!P2:P1004, "=S9: Student Guest Lecutres Organized", '[1] Student Guest Lecutres Organiz'!O2:O1004, "=2019-2023")</f>
        <v>#VALUE!</v>
      </c>
      <c r="H11" s="6" t="e">
        <f>COUNTIFS('[1] Student Guest Lecutres Organiz'!P2:P1004, "=S9: Student Guest Lecutres Organized", '[1] Student Guest Lecutres Organiz'!O2:O1004, "=2020-2024")</f>
        <v>#VALUE!</v>
      </c>
      <c r="I11" s="6" t="e">
        <f>COUNTIFS('[1] Student Guest Lecutres Organiz'!P2:P1004, "=S9: Student Guest Lecutres Organized", '[1] Student Guest Lecutres Organiz'!O2:O1004, "=2021-2025")</f>
        <v>#VALUE!</v>
      </c>
    </row>
    <row r="12" spans="1:30" ht="28.5" customHeight="1" x14ac:dyDescent="0.15">
      <c r="A12" s="4" t="s">
        <v>3902</v>
      </c>
      <c r="B12" s="6">
        <f ca="1">COUNTIFS('S10 Student Prof. Body'!L2:L1005, "=S10: Student Prof. Body", 'S10 Student Prof. Body'!K2:K1005, "=2014-2018")</f>
        <v>0</v>
      </c>
      <c r="C12" s="6">
        <f ca="1">COUNTIFS('S10 Student Prof. Body'!L2:L1005, "=S10: Student Prof. Body", 'S10 Student Prof. Body'!K2:K1005, "=2015-2019")</f>
        <v>0</v>
      </c>
      <c r="D12" s="6">
        <f ca="1">COUNTIFS('S10 Student Prof. Body'!L2:L1005, "=S10: Student Prof. Body", 'S10 Student Prof. Body'!K2:K1005, "=2016-2020")</f>
        <v>0</v>
      </c>
      <c r="E12" s="6">
        <f ca="1">COUNTIFS('S10 Student Prof. Body'!L2:L1005, "=S10: Student Prof. Body", 'S10 Student Prof. Body'!K2:K1005, "=2017-2021")</f>
        <v>0</v>
      </c>
      <c r="F12" s="6">
        <f ca="1">COUNTIFS('S10 Student Prof. Body'!L2:L1005, "=S10: Student Prof. Body", 'S10 Student Prof. Body'!K2:K1005, "=2018-2022")</f>
        <v>0</v>
      </c>
      <c r="G12" s="6">
        <f ca="1">COUNTIFS('S10 Student Prof. Body'!L2:L1005, "=S10: Student Prof. Body", 'S10 Student Prof. Body'!K2:K1005, "=2019-2023")</f>
        <v>3</v>
      </c>
      <c r="H12" s="6">
        <f ca="1">COUNTIFS('S10 Student Prof. Body'!L2:L1005, "=S10: Student Prof. Body", 'S10 Student Prof. Body'!K2:K1005, "=2020-2024")</f>
        <v>0</v>
      </c>
      <c r="I12" s="6">
        <f ca="1">COUNTIFS('S10 Student Prof. Body'!L2:L1005, "=S10: Student Prof. Body", 'S10 Student Prof. Body'!K2:K1005, "=2021-2025")</f>
        <v>0</v>
      </c>
    </row>
    <row r="13" spans="1:30" ht="28.5" customHeight="1" x14ac:dyDescent="0.15">
      <c r="A13" s="4" t="s">
        <v>3903</v>
      </c>
      <c r="B13" s="6">
        <f ca="1">COUNTIFS('S11 Student Awards'!I2:I1006, "=S11: Student Awards", 'S11 Student Awards'!H2:H1006, "=2014-2018")</f>
        <v>0</v>
      </c>
      <c r="C13" s="6">
        <f ca="1">COUNTIFS('S11 Student Awards'!I2:I1006, "=S11: Student Awards", 'S11 Student Awards'!H2:H1006, "=2015-2019")</f>
        <v>0</v>
      </c>
      <c r="D13" s="6">
        <f ca="1">COUNTIFS('S11 Student Awards'!I2:I1006, "=S11: Student Awards", 'S11 Student Awards'!H2:H1006, "=2016-2020")</f>
        <v>0</v>
      </c>
      <c r="E13" s="6">
        <f ca="1">COUNTIFS('S11 Student Awards'!I2:I1006, "=S11: Student Awards", 'S11 Student Awards'!H2:H1006, "=2017-2021")</f>
        <v>0</v>
      </c>
      <c r="F13" s="6">
        <f ca="1">COUNTIFS('S11 Student Awards'!I2:I1006, "=S11: Student Awards", 'S11 Student Awards'!H2:H1006, "=2018-2022")</f>
        <v>60</v>
      </c>
      <c r="G13" s="6">
        <f ca="1">COUNTIFS('S11 Student Awards'!I2:I1006, "=S11: Student Awards", 'S11 Student Awards'!H2:H1006, "=2019-2023")</f>
        <v>0</v>
      </c>
      <c r="H13" s="6">
        <f ca="1">COUNTIFS('S11 Student Awards'!I2:I1006, "=S11: Student Awards", 'S11 Student Awards'!H2:H1006, "=2020-2024")</f>
        <v>1</v>
      </c>
      <c r="I13" s="6">
        <f ca="1">COUNTIFS('S11 Student Awards'!I2:I1006, "=S11: Student Awards", 'S11 Student Awards'!H2:H1006, "=2021-2025")</f>
        <v>0</v>
      </c>
    </row>
    <row r="14" spans="1:30" ht="28.5" customHeight="1" x14ac:dyDescent="0.15">
      <c r="A14" s="4" t="s">
        <v>3904</v>
      </c>
      <c r="B14" s="6">
        <f>COUNTIFS('S12 Student capabilities enhanc'!O2:O1007, "=S12: Student capabilities enhancement", 'S12 Student capabilities enhanc'!N2:N1007, "=2014-2018")</f>
        <v>0</v>
      </c>
      <c r="C14" s="6">
        <f>COUNTIFS('S12 Student capabilities enhanc'!O2:O1007, "=S12: Student capabilities enhancement", 'S12 Student capabilities enhanc'!N2:N1007, "=2015-2019")</f>
        <v>0</v>
      </c>
      <c r="D14" s="6">
        <f>COUNTIFS('S12 Student capabilities enhanc'!O2:O1007, "=S12: Student capabilities enhancement", 'S12 Student capabilities enhanc'!N2:N1007, "=2016-2020")</f>
        <v>0</v>
      </c>
      <c r="E14" s="6">
        <f>COUNTIFS('S12 Student capabilities enhanc'!O2:O1007, "=S12: Student capabilities enhancement", 'S12 Student capabilities enhanc'!N2:N1007, "=2017-2021")</f>
        <v>0</v>
      </c>
      <c r="F14" s="6">
        <f>COUNTIFS('S12 Student capabilities enhanc'!O2:O1007, "=S12: Student capabilities enhancement", 'S12 Student capabilities enhanc'!N2:N1007, "=2018-2022")</f>
        <v>0</v>
      </c>
      <c r="G14" s="10">
        <f>COUNTIFS('S12 Student capabilities enhanc'!O2:O1007, "=S12: Student capabilities enhancement", 'S12 Student capabilities enhanc'!N2:N1007, "=2019-2023")</f>
        <v>0</v>
      </c>
      <c r="H14" s="6">
        <f>COUNTIFS('S12 Student capabilities enhanc'!O2:O1007, "=S12: Student capabilities enhancement", 'S12 Student capabilities enhanc'!N2:N1007, "=2020-2024")</f>
        <v>0</v>
      </c>
      <c r="I14" s="6">
        <f>COUNTIFS('S12 Student capabilities enhanc'!O2:O1007, "=S12: Student capabilities enhancement", 'S12 Student capabilities enhanc'!N2:N1007, "=2021-2025")</f>
        <v>0</v>
      </c>
    </row>
    <row r="15" spans="1:30" ht="28.5" customHeight="1" x14ac:dyDescent="0.15">
      <c r="A15" s="4" t="s">
        <v>3905</v>
      </c>
      <c r="B15" s="6">
        <f ca="1">COUNTIFS('S13 Students Higher Edu.'!H2:H1008, "=S13: Students Higher Edu.", 'S13 Students Higher Edu.'!G2:G1008, "=2014-2018")</f>
        <v>1</v>
      </c>
      <c r="C15" s="6">
        <f ca="1">COUNTIFS('S13 Students Higher Edu.'!H2:H1008, "=S13: Students Higher Edu.", 'S13 Students Higher Edu.'!G2:G1008, "=2015-2019")</f>
        <v>0</v>
      </c>
      <c r="D15" s="10">
        <f ca="1">COUNTIFS('S13 Students Higher Edu.'!H2:H1008, "=S13: Students Higher Edu.", 'S13 Students Higher Edu.'!G2:G1008, "=2016-2020")</f>
        <v>1</v>
      </c>
      <c r="E15" s="6">
        <f ca="1">COUNTIFS('S13 Students Higher Edu.'!H2:H1008, "=S13: Students Higher Edu.", 'S13 Students Higher Edu.'!G2:G1008, "=2017-2021")</f>
        <v>2</v>
      </c>
      <c r="F15" s="6">
        <f ca="1">COUNTIFS('S13 Students Higher Edu.'!H2:H1008, "=S13: Students Higher Edu.", 'S13 Students Higher Edu.'!G2:G1008, "=2018-2022")</f>
        <v>0</v>
      </c>
      <c r="G15" s="6">
        <f ca="1">COUNTIFS('S13 Students Higher Edu.'!H2:H1008, "=S13: Students Higher Edu.", 'S13 Students Higher Edu.'!G2:G1008, "=2019-2023")</f>
        <v>0</v>
      </c>
      <c r="H15" s="6">
        <f ca="1">COUNTIFS('S13 Students Higher Edu.'!H2:H1008, "=S13: Students Higher Edu.", 'S13 Students Higher Edu.'!G2:G1008, "=2020-2024")</f>
        <v>0</v>
      </c>
      <c r="I15" s="6">
        <f ca="1">COUNTIFS('S13 Students Higher Edu.'!H2:H1008, "=S13: Students Higher Edu.", 'S13 Students Higher Edu.'!G2:G1008, "=2021-2025")</f>
        <v>0</v>
      </c>
    </row>
    <row r="16" spans="1:30" ht="28.5" customHeight="1" x14ac:dyDescent="0.15">
      <c r="A16" s="4" t="s">
        <v>3906</v>
      </c>
      <c r="B16" s="6">
        <f ca="1">COUNTIFS('S14 Students Competitive Exams'!G2:G1009, "=S14: Students Competitive Exams", 'S14 Students Competitive Exams'!F2:F1009, "=2014-2018")</f>
        <v>0</v>
      </c>
      <c r="C16" s="6">
        <f ca="1">COUNTIFS('S14 Students Competitive Exams'!G2:G1009, "=S14: Students Competitive Exams", 'S14 Students Competitive Exams'!F2:F1009, "=2015-2019")</f>
        <v>0</v>
      </c>
      <c r="D16" s="6">
        <f ca="1">COUNTIFS('S14 Students Competitive Exams'!G2:G1009, "=S14: Students Competitive Exams", 'S14 Students Competitive Exams'!F2:F1009, "=2016-2020")</f>
        <v>0</v>
      </c>
      <c r="E16" s="6">
        <f ca="1">COUNTIFS('S14 Students Competitive Exams'!G2:G1009, "=S14: Students Competitive Exams", 'S14 Students Competitive Exams'!F2:F1009, "=2017-2021")</f>
        <v>0</v>
      </c>
      <c r="F16" s="6">
        <f ca="1">COUNTIFS('S14 Students Competitive Exams'!G2:G1009, "=S14: Students Competitive Exams", 'S14 Students Competitive Exams'!F2:F1009, "=2018-2022")</f>
        <v>7</v>
      </c>
      <c r="G16" s="6">
        <f ca="1">COUNTIFS('S14 Students Competitive Exams'!G2:G1009, "=S14: Students Competitive Exams", 'S14 Students Competitive Exams'!F2:F1009, "=2019-2023")</f>
        <v>0</v>
      </c>
      <c r="H16" s="6">
        <f ca="1">COUNTIFS('S14 Students Competitive Exams'!G2:G1009, "=S14: Students Competitive Exams", 'S14 Students Competitive Exams'!F2:F1009, "=2020-2024")</f>
        <v>0</v>
      </c>
      <c r="I16" s="6">
        <f ca="1">COUNTIFS('S14 Students Competitive Exams'!G2:G1009, "=S14: Students Competitive Exams", 'S14 Students Competitive Exams'!F2:F1009, "=2021-2025")</f>
        <v>0</v>
      </c>
    </row>
    <row r="17" spans="1:9" ht="28.5" customHeight="1" x14ac:dyDescent="0.15">
      <c r="A17" s="4" t="s">
        <v>3907</v>
      </c>
      <c r="B17" s="6">
        <f>COUNTIFS('S15 Students Industry Visit'!B2:B1010, "=S15: Students Industry Visit", 'S15 Students Industry Visit'!A2:A1010, "=2014-2018")</f>
        <v>0</v>
      </c>
      <c r="C17" s="6">
        <f>COUNTIFS('S15 Students Industry Visit'!B2:B1010, "=S15: Students Industry Visit", 'S15 Students Industry Visit'!A2:A1010, "=2015-2019")</f>
        <v>0</v>
      </c>
      <c r="D17" s="6">
        <f>COUNTIFS('S15 Students Industry Visit'!B2:B1010, "=S15: Students Industry Visit", 'S15 Students Industry Visit'!A2:A1010, "=2016-2020")</f>
        <v>0</v>
      </c>
      <c r="E17" s="6">
        <f>COUNTIFS('S15 Students Industry Visit'!B2:B1010, "=S15: Students Industry Visit", 'S15 Students Industry Visit'!A2:A1010, "=2017-2021")</f>
        <v>0</v>
      </c>
      <c r="F17" s="6">
        <f>COUNTIFS('S15 Students Industry Visit'!B2:B1010, "=S15: Students Industry Visit", 'S15 Students Industry Visit'!A2:A1010, "=2018-2022")</f>
        <v>0</v>
      </c>
      <c r="G17" s="6">
        <f>COUNTIFS('S15 Students Industry Visit'!B2:B1010, "=S15: Students Industry Visit", 'S15 Students Industry Visit'!A2:A1010, "=2019-2023")</f>
        <v>0</v>
      </c>
      <c r="H17" s="6">
        <f>COUNTIFS('S15 Students Industry Visit'!B2:B1010, "=S15: Students Industry Visit", 'S15 Students Industry Visit'!A2:A1010, "=2020-2024")</f>
        <v>0</v>
      </c>
      <c r="I17" s="6">
        <f>COUNTIFS('S15 Students Industry Visit'!B2:B1010, "=S15: Students Industry Visit", 'S15 Students Industry Visit'!A2:A1010, "=2021-2025")</f>
        <v>0</v>
      </c>
    </row>
    <row r="18" spans="1:9" ht="28.5" customHeight="1" x14ac:dyDescent="0.15">
      <c r="A18" s="4" t="s">
        <v>3908</v>
      </c>
      <c r="B18" s="6">
        <f ca="1">COUNTIFS('S16 Students Social Service Pro'!B2:B1011, "=S16: Students Social Service Programs", 'S16 Students Social Service Pro'!A2:A1011, "=2014-2018")</f>
        <v>0</v>
      </c>
      <c r="C18" s="6">
        <f ca="1">COUNTIFS('S16 Students Social Service Pro'!B2:B1011, "=S16: Students Social Service Programs", 'S16 Students Social Service Pro'!A2:A1011, "=2015-2019")</f>
        <v>0</v>
      </c>
      <c r="D18" s="6">
        <f ca="1">COUNTIFS('S16 Students Social Service Pro'!B2:B1011, "=S16: Students Social Service Programs", 'S16 Students Social Service Pro'!A2:A1011, "=2016-2020")</f>
        <v>0</v>
      </c>
      <c r="E18" s="6">
        <f ca="1">COUNTIFS('S16 Students Social Service Pro'!B2:B1011, "=S16: Students Social Service Programs", 'S16 Students Social Service Pro'!A2:A1011, "=2017-2021")</f>
        <v>0</v>
      </c>
      <c r="F18" s="6">
        <f ca="1">COUNTIFS('S16 Students Social Service Pro'!B2:B1011, "=S16: Students Social Service Programs", 'S16 Students Social Service Pro'!A2:A1011, "=2018-2022")</f>
        <v>5</v>
      </c>
      <c r="G18" s="6">
        <f ca="1">COUNTIFS('S16 Students Social Service Pro'!B2:B1011, "=S16: Students Social Service Programs", 'S16 Students Social Service Pro'!A2:A1011, "=2019-2023")</f>
        <v>0</v>
      </c>
      <c r="H18" s="6">
        <f ca="1">COUNTIFS('S16 Students Social Service Pro'!B2:B1011, "=S16: Students Social Service Programs", 'S16 Students Social Service Pro'!A2:A1011, "=2020-2024")</f>
        <v>0</v>
      </c>
      <c r="I18" s="6">
        <f ca="1">COUNTIFS('S16 Students Social Service Pro'!B2:B1011, "=S16: Students Social Service Programs", 'S16 Students Social Service Pro'!A2:A1011, "=2021-2025")</f>
        <v>0</v>
      </c>
    </row>
    <row r="19" spans="1:9" ht="28.5" customHeight="1" x14ac:dyDescent="0.15">
      <c r="A19" s="4" t="s">
        <v>3909</v>
      </c>
      <c r="B19" s="6">
        <f ca="1">COUNTIFS('S17 Students Leadership &amp; Volun'!B2:B1012, "=S17: Students Leadership &amp; Volunteering Activities", 'S17 Students Leadership &amp; Volun'!A2:A1012, "=2014-2018")</f>
        <v>0</v>
      </c>
      <c r="C19" s="6">
        <f ca="1">COUNTIFS('S17 Students Leadership &amp; Volun'!B2:B1012, "=S17: Students Leadership &amp; Volunteering Activities", 'S17 Students Leadership &amp; Volun'!A2:A1012, "=2015-2019")</f>
        <v>0</v>
      </c>
      <c r="D19" s="6">
        <f ca="1">COUNTIFS('S17 Students Leadership &amp; Volun'!B2:B1012, "=S17: Students Leadership &amp; Volunteering Activities", 'S17 Students Leadership &amp; Volun'!A2:A1012, "=2016-2020")</f>
        <v>0</v>
      </c>
      <c r="E19" s="6">
        <f ca="1">COUNTIFS('S17 Students Leadership &amp; Volun'!B2:B1012, "=S17: Students Leadership &amp; Volunteering Activities", 'S17 Students Leadership &amp; Volun'!A2:A1012, "=2017-2021")</f>
        <v>0</v>
      </c>
      <c r="F19" s="6">
        <f ca="1">COUNTIFS('S17 Students Leadership &amp; Volun'!B2:B1012, "=S17: Students Leadership &amp; Volunteering Activities", 'S17 Students Leadership &amp; Volun'!A2:A1012, "=2018-2022")</f>
        <v>3</v>
      </c>
      <c r="G19" s="6">
        <f ca="1">COUNTIFS('S17 Students Leadership &amp; Volun'!B2:B1012, "=S17: Students Leadership &amp; Volunteering Activities", 'S17 Students Leadership &amp; Volun'!A2:A1012, "=2019-2023")</f>
        <v>1</v>
      </c>
      <c r="H19" s="6">
        <f ca="1">COUNTIFS('S17 Students Leadership &amp; Volun'!B2:B1012, "=S17: Students Leadership &amp; Volunteering Activities", 'S17 Students Leadership &amp; Volun'!A2:A1012, "=2020-2024")</f>
        <v>0</v>
      </c>
      <c r="I19" s="6">
        <f ca="1">COUNTIFS('S17 Students Leadership &amp; Volun'!B2:B1012, "=S17: Students Leadership &amp; Volunteering Activities", 'S17 Students Leadership &amp; Volun'!A2:A1012, "=2021-2025")</f>
        <v>0</v>
      </c>
    </row>
    <row r="20" spans="1:9" ht="28.5" customHeight="1" x14ac:dyDescent="0.15">
      <c r="A20" s="4" t="s">
        <v>3910</v>
      </c>
      <c r="B20" s="6">
        <f ca="1">COUNTIFS('S18 Students Placements'!B2:B1013, "=S18: Students Placements", 'S18 Students Placements'!A2:A1013, "=2014-2018")</f>
        <v>0</v>
      </c>
      <c r="C20" s="6">
        <f ca="1">COUNTIFS('S18 Students Placements'!B2:B1013, "=S18: Students Placements", 'S18 Students Placements'!A2:A1013, "=2015-2019")</f>
        <v>0</v>
      </c>
      <c r="D20" s="6">
        <f ca="1">COUNTIFS('S18 Students Placements'!B2:B1013, "=S18: Students Placements", 'S18 Students Placements'!A2:A1013, "=2016-2020")</f>
        <v>0</v>
      </c>
      <c r="E20" s="6">
        <f ca="1">COUNTIFS('S18 Students Placements'!B2:B1013, "=S18: Students Placements", 'S18 Students Placements'!A2:A1013, "=2017-2021")</f>
        <v>0</v>
      </c>
      <c r="F20" s="6">
        <f ca="1">COUNTIFS('S18 Students Placements'!B2:B1013, "=S18: Students Placements", 'S18 Students Placements'!A2:A1013, "=2018-2022")</f>
        <v>47</v>
      </c>
      <c r="G20" s="6">
        <f ca="1">COUNTIFS('S18 Students Placements'!B2:B1013, "=S18: Students Placements", 'S18 Students Placements'!A2:A1013, "=2019-2023")</f>
        <v>0</v>
      </c>
      <c r="H20" s="6">
        <f ca="1">COUNTIFS('S18 Students Placements'!B2:B1013, "=S18: Students Placements", 'S18 Students Placements'!A2:A1013, "=2020-2024")</f>
        <v>0</v>
      </c>
      <c r="I20" s="6">
        <f ca="1">COUNTIFS('S18 Students Placements'!B2:B1013, "=S18: Students Placements", 'S18 Students Placements'!A2:A1013, "=2021-2025")</f>
        <v>0</v>
      </c>
    </row>
    <row r="21" spans="1:9" ht="28.5" customHeight="1" x14ac:dyDescent="0.15">
      <c r="B21" s="11"/>
      <c r="C21" s="11"/>
      <c r="D21" s="11"/>
      <c r="E21" s="11"/>
      <c r="F21" s="11"/>
      <c r="G21" s="11"/>
      <c r="H21" s="11"/>
      <c r="I21" s="11"/>
    </row>
    <row r="22" spans="1:9" ht="28.5" customHeight="1" x14ac:dyDescent="0.15">
      <c r="A22" s="1"/>
      <c r="B22" s="11"/>
      <c r="C22" s="11"/>
      <c r="D22" s="11"/>
      <c r="E22" s="11"/>
      <c r="F22" s="11"/>
      <c r="G22" s="11"/>
      <c r="H22" s="11"/>
      <c r="I22" s="11"/>
    </row>
    <row r="23" spans="1:9" ht="28.5" customHeight="1" x14ac:dyDescent="0.15">
      <c r="A23" s="1"/>
      <c r="B23" s="11"/>
      <c r="C23" s="11"/>
      <c r="D23" s="11"/>
      <c r="E23" s="11"/>
      <c r="F23" s="11"/>
      <c r="G23" s="11"/>
      <c r="H23" s="11"/>
      <c r="I23" s="11"/>
    </row>
    <row r="24" spans="1:9" ht="28.5" customHeight="1" x14ac:dyDescent="0.15">
      <c r="A24" s="1"/>
      <c r="B24" s="11"/>
      <c r="C24" s="11"/>
      <c r="D24" s="11"/>
      <c r="E24" s="11"/>
      <c r="F24" s="11"/>
      <c r="G24" s="11"/>
      <c r="H24" s="11"/>
      <c r="I24" s="11"/>
    </row>
    <row r="25" spans="1:9" ht="28.5" customHeight="1" x14ac:dyDescent="0.15">
      <c r="A25" s="1"/>
      <c r="B25" s="11"/>
      <c r="C25" s="11"/>
      <c r="D25" s="11"/>
      <c r="E25" s="11"/>
      <c r="F25" s="11"/>
      <c r="G25" s="11"/>
      <c r="H25" s="11"/>
      <c r="I25" s="11"/>
    </row>
    <row r="26" spans="1:9" ht="28.5" customHeight="1" x14ac:dyDescent="0.15">
      <c r="A26" s="1"/>
      <c r="B26" s="11"/>
      <c r="C26" s="11"/>
      <c r="D26" s="11"/>
      <c r="E26" s="11"/>
      <c r="F26" s="11"/>
      <c r="G26" s="11"/>
      <c r="H26" s="11"/>
      <c r="I26" s="11"/>
    </row>
    <row r="27" spans="1:9" ht="28.5" customHeight="1" x14ac:dyDescent="0.15">
      <c r="A27" s="1"/>
      <c r="B27" s="11"/>
      <c r="C27" s="11"/>
      <c r="D27" s="11"/>
      <c r="E27" s="11"/>
      <c r="F27" s="11"/>
      <c r="G27" s="11"/>
      <c r="H27" s="11"/>
      <c r="I27" s="11"/>
    </row>
    <row r="28" spans="1:9" ht="28.5" customHeight="1" x14ac:dyDescent="0.15">
      <c r="A28" s="1"/>
      <c r="B28" s="11"/>
      <c r="C28" s="11"/>
      <c r="D28" s="11"/>
      <c r="E28" s="11"/>
      <c r="F28" s="11"/>
      <c r="G28" s="11"/>
      <c r="H28" s="11"/>
      <c r="I28" s="11"/>
    </row>
    <row r="29" spans="1:9" ht="28.5" customHeight="1" x14ac:dyDescent="0.15">
      <c r="A29" s="1"/>
      <c r="B29" s="11"/>
      <c r="C29" s="11"/>
      <c r="D29" s="11"/>
      <c r="E29" s="11"/>
      <c r="F29" s="11"/>
      <c r="G29" s="11"/>
      <c r="H29" s="11"/>
      <c r="I29" s="11"/>
    </row>
    <row r="30" spans="1:9" ht="28.5" customHeight="1" x14ac:dyDescent="0.15">
      <c r="A30" s="1"/>
      <c r="B30" s="11"/>
      <c r="C30" s="11"/>
      <c r="D30" s="11"/>
      <c r="E30" s="11"/>
      <c r="F30" s="11"/>
      <c r="G30" s="11"/>
      <c r="H30" s="11"/>
      <c r="I30" s="11"/>
    </row>
    <row r="31" spans="1:9" ht="28.5" customHeight="1" x14ac:dyDescent="0.15">
      <c r="A31" s="1"/>
      <c r="B31" s="11"/>
      <c r="C31" s="11"/>
      <c r="D31" s="11"/>
      <c r="E31" s="11"/>
      <c r="F31" s="11"/>
      <c r="G31" s="11"/>
      <c r="H31" s="11"/>
      <c r="I31" s="11"/>
    </row>
    <row r="32" spans="1:9" ht="28.5" customHeight="1" x14ac:dyDescent="0.15">
      <c r="A32" s="1"/>
      <c r="B32" s="11"/>
      <c r="C32" s="11"/>
      <c r="D32" s="11"/>
      <c r="E32" s="11"/>
      <c r="F32" s="11"/>
      <c r="G32" s="11"/>
      <c r="H32" s="11"/>
      <c r="I32" s="11"/>
    </row>
    <row r="33" spans="1:9" ht="28.5" customHeight="1" x14ac:dyDescent="0.15">
      <c r="A33" s="1"/>
      <c r="B33" s="11"/>
      <c r="C33" s="11"/>
      <c r="D33" s="11"/>
      <c r="E33" s="11"/>
      <c r="F33" s="11"/>
      <c r="G33" s="11"/>
      <c r="H33" s="11"/>
      <c r="I33" s="11"/>
    </row>
    <row r="34" spans="1:9" ht="28.5" customHeight="1" x14ac:dyDescent="0.15">
      <c r="A34" s="1"/>
      <c r="B34" s="11"/>
      <c r="C34" s="11"/>
      <c r="D34" s="11"/>
      <c r="E34" s="11"/>
      <c r="F34" s="11"/>
      <c r="G34" s="11"/>
      <c r="H34" s="11"/>
      <c r="I34" s="11"/>
    </row>
    <row r="35" spans="1:9" ht="28.5" customHeight="1" x14ac:dyDescent="0.15">
      <c r="A35" s="1"/>
      <c r="B35" s="11"/>
      <c r="C35" s="11"/>
      <c r="D35" s="11"/>
      <c r="E35" s="11"/>
      <c r="F35" s="11"/>
      <c r="G35" s="11"/>
      <c r="H35" s="11"/>
      <c r="I35" s="11"/>
    </row>
    <row r="36" spans="1:9" ht="28.5" customHeight="1" x14ac:dyDescent="0.15">
      <c r="A36" s="1"/>
      <c r="B36" s="11"/>
      <c r="C36" s="11"/>
      <c r="D36" s="11"/>
      <c r="E36" s="11"/>
      <c r="F36" s="11"/>
      <c r="G36" s="11"/>
      <c r="H36" s="11"/>
      <c r="I36" s="11"/>
    </row>
    <row r="37" spans="1:9" ht="28.5" customHeight="1" x14ac:dyDescent="0.15">
      <c r="A37" s="1"/>
      <c r="B37" s="11"/>
      <c r="C37" s="11"/>
      <c r="D37" s="11"/>
      <c r="E37" s="11"/>
      <c r="F37" s="11"/>
      <c r="G37" s="11"/>
      <c r="H37" s="11"/>
      <c r="I37" s="11"/>
    </row>
    <row r="38" spans="1:9" ht="28.5" customHeight="1" x14ac:dyDescent="0.15">
      <c r="A38" s="1"/>
      <c r="B38" s="11"/>
      <c r="C38" s="11"/>
      <c r="D38" s="11"/>
      <c r="E38" s="11"/>
      <c r="F38" s="11"/>
      <c r="G38" s="11"/>
      <c r="H38" s="11"/>
      <c r="I38" s="11"/>
    </row>
    <row r="39" spans="1:9" ht="28.5" customHeight="1" x14ac:dyDescent="0.15">
      <c r="A39" s="1"/>
      <c r="B39" s="11"/>
      <c r="C39" s="11"/>
      <c r="D39" s="11"/>
      <c r="E39" s="11"/>
      <c r="F39" s="11"/>
      <c r="G39" s="11"/>
      <c r="H39" s="11"/>
      <c r="I39" s="11"/>
    </row>
    <row r="40" spans="1:9" ht="28.5" customHeight="1" x14ac:dyDescent="0.15">
      <c r="A40" s="1"/>
      <c r="B40" s="11"/>
      <c r="C40" s="11"/>
      <c r="D40" s="11"/>
      <c r="E40" s="11"/>
      <c r="F40" s="11"/>
      <c r="G40" s="11"/>
      <c r="H40" s="11"/>
      <c r="I40" s="11"/>
    </row>
    <row r="41" spans="1:9" ht="28.5" customHeight="1" x14ac:dyDescent="0.15">
      <c r="A41" s="1"/>
      <c r="B41" s="11"/>
      <c r="C41" s="11"/>
      <c r="D41" s="11"/>
      <c r="E41" s="11"/>
      <c r="F41" s="11"/>
      <c r="G41" s="11"/>
      <c r="H41" s="11"/>
      <c r="I41" s="11"/>
    </row>
    <row r="42" spans="1:9" ht="28.5" customHeight="1" x14ac:dyDescent="0.15">
      <c r="A42" s="1"/>
      <c r="B42" s="11"/>
      <c r="C42" s="11"/>
      <c r="D42" s="11"/>
      <c r="E42" s="11"/>
      <c r="F42" s="11"/>
      <c r="G42" s="11"/>
      <c r="H42" s="11"/>
      <c r="I42" s="11"/>
    </row>
    <row r="43" spans="1:9" ht="28.5" customHeight="1" x14ac:dyDescent="0.15">
      <c r="A43" s="1"/>
      <c r="B43" s="11"/>
      <c r="C43" s="11"/>
      <c r="D43" s="11"/>
      <c r="E43" s="11"/>
      <c r="F43" s="11"/>
      <c r="G43" s="11"/>
      <c r="H43" s="11"/>
      <c r="I43" s="11"/>
    </row>
    <row r="44" spans="1:9" ht="28.5" customHeight="1" x14ac:dyDescent="0.15">
      <c r="A44" s="1"/>
      <c r="B44" s="11"/>
      <c r="C44" s="11"/>
      <c r="D44" s="11"/>
      <c r="E44" s="11"/>
      <c r="F44" s="11"/>
      <c r="G44" s="11"/>
      <c r="H44" s="11"/>
      <c r="I44" s="11"/>
    </row>
    <row r="45" spans="1:9" ht="28.5" customHeight="1" x14ac:dyDescent="0.15">
      <c r="A45" s="1"/>
      <c r="B45" s="11"/>
      <c r="C45" s="11"/>
      <c r="D45" s="11"/>
      <c r="E45" s="11"/>
      <c r="F45" s="11"/>
      <c r="G45" s="11"/>
      <c r="H45" s="11"/>
      <c r="I45" s="11"/>
    </row>
    <row r="46" spans="1:9" ht="28.5" customHeight="1" x14ac:dyDescent="0.15">
      <c r="A46" s="1"/>
      <c r="B46" s="11"/>
      <c r="C46" s="11"/>
      <c r="D46" s="11"/>
      <c r="E46" s="11"/>
      <c r="F46" s="11"/>
      <c r="G46" s="11"/>
      <c r="H46" s="11"/>
      <c r="I46" s="11"/>
    </row>
    <row r="47" spans="1:9" ht="28.5" customHeight="1" x14ac:dyDescent="0.15">
      <c r="A47" s="1"/>
      <c r="B47" s="11"/>
      <c r="C47" s="11"/>
      <c r="D47" s="11"/>
      <c r="E47" s="11"/>
      <c r="F47" s="11"/>
      <c r="G47" s="11"/>
      <c r="H47" s="11"/>
      <c r="I47" s="11"/>
    </row>
    <row r="48" spans="1:9" ht="28.5" customHeight="1" x14ac:dyDescent="0.15">
      <c r="A48" s="1"/>
      <c r="B48" s="11"/>
      <c r="C48" s="11"/>
      <c r="D48" s="11"/>
      <c r="E48" s="11"/>
      <c r="F48" s="11"/>
      <c r="G48" s="11"/>
      <c r="H48" s="11"/>
      <c r="I48" s="11"/>
    </row>
    <row r="49" spans="1:9" ht="28.5" customHeight="1" x14ac:dyDescent="0.15">
      <c r="A49" s="1"/>
      <c r="B49" s="11"/>
      <c r="C49" s="11"/>
      <c r="D49" s="11"/>
      <c r="E49" s="11"/>
      <c r="F49" s="11"/>
      <c r="G49" s="11"/>
      <c r="H49" s="11"/>
      <c r="I49" s="11"/>
    </row>
    <row r="50" spans="1:9" ht="28.5" customHeight="1" x14ac:dyDescent="0.15">
      <c r="A50" s="1"/>
      <c r="B50" s="11"/>
      <c r="C50" s="11"/>
      <c r="D50" s="11"/>
      <c r="E50" s="11"/>
      <c r="F50" s="11"/>
      <c r="G50" s="11"/>
      <c r="H50" s="11"/>
      <c r="I50" s="11"/>
    </row>
    <row r="51" spans="1:9" ht="28.5" customHeight="1" x14ac:dyDescent="0.15">
      <c r="A51" s="1"/>
      <c r="B51" s="11"/>
      <c r="C51" s="11"/>
      <c r="D51" s="11"/>
      <c r="E51" s="11"/>
      <c r="F51" s="11"/>
      <c r="G51" s="11"/>
      <c r="H51" s="11"/>
      <c r="I51" s="11"/>
    </row>
    <row r="52" spans="1:9" ht="28.5" customHeight="1" x14ac:dyDescent="0.15">
      <c r="A52" s="1"/>
      <c r="B52" s="11"/>
      <c r="C52" s="11"/>
      <c r="D52" s="11"/>
      <c r="E52" s="11"/>
      <c r="F52" s="11"/>
      <c r="G52" s="11"/>
      <c r="H52" s="11"/>
      <c r="I52" s="11"/>
    </row>
    <row r="53" spans="1:9" ht="28.5" customHeight="1" x14ac:dyDescent="0.15">
      <c r="A53" s="1"/>
      <c r="B53" s="11"/>
      <c r="C53" s="11"/>
      <c r="D53" s="11"/>
      <c r="E53" s="11"/>
      <c r="F53" s="11"/>
      <c r="G53" s="11"/>
      <c r="H53" s="11"/>
      <c r="I53" s="11"/>
    </row>
    <row r="54" spans="1:9" ht="28.5" customHeight="1" x14ac:dyDescent="0.15">
      <c r="A54" s="1"/>
      <c r="B54" s="11"/>
      <c r="C54" s="11"/>
      <c r="D54" s="11"/>
      <c r="E54" s="11"/>
      <c r="F54" s="11"/>
      <c r="G54" s="11"/>
      <c r="H54" s="11"/>
      <c r="I54" s="11"/>
    </row>
    <row r="55" spans="1:9" ht="28.5" customHeight="1" x14ac:dyDescent="0.15">
      <c r="A55" s="1"/>
      <c r="B55" s="11"/>
      <c r="C55" s="11"/>
      <c r="D55" s="11"/>
      <c r="E55" s="11"/>
      <c r="F55" s="11"/>
      <c r="G55" s="11"/>
      <c r="H55" s="11"/>
      <c r="I55" s="11"/>
    </row>
    <row r="56" spans="1:9" ht="28.5" customHeight="1" x14ac:dyDescent="0.15">
      <c r="A56" s="1"/>
      <c r="B56" s="11"/>
      <c r="C56" s="11"/>
      <c r="D56" s="11"/>
      <c r="E56" s="11"/>
      <c r="F56" s="11"/>
      <c r="G56" s="11"/>
      <c r="H56" s="11"/>
      <c r="I56" s="11"/>
    </row>
    <row r="57" spans="1:9" ht="28.5" customHeight="1" x14ac:dyDescent="0.15">
      <c r="A57" s="1"/>
      <c r="B57" s="11"/>
      <c r="C57" s="11"/>
      <c r="D57" s="11"/>
      <c r="E57" s="11"/>
      <c r="F57" s="11"/>
      <c r="G57" s="11"/>
      <c r="H57" s="11"/>
      <c r="I57" s="11"/>
    </row>
    <row r="58" spans="1:9" ht="28.5" customHeight="1" x14ac:dyDescent="0.15">
      <c r="A58" s="1"/>
      <c r="B58" s="11"/>
      <c r="C58" s="11"/>
      <c r="D58" s="11"/>
      <c r="E58" s="11"/>
      <c r="F58" s="11"/>
      <c r="G58" s="11"/>
      <c r="H58" s="11"/>
      <c r="I58" s="11"/>
    </row>
    <row r="59" spans="1:9" ht="28.5" customHeight="1" x14ac:dyDescent="0.15">
      <c r="A59" s="1"/>
      <c r="B59" s="11"/>
      <c r="C59" s="11"/>
      <c r="D59" s="11"/>
      <c r="E59" s="11"/>
      <c r="F59" s="11"/>
      <c r="G59" s="11"/>
      <c r="H59" s="11"/>
      <c r="I59" s="11"/>
    </row>
    <row r="60" spans="1:9" ht="28.5" customHeight="1" x14ac:dyDescent="0.15">
      <c r="A60" s="1"/>
      <c r="B60" s="11"/>
      <c r="C60" s="11"/>
      <c r="D60" s="11"/>
      <c r="E60" s="11"/>
      <c r="F60" s="11"/>
      <c r="G60" s="11"/>
      <c r="H60" s="11"/>
      <c r="I60" s="11"/>
    </row>
    <row r="61" spans="1:9" ht="28.5" customHeight="1" x14ac:dyDescent="0.15">
      <c r="A61" s="1"/>
      <c r="B61" s="11"/>
      <c r="C61" s="11"/>
      <c r="D61" s="11"/>
      <c r="E61" s="11"/>
      <c r="F61" s="11"/>
      <c r="G61" s="11"/>
      <c r="H61" s="11"/>
      <c r="I61" s="11"/>
    </row>
    <row r="62" spans="1:9" ht="28.5" customHeight="1" x14ac:dyDescent="0.15">
      <c r="A62" s="1"/>
      <c r="B62" s="11"/>
      <c r="C62" s="11"/>
      <c r="D62" s="11"/>
      <c r="E62" s="11"/>
      <c r="F62" s="11"/>
      <c r="G62" s="11"/>
      <c r="H62" s="11"/>
      <c r="I62" s="11"/>
    </row>
    <row r="63" spans="1:9" ht="28.5" customHeight="1" x14ac:dyDescent="0.15">
      <c r="A63" s="1"/>
      <c r="B63" s="11"/>
      <c r="C63" s="11"/>
      <c r="D63" s="11"/>
      <c r="E63" s="11"/>
      <c r="F63" s="11"/>
      <c r="G63" s="11"/>
      <c r="H63" s="11"/>
      <c r="I63" s="11"/>
    </row>
    <row r="64" spans="1:9" ht="28.5" customHeight="1" x14ac:dyDescent="0.15">
      <c r="A64" s="1"/>
      <c r="B64" s="11"/>
      <c r="C64" s="11"/>
      <c r="D64" s="11"/>
      <c r="E64" s="11"/>
      <c r="F64" s="11"/>
      <c r="G64" s="11"/>
      <c r="H64" s="11"/>
      <c r="I64" s="11"/>
    </row>
    <row r="65" spans="1:9" ht="28.5" customHeight="1" x14ac:dyDescent="0.15">
      <c r="A65" s="1"/>
      <c r="B65" s="11"/>
      <c r="C65" s="11"/>
      <c r="D65" s="11"/>
      <c r="E65" s="11"/>
      <c r="F65" s="11"/>
      <c r="G65" s="11"/>
      <c r="H65" s="11"/>
      <c r="I65" s="11"/>
    </row>
    <row r="66" spans="1:9" ht="28.5" customHeight="1" x14ac:dyDescent="0.15">
      <c r="A66" s="1"/>
      <c r="B66" s="11"/>
      <c r="C66" s="11"/>
      <c r="D66" s="11"/>
      <c r="E66" s="11"/>
      <c r="F66" s="11"/>
      <c r="G66" s="11"/>
      <c r="H66" s="11"/>
      <c r="I66" s="11"/>
    </row>
    <row r="67" spans="1:9" ht="28.5" customHeight="1" x14ac:dyDescent="0.15">
      <c r="A67" s="1"/>
      <c r="B67" s="11"/>
      <c r="C67" s="11"/>
      <c r="D67" s="11"/>
      <c r="E67" s="11"/>
      <c r="F67" s="11"/>
      <c r="G67" s="11"/>
      <c r="H67" s="11"/>
      <c r="I67" s="11"/>
    </row>
    <row r="68" spans="1:9" ht="28.5" customHeight="1" x14ac:dyDescent="0.15">
      <c r="A68" s="1"/>
      <c r="B68" s="11"/>
      <c r="C68" s="11"/>
      <c r="D68" s="11"/>
      <c r="E68" s="11"/>
      <c r="F68" s="11"/>
      <c r="G68" s="11"/>
      <c r="H68" s="11"/>
      <c r="I68" s="11"/>
    </row>
    <row r="69" spans="1:9" ht="28.5" customHeight="1" x14ac:dyDescent="0.15">
      <c r="A69" s="1"/>
      <c r="B69" s="11"/>
      <c r="C69" s="11"/>
      <c r="D69" s="11"/>
      <c r="E69" s="11"/>
      <c r="F69" s="11"/>
      <c r="G69" s="11"/>
      <c r="H69" s="11"/>
      <c r="I69" s="11"/>
    </row>
    <row r="70" spans="1:9" ht="28.5" customHeight="1" x14ac:dyDescent="0.15">
      <c r="A70" s="1"/>
      <c r="B70" s="11"/>
      <c r="C70" s="11"/>
      <c r="D70" s="11"/>
      <c r="E70" s="11"/>
      <c r="F70" s="11"/>
      <c r="G70" s="11"/>
      <c r="H70" s="11"/>
      <c r="I70" s="11"/>
    </row>
    <row r="71" spans="1:9" ht="28.5" customHeight="1" x14ac:dyDescent="0.15">
      <c r="A71" s="1"/>
      <c r="B71" s="11"/>
      <c r="C71" s="11"/>
      <c r="D71" s="11"/>
      <c r="E71" s="11"/>
      <c r="F71" s="11"/>
      <c r="G71" s="11"/>
      <c r="H71" s="11"/>
      <c r="I71" s="11"/>
    </row>
    <row r="72" spans="1:9" ht="28.5" customHeight="1" x14ac:dyDescent="0.15">
      <c r="A72" s="1"/>
      <c r="B72" s="11"/>
      <c r="C72" s="11"/>
      <c r="D72" s="11"/>
      <c r="E72" s="11"/>
      <c r="F72" s="11"/>
      <c r="G72" s="11"/>
      <c r="H72" s="11"/>
      <c r="I72" s="11"/>
    </row>
    <row r="73" spans="1:9" ht="28.5" customHeight="1" x14ac:dyDescent="0.15">
      <c r="A73" s="1"/>
      <c r="B73" s="11"/>
      <c r="C73" s="11"/>
      <c r="D73" s="11"/>
      <c r="E73" s="11"/>
      <c r="F73" s="11"/>
      <c r="G73" s="11"/>
      <c r="H73" s="11"/>
      <c r="I73" s="11"/>
    </row>
    <row r="74" spans="1:9" ht="28.5" customHeight="1" x14ac:dyDescent="0.15">
      <c r="A74" s="1"/>
      <c r="B74" s="11"/>
      <c r="C74" s="11"/>
      <c r="D74" s="11"/>
      <c r="E74" s="11"/>
      <c r="F74" s="11"/>
      <c r="G74" s="11"/>
      <c r="H74" s="11"/>
      <c r="I74" s="11"/>
    </row>
    <row r="75" spans="1:9" ht="28.5" customHeight="1" x14ac:dyDescent="0.15">
      <c r="A75" s="1"/>
      <c r="B75" s="11"/>
      <c r="C75" s="11"/>
      <c r="D75" s="11"/>
      <c r="E75" s="11"/>
      <c r="F75" s="11"/>
      <c r="G75" s="11"/>
      <c r="H75" s="11"/>
      <c r="I75" s="11"/>
    </row>
    <row r="76" spans="1:9" ht="28.5" customHeight="1" x14ac:dyDescent="0.15">
      <c r="A76" s="1"/>
      <c r="B76" s="11"/>
      <c r="C76" s="11"/>
      <c r="D76" s="11"/>
      <c r="E76" s="11"/>
      <c r="F76" s="11"/>
      <c r="G76" s="11"/>
      <c r="H76" s="11"/>
      <c r="I76" s="11"/>
    </row>
    <row r="77" spans="1:9" ht="28.5" customHeight="1" x14ac:dyDescent="0.15">
      <c r="A77" s="1"/>
      <c r="B77" s="11"/>
      <c r="C77" s="11"/>
      <c r="D77" s="11"/>
      <c r="E77" s="11"/>
      <c r="F77" s="11"/>
      <c r="G77" s="11"/>
      <c r="H77" s="11"/>
      <c r="I77" s="11"/>
    </row>
    <row r="78" spans="1:9" ht="28.5" customHeight="1" x14ac:dyDescent="0.15">
      <c r="A78" s="1"/>
      <c r="B78" s="11"/>
      <c r="C78" s="11"/>
      <c r="D78" s="11"/>
      <c r="E78" s="11"/>
      <c r="F78" s="11"/>
      <c r="G78" s="11"/>
      <c r="H78" s="11"/>
      <c r="I78" s="11"/>
    </row>
    <row r="79" spans="1:9" ht="28.5" customHeight="1" x14ac:dyDescent="0.15">
      <c r="A79" s="1"/>
      <c r="B79" s="11"/>
      <c r="C79" s="11"/>
      <c r="D79" s="11"/>
      <c r="E79" s="11"/>
      <c r="F79" s="11"/>
      <c r="G79" s="11"/>
      <c r="H79" s="11"/>
      <c r="I79" s="11"/>
    </row>
    <row r="80" spans="1:9" ht="28.5" customHeight="1" x14ac:dyDescent="0.15">
      <c r="A80" s="1"/>
      <c r="B80" s="11"/>
      <c r="C80" s="11"/>
      <c r="D80" s="11"/>
      <c r="E80" s="11"/>
      <c r="F80" s="11"/>
      <c r="G80" s="11"/>
      <c r="H80" s="11"/>
      <c r="I80" s="11"/>
    </row>
    <row r="81" spans="1:9" ht="28.5" customHeight="1" x14ac:dyDescent="0.15">
      <c r="A81" s="1"/>
      <c r="B81" s="11"/>
      <c r="C81" s="11"/>
      <c r="D81" s="11"/>
      <c r="E81" s="11"/>
      <c r="F81" s="11"/>
      <c r="G81" s="11"/>
      <c r="H81" s="11"/>
      <c r="I81" s="11"/>
    </row>
    <row r="82" spans="1:9" ht="28.5" customHeight="1" x14ac:dyDescent="0.15">
      <c r="A82" s="1"/>
      <c r="B82" s="11"/>
      <c r="C82" s="11"/>
      <c r="D82" s="11"/>
      <c r="E82" s="11"/>
      <c r="F82" s="11"/>
      <c r="G82" s="11"/>
      <c r="H82" s="11"/>
      <c r="I82" s="11"/>
    </row>
    <row r="83" spans="1:9" ht="28.5" customHeight="1" x14ac:dyDescent="0.15">
      <c r="A83" s="1"/>
      <c r="B83" s="11"/>
      <c r="C83" s="11"/>
      <c r="D83" s="11"/>
      <c r="E83" s="11"/>
      <c r="F83" s="11"/>
      <c r="G83" s="11"/>
      <c r="H83" s="11"/>
      <c r="I83" s="11"/>
    </row>
    <row r="84" spans="1:9" ht="28.5" customHeight="1" x14ac:dyDescent="0.15">
      <c r="A84" s="1"/>
      <c r="B84" s="11"/>
      <c r="C84" s="11"/>
      <c r="D84" s="11"/>
      <c r="E84" s="11"/>
      <c r="F84" s="11"/>
      <c r="G84" s="11"/>
      <c r="H84" s="11"/>
      <c r="I84" s="11"/>
    </row>
    <row r="85" spans="1:9" ht="28.5" customHeight="1" x14ac:dyDescent="0.15">
      <c r="A85" s="1"/>
      <c r="B85" s="11"/>
      <c r="C85" s="11"/>
      <c r="D85" s="11"/>
      <c r="E85" s="11"/>
      <c r="F85" s="11"/>
      <c r="G85" s="11"/>
      <c r="H85" s="11"/>
      <c r="I85" s="11"/>
    </row>
    <row r="86" spans="1:9" ht="28.5" customHeight="1" x14ac:dyDescent="0.15">
      <c r="A86" s="1"/>
      <c r="B86" s="11"/>
      <c r="C86" s="11"/>
      <c r="D86" s="11"/>
      <c r="E86" s="11"/>
      <c r="F86" s="11"/>
      <c r="G86" s="11"/>
      <c r="H86" s="11"/>
      <c r="I86" s="11"/>
    </row>
    <row r="87" spans="1:9" ht="28.5" customHeight="1" x14ac:dyDescent="0.15">
      <c r="A87" s="1"/>
      <c r="B87" s="11"/>
      <c r="C87" s="11"/>
      <c r="D87" s="11"/>
      <c r="E87" s="11"/>
      <c r="F87" s="11"/>
      <c r="G87" s="11"/>
      <c r="H87" s="11"/>
      <c r="I87" s="11"/>
    </row>
    <row r="88" spans="1:9" ht="28.5" customHeight="1" x14ac:dyDescent="0.15">
      <c r="A88" s="1"/>
      <c r="B88" s="11"/>
      <c r="C88" s="11"/>
      <c r="D88" s="11"/>
      <c r="E88" s="11"/>
      <c r="F88" s="11"/>
      <c r="G88" s="11"/>
      <c r="H88" s="11"/>
      <c r="I88" s="11"/>
    </row>
    <row r="89" spans="1:9" ht="28.5" customHeight="1" x14ac:dyDescent="0.15">
      <c r="A89" s="1"/>
      <c r="B89" s="11"/>
      <c r="C89" s="11"/>
      <c r="D89" s="11"/>
      <c r="E89" s="11"/>
      <c r="F89" s="11"/>
      <c r="G89" s="11"/>
      <c r="H89" s="11"/>
      <c r="I89" s="11"/>
    </row>
    <row r="90" spans="1:9" ht="28.5" customHeight="1" x14ac:dyDescent="0.15">
      <c r="A90" s="1"/>
      <c r="B90" s="11"/>
      <c r="C90" s="11"/>
      <c r="D90" s="11"/>
      <c r="E90" s="11"/>
      <c r="F90" s="11"/>
      <c r="G90" s="11"/>
      <c r="H90" s="11"/>
      <c r="I90" s="11"/>
    </row>
    <row r="91" spans="1:9" ht="28.5" customHeight="1" x14ac:dyDescent="0.15">
      <c r="A91" s="1"/>
      <c r="B91" s="11"/>
      <c r="C91" s="11"/>
      <c r="D91" s="11"/>
      <c r="E91" s="11"/>
      <c r="F91" s="11"/>
      <c r="G91" s="11"/>
      <c r="H91" s="11"/>
      <c r="I91" s="11"/>
    </row>
    <row r="92" spans="1:9" ht="28.5" customHeight="1" x14ac:dyDescent="0.15">
      <c r="A92" s="1"/>
      <c r="B92" s="11"/>
      <c r="C92" s="11"/>
      <c r="D92" s="11"/>
      <c r="E92" s="11"/>
      <c r="F92" s="11"/>
      <c r="G92" s="11"/>
      <c r="H92" s="11"/>
      <c r="I92" s="11"/>
    </row>
    <row r="93" spans="1:9" ht="28.5" customHeight="1" x14ac:dyDescent="0.15">
      <c r="A93" s="1"/>
      <c r="B93" s="11"/>
      <c r="C93" s="11"/>
      <c r="D93" s="11"/>
      <c r="E93" s="11"/>
      <c r="F93" s="11"/>
      <c r="G93" s="11"/>
      <c r="H93" s="11"/>
      <c r="I93" s="11"/>
    </row>
    <row r="94" spans="1:9" ht="28.5" customHeight="1" x14ac:dyDescent="0.15">
      <c r="A94" s="1"/>
      <c r="B94" s="11"/>
      <c r="C94" s="11"/>
      <c r="D94" s="11"/>
      <c r="E94" s="11"/>
      <c r="F94" s="11"/>
      <c r="G94" s="11"/>
      <c r="H94" s="11"/>
      <c r="I94" s="11"/>
    </row>
    <row r="95" spans="1:9" ht="28.5" customHeight="1" x14ac:dyDescent="0.15">
      <c r="A95" s="1"/>
      <c r="B95" s="11"/>
      <c r="C95" s="11"/>
      <c r="D95" s="11"/>
      <c r="E95" s="11"/>
      <c r="F95" s="11"/>
      <c r="G95" s="11"/>
      <c r="H95" s="11"/>
      <c r="I95" s="11"/>
    </row>
    <row r="96" spans="1:9" ht="28.5" customHeight="1" x14ac:dyDescent="0.15">
      <c r="A96" s="1"/>
      <c r="B96" s="11"/>
      <c r="C96" s="11"/>
      <c r="D96" s="11"/>
      <c r="E96" s="11"/>
      <c r="F96" s="11"/>
      <c r="G96" s="11"/>
      <c r="H96" s="11"/>
      <c r="I96" s="11"/>
    </row>
    <row r="97" spans="1:9" ht="28.5" customHeight="1" x14ac:dyDescent="0.15">
      <c r="A97" s="1"/>
      <c r="B97" s="11"/>
      <c r="C97" s="11"/>
      <c r="D97" s="11"/>
      <c r="E97" s="11"/>
      <c r="F97" s="11"/>
      <c r="G97" s="11"/>
      <c r="H97" s="11"/>
      <c r="I97" s="11"/>
    </row>
    <row r="98" spans="1:9" ht="28.5" customHeight="1" x14ac:dyDescent="0.15">
      <c r="A98" s="1"/>
      <c r="B98" s="11"/>
      <c r="C98" s="11"/>
      <c r="D98" s="11"/>
      <c r="E98" s="11"/>
      <c r="F98" s="11"/>
      <c r="G98" s="11"/>
      <c r="H98" s="11"/>
      <c r="I98" s="11"/>
    </row>
    <row r="99" spans="1:9" ht="28.5" customHeight="1" x14ac:dyDescent="0.15">
      <c r="A99" s="1"/>
      <c r="B99" s="11"/>
      <c r="C99" s="11"/>
      <c r="D99" s="11"/>
      <c r="E99" s="11"/>
      <c r="F99" s="11"/>
      <c r="G99" s="11"/>
      <c r="H99" s="11"/>
      <c r="I99" s="11"/>
    </row>
    <row r="100" spans="1:9" ht="28.5" customHeight="1" x14ac:dyDescent="0.15">
      <c r="A100" s="1"/>
      <c r="B100" s="11"/>
      <c r="C100" s="11"/>
      <c r="D100" s="11"/>
      <c r="E100" s="11"/>
      <c r="F100" s="11"/>
      <c r="G100" s="11"/>
      <c r="H100" s="11"/>
      <c r="I100" s="11"/>
    </row>
    <row r="101" spans="1:9" ht="28.5" customHeight="1" x14ac:dyDescent="0.15">
      <c r="A101" s="1"/>
      <c r="B101" s="11"/>
      <c r="C101" s="11"/>
      <c r="D101" s="11"/>
      <c r="E101" s="11"/>
      <c r="F101" s="11"/>
      <c r="G101" s="11"/>
      <c r="H101" s="11"/>
      <c r="I101" s="11"/>
    </row>
    <row r="102" spans="1:9" ht="28.5" customHeight="1" x14ac:dyDescent="0.15">
      <c r="A102" s="1"/>
      <c r="B102" s="11"/>
      <c r="C102" s="11"/>
      <c r="D102" s="11"/>
      <c r="E102" s="11"/>
      <c r="F102" s="11"/>
      <c r="G102" s="11"/>
      <c r="H102" s="11"/>
      <c r="I102" s="11"/>
    </row>
    <row r="103" spans="1:9" ht="28.5" customHeight="1" x14ac:dyDescent="0.15">
      <c r="A103" s="1"/>
      <c r="B103" s="11"/>
      <c r="C103" s="11"/>
      <c r="D103" s="11"/>
      <c r="E103" s="11"/>
      <c r="F103" s="11"/>
      <c r="G103" s="11"/>
      <c r="H103" s="11"/>
      <c r="I103" s="11"/>
    </row>
    <row r="104" spans="1:9" ht="28.5" customHeight="1" x14ac:dyDescent="0.15">
      <c r="A104" s="1"/>
      <c r="B104" s="11"/>
      <c r="C104" s="11"/>
      <c r="D104" s="11"/>
      <c r="E104" s="11"/>
      <c r="F104" s="11"/>
      <c r="G104" s="11"/>
      <c r="H104" s="11"/>
      <c r="I104" s="11"/>
    </row>
    <row r="105" spans="1:9" ht="28.5" customHeight="1" x14ac:dyDescent="0.15">
      <c r="A105" s="1"/>
      <c r="B105" s="11"/>
      <c r="C105" s="11"/>
      <c r="D105" s="11"/>
      <c r="E105" s="11"/>
      <c r="F105" s="11"/>
      <c r="G105" s="11"/>
      <c r="H105" s="11"/>
      <c r="I105" s="11"/>
    </row>
    <row r="106" spans="1:9" ht="28.5" customHeight="1" x14ac:dyDescent="0.15">
      <c r="A106" s="1"/>
      <c r="B106" s="11"/>
      <c r="C106" s="11"/>
      <c r="D106" s="11"/>
      <c r="E106" s="11"/>
      <c r="F106" s="11"/>
      <c r="G106" s="11"/>
      <c r="H106" s="11"/>
      <c r="I106" s="11"/>
    </row>
    <row r="107" spans="1:9" ht="28.5" customHeight="1" x14ac:dyDescent="0.15">
      <c r="A107" s="1"/>
      <c r="B107" s="11"/>
      <c r="C107" s="11"/>
      <c r="D107" s="11"/>
      <c r="E107" s="11"/>
      <c r="F107" s="11"/>
      <c r="G107" s="11"/>
      <c r="H107" s="11"/>
      <c r="I107" s="11"/>
    </row>
    <row r="108" spans="1:9" ht="28.5" customHeight="1" x14ac:dyDescent="0.15">
      <c r="A108" s="1"/>
      <c r="B108" s="11"/>
      <c r="C108" s="11"/>
      <c r="D108" s="11"/>
      <c r="E108" s="11"/>
      <c r="F108" s="11"/>
      <c r="G108" s="11"/>
      <c r="H108" s="11"/>
      <c r="I108" s="11"/>
    </row>
    <row r="109" spans="1:9" ht="28.5" customHeight="1" x14ac:dyDescent="0.15">
      <c r="A109" s="1"/>
      <c r="B109" s="11"/>
      <c r="C109" s="11"/>
      <c r="D109" s="11"/>
      <c r="E109" s="11"/>
      <c r="F109" s="11"/>
      <c r="G109" s="11"/>
      <c r="H109" s="11"/>
      <c r="I109" s="11"/>
    </row>
    <row r="110" spans="1:9" ht="28.5" customHeight="1" x14ac:dyDescent="0.15">
      <c r="A110" s="1"/>
      <c r="B110" s="11"/>
      <c r="C110" s="11"/>
      <c r="D110" s="11"/>
      <c r="E110" s="11"/>
      <c r="F110" s="11"/>
      <c r="G110" s="11"/>
      <c r="H110" s="11"/>
      <c r="I110" s="11"/>
    </row>
    <row r="111" spans="1:9" ht="28.5" customHeight="1" x14ac:dyDescent="0.15">
      <c r="A111" s="1"/>
      <c r="B111" s="11"/>
      <c r="C111" s="11"/>
      <c r="D111" s="11"/>
      <c r="E111" s="11"/>
      <c r="F111" s="11"/>
      <c r="G111" s="11"/>
      <c r="H111" s="11"/>
      <c r="I111" s="11"/>
    </row>
    <row r="112" spans="1:9" ht="28.5" customHeight="1" x14ac:dyDescent="0.15">
      <c r="A112" s="1"/>
      <c r="B112" s="11"/>
      <c r="C112" s="11"/>
      <c r="D112" s="11"/>
      <c r="E112" s="11"/>
      <c r="F112" s="11"/>
      <c r="G112" s="11"/>
      <c r="H112" s="11"/>
      <c r="I112" s="11"/>
    </row>
    <row r="113" spans="1:9" ht="28.5" customHeight="1" x14ac:dyDescent="0.15">
      <c r="A113" s="1"/>
      <c r="B113" s="11"/>
      <c r="C113" s="11"/>
      <c r="D113" s="11"/>
      <c r="E113" s="11"/>
      <c r="F113" s="11"/>
      <c r="G113" s="11"/>
      <c r="H113" s="11"/>
      <c r="I113" s="11"/>
    </row>
    <row r="114" spans="1:9" ht="28.5" customHeight="1" x14ac:dyDescent="0.15">
      <c r="A114" s="1"/>
      <c r="B114" s="11"/>
      <c r="C114" s="11"/>
      <c r="D114" s="11"/>
      <c r="E114" s="11"/>
      <c r="F114" s="11"/>
      <c r="G114" s="11"/>
      <c r="H114" s="11"/>
      <c r="I114" s="11"/>
    </row>
    <row r="115" spans="1:9" ht="28.5" customHeight="1" x14ac:dyDescent="0.15">
      <c r="A115" s="1"/>
      <c r="B115" s="11"/>
      <c r="C115" s="11"/>
      <c r="D115" s="11"/>
      <c r="E115" s="11"/>
      <c r="F115" s="11"/>
      <c r="G115" s="11"/>
      <c r="H115" s="11"/>
      <c r="I115" s="11"/>
    </row>
    <row r="116" spans="1:9" ht="28.5" customHeight="1" x14ac:dyDescent="0.15">
      <c r="A116" s="1"/>
      <c r="B116" s="11"/>
      <c r="C116" s="11"/>
      <c r="D116" s="11"/>
      <c r="E116" s="11"/>
      <c r="F116" s="11"/>
      <c r="G116" s="11"/>
      <c r="H116" s="11"/>
      <c r="I116" s="11"/>
    </row>
    <row r="117" spans="1:9" ht="28.5" customHeight="1" x14ac:dyDescent="0.15">
      <c r="A117" s="1"/>
      <c r="B117" s="11"/>
      <c r="C117" s="11"/>
      <c r="D117" s="11"/>
      <c r="E117" s="11"/>
      <c r="F117" s="11"/>
      <c r="G117" s="11"/>
      <c r="H117" s="11"/>
      <c r="I117" s="11"/>
    </row>
    <row r="118" spans="1:9" ht="28.5" customHeight="1" x14ac:dyDescent="0.15">
      <c r="A118" s="1"/>
      <c r="B118" s="11"/>
      <c r="C118" s="11"/>
      <c r="D118" s="11"/>
      <c r="E118" s="11"/>
      <c r="F118" s="11"/>
      <c r="G118" s="11"/>
      <c r="H118" s="11"/>
      <c r="I118" s="11"/>
    </row>
    <row r="119" spans="1:9" ht="28.5" customHeight="1" x14ac:dyDescent="0.15">
      <c r="A119" s="1"/>
      <c r="B119" s="11"/>
      <c r="C119" s="11"/>
      <c r="D119" s="11"/>
      <c r="E119" s="11"/>
      <c r="F119" s="11"/>
      <c r="G119" s="11"/>
      <c r="H119" s="11"/>
      <c r="I119" s="11"/>
    </row>
    <row r="120" spans="1:9" ht="28.5" customHeight="1" x14ac:dyDescent="0.15">
      <c r="A120" s="1"/>
      <c r="B120" s="11"/>
      <c r="C120" s="11"/>
      <c r="D120" s="11"/>
      <c r="E120" s="11"/>
      <c r="F120" s="11"/>
      <c r="G120" s="11"/>
      <c r="H120" s="11"/>
      <c r="I120" s="11"/>
    </row>
    <row r="121" spans="1:9" ht="28.5" customHeight="1" x14ac:dyDescent="0.15">
      <c r="A121" s="1"/>
      <c r="B121" s="11"/>
      <c r="C121" s="11"/>
      <c r="D121" s="11"/>
      <c r="E121" s="11"/>
      <c r="F121" s="11"/>
      <c r="G121" s="11"/>
      <c r="H121" s="11"/>
      <c r="I121" s="11"/>
    </row>
    <row r="122" spans="1:9" ht="28.5" customHeight="1" x14ac:dyDescent="0.15">
      <c r="A122" s="1"/>
      <c r="B122" s="11"/>
      <c r="C122" s="11"/>
      <c r="D122" s="11"/>
      <c r="E122" s="11"/>
      <c r="F122" s="11"/>
      <c r="G122" s="11"/>
      <c r="H122" s="11"/>
      <c r="I122" s="11"/>
    </row>
    <row r="123" spans="1:9" ht="28.5" customHeight="1" x14ac:dyDescent="0.15">
      <c r="A123" s="1"/>
      <c r="B123" s="11"/>
      <c r="C123" s="11"/>
      <c r="D123" s="11"/>
      <c r="E123" s="11"/>
      <c r="F123" s="11"/>
      <c r="G123" s="11"/>
      <c r="H123" s="11"/>
      <c r="I123" s="11"/>
    </row>
    <row r="124" spans="1:9" ht="28.5" customHeight="1" x14ac:dyDescent="0.15">
      <c r="A124" s="1"/>
      <c r="B124" s="11"/>
      <c r="C124" s="11"/>
      <c r="D124" s="11"/>
      <c r="E124" s="11"/>
      <c r="F124" s="11"/>
      <c r="G124" s="11"/>
      <c r="H124" s="11"/>
      <c r="I124" s="11"/>
    </row>
    <row r="125" spans="1:9" ht="28.5" customHeight="1" x14ac:dyDescent="0.15">
      <c r="A125" s="1"/>
      <c r="B125" s="11"/>
      <c r="C125" s="11"/>
      <c r="D125" s="11"/>
      <c r="E125" s="11"/>
      <c r="F125" s="11"/>
      <c r="G125" s="11"/>
      <c r="H125" s="11"/>
      <c r="I125" s="11"/>
    </row>
    <row r="126" spans="1:9" ht="28.5" customHeight="1" x14ac:dyDescent="0.15">
      <c r="A126" s="1"/>
      <c r="B126" s="11"/>
      <c r="C126" s="11"/>
      <c r="D126" s="11"/>
      <c r="E126" s="11"/>
      <c r="F126" s="11"/>
      <c r="G126" s="11"/>
      <c r="H126" s="11"/>
      <c r="I126" s="11"/>
    </row>
    <row r="127" spans="1:9" ht="28.5" customHeight="1" x14ac:dyDescent="0.15">
      <c r="A127" s="1"/>
      <c r="B127" s="11"/>
      <c r="C127" s="11"/>
      <c r="D127" s="11"/>
      <c r="E127" s="11"/>
      <c r="F127" s="11"/>
      <c r="G127" s="11"/>
      <c r="H127" s="11"/>
      <c r="I127" s="11"/>
    </row>
    <row r="128" spans="1:9" ht="28.5" customHeight="1" x14ac:dyDescent="0.15">
      <c r="A128" s="1"/>
      <c r="B128" s="11"/>
      <c r="C128" s="11"/>
      <c r="D128" s="11"/>
      <c r="E128" s="11"/>
      <c r="F128" s="11"/>
      <c r="G128" s="11"/>
      <c r="H128" s="11"/>
      <c r="I128" s="11"/>
    </row>
    <row r="129" spans="1:9" ht="28.5" customHeight="1" x14ac:dyDescent="0.15">
      <c r="A129" s="1"/>
      <c r="B129" s="11"/>
      <c r="C129" s="11"/>
      <c r="D129" s="11"/>
      <c r="E129" s="11"/>
      <c r="F129" s="11"/>
      <c r="G129" s="11"/>
      <c r="H129" s="11"/>
      <c r="I129" s="11"/>
    </row>
    <row r="130" spans="1:9" ht="28.5" customHeight="1" x14ac:dyDescent="0.15">
      <c r="A130" s="1"/>
      <c r="B130" s="11"/>
      <c r="C130" s="11"/>
      <c r="D130" s="11"/>
      <c r="E130" s="11"/>
      <c r="F130" s="11"/>
      <c r="G130" s="11"/>
      <c r="H130" s="11"/>
      <c r="I130" s="11"/>
    </row>
    <row r="131" spans="1:9" ht="28.5" customHeight="1" x14ac:dyDescent="0.15">
      <c r="A131" s="1"/>
      <c r="B131" s="11"/>
      <c r="C131" s="11"/>
      <c r="D131" s="11"/>
      <c r="E131" s="11"/>
      <c r="F131" s="11"/>
      <c r="G131" s="11"/>
      <c r="H131" s="11"/>
      <c r="I131" s="11"/>
    </row>
    <row r="132" spans="1:9" ht="28.5" customHeight="1" x14ac:dyDescent="0.15">
      <c r="A132" s="1"/>
      <c r="B132" s="11"/>
      <c r="C132" s="11"/>
      <c r="D132" s="11"/>
      <c r="E132" s="11"/>
      <c r="F132" s="11"/>
      <c r="G132" s="11"/>
      <c r="H132" s="11"/>
      <c r="I132" s="11"/>
    </row>
    <row r="133" spans="1:9" ht="28.5" customHeight="1" x14ac:dyDescent="0.15">
      <c r="A133" s="1"/>
      <c r="B133" s="11"/>
      <c r="C133" s="11"/>
      <c r="D133" s="11"/>
      <c r="E133" s="11"/>
      <c r="F133" s="11"/>
      <c r="G133" s="11"/>
      <c r="H133" s="11"/>
      <c r="I133" s="11"/>
    </row>
    <row r="134" spans="1:9" ht="28.5" customHeight="1" x14ac:dyDescent="0.15">
      <c r="A134" s="1"/>
      <c r="B134" s="11"/>
      <c r="C134" s="11"/>
      <c r="D134" s="11"/>
      <c r="E134" s="11"/>
      <c r="F134" s="11"/>
      <c r="G134" s="11"/>
      <c r="H134" s="11"/>
      <c r="I134" s="11"/>
    </row>
    <row r="135" spans="1:9" ht="28.5" customHeight="1" x14ac:dyDescent="0.15">
      <c r="A135" s="1"/>
      <c r="B135" s="11"/>
      <c r="C135" s="11"/>
      <c r="D135" s="11"/>
      <c r="E135" s="11"/>
      <c r="F135" s="11"/>
      <c r="G135" s="11"/>
      <c r="H135" s="11"/>
      <c r="I135" s="11"/>
    </row>
    <row r="136" spans="1:9" ht="28.5" customHeight="1" x14ac:dyDescent="0.15">
      <c r="A136" s="1"/>
      <c r="B136" s="11"/>
      <c r="C136" s="11"/>
      <c r="D136" s="11"/>
      <c r="E136" s="11"/>
      <c r="F136" s="11"/>
      <c r="G136" s="11"/>
      <c r="H136" s="11"/>
      <c r="I136" s="11"/>
    </row>
    <row r="137" spans="1:9" ht="28.5" customHeight="1" x14ac:dyDescent="0.15">
      <c r="A137" s="1"/>
      <c r="B137" s="11"/>
      <c r="C137" s="11"/>
      <c r="D137" s="11"/>
      <c r="E137" s="11"/>
      <c r="F137" s="11"/>
      <c r="G137" s="11"/>
      <c r="H137" s="11"/>
      <c r="I137" s="11"/>
    </row>
    <row r="138" spans="1:9" ht="28.5" customHeight="1" x14ac:dyDescent="0.15">
      <c r="A138" s="1"/>
      <c r="B138" s="11"/>
      <c r="C138" s="11"/>
      <c r="D138" s="11"/>
      <c r="E138" s="11"/>
      <c r="F138" s="11"/>
      <c r="G138" s="11"/>
      <c r="H138" s="11"/>
      <c r="I138" s="11"/>
    </row>
    <row r="139" spans="1:9" ht="28.5" customHeight="1" x14ac:dyDescent="0.15">
      <c r="A139" s="1"/>
      <c r="B139" s="11"/>
      <c r="C139" s="11"/>
      <c r="D139" s="11"/>
      <c r="E139" s="11"/>
      <c r="F139" s="11"/>
      <c r="G139" s="11"/>
      <c r="H139" s="11"/>
      <c r="I139" s="11"/>
    </row>
    <row r="140" spans="1:9" ht="28.5" customHeight="1" x14ac:dyDescent="0.15">
      <c r="A140" s="1"/>
      <c r="B140" s="11"/>
      <c r="C140" s="11"/>
      <c r="D140" s="11"/>
      <c r="E140" s="11"/>
      <c r="F140" s="11"/>
      <c r="G140" s="11"/>
      <c r="H140" s="11"/>
      <c r="I140" s="11"/>
    </row>
    <row r="141" spans="1:9" ht="28.5" customHeight="1" x14ac:dyDescent="0.15">
      <c r="A141" s="1"/>
      <c r="B141" s="11"/>
      <c r="C141" s="11"/>
      <c r="D141" s="11"/>
      <c r="E141" s="11"/>
      <c r="F141" s="11"/>
      <c r="G141" s="11"/>
      <c r="H141" s="11"/>
      <c r="I141" s="11"/>
    </row>
    <row r="142" spans="1:9" ht="28.5" customHeight="1" x14ac:dyDescent="0.15">
      <c r="A142" s="1"/>
      <c r="B142" s="11"/>
      <c r="C142" s="11"/>
      <c r="D142" s="11"/>
      <c r="E142" s="11"/>
      <c r="F142" s="11"/>
      <c r="G142" s="11"/>
      <c r="H142" s="11"/>
      <c r="I142" s="11"/>
    </row>
    <row r="143" spans="1:9" ht="28.5" customHeight="1" x14ac:dyDescent="0.15">
      <c r="A143" s="1"/>
      <c r="B143" s="11"/>
      <c r="C143" s="11"/>
      <c r="D143" s="11"/>
      <c r="E143" s="11"/>
      <c r="F143" s="11"/>
      <c r="G143" s="11"/>
      <c r="H143" s="11"/>
      <c r="I143" s="11"/>
    </row>
    <row r="144" spans="1:9" ht="28.5" customHeight="1" x14ac:dyDescent="0.15">
      <c r="A144" s="1"/>
      <c r="B144" s="11"/>
      <c r="C144" s="11"/>
      <c r="D144" s="11"/>
      <c r="E144" s="11"/>
      <c r="F144" s="11"/>
      <c r="G144" s="11"/>
      <c r="H144" s="11"/>
      <c r="I144" s="11"/>
    </row>
    <row r="145" spans="1:9" ht="28.5" customHeight="1" x14ac:dyDescent="0.15">
      <c r="A145" s="1"/>
      <c r="B145" s="11"/>
      <c r="C145" s="11"/>
      <c r="D145" s="11"/>
      <c r="E145" s="11"/>
      <c r="F145" s="11"/>
      <c r="G145" s="11"/>
      <c r="H145" s="11"/>
      <c r="I145" s="11"/>
    </row>
    <row r="146" spans="1:9" ht="28.5" customHeight="1" x14ac:dyDescent="0.15">
      <c r="A146" s="1"/>
      <c r="B146" s="11"/>
      <c r="C146" s="11"/>
      <c r="D146" s="11"/>
      <c r="E146" s="11"/>
      <c r="F146" s="11"/>
      <c r="G146" s="11"/>
      <c r="H146" s="11"/>
      <c r="I146" s="11"/>
    </row>
    <row r="147" spans="1:9" ht="28.5" customHeight="1" x14ac:dyDescent="0.15">
      <c r="A147" s="1"/>
      <c r="B147" s="11"/>
      <c r="C147" s="11"/>
      <c r="D147" s="11"/>
      <c r="E147" s="11"/>
      <c r="F147" s="11"/>
      <c r="G147" s="11"/>
      <c r="H147" s="11"/>
      <c r="I147" s="11"/>
    </row>
    <row r="148" spans="1:9" ht="28.5" customHeight="1" x14ac:dyDescent="0.15">
      <c r="A148" s="1"/>
      <c r="B148" s="11"/>
      <c r="C148" s="11"/>
      <c r="D148" s="11"/>
      <c r="E148" s="11"/>
      <c r="F148" s="11"/>
      <c r="G148" s="11"/>
      <c r="H148" s="11"/>
      <c r="I148" s="11"/>
    </row>
    <row r="149" spans="1:9" ht="28.5" customHeight="1" x14ac:dyDescent="0.15">
      <c r="A149" s="1"/>
      <c r="B149" s="11"/>
      <c r="C149" s="11"/>
      <c r="D149" s="11"/>
      <c r="E149" s="11"/>
      <c r="F149" s="11"/>
      <c r="G149" s="11"/>
      <c r="H149" s="11"/>
      <c r="I149" s="11"/>
    </row>
    <row r="150" spans="1:9" ht="28.5" customHeight="1" x14ac:dyDescent="0.15">
      <c r="A150" s="1"/>
      <c r="B150" s="11"/>
      <c r="C150" s="11"/>
      <c r="D150" s="11"/>
      <c r="E150" s="11"/>
      <c r="F150" s="11"/>
      <c r="G150" s="11"/>
      <c r="H150" s="11"/>
      <c r="I150" s="11"/>
    </row>
    <row r="151" spans="1:9" ht="28.5" customHeight="1" x14ac:dyDescent="0.15">
      <c r="A151" s="1"/>
      <c r="B151" s="11"/>
      <c r="C151" s="11"/>
      <c r="D151" s="11"/>
      <c r="E151" s="11"/>
      <c r="F151" s="11"/>
      <c r="G151" s="11"/>
      <c r="H151" s="11"/>
      <c r="I151" s="11"/>
    </row>
    <row r="152" spans="1:9" ht="28.5" customHeight="1" x14ac:dyDescent="0.15">
      <c r="A152" s="1"/>
      <c r="B152" s="11"/>
      <c r="C152" s="11"/>
      <c r="D152" s="11"/>
      <c r="E152" s="11"/>
      <c r="F152" s="11"/>
      <c r="G152" s="11"/>
      <c r="H152" s="11"/>
      <c r="I152" s="11"/>
    </row>
    <row r="153" spans="1:9" ht="28.5" customHeight="1" x14ac:dyDescent="0.15">
      <c r="A153" s="1"/>
      <c r="B153" s="11"/>
      <c r="C153" s="11"/>
      <c r="D153" s="11"/>
      <c r="E153" s="11"/>
      <c r="F153" s="11"/>
      <c r="G153" s="11"/>
      <c r="H153" s="11"/>
      <c r="I153" s="11"/>
    </row>
    <row r="154" spans="1:9" ht="28.5" customHeight="1" x14ac:dyDescent="0.15">
      <c r="A154" s="1"/>
      <c r="B154" s="11"/>
      <c r="C154" s="11"/>
      <c r="D154" s="11"/>
      <c r="E154" s="11"/>
      <c r="F154" s="11"/>
      <c r="G154" s="11"/>
      <c r="H154" s="11"/>
      <c r="I154" s="11"/>
    </row>
    <row r="155" spans="1:9" ht="28.5" customHeight="1" x14ac:dyDescent="0.15">
      <c r="A155" s="1"/>
      <c r="B155" s="11"/>
      <c r="C155" s="11"/>
      <c r="D155" s="11"/>
      <c r="E155" s="11"/>
      <c r="F155" s="11"/>
      <c r="G155" s="11"/>
      <c r="H155" s="11"/>
      <c r="I155" s="11"/>
    </row>
    <row r="156" spans="1:9" ht="28.5" customHeight="1" x14ac:dyDescent="0.15">
      <c r="A156" s="1"/>
      <c r="B156" s="11"/>
      <c r="C156" s="11"/>
      <c r="D156" s="11"/>
      <c r="E156" s="11"/>
      <c r="F156" s="11"/>
      <c r="G156" s="11"/>
      <c r="H156" s="11"/>
      <c r="I156" s="11"/>
    </row>
    <row r="157" spans="1:9" ht="28.5" customHeight="1" x14ac:dyDescent="0.15">
      <c r="A157" s="1"/>
      <c r="B157" s="11"/>
      <c r="C157" s="11"/>
      <c r="D157" s="11"/>
      <c r="E157" s="11"/>
      <c r="F157" s="11"/>
      <c r="G157" s="11"/>
      <c r="H157" s="11"/>
      <c r="I157" s="11"/>
    </row>
    <row r="158" spans="1:9" ht="28.5" customHeight="1" x14ac:dyDescent="0.15">
      <c r="A158" s="1"/>
      <c r="B158" s="11"/>
      <c r="C158" s="11"/>
      <c r="D158" s="11"/>
      <c r="E158" s="11"/>
      <c r="F158" s="11"/>
      <c r="G158" s="11"/>
      <c r="H158" s="11"/>
      <c r="I158" s="11"/>
    </row>
    <row r="159" spans="1:9" ht="28.5" customHeight="1" x14ac:dyDescent="0.15">
      <c r="A159" s="1"/>
      <c r="B159" s="11"/>
      <c r="C159" s="11"/>
      <c r="D159" s="11"/>
      <c r="E159" s="11"/>
      <c r="F159" s="11"/>
      <c r="G159" s="11"/>
      <c r="H159" s="11"/>
      <c r="I159" s="11"/>
    </row>
    <row r="160" spans="1:9" ht="28.5" customHeight="1" x14ac:dyDescent="0.15">
      <c r="A160" s="1"/>
      <c r="B160" s="11"/>
      <c r="C160" s="11"/>
      <c r="D160" s="11"/>
      <c r="E160" s="11"/>
      <c r="F160" s="11"/>
      <c r="G160" s="11"/>
      <c r="H160" s="11"/>
      <c r="I160" s="11"/>
    </row>
    <row r="161" spans="1:9" ht="28.5" customHeight="1" x14ac:dyDescent="0.15">
      <c r="A161" s="1"/>
      <c r="B161" s="11"/>
      <c r="C161" s="11"/>
      <c r="D161" s="11"/>
      <c r="E161" s="11"/>
      <c r="F161" s="11"/>
      <c r="G161" s="11"/>
      <c r="H161" s="11"/>
      <c r="I161" s="11"/>
    </row>
    <row r="162" spans="1:9" ht="28.5" customHeight="1" x14ac:dyDescent="0.15">
      <c r="A162" s="1"/>
      <c r="B162" s="11"/>
      <c r="C162" s="11"/>
      <c r="D162" s="11"/>
      <c r="E162" s="11"/>
      <c r="F162" s="11"/>
      <c r="G162" s="11"/>
      <c r="H162" s="11"/>
      <c r="I162" s="11"/>
    </row>
    <row r="163" spans="1:9" ht="28.5" customHeight="1" x14ac:dyDescent="0.15">
      <c r="A163" s="1"/>
      <c r="B163" s="11"/>
      <c r="C163" s="11"/>
      <c r="D163" s="11"/>
      <c r="E163" s="11"/>
      <c r="F163" s="11"/>
      <c r="G163" s="11"/>
      <c r="H163" s="11"/>
      <c r="I163" s="11"/>
    </row>
    <row r="164" spans="1:9" ht="28.5" customHeight="1" x14ac:dyDescent="0.15">
      <c r="A164" s="1"/>
      <c r="B164" s="11"/>
      <c r="C164" s="11"/>
      <c r="D164" s="11"/>
      <c r="E164" s="11"/>
      <c r="F164" s="11"/>
      <c r="G164" s="11"/>
      <c r="H164" s="11"/>
      <c r="I164" s="11"/>
    </row>
    <row r="165" spans="1:9" ht="28.5" customHeight="1" x14ac:dyDescent="0.15">
      <c r="A165" s="1"/>
      <c r="B165" s="11"/>
      <c r="C165" s="11"/>
      <c r="D165" s="11"/>
      <c r="E165" s="11"/>
      <c r="F165" s="11"/>
      <c r="G165" s="11"/>
      <c r="H165" s="11"/>
      <c r="I165" s="11"/>
    </row>
    <row r="166" spans="1:9" ht="28.5" customHeight="1" x14ac:dyDescent="0.15">
      <c r="A166" s="1"/>
      <c r="B166" s="11"/>
      <c r="C166" s="11"/>
      <c r="D166" s="11"/>
      <c r="E166" s="11"/>
      <c r="F166" s="11"/>
      <c r="G166" s="11"/>
      <c r="H166" s="11"/>
      <c r="I166" s="11"/>
    </row>
    <row r="167" spans="1:9" ht="28.5" customHeight="1" x14ac:dyDescent="0.15">
      <c r="A167" s="1"/>
      <c r="B167" s="11"/>
      <c r="C167" s="11"/>
      <c r="D167" s="11"/>
      <c r="E167" s="11"/>
      <c r="F167" s="11"/>
      <c r="G167" s="11"/>
      <c r="H167" s="11"/>
      <c r="I167" s="11"/>
    </row>
    <row r="168" spans="1:9" ht="28.5" customHeight="1" x14ac:dyDescent="0.15">
      <c r="A168" s="1"/>
      <c r="B168" s="11"/>
      <c r="C168" s="11"/>
      <c r="D168" s="11"/>
      <c r="E168" s="11"/>
      <c r="F168" s="11"/>
      <c r="G168" s="11"/>
      <c r="H168" s="11"/>
      <c r="I168" s="11"/>
    </row>
    <row r="169" spans="1:9" ht="28.5" customHeight="1" x14ac:dyDescent="0.15">
      <c r="A169" s="1"/>
      <c r="B169" s="11"/>
      <c r="C169" s="11"/>
      <c r="D169" s="11"/>
      <c r="E169" s="11"/>
      <c r="F169" s="11"/>
      <c r="G169" s="11"/>
      <c r="H169" s="11"/>
      <c r="I169" s="11"/>
    </row>
    <row r="170" spans="1:9" ht="28.5" customHeight="1" x14ac:dyDescent="0.15">
      <c r="A170" s="1"/>
      <c r="B170" s="11"/>
      <c r="C170" s="11"/>
      <c r="D170" s="11"/>
      <c r="E170" s="11"/>
      <c r="F170" s="11"/>
      <c r="G170" s="11"/>
      <c r="H170" s="11"/>
      <c r="I170" s="11"/>
    </row>
    <row r="171" spans="1:9" ht="28.5" customHeight="1" x14ac:dyDescent="0.15">
      <c r="A171" s="1"/>
      <c r="B171" s="11"/>
      <c r="C171" s="11"/>
      <c r="D171" s="11"/>
      <c r="E171" s="11"/>
      <c r="F171" s="11"/>
      <c r="G171" s="11"/>
      <c r="H171" s="11"/>
      <c r="I171" s="11"/>
    </row>
    <row r="172" spans="1:9" ht="28.5" customHeight="1" x14ac:dyDescent="0.15">
      <c r="A172" s="1"/>
      <c r="B172" s="11"/>
      <c r="C172" s="11"/>
      <c r="D172" s="11"/>
      <c r="E172" s="11"/>
      <c r="F172" s="11"/>
      <c r="G172" s="11"/>
      <c r="H172" s="11"/>
      <c r="I172" s="11"/>
    </row>
    <row r="173" spans="1:9" ht="28.5" customHeight="1" x14ac:dyDescent="0.15">
      <c r="A173" s="1"/>
      <c r="B173" s="11"/>
      <c r="C173" s="11"/>
      <c r="D173" s="11"/>
      <c r="E173" s="11"/>
      <c r="F173" s="11"/>
      <c r="G173" s="11"/>
      <c r="H173" s="11"/>
      <c r="I173" s="11"/>
    </row>
    <row r="174" spans="1:9" ht="28.5" customHeight="1" x14ac:dyDescent="0.15">
      <c r="A174" s="1"/>
      <c r="B174" s="11"/>
      <c r="C174" s="11"/>
      <c r="D174" s="11"/>
      <c r="E174" s="11"/>
      <c r="F174" s="11"/>
      <c r="G174" s="11"/>
      <c r="H174" s="11"/>
      <c r="I174" s="11"/>
    </row>
    <row r="175" spans="1:9" ht="28.5" customHeight="1" x14ac:dyDescent="0.15">
      <c r="A175" s="1"/>
      <c r="B175" s="11"/>
      <c r="C175" s="11"/>
      <c r="D175" s="11"/>
      <c r="E175" s="11"/>
      <c r="F175" s="11"/>
      <c r="G175" s="11"/>
      <c r="H175" s="11"/>
      <c r="I175" s="11"/>
    </row>
    <row r="176" spans="1:9" ht="28.5" customHeight="1" x14ac:dyDescent="0.15">
      <c r="A176" s="1"/>
      <c r="B176" s="11"/>
      <c r="C176" s="11"/>
      <c r="D176" s="11"/>
      <c r="E176" s="11"/>
      <c r="F176" s="11"/>
      <c r="G176" s="11"/>
      <c r="H176" s="11"/>
      <c r="I176" s="11"/>
    </row>
    <row r="177" spans="1:9" ht="28.5" customHeight="1" x14ac:dyDescent="0.15">
      <c r="A177" s="1"/>
      <c r="B177" s="11"/>
      <c r="C177" s="11"/>
      <c r="D177" s="11"/>
      <c r="E177" s="11"/>
      <c r="F177" s="11"/>
      <c r="G177" s="11"/>
      <c r="H177" s="11"/>
      <c r="I177" s="11"/>
    </row>
    <row r="178" spans="1:9" ht="28.5" customHeight="1" x14ac:dyDescent="0.15">
      <c r="A178" s="1"/>
      <c r="B178" s="11"/>
      <c r="C178" s="11"/>
      <c r="D178" s="11"/>
      <c r="E178" s="11"/>
      <c r="F178" s="11"/>
      <c r="G178" s="11"/>
      <c r="H178" s="11"/>
      <c r="I178" s="11"/>
    </row>
    <row r="179" spans="1:9" ht="28.5" customHeight="1" x14ac:dyDescent="0.15">
      <c r="A179" s="1"/>
      <c r="B179" s="11"/>
      <c r="C179" s="11"/>
      <c r="D179" s="11"/>
      <c r="E179" s="11"/>
      <c r="F179" s="11"/>
      <c r="G179" s="11"/>
      <c r="H179" s="11"/>
      <c r="I179" s="11"/>
    </row>
    <row r="180" spans="1:9" ht="28.5" customHeight="1" x14ac:dyDescent="0.15">
      <c r="A180" s="1"/>
      <c r="B180" s="11"/>
      <c r="C180" s="11"/>
      <c r="D180" s="11"/>
      <c r="E180" s="11"/>
      <c r="F180" s="11"/>
      <c r="G180" s="11"/>
      <c r="H180" s="11"/>
      <c r="I180" s="11"/>
    </row>
    <row r="181" spans="1:9" ht="28.5" customHeight="1" x14ac:dyDescent="0.15">
      <c r="A181" s="1"/>
      <c r="B181" s="11"/>
      <c r="C181" s="11"/>
      <c r="D181" s="11"/>
      <c r="E181" s="11"/>
      <c r="F181" s="11"/>
      <c r="G181" s="11"/>
      <c r="H181" s="11"/>
      <c r="I181" s="11"/>
    </row>
    <row r="182" spans="1:9" ht="28.5" customHeight="1" x14ac:dyDescent="0.15">
      <c r="A182" s="1"/>
      <c r="B182" s="11"/>
      <c r="C182" s="11"/>
      <c r="D182" s="11"/>
      <c r="E182" s="11"/>
      <c r="F182" s="11"/>
      <c r="G182" s="11"/>
      <c r="H182" s="11"/>
      <c r="I182" s="11"/>
    </row>
    <row r="183" spans="1:9" ht="28.5" customHeight="1" x14ac:dyDescent="0.15">
      <c r="A183" s="1"/>
      <c r="B183" s="11"/>
      <c r="C183" s="11"/>
      <c r="D183" s="11"/>
      <c r="E183" s="11"/>
      <c r="F183" s="11"/>
      <c r="G183" s="11"/>
      <c r="H183" s="11"/>
      <c r="I183" s="11"/>
    </row>
    <row r="184" spans="1:9" ht="28.5" customHeight="1" x14ac:dyDescent="0.15">
      <c r="A184" s="1"/>
      <c r="B184" s="11"/>
      <c r="C184" s="11"/>
      <c r="D184" s="11"/>
      <c r="E184" s="11"/>
      <c r="F184" s="11"/>
      <c r="G184" s="11"/>
      <c r="H184" s="11"/>
      <c r="I184" s="11"/>
    </row>
    <row r="185" spans="1:9" ht="28.5" customHeight="1" x14ac:dyDescent="0.15">
      <c r="A185" s="1"/>
      <c r="B185" s="11"/>
      <c r="C185" s="11"/>
      <c r="D185" s="11"/>
      <c r="E185" s="11"/>
      <c r="F185" s="11"/>
      <c r="G185" s="11"/>
      <c r="H185" s="11"/>
      <c r="I185" s="11"/>
    </row>
    <row r="186" spans="1:9" ht="28.5" customHeight="1" x14ac:dyDescent="0.15">
      <c r="A186" s="1"/>
      <c r="B186" s="11"/>
      <c r="C186" s="11"/>
      <c r="D186" s="11"/>
      <c r="E186" s="11"/>
      <c r="F186" s="11"/>
      <c r="G186" s="11"/>
      <c r="H186" s="11"/>
      <c r="I186" s="11"/>
    </row>
    <row r="187" spans="1:9" ht="28.5" customHeight="1" x14ac:dyDescent="0.15">
      <c r="A187" s="1"/>
      <c r="B187" s="11"/>
      <c r="C187" s="11"/>
      <c r="D187" s="11"/>
      <c r="E187" s="11"/>
      <c r="F187" s="11"/>
      <c r="G187" s="11"/>
      <c r="H187" s="11"/>
      <c r="I187" s="11"/>
    </row>
    <row r="188" spans="1:9" ht="28.5" customHeight="1" x14ac:dyDescent="0.15">
      <c r="A188" s="1"/>
      <c r="B188" s="11"/>
      <c r="C188" s="11"/>
      <c r="D188" s="11"/>
      <c r="E188" s="11"/>
      <c r="F188" s="11"/>
      <c r="G188" s="11"/>
      <c r="H188" s="11"/>
      <c r="I188" s="11"/>
    </row>
    <row r="189" spans="1:9" ht="28.5" customHeight="1" x14ac:dyDescent="0.15">
      <c r="A189" s="1"/>
      <c r="B189" s="11"/>
      <c r="C189" s="11"/>
      <c r="D189" s="11"/>
      <c r="E189" s="11"/>
      <c r="F189" s="11"/>
      <c r="G189" s="11"/>
      <c r="H189" s="11"/>
      <c r="I189" s="11"/>
    </row>
    <row r="190" spans="1:9" ht="28.5" customHeight="1" x14ac:dyDescent="0.15">
      <c r="A190" s="1"/>
      <c r="B190" s="11"/>
      <c r="C190" s="11"/>
      <c r="D190" s="11"/>
      <c r="E190" s="11"/>
      <c r="F190" s="11"/>
      <c r="G190" s="11"/>
      <c r="H190" s="11"/>
      <c r="I190" s="11"/>
    </row>
    <row r="191" spans="1:9" ht="28.5" customHeight="1" x14ac:dyDescent="0.15">
      <c r="A191" s="1"/>
      <c r="B191" s="11"/>
      <c r="C191" s="11"/>
      <c r="D191" s="11"/>
      <c r="E191" s="11"/>
      <c r="F191" s="11"/>
      <c r="G191" s="11"/>
      <c r="H191" s="11"/>
      <c r="I191" s="11"/>
    </row>
    <row r="192" spans="1:9" ht="28.5" customHeight="1" x14ac:dyDescent="0.15">
      <c r="A192" s="1"/>
      <c r="B192" s="11"/>
      <c r="C192" s="11"/>
      <c r="D192" s="11"/>
      <c r="E192" s="11"/>
      <c r="F192" s="11"/>
      <c r="G192" s="11"/>
      <c r="H192" s="11"/>
      <c r="I192" s="11"/>
    </row>
    <row r="193" spans="1:9" ht="28.5" customHeight="1" x14ac:dyDescent="0.15">
      <c r="A193" s="1"/>
      <c r="B193" s="11"/>
      <c r="C193" s="11"/>
      <c r="D193" s="11"/>
      <c r="E193" s="11"/>
      <c r="F193" s="11"/>
      <c r="G193" s="11"/>
      <c r="H193" s="11"/>
      <c r="I193" s="11"/>
    </row>
    <row r="194" spans="1:9" ht="28.5" customHeight="1" x14ac:dyDescent="0.15">
      <c r="A194" s="1"/>
      <c r="B194" s="11"/>
      <c r="C194" s="11"/>
      <c r="D194" s="11"/>
      <c r="E194" s="11"/>
      <c r="F194" s="11"/>
      <c r="G194" s="11"/>
      <c r="H194" s="11"/>
      <c r="I194" s="11"/>
    </row>
    <row r="195" spans="1:9" ht="28.5" customHeight="1" x14ac:dyDescent="0.15">
      <c r="A195" s="1"/>
      <c r="B195" s="11"/>
      <c r="C195" s="11"/>
      <c r="D195" s="11"/>
      <c r="E195" s="11"/>
      <c r="F195" s="11"/>
      <c r="G195" s="11"/>
      <c r="H195" s="11"/>
      <c r="I195" s="11"/>
    </row>
    <row r="196" spans="1:9" ht="28.5" customHeight="1" x14ac:dyDescent="0.15">
      <c r="A196" s="1"/>
      <c r="B196" s="11"/>
      <c r="C196" s="11"/>
      <c r="D196" s="11"/>
      <c r="E196" s="11"/>
      <c r="F196" s="11"/>
      <c r="G196" s="11"/>
      <c r="H196" s="11"/>
      <c r="I196" s="11"/>
    </row>
    <row r="197" spans="1:9" ht="28.5" customHeight="1" x14ac:dyDescent="0.15">
      <c r="A197" s="1"/>
      <c r="B197" s="11"/>
      <c r="C197" s="11"/>
      <c r="D197" s="11"/>
      <c r="E197" s="11"/>
      <c r="F197" s="11"/>
      <c r="G197" s="11"/>
      <c r="H197" s="11"/>
      <c r="I197" s="11"/>
    </row>
    <row r="198" spans="1:9" ht="28.5" customHeight="1" x14ac:dyDescent="0.15">
      <c r="A198" s="1"/>
      <c r="B198" s="11"/>
      <c r="C198" s="11"/>
      <c r="D198" s="11"/>
      <c r="E198" s="11"/>
      <c r="F198" s="11"/>
      <c r="G198" s="11"/>
      <c r="H198" s="11"/>
      <c r="I198" s="11"/>
    </row>
    <row r="199" spans="1:9" ht="28.5" customHeight="1" x14ac:dyDescent="0.15">
      <c r="A199" s="1"/>
      <c r="B199" s="11"/>
      <c r="C199" s="11"/>
      <c r="D199" s="11"/>
      <c r="E199" s="11"/>
      <c r="F199" s="11"/>
      <c r="G199" s="11"/>
      <c r="H199" s="11"/>
      <c r="I199" s="11"/>
    </row>
    <row r="200" spans="1:9" ht="28.5" customHeight="1" x14ac:dyDescent="0.15">
      <c r="A200" s="1"/>
      <c r="B200" s="11"/>
      <c r="C200" s="11"/>
      <c r="D200" s="11"/>
      <c r="E200" s="11"/>
      <c r="F200" s="11"/>
      <c r="G200" s="11"/>
      <c r="H200" s="11"/>
      <c r="I200" s="11"/>
    </row>
    <row r="201" spans="1:9" ht="28.5" customHeight="1" x14ac:dyDescent="0.15">
      <c r="A201" s="1"/>
      <c r="B201" s="11"/>
      <c r="C201" s="11"/>
      <c r="D201" s="11"/>
      <c r="E201" s="11"/>
      <c r="F201" s="11"/>
      <c r="G201" s="11"/>
      <c r="H201" s="11"/>
      <c r="I201" s="11"/>
    </row>
    <row r="202" spans="1:9" ht="28.5" customHeight="1" x14ac:dyDescent="0.15">
      <c r="A202" s="1"/>
      <c r="B202" s="11"/>
      <c r="C202" s="11"/>
      <c r="D202" s="11"/>
      <c r="E202" s="11"/>
      <c r="F202" s="11"/>
      <c r="G202" s="11"/>
      <c r="H202" s="11"/>
      <c r="I202" s="11"/>
    </row>
    <row r="203" spans="1:9" ht="28.5" customHeight="1" x14ac:dyDescent="0.15">
      <c r="A203" s="1"/>
      <c r="B203" s="11"/>
      <c r="C203" s="11"/>
      <c r="D203" s="11"/>
      <c r="E203" s="11"/>
      <c r="F203" s="11"/>
      <c r="G203" s="11"/>
      <c r="H203" s="11"/>
      <c r="I203" s="11"/>
    </row>
    <row r="204" spans="1:9" ht="28.5" customHeight="1" x14ac:dyDescent="0.15">
      <c r="A204" s="1"/>
      <c r="B204" s="11"/>
      <c r="C204" s="11"/>
      <c r="D204" s="11"/>
      <c r="E204" s="11"/>
      <c r="F204" s="11"/>
      <c r="G204" s="11"/>
      <c r="H204" s="11"/>
      <c r="I204" s="11"/>
    </row>
    <row r="205" spans="1:9" ht="28.5" customHeight="1" x14ac:dyDescent="0.15">
      <c r="A205" s="1"/>
      <c r="B205" s="11"/>
      <c r="C205" s="11"/>
      <c r="D205" s="11"/>
      <c r="E205" s="11"/>
      <c r="F205" s="11"/>
      <c r="G205" s="11"/>
      <c r="H205" s="11"/>
      <c r="I205" s="11"/>
    </row>
    <row r="206" spans="1:9" ht="28.5" customHeight="1" x14ac:dyDescent="0.15">
      <c r="A206" s="1"/>
      <c r="B206" s="11"/>
      <c r="C206" s="11"/>
      <c r="D206" s="11"/>
      <c r="E206" s="11"/>
      <c r="F206" s="11"/>
      <c r="G206" s="11"/>
      <c r="H206" s="11"/>
      <c r="I206" s="11"/>
    </row>
    <row r="207" spans="1:9" ht="28.5" customHeight="1" x14ac:dyDescent="0.15">
      <c r="A207" s="1"/>
      <c r="B207" s="11"/>
      <c r="C207" s="11"/>
      <c r="D207" s="11"/>
      <c r="E207" s="11"/>
      <c r="F207" s="11"/>
      <c r="G207" s="11"/>
      <c r="H207" s="11"/>
      <c r="I207" s="11"/>
    </row>
    <row r="208" spans="1:9" ht="28.5" customHeight="1" x14ac:dyDescent="0.15">
      <c r="A208" s="1"/>
      <c r="B208" s="11"/>
      <c r="C208" s="11"/>
      <c r="D208" s="11"/>
      <c r="E208" s="11"/>
      <c r="F208" s="11"/>
      <c r="G208" s="11"/>
      <c r="H208" s="11"/>
      <c r="I208" s="11"/>
    </row>
    <row r="209" spans="1:9" ht="28.5" customHeight="1" x14ac:dyDescent="0.15">
      <c r="A209" s="1"/>
      <c r="B209" s="11"/>
      <c r="C209" s="11"/>
      <c r="D209" s="11"/>
      <c r="E209" s="11"/>
      <c r="F209" s="11"/>
      <c r="G209" s="11"/>
      <c r="H209" s="11"/>
      <c r="I209" s="11"/>
    </row>
    <row r="210" spans="1:9" ht="28.5" customHeight="1" x14ac:dyDescent="0.15">
      <c r="A210" s="1"/>
      <c r="B210" s="11"/>
      <c r="C210" s="11"/>
      <c r="D210" s="11"/>
      <c r="E210" s="11"/>
      <c r="F210" s="11"/>
      <c r="G210" s="11"/>
      <c r="H210" s="11"/>
      <c r="I210" s="11"/>
    </row>
    <row r="211" spans="1:9" ht="28.5" customHeight="1" x14ac:dyDescent="0.15">
      <c r="A211" s="1"/>
      <c r="B211" s="11"/>
      <c r="C211" s="11"/>
      <c r="D211" s="11"/>
      <c r="E211" s="11"/>
      <c r="F211" s="11"/>
      <c r="G211" s="11"/>
      <c r="H211" s="11"/>
      <c r="I211" s="11"/>
    </row>
    <row r="212" spans="1:9" ht="28.5" customHeight="1" x14ac:dyDescent="0.15">
      <c r="A212" s="1"/>
      <c r="B212" s="11"/>
      <c r="C212" s="11"/>
      <c r="D212" s="11"/>
      <c r="E212" s="11"/>
      <c r="F212" s="11"/>
      <c r="G212" s="11"/>
      <c r="H212" s="11"/>
      <c r="I212" s="11"/>
    </row>
    <row r="213" spans="1:9" ht="28.5" customHeight="1" x14ac:dyDescent="0.15">
      <c r="A213" s="1"/>
      <c r="B213" s="11"/>
      <c r="C213" s="11"/>
      <c r="D213" s="11"/>
      <c r="E213" s="11"/>
      <c r="F213" s="11"/>
      <c r="G213" s="11"/>
      <c r="H213" s="11"/>
      <c r="I213" s="11"/>
    </row>
    <row r="214" spans="1:9" ht="28.5" customHeight="1" x14ac:dyDescent="0.15">
      <c r="A214" s="1"/>
      <c r="B214" s="11"/>
      <c r="C214" s="11"/>
      <c r="D214" s="11"/>
      <c r="E214" s="11"/>
      <c r="F214" s="11"/>
      <c r="G214" s="11"/>
      <c r="H214" s="11"/>
      <c r="I214" s="11"/>
    </row>
    <row r="215" spans="1:9" ht="28.5" customHeight="1" x14ac:dyDescent="0.15">
      <c r="A215" s="1"/>
      <c r="B215" s="11"/>
      <c r="C215" s="11"/>
      <c r="D215" s="11"/>
      <c r="E215" s="11"/>
      <c r="F215" s="11"/>
      <c r="G215" s="11"/>
      <c r="H215" s="11"/>
      <c r="I215" s="11"/>
    </row>
    <row r="216" spans="1:9" ht="28.5" customHeight="1" x14ac:dyDescent="0.15">
      <c r="A216" s="1"/>
      <c r="B216" s="11"/>
      <c r="C216" s="11"/>
      <c r="D216" s="11"/>
      <c r="E216" s="11"/>
      <c r="F216" s="11"/>
      <c r="G216" s="11"/>
      <c r="H216" s="11"/>
      <c r="I216" s="11"/>
    </row>
    <row r="217" spans="1:9" ht="28.5" customHeight="1" x14ac:dyDescent="0.15">
      <c r="A217" s="1"/>
      <c r="B217" s="11"/>
      <c r="C217" s="11"/>
      <c r="D217" s="11"/>
      <c r="E217" s="11"/>
      <c r="F217" s="11"/>
      <c r="G217" s="11"/>
      <c r="H217" s="11"/>
      <c r="I217" s="11"/>
    </row>
    <row r="218" spans="1:9" ht="28.5" customHeight="1" x14ac:dyDescent="0.15">
      <c r="A218" s="1"/>
      <c r="B218" s="11"/>
      <c r="C218" s="11"/>
      <c r="D218" s="11"/>
      <c r="E218" s="11"/>
      <c r="F218" s="11"/>
      <c r="G218" s="11"/>
      <c r="H218" s="11"/>
      <c r="I218" s="11"/>
    </row>
    <row r="219" spans="1:9" ht="28.5" customHeight="1" x14ac:dyDescent="0.15">
      <c r="A219" s="1"/>
      <c r="B219" s="11"/>
      <c r="C219" s="11"/>
      <c r="D219" s="11"/>
      <c r="E219" s="11"/>
      <c r="F219" s="11"/>
      <c r="G219" s="11"/>
      <c r="H219" s="11"/>
      <c r="I219" s="11"/>
    </row>
    <row r="220" spans="1:9" ht="28.5" customHeight="1" x14ac:dyDescent="0.15">
      <c r="A220" s="1"/>
      <c r="B220" s="11"/>
      <c r="C220" s="11"/>
      <c r="D220" s="11"/>
      <c r="E220" s="11"/>
      <c r="F220" s="11"/>
      <c r="G220" s="11"/>
      <c r="H220" s="11"/>
      <c r="I220" s="11"/>
    </row>
    <row r="221" spans="1:9" ht="28.5" customHeight="1" x14ac:dyDescent="0.15">
      <c r="A221" s="1"/>
      <c r="B221" s="11"/>
      <c r="C221" s="11"/>
      <c r="D221" s="11"/>
      <c r="E221" s="11"/>
      <c r="F221" s="11"/>
      <c r="G221" s="11"/>
      <c r="H221" s="11"/>
      <c r="I221" s="11"/>
    </row>
    <row r="222" spans="1:9" ht="28.5" customHeight="1" x14ac:dyDescent="0.15">
      <c r="A222" s="1"/>
      <c r="B222" s="11"/>
      <c r="C222" s="11"/>
      <c r="D222" s="11"/>
      <c r="E222" s="11"/>
      <c r="F222" s="11"/>
      <c r="G222" s="11"/>
      <c r="H222" s="11"/>
      <c r="I222" s="11"/>
    </row>
    <row r="223" spans="1:9" ht="28.5" customHeight="1" x14ac:dyDescent="0.15">
      <c r="A223" s="1"/>
      <c r="B223" s="11"/>
      <c r="C223" s="11"/>
      <c r="D223" s="11"/>
      <c r="E223" s="11"/>
      <c r="F223" s="11"/>
      <c r="G223" s="11"/>
      <c r="H223" s="11"/>
      <c r="I223" s="11"/>
    </row>
    <row r="224" spans="1:9" ht="28.5" customHeight="1" x14ac:dyDescent="0.15">
      <c r="A224" s="1"/>
      <c r="B224" s="11"/>
      <c r="C224" s="11"/>
      <c r="D224" s="11"/>
      <c r="E224" s="11"/>
      <c r="F224" s="11"/>
      <c r="G224" s="11"/>
      <c r="H224" s="11"/>
      <c r="I224" s="11"/>
    </row>
    <row r="225" spans="1:9" ht="28.5" customHeight="1" x14ac:dyDescent="0.15">
      <c r="A225" s="1"/>
      <c r="B225" s="11"/>
      <c r="C225" s="11"/>
      <c r="D225" s="11"/>
      <c r="E225" s="11"/>
      <c r="F225" s="11"/>
      <c r="G225" s="11"/>
      <c r="H225" s="11"/>
      <c r="I225" s="11"/>
    </row>
    <row r="226" spans="1:9" ht="28.5" customHeight="1" x14ac:dyDescent="0.15">
      <c r="A226" s="1"/>
      <c r="B226" s="11"/>
      <c r="C226" s="11"/>
      <c r="D226" s="11"/>
      <c r="E226" s="11"/>
      <c r="F226" s="11"/>
      <c r="G226" s="11"/>
      <c r="H226" s="11"/>
      <c r="I226" s="11"/>
    </row>
    <row r="227" spans="1:9" ht="28.5" customHeight="1" x14ac:dyDescent="0.15">
      <c r="A227" s="1"/>
      <c r="B227" s="11"/>
      <c r="C227" s="11"/>
      <c r="D227" s="11"/>
      <c r="E227" s="11"/>
      <c r="F227" s="11"/>
      <c r="G227" s="11"/>
      <c r="H227" s="11"/>
      <c r="I227" s="11"/>
    </row>
    <row r="228" spans="1:9" ht="28.5" customHeight="1" x14ac:dyDescent="0.15">
      <c r="A228" s="1"/>
      <c r="B228" s="11"/>
      <c r="C228" s="11"/>
      <c r="D228" s="11"/>
      <c r="E228" s="11"/>
      <c r="F228" s="11"/>
      <c r="G228" s="11"/>
      <c r="H228" s="11"/>
      <c r="I228" s="11"/>
    </row>
    <row r="229" spans="1:9" ht="28.5" customHeight="1" x14ac:dyDescent="0.15">
      <c r="A229" s="1"/>
      <c r="B229" s="11"/>
      <c r="C229" s="11"/>
      <c r="D229" s="11"/>
      <c r="E229" s="11"/>
      <c r="F229" s="11"/>
      <c r="G229" s="11"/>
      <c r="H229" s="11"/>
      <c r="I229" s="11"/>
    </row>
    <row r="230" spans="1:9" ht="28.5" customHeight="1" x14ac:dyDescent="0.15">
      <c r="A230" s="1"/>
      <c r="B230" s="11"/>
      <c r="C230" s="11"/>
      <c r="D230" s="11"/>
      <c r="E230" s="11"/>
      <c r="F230" s="11"/>
      <c r="G230" s="11"/>
      <c r="H230" s="11"/>
      <c r="I230" s="11"/>
    </row>
    <row r="231" spans="1:9" ht="28.5" customHeight="1" x14ac:dyDescent="0.15">
      <c r="A231" s="1"/>
      <c r="B231" s="11"/>
      <c r="C231" s="11"/>
      <c r="D231" s="11"/>
      <c r="E231" s="11"/>
      <c r="F231" s="11"/>
      <c r="G231" s="11"/>
      <c r="H231" s="11"/>
      <c r="I231" s="11"/>
    </row>
    <row r="232" spans="1:9" ht="28.5" customHeight="1" x14ac:dyDescent="0.15">
      <c r="A232" s="1"/>
      <c r="B232" s="11"/>
      <c r="C232" s="11"/>
      <c r="D232" s="11"/>
      <c r="E232" s="11"/>
      <c r="F232" s="11"/>
      <c r="G232" s="11"/>
      <c r="H232" s="11"/>
      <c r="I232" s="11"/>
    </row>
    <row r="233" spans="1:9" ht="28.5" customHeight="1" x14ac:dyDescent="0.15">
      <c r="A233" s="1"/>
      <c r="B233" s="11"/>
      <c r="C233" s="11"/>
      <c r="D233" s="11"/>
      <c r="E233" s="11"/>
      <c r="F233" s="11"/>
      <c r="G233" s="11"/>
      <c r="H233" s="11"/>
      <c r="I233" s="11"/>
    </row>
    <row r="234" spans="1:9" ht="28.5" customHeight="1" x14ac:dyDescent="0.15">
      <c r="A234" s="1"/>
      <c r="B234" s="11"/>
      <c r="C234" s="11"/>
      <c r="D234" s="11"/>
      <c r="E234" s="11"/>
      <c r="F234" s="11"/>
      <c r="G234" s="11"/>
      <c r="H234" s="11"/>
      <c r="I234" s="11"/>
    </row>
    <row r="235" spans="1:9" ht="28.5" customHeight="1" x14ac:dyDescent="0.15">
      <c r="A235" s="1"/>
      <c r="B235" s="11"/>
      <c r="C235" s="11"/>
      <c r="D235" s="11"/>
      <c r="E235" s="11"/>
      <c r="F235" s="11"/>
      <c r="G235" s="11"/>
      <c r="H235" s="11"/>
      <c r="I235" s="11"/>
    </row>
    <row r="236" spans="1:9" ht="28.5" customHeight="1" x14ac:dyDescent="0.15">
      <c r="A236" s="1"/>
      <c r="B236" s="11"/>
      <c r="C236" s="11"/>
      <c r="D236" s="11"/>
      <c r="E236" s="11"/>
      <c r="F236" s="11"/>
      <c r="G236" s="11"/>
      <c r="H236" s="11"/>
      <c r="I236" s="11"/>
    </row>
    <row r="237" spans="1:9" ht="28.5" customHeight="1" x14ac:dyDescent="0.15">
      <c r="A237" s="1"/>
      <c r="B237" s="11"/>
      <c r="C237" s="11"/>
      <c r="D237" s="11"/>
      <c r="E237" s="11"/>
      <c r="F237" s="11"/>
      <c r="G237" s="11"/>
      <c r="H237" s="11"/>
      <c r="I237" s="11"/>
    </row>
    <row r="238" spans="1:9" ht="28.5" customHeight="1" x14ac:dyDescent="0.15">
      <c r="A238" s="1"/>
      <c r="B238" s="11"/>
      <c r="C238" s="11"/>
      <c r="D238" s="11"/>
      <c r="E238" s="11"/>
      <c r="F238" s="11"/>
      <c r="G238" s="11"/>
      <c r="H238" s="11"/>
      <c r="I238" s="11"/>
    </row>
    <row r="239" spans="1:9" ht="28.5" customHeight="1" x14ac:dyDescent="0.15">
      <c r="A239" s="1"/>
      <c r="B239" s="11"/>
      <c r="C239" s="11"/>
      <c r="D239" s="11"/>
      <c r="E239" s="11"/>
      <c r="F239" s="11"/>
      <c r="G239" s="11"/>
      <c r="H239" s="11"/>
      <c r="I239" s="11"/>
    </row>
    <row r="240" spans="1:9" ht="28.5" customHeight="1" x14ac:dyDescent="0.15">
      <c r="A240" s="1"/>
      <c r="B240" s="11"/>
      <c r="C240" s="11"/>
      <c r="D240" s="11"/>
      <c r="E240" s="11"/>
      <c r="F240" s="11"/>
      <c r="G240" s="11"/>
      <c r="H240" s="11"/>
      <c r="I240" s="11"/>
    </row>
    <row r="241" spans="1:9" ht="28.5" customHeight="1" x14ac:dyDescent="0.15">
      <c r="A241" s="1"/>
      <c r="B241" s="11"/>
      <c r="C241" s="11"/>
      <c r="D241" s="11"/>
      <c r="E241" s="11"/>
      <c r="F241" s="11"/>
      <c r="G241" s="11"/>
      <c r="H241" s="11"/>
      <c r="I241" s="11"/>
    </row>
    <row r="242" spans="1:9" ht="28.5" customHeight="1" x14ac:dyDescent="0.15">
      <c r="A242" s="1"/>
      <c r="B242" s="11"/>
      <c r="C242" s="11"/>
      <c r="D242" s="11"/>
      <c r="E242" s="11"/>
      <c r="F242" s="11"/>
      <c r="G242" s="11"/>
      <c r="H242" s="11"/>
      <c r="I242" s="11"/>
    </row>
    <row r="243" spans="1:9" ht="28.5" customHeight="1" x14ac:dyDescent="0.15">
      <c r="A243" s="1"/>
      <c r="B243" s="11"/>
      <c r="C243" s="11"/>
      <c r="D243" s="11"/>
      <c r="E243" s="11"/>
      <c r="F243" s="11"/>
      <c r="G243" s="11"/>
      <c r="H243" s="11"/>
      <c r="I243" s="11"/>
    </row>
    <row r="244" spans="1:9" ht="28.5" customHeight="1" x14ac:dyDescent="0.15">
      <c r="A244" s="1"/>
      <c r="B244" s="11"/>
      <c r="C244" s="11"/>
      <c r="D244" s="11"/>
      <c r="E244" s="11"/>
      <c r="F244" s="11"/>
      <c r="G244" s="11"/>
      <c r="H244" s="11"/>
      <c r="I244" s="11"/>
    </row>
    <row r="245" spans="1:9" ht="28.5" customHeight="1" x14ac:dyDescent="0.15">
      <c r="A245" s="1"/>
      <c r="B245" s="11"/>
      <c r="C245" s="11"/>
      <c r="D245" s="11"/>
      <c r="E245" s="11"/>
      <c r="F245" s="11"/>
      <c r="G245" s="11"/>
      <c r="H245" s="11"/>
      <c r="I245" s="11"/>
    </row>
    <row r="246" spans="1:9" ht="28.5" customHeight="1" x14ac:dyDescent="0.15">
      <c r="A246" s="1"/>
      <c r="B246" s="11"/>
      <c r="C246" s="11"/>
      <c r="D246" s="11"/>
      <c r="E246" s="11"/>
      <c r="F246" s="11"/>
      <c r="G246" s="11"/>
      <c r="H246" s="11"/>
      <c r="I246" s="11"/>
    </row>
    <row r="247" spans="1:9" ht="28.5" customHeight="1" x14ac:dyDescent="0.15">
      <c r="A247" s="1"/>
      <c r="B247" s="11"/>
      <c r="C247" s="11"/>
      <c r="D247" s="11"/>
      <c r="E247" s="11"/>
      <c r="F247" s="11"/>
      <c r="G247" s="11"/>
      <c r="H247" s="11"/>
      <c r="I247" s="11"/>
    </row>
    <row r="248" spans="1:9" ht="28.5" customHeight="1" x14ac:dyDescent="0.15">
      <c r="A248" s="1"/>
      <c r="B248" s="11"/>
      <c r="C248" s="11"/>
      <c r="D248" s="11"/>
      <c r="E248" s="11"/>
      <c r="F248" s="11"/>
      <c r="G248" s="11"/>
      <c r="H248" s="11"/>
      <c r="I248" s="11"/>
    </row>
    <row r="249" spans="1:9" ht="28.5" customHeight="1" x14ac:dyDescent="0.15">
      <c r="A249" s="1"/>
      <c r="B249" s="11"/>
      <c r="C249" s="11"/>
      <c r="D249" s="11"/>
      <c r="E249" s="11"/>
      <c r="F249" s="11"/>
      <c r="G249" s="11"/>
      <c r="H249" s="11"/>
      <c r="I249" s="11"/>
    </row>
    <row r="250" spans="1:9" ht="28.5" customHeight="1" x14ac:dyDescent="0.15">
      <c r="A250" s="1"/>
      <c r="B250" s="11"/>
      <c r="C250" s="11"/>
      <c r="D250" s="11"/>
      <c r="E250" s="11"/>
      <c r="F250" s="11"/>
      <c r="G250" s="11"/>
      <c r="H250" s="11"/>
      <c r="I250" s="11"/>
    </row>
    <row r="251" spans="1:9" ht="28.5" customHeight="1" x14ac:dyDescent="0.15">
      <c r="A251" s="1"/>
      <c r="B251" s="11"/>
      <c r="C251" s="11"/>
      <c r="D251" s="11"/>
      <c r="E251" s="11"/>
      <c r="F251" s="11"/>
      <c r="G251" s="11"/>
      <c r="H251" s="11"/>
      <c r="I251" s="11"/>
    </row>
    <row r="252" spans="1:9" ht="28.5" customHeight="1" x14ac:dyDescent="0.15">
      <c r="A252" s="1"/>
      <c r="B252" s="11"/>
      <c r="C252" s="11"/>
      <c r="D252" s="11"/>
      <c r="E252" s="11"/>
      <c r="F252" s="11"/>
      <c r="G252" s="11"/>
      <c r="H252" s="11"/>
      <c r="I252" s="11"/>
    </row>
    <row r="253" spans="1:9" ht="28.5" customHeight="1" x14ac:dyDescent="0.15">
      <c r="A253" s="1"/>
      <c r="B253" s="11"/>
      <c r="C253" s="11"/>
      <c r="D253" s="11"/>
      <c r="E253" s="11"/>
      <c r="F253" s="11"/>
      <c r="G253" s="11"/>
      <c r="H253" s="11"/>
      <c r="I253" s="11"/>
    </row>
    <row r="254" spans="1:9" ht="28.5" customHeight="1" x14ac:dyDescent="0.15">
      <c r="A254" s="1"/>
      <c r="B254" s="11"/>
      <c r="C254" s="11"/>
      <c r="D254" s="11"/>
      <c r="E254" s="11"/>
      <c r="F254" s="11"/>
      <c r="G254" s="11"/>
      <c r="H254" s="11"/>
      <c r="I254" s="11"/>
    </row>
    <row r="255" spans="1:9" ht="28.5" customHeight="1" x14ac:dyDescent="0.15">
      <c r="A255" s="1"/>
      <c r="B255" s="11"/>
      <c r="C255" s="11"/>
      <c r="D255" s="11"/>
      <c r="E255" s="11"/>
      <c r="F255" s="11"/>
      <c r="G255" s="11"/>
      <c r="H255" s="11"/>
      <c r="I255" s="11"/>
    </row>
    <row r="256" spans="1:9" ht="28.5" customHeight="1" x14ac:dyDescent="0.15">
      <c r="A256" s="1"/>
      <c r="B256" s="11"/>
      <c r="C256" s="11"/>
      <c r="D256" s="11"/>
      <c r="E256" s="11"/>
      <c r="F256" s="11"/>
      <c r="G256" s="11"/>
      <c r="H256" s="11"/>
      <c r="I256" s="11"/>
    </row>
    <row r="257" spans="1:9" ht="28.5" customHeight="1" x14ac:dyDescent="0.15">
      <c r="A257" s="1"/>
      <c r="B257" s="11"/>
      <c r="C257" s="11"/>
      <c r="D257" s="11"/>
      <c r="E257" s="11"/>
      <c r="F257" s="11"/>
      <c r="G257" s="11"/>
      <c r="H257" s="11"/>
      <c r="I257" s="11"/>
    </row>
    <row r="258" spans="1:9" ht="28.5" customHeight="1" x14ac:dyDescent="0.15">
      <c r="A258" s="1"/>
      <c r="B258" s="11"/>
      <c r="C258" s="11"/>
      <c r="D258" s="11"/>
      <c r="E258" s="11"/>
      <c r="F258" s="11"/>
      <c r="G258" s="11"/>
      <c r="H258" s="11"/>
      <c r="I258" s="11"/>
    </row>
    <row r="259" spans="1:9" ht="28.5" customHeight="1" x14ac:dyDescent="0.15">
      <c r="A259" s="1"/>
      <c r="B259" s="11"/>
      <c r="C259" s="11"/>
      <c r="D259" s="11"/>
      <c r="E259" s="11"/>
      <c r="F259" s="11"/>
      <c r="G259" s="11"/>
      <c r="H259" s="11"/>
      <c r="I259" s="11"/>
    </row>
    <row r="260" spans="1:9" ht="28.5" customHeight="1" x14ac:dyDescent="0.15">
      <c r="A260" s="1"/>
      <c r="B260" s="11"/>
      <c r="C260" s="11"/>
      <c r="D260" s="11"/>
      <c r="E260" s="11"/>
      <c r="F260" s="11"/>
      <c r="G260" s="11"/>
      <c r="H260" s="11"/>
      <c r="I260" s="11"/>
    </row>
    <row r="261" spans="1:9" ht="28.5" customHeight="1" x14ac:dyDescent="0.15">
      <c r="A261" s="1"/>
      <c r="B261" s="11"/>
      <c r="C261" s="11"/>
      <c r="D261" s="11"/>
      <c r="E261" s="11"/>
      <c r="F261" s="11"/>
      <c r="G261" s="11"/>
      <c r="H261" s="11"/>
      <c r="I261" s="11"/>
    </row>
    <row r="262" spans="1:9" ht="28.5" customHeight="1" x14ac:dyDescent="0.15">
      <c r="A262" s="1"/>
      <c r="B262" s="11"/>
      <c r="C262" s="11"/>
      <c r="D262" s="11"/>
      <c r="E262" s="11"/>
      <c r="F262" s="11"/>
      <c r="G262" s="11"/>
      <c r="H262" s="11"/>
      <c r="I262" s="11"/>
    </row>
    <row r="263" spans="1:9" ht="28.5" customHeight="1" x14ac:dyDescent="0.15">
      <c r="A263" s="1"/>
      <c r="B263" s="11"/>
      <c r="C263" s="11"/>
      <c r="D263" s="11"/>
      <c r="E263" s="11"/>
      <c r="F263" s="11"/>
      <c r="G263" s="11"/>
      <c r="H263" s="11"/>
      <c r="I263" s="11"/>
    </row>
    <row r="264" spans="1:9" ht="28.5" customHeight="1" x14ac:dyDescent="0.15">
      <c r="A264" s="1"/>
      <c r="B264" s="11"/>
      <c r="C264" s="11"/>
      <c r="D264" s="11"/>
      <c r="E264" s="11"/>
      <c r="F264" s="11"/>
      <c r="G264" s="11"/>
      <c r="H264" s="11"/>
      <c r="I264" s="11"/>
    </row>
    <row r="265" spans="1:9" ht="28.5" customHeight="1" x14ac:dyDescent="0.15">
      <c r="A265" s="1"/>
      <c r="B265" s="11"/>
      <c r="C265" s="11"/>
      <c r="D265" s="11"/>
      <c r="E265" s="11"/>
      <c r="F265" s="11"/>
      <c r="G265" s="11"/>
      <c r="H265" s="11"/>
      <c r="I265" s="11"/>
    </row>
    <row r="266" spans="1:9" ht="28.5" customHeight="1" x14ac:dyDescent="0.15">
      <c r="A266" s="1"/>
      <c r="B266" s="11"/>
      <c r="C266" s="11"/>
      <c r="D266" s="11"/>
      <c r="E266" s="11"/>
      <c r="F266" s="11"/>
      <c r="G266" s="11"/>
      <c r="H266" s="11"/>
      <c r="I266" s="11"/>
    </row>
    <row r="267" spans="1:9" ht="28.5" customHeight="1" x14ac:dyDescent="0.15">
      <c r="A267" s="1"/>
      <c r="B267" s="11"/>
      <c r="C267" s="11"/>
      <c r="D267" s="11"/>
      <c r="E267" s="11"/>
      <c r="F267" s="11"/>
      <c r="G267" s="11"/>
      <c r="H267" s="11"/>
      <c r="I267" s="11"/>
    </row>
    <row r="268" spans="1:9" ht="28.5" customHeight="1" x14ac:dyDescent="0.15">
      <c r="A268" s="1"/>
      <c r="B268" s="11"/>
      <c r="C268" s="11"/>
      <c r="D268" s="11"/>
      <c r="E268" s="11"/>
      <c r="F268" s="11"/>
      <c r="G268" s="11"/>
      <c r="H268" s="11"/>
      <c r="I268" s="11"/>
    </row>
    <row r="269" spans="1:9" ht="28.5" customHeight="1" x14ac:dyDescent="0.15">
      <c r="A269" s="1"/>
      <c r="B269" s="11"/>
      <c r="C269" s="11"/>
      <c r="D269" s="11"/>
      <c r="E269" s="11"/>
      <c r="F269" s="11"/>
      <c r="G269" s="11"/>
      <c r="H269" s="11"/>
      <c r="I269" s="11"/>
    </row>
    <row r="270" spans="1:9" ht="28.5" customHeight="1" x14ac:dyDescent="0.15">
      <c r="A270" s="1"/>
      <c r="B270" s="11"/>
      <c r="C270" s="11"/>
      <c r="D270" s="11"/>
      <c r="E270" s="11"/>
      <c r="F270" s="11"/>
      <c r="G270" s="11"/>
      <c r="H270" s="11"/>
      <c r="I270" s="11"/>
    </row>
    <row r="271" spans="1:9" ht="28.5" customHeight="1" x14ac:dyDescent="0.15">
      <c r="A271" s="1"/>
      <c r="B271" s="11"/>
      <c r="C271" s="11"/>
      <c r="D271" s="11"/>
      <c r="E271" s="11"/>
      <c r="F271" s="11"/>
      <c r="G271" s="11"/>
      <c r="H271" s="11"/>
      <c r="I271" s="11"/>
    </row>
    <row r="272" spans="1:9" ht="28.5" customHeight="1" x14ac:dyDescent="0.15">
      <c r="A272" s="1"/>
      <c r="B272" s="11"/>
      <c r="C272" s="11"/>
      <c r="D272" s="11"/>
      <c r="E272" s="11"/>
      <c r="F272" s="11"/>
      <c r="G272" s="11"/>
      <c r="H272" s="11"/>
      <c r="I272" s="11"/>
    </row>
    <row r="273" spans="1:9" ht="28.5" customHeight="1" x14ac:dyDescent="0.15">
      <c r="A273" s="1"/>
      <c r="B273" s="11"/>
      <c r="C273" s="11"/>
      <c r="D273" s="11"/>
      <c r="E273" s="11"/>
      <c r="F273" s="11"/>
      <c r="G273" s="11"/>
      <c r="H273" s="11"/>
      <c r="I273" s="11"/>
    </row>
    <row r="274" spans="1:9" ht="28.5" customHeight="1" x14ac:dyDescent="0.15">
      <c r="A274" s="1"/>
      <c r="B274" s="11"/>
      <c r="C274" s="11"/>
      <c r="D274" s="11"/>
      <c r="E274" s="11"/>
      <c r="F274" s="11"/>
      <c r="G274" s="11"/>
      <c r="H274" s="11"/>
      <c r="I274" s="11"/>
    </row>
    <row r="275" spans="1:9" ht="28.5" customHeight="1" x14ac:dyDescent="0.15">
      <c r="A275" s="1"/>
      <c r="B275" s="11"/>
      <c r="C275" s="11"/>
      <c r="D275" s="11"/>
      <c r="E275" s="11"/>
      <c r="F275" s="11"/>
      <c r="G275" s="11"/>
      <c r="H275" s="11"/>
      <c r="I275" s="11"/>
    </row>
    <row r="276" spans="1:9" ht="28.5" customHeight="1" x14ac:dyDescent="0.15">
      <c r="A276" s="1"/>
      <c r="B276" s="11"/>
      <c r="C276" s="11"/>
      <c r="D276" s="11"/>
      <c r="E276" s="11"/>
      <c r="F276" s="11"/>
      <c r="G276" s="11"/>
      <c r="H276" s="11"/>
      <c r="I276" s="11"/>
    </row>
    <row r="277" spans="1:9" ht="28.5" customHeight="1" x14ac:dyDescent="0.15">
      <c r="A277" s="1"/>
      <c r="B277" s="11"/>
      <c r="C277" s="11"/>
      <c r="D277" s="11"/>
      <c r="E277" s="11"/>
      <c r="F277" s="11"/>
      <c r="G277" s="11"/>
      <c r="H277" s="11"/>
      <c r="I277" s="11"/>
    </row>
    <row r="278" spans="1:9" ht="28.5" customHeight="1" x14ac:dyDescent="0.15">
      <c r="A278" s="1"/>
      <c r="B278" s="11"/>
      <c r="C278" s="11"/>
      <c r="D278" s="11"/>
      <c r="E278" s="11"/>
      <c r="F278" s="11"/>
      <c r="G278" s="11"/>
      <c r="H278" s="11"/>
      <c r="I278" s="11"/>
    </row>
    <row r="279" spans="1:9" ht="28.5" customHeight="1" x14ac:dyDescent="0.15">
      <c r="A279" s="1"/>
      <c r="B279" s="11"/>
      <c r="C279" s="11"/>
      <c r="D279" s="11"/>
      <c r="E279" s="11"/>
      <c r="F279" s="11"/>
      <c r="G279" s="11"/>
      <c r="H279" s="11"/>
      <c r="I279" s="11"/>
    </row>
    <row r="280" spans="1:9" ht="28.5" customHeight="1" x14ac:dyDescent="0.15">
      <c r="A280" s="1"/>
      <c r="B280" s="11"/>
      <c r="C280" s="11"/>
      <c r="D280" s="11"/>
      <c r="E280" s="11"/>
      <c r="F280" s="11"/>
      <c r="G280" s="11"/>
      <c r="H280" s="11"/>
      <c r="I280" s="11"/>
    </row>
    <row r="281" spans="1:9" ht="28.5" customHeight="1" x14ac:dyDescent="0.15">
      <c r="A281" s="1"/>
      <c r="B281" s="11"/>
      <c r="C281" s="11"/>
      <c r="D281" s="11"/>
      <c r="E281" s="11"/>
      <c r="F281" s="11"/>
      <c r="G281" s="11"/>
      <c r="H281" s="11"/>
      <c r="I281" s="11"/>
    </row>
    <row r="282" spans="1:9" ht="28.5" customHeight="1" x14ac:dyDescent="0.15">
      <c r="A282" s="1"/>
      <c r="B282" s="11"/>
      <c r="C282" s="11"/>
      <c r="D282" s="11"/>
      <c r="E282" s="11"/>
      <c r="F282" s="11"/>
      <c r="G282" s="11"/>
      <c r="H282" s="11"/>
      <c r="I282" s="11"/>
    </row>
    <row r="283" spans="1:9" ht="28.5" customHeight="1" x14ac:dyDescent="0.15">
      <c r="A283" s="1"/>
      <c r="B283" s="11"/>
      <c r="C283" s="11"/>
      <c r="D283" s="11"/>
      <c r="E283" s="11"/>
      <c r="F283" s="11"/>
      <c r="G283" s="11"/>
      <c r="H283" s="11"/>
      <c r="I283" s="11"/>
    </row>
    <row r="284" spans="1:9" ht="28.5" customHeight="1" x14ac:dyDescent="0.15">
      <c r="A284" s="1"/>
      <c r="B284" s="11"/>
      <c r="C284" s="11"/>
      <c r="D284" s="11"/>
      <c r="E284" s="11"/>
      <c r="F284" s="11"/>
      <c r="G284" s="11"/>
      <c r="H284" s="11"/>
      <c r="I284" s="11"/>
    </row>
    <row r="285" spans="1:9" ht="28.5" customHeight="1" x14ac:dyDescent="0.15">
      <c r="A285" s="1"/>
      <c r="B285" s="11"/>
      <c r="C285" s="11"/>
      <c r="D285" s="11"/>
      <c r="E285" s="11"/>
      <c r="F285" s="11"/>
      <c r="G285" s="11"/>
      <c r="H285" s="11"/>
      <c r="I285" s="11"/>
    </row>
    <row r="286" spans="1:9" ht="28.5" customHeight="1" x14ac:dyDescent="0.15">
      <c r="A286" s="1"/>
      <c r="B286" s="11"/>
      <c r="C286" s="11"/>
      <c r="D286" s="11"/>
      <c r="E286" s="11"/>
      <c r="F286" s="11"/>
      <c r="G286" s="11"/>
      <c r="H286" s="11"/>
      <c r="I286" s="11"/>
    </row>
    <row r="287" spans="1:9" ht="28.5" customHeight="1" x14ac:dyDescent="0.15">
      <c r="A287" s="1"/>
      <c r="B287" s="11"/>
      <c r="C287" s="11"/>
      <c r="D287" s="11"/>
      <c r="E287" s="11"/>
      <c r="F287" s="11"/>
      <c r="G287" s="11"/>
      <c r="H287" s="11"/>
      <c r="I287" s="11"/>
    </row>
    <row r="288" spans="1:9" ht="28.5" customHeight="1" x14ac:dyDescent="0.15">
      <c r="A288" s="1"/>
      <c r="B288" s="11"/>
      <c r="C288" s="11"/>
      <c r="D288" s="11"/>
      <c r="E288" s="11"/>
      <c r="F288" s="11"/>
      <c r="G288" s="11"/>
      <c r="H288" s="11"/>
      <c r="I288" s="11"/>
    </row>
    <row r="289" spans="1:9" ht="28.5" customHeight="1" x14ac:dyDescent="0.15">
      <c r="A289" s="1"/>
      <c r="B289" s="11"/>
      <c r="C289" s="11"/>
      <c r="D289" s="11"/>
      <c r="E289" s="11"/>
      <c r="F289" s="11"/>
      <c r="G289" s="11"/>
      <c r="H289" s="11"/>
      <c r="I289" s="11"/>
    </row>
    <row r="290" spans="1:9" ht="28.5" customHeight="1" x14ac:dyDescent="0.15">
      <c r="A290" s="1"/>
      <c r="B290" s="11"/>
      <c r="C290" s="11"/>
      <c r="D290" s="11"/>
      <c r="E290" s="11"/>
      <c r="F290" s="11"/>
      <c r="G290" s="11"/>
      <c r="H290" s="11"/>
      <c r="I290" s="11"/>
    </row>
    <row r="291" spans="1:9" ht="28.5" customHeight="1" x14ac:dyDescent="0.15">
      <c r="A291" s="1"/>
      <c r="B291" s="11"/>
      <c r="C291" s="11"/>
      <c r="D291" s="11"/>
      <c r="E291" s="11"/>
      <c r="F291" s="11"/>
      <c r="G291" s="11"/>
      <c r="H291" s="11"/>
      <c r="I291" s="11"/>
    </row>
    <row r="292" spans="1:9" ht="28.5" customHeight="1" x14ac:dyDescent="0.15">
      <c r="A292" s="1"/>
      <c r="B292" s="11"/>
      <c r="C292" s="11"/>
      <c r="D292" s="11"/>
      <c r="E292" s="11"/>
      <c r="F292" s="11"/>
      <c r="G292" s="11"/>
      <c r="H292" s="11"/>
      <c r="I292" s="11"/>
    </row>
    <row r="293" spans="1:9" ht="28.5" customHeight="1" x14ac:dyDescent="0.15">
      <c r="A293" s="1"/>
      <c r="B293" s="11"/>
      <c r="C293" s="11"/>
      <c r="D293" s="11"/>
      <c r="E293" s="11"/>
      <c r="F293" s="11"/>
      <c r="G293" s="11"/>
      <c r="H293" s="11"/>
      <c r="I293" s="11"/>
    </row>
    <row r="294" spans="1:9" ht="28.5" customHeight="1" x14ac:dyDescent="0.15">
      <c r="A294" s="1"/>
      <c r="B294" s="11"/>
      <c r="C294" s="11"/>
      <c r="D294" s="11"/>
      <c r="E294" s="11"/>
      <c r="F294" s="11"/>
      <c r="G294" s="11"/>
      <c r="H294" s="11"/>
      <c r="I294" s="11"/>
    </row>
    <row r="295" spans="1:9" ht="28.5" customHeight="1" x14ac:dyDescent="0.15">
      <c r="A295" s="1"/>
      <c r="B295" s="11"/>
      <c r="C295" s="11"/>
      <c r="D295" s="11"/>
      <c r="E295" s="11"/>
      <c r="F295" s="11"/>
      <c r="G295" s="11"/>
      <c r="H295" s="11"/>
      <c r="I295" s="11"/>
    </row>
    <row r="296" spans="1:9" ht="28.5" customHeight="1" x14ac:dyDescent="0.15">
      <c r="A296" s="1"/>
      <c r="B296" s="11"/>
      <c r="C296" s="11"/>
      <c r="D296" s="11"/>
      <c r="E296" s="11"/>
      <c r="F296" s="11"/>
      <c r="G296" s="11"/>
      <c r="H296" s="11"/>
      <c r="I296" s="11"/>
    </row>
    <row r="297" spans="1:9" ht="28.5" customHeight="1" x14ac:dyDescent="0.15">
      <c r="A297" s="1"/>
      <c r="B297" s="11"/>
      <c r="C297" s="11"/>
      <c r="D297" s="11"/>
      <c r="E297" s="11"/>
      <c r="F297" s="11"/>
      <c r="G297" s="11"/>
      <c r="H297" s="11"/>
      <c r="I297" s="11"/>
    </row>
    <row r="298" spans="1:9" ht="28.5" customHeight="1" x14ac:dyDescent="0.15">
      <c r="A298" s="1"/>
      <c r="B298" s="11"/>
      <c r="C298" s="11"/>
      <c r="D298" s="11"/>
      <c r="E298" s="11"/>
      <c r="F298" s="11"/>
      <c r="G298" s="11"/>
      <c r="H298" s="11"/>
      <c r="I298" s="11"/>
    </row>
    <row r="299" spans="1:9" ht="28.5" customHeight="1" x14ac:dyDescent="0.15">
      <c r="A299" s="1"/>
      <c r="B299" s="11"/>
      <c r="C299" s="11"/>
      <c r="D299" s="11"/>
      <c r="E299" s="11"/>
      <c r="F299" s="11"/>
      <c r="G299" s="11"/>
      <c r="H299" s="11"/>
      <c r="I299" s="11"/>
    </row>
    <row r="300" spans="1:9" ht="28.5" customHeight="1" x14ac:dyDescent="0.15">
      <c r="A300" s="1"/>
      <c r="B300" s="11"/>
      <c r="C300" s="11"/>
      <c r="D300" s="11"/>
      <c r="E300" s="11"/>
      <c r="F300" s="11"/>
      <c r="G300" s="11"/>
      <c r="H300" s="11"/>
      <c r="I300" s="11"/>
    </row>
    <row r="301" spans="1:9" ht="28.5" customHeight="1" x14ac:dyDescent="0.15">
      <c r="A301" s="1"/>
      <c r="B301" s="11"/>
      <c r="C301" s="11"/>
      <c r="D301" s="11"/>
      <c r="E301" s="11"/>
      <c r="F301" s="11"/>
      <c r="G301" s="11"/>
      <c r="H301" s="11"/>
      <c r="I301" s="11"/>
    </row>
    <row r="302" spans="1:9" ht="28.5" customHeight="1" x14ac:dyDescent="0.15">
      <c r="A302" s="1"/>
      <c r="B302" s="11"/>
      <c r="C302" s="11"/>
      <c r="D302" s="11"/>
      <c r="E302" s="11"/>
      <c r="F302" s="11"/>
      <c r="G302" s="11"/>
      <c r="H302" s="11"/>
      <c r="I302" s="11"/>
    </row>
    <row r="303" spans="1:9" ht="28.5" customHeight="1" x14ac:dyDescent="0.15">
      <c r="A303" s="1"/>
      <c r="B303" s="11"/>
      <c r="C303" s="11"/>
      <c r="D303" s="11"/>
      <c r="E303" s="11"/>
      <c r="F303" s="11"/>
      <c r="G303" s="11"/>
      <c r="H303" s="11"/>
      <c r="I303" s="11"/>
    </row>
    <row r="304" spans="1:9" ht="28.5" customHeight="1" x14ac:dyDescent="0.15">
      <c r="A304" s="1"/>
      <c r="B304" s="11"/>
      <c r="C304" s="11"/>
      <c r="D304" s="11"/>
      <c r="E304" s="11"/>
      <c r="F304" s="11"/>
      <c r="G304" s="11"/>
      <c r="H304" s="11"/>
      <c r="I304" s="11"/>
    </row>
    <row r="305" spans="1:9" ht="28.5" customHeight="1" x14ac:dyDescent="0.15">
      <c r="A305" s="1"/>
      <c r="B305" s="11"/>
      <c r="C305" s="11"/>
      <c r="D305" s="11"/>
      <c r="E305" s="11"/>
      <c r="F305" s="11"/>
      <c r="G305" s="11"/>
      <c r="H305" s="11"/>
      <c r="I305" s="11"/>
    </row>
    <row r="306" spans="1:9" ht="28.5" customHeight="1" x14ac:dyDescent="0.15">
      <c r="A306" s="1"/>
      <c r="B306" s="11"/>
      <c r="C306" s="11"/>
      <c r="D306" s="11"/>
      <c r="E306" s="11"/>
      <c r="F306" s="11"/>
      <c r="G306" s="11"/>
      <c r="H306" s="11"/>
      <c r="I306" s="11"/>
    </row>
    <row r="307" spans="1:9" ht="28.5" customHeight="1" x14ac:dyDescent="0.15">
      <c r="A307" s="1"/>
      <c r="B307" s="11"/>
      <c r="C307" s="11"/>
      <c r="D307" s="11"/>
      <c r="E307" s="11"/>
      <c r="F307" s="11"/>
      <c r="G307" s="11"/>
      <c r="H307" s="11"/>
      <c r="I307" s="11"/>
    </row>
    <row r="308" spans="1:9" ht="28.5" customHeight="1" x14ac:dyDescent="0.15">
      <c r="A308" s="1"/>
      <c r="B308" s="11"/>
      <c r="C308" s="11"/>
      <c r="D308" s="11"/>
      <c r="E308" s="11"/>
      <c r="F308" s="11"/>
      <c r="G308" s="11"/>
      <c r="H308" s="11"/>
      <c r="I308" s="11"/>
    </row>
    <row r="309" spans="1:9" ht="28.5" customHeight="1" x14ac:dyDescent="0.15">
      <c r="A309" s="1"/>
      <c r="B309" s="11"/>
      <c r="C309" s="11"/>
      <c r="D309" s="11"/>
      <c r="E309" s="11"/>
      <c r="F309" s="11"/>
      <c r="G309" s="11"/>
      <c r="H309" s="11"/>
      <c r="I309" s="11"/>
    </row>
    <row r="310" spans="1:9" ht="28.5" customHeight="1" x14ac:dyDescent="0.15">
      <c r="A310" s="1"/>
      <c r="B310" s="11"/>
      <c r="C310" s="11"/>
      <c r="D310" s="11"/>
      <c r="E310" s="11"/>
      <c r="F310" s="11"/>
      <c r="G310" s="11"/>
      <c r="H310" s="11"/>
      <c r="I310" s="11"/>
    </row>
    <row r="311" spans="1:9" ht="28.5" customHeight="1" x14ac:dyDescent="0.15">
      <c r="A311" s="1"/>
      <c r="B311" s="11"/>
      <c r="C311" s="11"/>
      <c r="D311" s="11"/>
      <c r="E311" s="11"/>
      <c r="F311" s="11"/>
      <c r="G311" s="11"/>
      <c r="H311" s="11"/>
      <c r="I311" s="11"/>
    </row>
    <row r="312" spans="1:9" ht="28.5" customHeight="1" x14ac:dyDescent="0.15">
      <c r="A312" s="1"/>
      <c r="B312" s="11"/>
      <c r="C312" s="11"/>
      <c r="D312" s="11"/>
      <c r="E312" s="11"/>
      <c r="F312" s="11"/>
      <c r="G312" s="11"/>
      <c r="H312" s="11"/>
      <c r="I312" s="11"/>
    </row>
    <row r="313" spans="1:9" ht="28.5" customHeight="1" x14ac:dyDescent="0.15">
      <c r="A313" s="1"/>
      <c r="B313" s="11"/>
      <c r="C313" s="11"/>
      <c r="D313" s="11"/>
      <c r="E313" s="11"/>
      <c r="F313" s="11"/>
      <c r="G313" s="11"/>
      <c r="H313" s="11"/>
      <c r="I313" s="11"/>
    </row>
    <row r="314" spans="1:9" ht="28.5" customHeight="1" x14ac:dyDescent="0.15">
      <c r="A314" s="1"/>
      <c r="B314" s="11"/>
      <c r="C314" s="11"/>
      <c r="D314" s="11"/>
      <c r="E314" s="11"/>
      <c r="F314" s="11"/>
      <c r="G314" s="11"/>
      <c r="H314" s="11"/>
      <c r="I314" s="11"/>
    </row>
    <row r="315" spans="1:9" ht="28.5" customHeight="1" x14ac:dyDescent="0.15">
      <c r="A315" s="1"/>
      <c r="B315" s="11"/>
      <c r="C315" s="11"/>
      <c r="D315" s="11"/>
      <c r="E315" s="11"/>
      <c r="F315" s="11"/>
      <c r="G315" s="11"/>
      <c r="H315" s="11"/>
      <c r="I315" s="11"/>
    </row>
    <row r="316" spans="1:9" ht="28.5" customHeight="1" x14ac:dyDescent="0.15">
      <c r="A316" s="1"/>
      <c r="B316" s="11"/>
      <c r="C316" s="11"/>
      <c r="D316" s="11"/>
      <c r="E316" s="11"/>
      <c r="F316" s="11"/>
      <c r="G316" s="11"/>
      <c r="H316" s="11"/>
      <c r="I316" s="11"/>
    </row>
    <row r="317" spans="1:9" ht="28.5" customHeight="1" x14ac:dyDescent="0.15">
      <c r="A317" s="1"/>
      <c r="B317" s="11"/>
      <c r="C317" s="11"/>
      <c r="D317" s="11"/>
      <c r="E317" s="11"/>
      <c r="F317" s="11"/>
      <c r="G317" s="11"/>
      <c r="H317" s="11"/>
      <c r="I317" s="11"/>
    </row>
    <row r="318" spans="1:9" ht="28.5" customHeight="1" x14ac:dyDescent="0.15">
      <c r="A318" s="1"/>
      <c r="B318" s="11"/>
      <c r="C318" s="11"/>
      <c r="D318" s="11"/>
      <c r="E318" s="11"/>
      <c r="F318" s="11"/>
      <c r="G318" s="11"/>
      <c r="H318" s="11"/>
      <c r="I318" s="11"/>
    </row>
    <row r="319" spans="1:9" ht="28.5" customHeight="1" x14ac:dyDescent="0.15">
      <c r="A319" s="1"/>
      <c r="B319" s="11"/>
      <c r="C319" s="11"/>
      <c r="D319" s="11"/>
      <c r="E319" s="11"/>
      <c r="F319" s="11"/>
      <c r="G319" s="11"/>
      <c r="H319" s="11"/>
      <c r="I319" s="11"/>
    </row>
    <row r="320" spans="1:9" ht="28.5" customHeight="1" x14ac:dyDescent="0.15">
      <c r="A320" s="1"/>
      <c r="B320" s="11"/>
      <c r="C320" s="11"/>
      <c r="D320" s="11"/>
      <c r="E320" s="11"/>
      <c r="F320" s="11"/>
      <c r="G320" s="11"/>
      <c r="H320" s="11"/>
      <c r="I320" s="11"/>
    </row>
    <row r="321" spans="1:9" ht="28.5" customHeight="1" x14ac:dyDescent="0.15">
      <c r="A321" s="1"/>
      <c r="B321" s="11"/>
      <c r="C321" s="11"/>
      <c r="D321" s="11"/>
      <c r="E321" s="11"/>
      <c r="F321" s="11"/>
      <c r="G321" s="11"/>
      <c r="H321" s="11"/>
      <c r="I321" s="11"/>
    </row>
    <row r="322" spans="1:9" ht="28.5" customHeight="1" x14ac:dyDescent="0.15">
      <c r="A322" s="1"/>
      <c r="B322" s="11"/>
      <c r="C322" s="11"/>
      <c r="D322" s="11"/>
      <c r="E322" s="11"/>
      <c r="F322" s="11"/>
      <c r="G322" s="11"/>
      <c r="H322" s="11"/>
      <c r="I322" s="11"/>
    </row>
    <row r="323" spans="1:9" ht="28.5" customHeight="1" x14ac:dyDescent="0.15">
      <c r="A323" s="1"/>
      <c r="B323" s="11"/>
      <c r="C323" s="11"/>
      <c r="D323" s="11"/>
      <c r="E323" s="11"/>
      <c r="F323" s="11"/>
      <c r="G323" s="11"/>
      <c r="H323" s="11"/>
      <c r="I323" s="11"/>
    </row>
    <row r="324" spans="1:9" ht="28.5" customHeight="1" x14ac:dyDescent="0.15">
      <c r="A324" s="1"/>
      <c r="B324" s="11"/>
      <c r="C324" s="11"/>
      <c r="D324" s="11"/>
      <c r="E324" s="11"/>
      <c r="F324" s="11"/>
      <c r="G324" s="11"/>
      <c r="H324" s="11"/>
      <c r="I324" s="11"/>
    </row>
    <row r="325" spans="1:9" ht="28.5" customHeight="1" x14ac:dyDescent="0.15">
      <c r="A325" s="1"/>
      <c r="B325" s="11"/>
      <c r="C325" s="11"/>
      <c r="D325" s="11"/>
      <c r="E325" s="11"/>
      <c r="F325" s="11"/>
      <c r="G325" s="11"/>
      <c r="H325" s="11"/>
      <c r="I325" s="11"/>
    </row>
    <row r="326" spans="1:9" ht="28.5" customHeight="1" x14ac:dyDescent="0.15">
      <c r="A326" s="1"/>
      <c r="B326" s="11"/>
      <c r="C326" s="11"/>
      <c r="D326" s="11"/>
      <c r="E326" s="11"/>
      <c r="F326" s="11"/>
      <c r="G326" s="11"/>
      <c r="H326" s="11"/>
      <c r="I326" s="11"/>
    </row>
    <row r="327" spans="1:9" ht="28.5" customHeight="1" x14ac:dyDescent="0.15">
      <c r="A327" s="1"/>
      <c r="B327" s="11"/>
      <c r="C327" s="11"/>
      <c r="D327" s="11"/>
      <c r="E327" s="11"/>
      <c r="F327" s="11"/>
      <c r="G327" s="11"/>
      <c r="H327" s="11"/>
      <c r="I327" s="11"/>
    </row>
    <row r="328" spans="1:9" ht="28.5" customHeight="1" x14ac:dyDescent="0.15">
      <c r="A328" s="1"/>
      <c r="B328" s="11"/>
      <c r="C328" s="11"/>
      <c r="D328" s="11"/>
      <c r="E328" s="11"/>
      <c r="F328" s="11"/>
      <c r="G328" s="11"/>
      <c r="H328" s="11"/>
      <c r="I328" s="11"/>
    </row>
    <row r="329" spans="1:9" ht="28.5" customHeight="1" x14ac:dyDescent="0.15">
      <c r="A329" s="1"/>
      <c r="B329" s="11"/>
      <c r="C329" s="11"/>
      <c r="D329" s="11"/>
      <c r="E329" s="11"/>
      <c r="F329" s="11"/>
      <c r="G329" s="11"/>
      <c r="H329" s="11"/>
      <c r="I329" s="11"/>
    </row>
    <row r="330" spans="1:9" ht="28.5" customHeight="1" x14ac:dyDescent="0.15">
      <c r="A330" s="1"/>
      <c r="B330" s="11"/>
      <c r="C330" s="11"/>
      <c r="D330" s="11"/>
      <c r="E330" s="11"/>
      <c r="F330" s="11"/>
      <c r="G330" s="11"/>
      <c r="H330" s="11"/>
      <c r="I330" s="11"/>
    </row>
    <row r="331" spans="1:9" ht="28.5" customHeight="1" x14ac:dyDescent="0.15">
      <c r="A331" s="1"/>
      <c r="B331" s="11"/>
      <c r="C331" s="11"/>
      <c r="D331" s="11"/>
      <c r="E331" s="11"/>
      <c r="F331" s="11"/>
      <c r="G331" s="11"/>
      <c r="H331" s="11"/>
      <c r="I331" s="11"/>
    </row>
    <row r="332" spans="1:9" ht="28.5" customHeight="1" x14ac:dyDescent="0.15">
      <c r="A332" s="1"/>
      <c r="B332" s="11"/>
      <c r="C332" s="11"/>
      <c r="D332" s="11"/>
      <c r="E332" s="11"/>
      <c r="F332" s="11"/>
      <c r="G332" s="11"/>
      <c r="H332" s="11"/>
      <c r="I332" s="11"/>
    </row>
    <row r="333" spans="1:9" ht="28.5" customHeight="1" x14ac:dyDescent="0.15">
      <c r="A333" s="1"/>
      <c r="B333" s="11"/>
      <c r="C333" s="11"/>
      <c r="D333" s="11"/>
      <c r="E333" s="11"/>
      <c r="F333" s="11"/>
      <c r="G333" s="11"/>
      <c r="H333" s="11"/>
      <c r="I333" s="11"/>
    </row>
    <row r="334" spans="1:9" ht="28.5" customHeight="1" x14ac:dyDescent="0.15">
      <c r="A334" s="1"/>
      <c r="B334" s="11"/>
      <c r="C334" s="11"/>
      <c r="D334" s="11"/>
      <c r="E334" s="11"/>
      <c r="F334" s="11"/>
      <c r="G334" s="11"/>
      <c r="H334" s="11"/>
      <c r="I334" s="11"/>
    </row>
    <row r="335" spans="1:9" ht="28.5" customHeight="1" x14ac:dyDescent="0.15">
      <c r="A335" s="1"/>
      <c r="B335" s="11"/>
      <c r="C335" s="11"/>
      <c r="D335" s="11"/>
      <c r="E335" s="11"/>
      <c r="F335" s="11"/>
      <c r="G335" s="11"/>
      <c r="H335" s="11"/>
      <c r="I335" s="11"/>
    </row>
    <row r="336" spans="1:9" ht="28.5" customHeight="1" x14ac:dyDescent="0.15">
      <c r="A336" s="1"/>
      <c r="B336" s="11"/>
      <c r="C336" s="11"/>
      <c r="D336" s="11"/>
      <c r="E336" s="11"/>
      <c r="F336" s="11"/>
      <c r="G336" s="11"/>
      <c r="H336" s="11"/>
      <c r="I336" s="11"/>
    </row>
    <row r="337" spans="1:9" ht="28.5" customHeight="1" x14ac:dyDescent="0.15">
      <c r="A337" s="1"/>
      <c r="B337" s="11"/>
      <c r="C337" s="11"/>
      <c r="D337" s="11"/>
      <c r="E337" s="11"/>
      <c r="F337" s="11"/>
      <c r="G337" s="11"/>
      <c r="H337" s="11"/>
      <c r="I337" s="11"/>
    </row>
    <row r="338" spans="1:9" ht="28.5" customHeight="1" x14ac:dyDescent="0.15">
      <c r="A338" s="1"/>
      <c r="B338" s="11"/>
      <c r="C338" s="11"/>
      <c r="D338" s="11"/>
      <c r="E338" s="11"/>
      <c r="F338" s="11"/>
      <c r="G338" s="11"/>
      <c r="H338" s="11"/>
      <c r="I338" s="11"/>
    </row>
    <row r="339" spans="1:9" ht="28.5" customHeight="1" x14ac:dyDescent="0.15">
      <c r="A339" s="1"/>
      <c r="B339" s="11"/>
      <c r="C339" s="11"/>
      <c r="D339" s="11"/>
      <c r="E339" s="11"/>
      <c r="F339" s="11"/>
      <c r="G339" s="11"/>
      <c r="H339" s="11"/>
      <c r="I339" s="11"/>
    </row>
    <row r="340" spans="1:9" ht="28.5" customHeight="1" x14ac:dyDescent="0.15">
      <c r="A340" s="1"/>
      <c r="B340" s="11"/>
      <c r="C340" s="11"/>
      <c r="D340" s="11"/>
      <c r="E340" s="11"/>
      <c r="F340" s="11"/>
      <c r="G340" s="11"/>
      <c r="H340" s="11"/>
      <c r="I340" s="11"/>
    </row>
    <row r="341" spans="1:9" ht="28.5" customHeight="1" x14ac:dyDescent="0.15">
      <c r="A341" s="1"/>
      <c r="B341" s="11"/>
      <c r="C341" s="11"/>
      <c r="D341" s="11"/>
      <c r="E341" s="11"/>
      <c r="F341" s="11"/>
      <c r="G341" s="11"/>
      <c r="H341" s="11"/>
      <c r="I341" s="11"/>
    </row>
    <row r="342" spans="1:9" ht="28.5" customHeight="1" x14ac:dyDescent="0.15">
      <c r="A342" s="1"/>
      <c r="B342" s="11"/>
      <c r="C342" s="11"/>
      <c r="D342" s="11"/>
      <c r="E342" s="11"/>
      <c r="F342" s="11"/>
      <c r="G342" s="11"/>
      <c r="H342" s="11"/>
      <c r="I342" s="11"/>
    </row>
    <row r="343" spans="1:9" ht="28.5" customHeight="1" x14ac:dyDescent="0.15">
      <c r="A343" s="1"/>
      <c r="B343" s="11"/>
      <c r="C343" s="11"/>
      <c r="D343" s="11"/>
      <c r="E343" s="11"/>
      <c r="F343" s="11"/>
      <c r="G343" s="11"/>
      <c r="H343" s="11"/>
      <c r="I343" s="11"/>
    </row>
    <row r="344" spans="1:9" ht="28.5" customHeight="1" x14ac:dyDescent="0.15">
      <c r="A344" s="1"/>
      <c r="B344" s="11"/>
      <c r="C344" s="11"/>
      <c r="D344" s="11"/>
      <c r="E344" s="11"/>
      <c r="F344" s="11"/>
      <c r="G344" s="11"/>
      <c r="H344" s="11"/>
      <c r="I344" s="11"/>
    </row>
    <row r="345" spans="1:9" ht="28.5" customHeight="1" x14ac:dyDescent="0.15">
      <c r="A345" s="1"/>
      <c r="B345" s="11"/>
      <c r="C345" s="11"/>
      <c r="D345" s="11"/>
      <c r="E345" s="11"/>
      <c r="F345" s="11"/>
      <c r="G345" s="11"/>
      <c r="H345" s="11"/>
      <c r="I345" s="11"/>
    </row>
    <row r="346" spans="1:9" ht="28.5" customHeight="1" x14ac:dyDescent="0.15">
      <c r="A346" s="1"/>
      <c r="B346" s="11"/>
      <c r="C346" s="11"/>
      <c r="D346" s="11"/>
      <c r="E346" s="11"/>
      <c r="F346" s="11"/>
      <c r="G346" s="11"/>
      <c r="H346" s="11"/>
      <c r="I346" s="11"/>
    </row>
    <row r="347" spans="1:9" ht="28.5" customHeight="1" x14ac:dyDescent="0.15">
      <c r="A347" s="1"/>
      <c r="B347" s="11"/>
      <c r="C347" s="11"/>
      <c r="D347" s="11"/>
      <c r="E347" s="11"/>
      <c r="F347" s="11"/>
      <c r="G347" s="11"/>
      <c r="H347" s="11"/>
      <c r="I347" s="11"/>
    </row>
    <row r="348" spans="1:9" ht="28.5" customHeight="1" x14ac:dyDescent="0.15">
      <c r="A348" s="1"/>
      <c r="B348" s="11"/>
      <c r="C348" s="11"/>
      <c r="D348" s="11"/>
      <c r="E348" s="11"/>
      <c r="F348" s="11"/>
      <c r="G348" s="11"/>
      <c r="H348" s="11"/>
      <c r="I348" s="11"/>
    </row>
    <row r="349" spans="1:9" ht="28.5" customHeight="1" x14ac:dyDescent="0.15">
      <c r="A349" s="1"/>
      <c r="B349" s="11"/>
      <c r="C349" s="11"/>
      <c r="D349" s="11"/>
      <c r="E349" s="11"/>
      <c r="F349" s="11"/>
      <c r="G349" s="11"/>
      <c r="H349" s="11"/>
      <c r="I349" s="11"/>
    </row>
    <row r="350" spans="1:9" ht="28.5" customHeight="1" x14ac:dyDescent="0.15">
      <c r="A350" s="1"/>
      <c r="B350" s="11"/>
      <c r="C350" s="11"/>
      <c r="D350" s="11"/>
      <c r="E350" s="11"/>
      <c r="F350" s="11"/>
      <c r="G350" s="11"/>
      <c r="H350" s="11"/>
      <c r="I350" s="11"/>
    </row>
    <row r="351" spans="1:9" ht="28.5" customHeight="1" x14ac:dyDescent="0.15">
      <c r="A351" s="1"/>
      <c r="B351" s="11"/>
      <c r="C351" s="11"/>
      <c r="D351" s="11"/>
      <c r="E351" s="11"/>
      <c r="F351" s="11"/>
      <c r="G351" s="11"/>
      <c r="H351" s="11"/>
      <c r="I351" s="11"/>
    </row>
    <row r="352" spans="1:9" ht="28.5" customHeight="1" x14ac:dyDescent="0.15">
      <c r="A352" s="1"/>
      <c r="B352" s="11"/>
      <c r="C352" s="11"/>
      <c r="D352" s="11"/>
      <c r="E352" s="11"/>
      <c r="F352" s="11"/>
      <c r="G352" s="11"/>
      <c r="H352" s="11"/>
      <c r="I352" s="11"/>
    </row>
    <row r="353" spans="1:9" ht="28.5" customHeight="1" x14ac:dyDescent="0.15">
      <c r="A353" s="1"/>
      <c r="B353" s="11"/>
      <c r="C353" s="11"/>
      <c r="D353" s="11"/>
      <c r="E353" s="11"/>
      <c r="F353" s="11"/>
      <c r="G353" s="11"/>
      <c r="H353" s="11"/>
      <c r="I353" s="11"/>
    </row>
    <row r="354" spans="1:9" ht="28.5" customHeight="1" x14ac:dyDescent="0.15">
      <c r="A354" s="1"/>
      <c r="B354" s="11"/>
      <c r="C354" s="11"/>
      <c r="D354" s="11"/>
      <c r="E354" s="11"/>
      <c r="F354" s="11"/>
      <c r="G354" s="11"/>
      <c r="H354" s="11"/>
      <c r="I354" s="11"/>
    </row>
    <row r="355" spans="1:9" ht="28.5" customHeight="1" x14ac:dyDescent="0.15">
      <c r="A355" s="1"/>
      <c r="B355" s="11"/>
      <c r="C355" s="11"/>
      <c r="D355" s="11"/>
      <c r="E355" s="11"/>
      <c r="F355" s="11"/>
      <c r="G355" s="11"/>
      <c r="H355" s="11"/>
      <c r="I355" s="11"/>
    </row>
    <row r="356" spans="1:9" ht="28.5" customHeight="1" x14ac:dyDescent="0.15">
      <c r="A356" s="1"/>
      <c r="B356" s="11"/>
      <c r="C356" s="11"/>
      <c r="D356" s="11"/>
      <c r="E356" s="11"/>
      <c r="F356" s="11"/>
      <c r="G356" s="11"/>
      <c r="H356" s="11"/>
      <c r="I356" s="11"/>
    </row>
    <row r="357" spans="1:9" ht="28.5" customHeight="1" x14ac:dyDescent="0.15">
      <c r="A357" s="1"/>
      <c r="B357" s="11"/>
      <c r="C357" s="11"/>
      <c r="D357" s="11"/>
      <c r="E357" s="11"/>
      <c r="F357" s="11"/>
      <c r="G357" s="11"/>
      <c r="H357" s="11"/>
      <c r="I357" s="11"/>
    </row>
    <row r="358" spans="1:9" ht="28.5" customHeight="1" x14ac:dyDescent="0.15">
      <c r="A358" s="1"/>
      <c r="B358" s="11"/>
      <c r="C358" s="11"/>
      <c r="D358" s="11"/>
      <c r="E358" s="11"/>
      <c r="F358" s="11"/>
      <c r="G358" s="11"/>
      <c r="H358" s="11"/>
      <c r="I358" s="11"/>
    </row>
    <row r="359" spans="1:9" ht="28.5" customHeight="1" x14ac:dyDescent="0.15">
      <c r="A359" s="1"/>
      <c r="B359" s="11"/>
      <c r="C359" s="11"/>
      <c r="D359" s="11"/>
      <c r="E359" s="11"/>
      <c r="F359" s="11"/>
      <c r="G359" s="11"/>
      <c r="H359" s="11"/>
      <c r="I359" s="11"/>
    </row>
    <row r="360" spans="1:9" ht="28.5" customHeight="1" x14ac:dyDescent="0.15">
      <c r="A360" s="1"/>
      <c r="B360" s="11"/>
      <c r="C360" s="11"/>
      <c r="D360" s="11"/>
      <c r="E360" s="11"/>
      <c r="F360" s="11"/>
      <c r="G360" s="11"/>
      <c r="H360" s="11"/>
      <c r="I360" s="11"/>
    </row>
    <row r="361" spans="1:9" ht="28.5" customHeight="1" x14ac:dyDescent="0.15">
      <c r="A361" s="1"/>
      <c r="B361" s="11"/>
      <c r="C361" s="11"/>
      <c r="D361" s="11"/>
      <c r="E361" s="11"/>
      <c r="F361" s="11"/>
      <c r="G361" s="11"/>
      <c r="H361" s="11"/>
      <c r="I361" s="11"/>
    </row>
    <row r="362" spans="1:9" ht="28.5" customHeight="1" x14ac:dyDescent="0.15">
      <c r="A362" s="1"/>
      <c r="B362" s="11"/>
      <c r="C362" s="11"/>
      <c r="D362" s="11"/>
      <c r="E362" s="11"/>
      <c r="F362" s="11"/>
      <c r="G362" s="11"/>
      <c r="H362" s="11"/>
      <c r="I362" s="11"/>
    </row>
    <row r="363" spans="1:9" ht="28.5" customHeight="1" x14ac:dyDescent="0.15">
      <c r="A363" s="1"/>
      <c r="B363" s="11"/>
      <c r="C363" s="11"/>
      <c r="D363" s="11"/>
      <c r="E363" s="11"/>
      <c r="F363" s="11"/>
      <c r="G363" s="11"/>
      <c r="H363" s="11"/>
      <c r="I363" s="11"/>
    </row>
    <row r="364" spans="1:9" ht="28.5" customHeight="1" x14ac:dyDescent="0.15">
      <c r="A364" s="1"/>
      <c r="B364" s="11"/>
      <c r="C364" s="11"/>
      <c r="D364" s="11"/>
      <c r="E364" s="11"/>
      <c r="F364" s="11"/>
      <c r="G364" s="11"/>
      <c r="H364" s="11"/>
      <c r="I364" s="11"/>
    </row>
    <row r="365" spans="1:9" ht="28.5" customHeight="1" x14ac:dyDescent="0.15">
      <c r="A365" s="1"/>
      <c r="B365" s="11"/>
      <c r="C365" s="11"/>
      <c r="D365" s="11"/>
      <c r="E365" s="11"/>
      <c r="F365" s="11"/>
      <c r="G365" s="11"/>
      <c r="H365" s="11"/>
      <c r="I365" s="11"/>
    </row>
    <row r="366" spans="1:9" ht="28.5" customHeight="1" x14ac:dyDescent="0.15">
      <c r="A366" s="1"/>
      <c r="B366" s="11"/>
      <c r="C366" s="11"/>
      <c r="D366" s="11"/>
      <c r="E366" s="11"/>
      <c r="F366" s="11"/>
      <c r="G366" s="11"/>
      <c r="H366" s="11"/>
      <c r="I366" s="11"/>
    </row>
    <row r="367" spans="1:9" ht="28.5" customHeight="1" x14ac:dyDescent="0.15">
      <c r="A367" s="1"/>
      <c r="B367" s="11"/>
      <c r="C367" s="11"/>
      <c r="D367" s="11"/>
      <c r="E367" s="11"/>
      <c r="F367" s="11"/>
      <c r="G367" s="11"/>
      <c r="H367" s="11"/>
      <c r="I367" s="11"/>
    </row>
    <row r="368" spans="1:9" ht="28.5" customHeight="1" x14ac:dyDescent="0.15">
      <c r="A368" s="1"/>
      <c r="B368" s="11"/>
      <c r="C368" s="11"/>
      <c r="D368" s="11"/>
      <c r="E368" s="11"/>
      <c r="F368" s="11"/>
      <c r="G368" s="11"/>
      <c r="H368" s="11"/>
      <c r="I368" s="11"/>
    </row>
    <row r="369" spans="1:9" ht="28.5" customHeight="1" x14ac:dyDescent="0.15">
      <c r="A369" s="1"/>
      <c r="B369" s="11"/>
      <c r="C369" s="11"/>
      <c r="D369" s="11"/>
      <c r="E369" s="11"/>
      <c r="F369" s="11"/>
      <c r="G369" s="11"/>
      <c r="H369" s="11"/>
      <c r="I369" s="11"/>
    </row>
    <row r="370" spans="1:9" ht="28.5" customHeight="1" x14ac:dyDescent="0.15">
      <c r="A370" s="1"/>
      <c r="B370" s="11"/>
      <c r="C370" s="11"/>
      <c r="D370" s="11"/>
      <c r="E370" s="11"/>
      <c r="F370" s="11"/>
      <c r="G370" s="11"/>
      <c r="H370" s="11"/>
      <c r="I370" s="11"/>
    </row>
    <row r="371" spans="1:9" ht="28.5" customHeight="1" x14ac:dyDescent="0.15">
      <c r="A371" s="1"/>
      <c r="B371" s="11"/>
      <c r="C371" s="11"/>
      <c r="D371" s="11"/>
      <c r="E371" s="11"/>
      <c r="F371" s="11"/>
      <c r="G371" s="11"/>
      <c r="H371" s="11"/>
      <c r="I371" s="11"/>
    </row>
    <row r="372" spans="1:9" ht="28.5" customHeight="1" x14ac:dyDescent="0.15">
      <c r="A372" s="1"/>
      <c r="B372" s="11"/>
      <c r="C372" s="11"/>
      <c r="D372" s="11"/>
      <c r="E372" s="11"/>
      <c r="F372" s="11"/>
      <c r="G372" s="11"/>
      <c r="H372" s="11"/>
      <c r="I372" s="11"/>
    </row>
    <row r="373" spans="1:9" ht="28.5" customHeight="1" x14ac:dyDescent="0.15">
      <c r="A373" s="1"/>
      <c r="B373" s="11"/>
      <c r="C373" s="11"/>
      <c r="D373" s="11"/>
      <c r="E373" s="11"/>
      <c r="F373" s="11"/>
      <c r="G373" s="11"/>
      <c r="H373" s="11"/>
      <c r="I373" s="11"/>
    </row>
    <row r="374" spans="1:9" ht="28.5" customHeight="1" x14ac:dyDescent="0.15">
      <c r="A374" s="1"/>
      <c r="B374" s="11"/>
      <c r="C374" s="11"/>
      <c r="D374" s="11"/>
      <c r="E374" s="11"/>
      <c r="F374" s="11"/>
      <c r="G374" s="11"/>
      <c r="H374" s="11"/>
      <c r="I374" s="11"/>
    </row>
    <row r="375" spans="1:9" ht="28.5" customHeight="1" x14ac:dyDescent="0.15">
      <c r="A375" s="1"/>
      <c r="B375" s="11"/>
      <c r="C375" s="11"/>
      <c r="D375" s="11"/>
      <c r="E375" s="11"/>
      <c r="F375" s="11"/>
      <c r="G375" s="11"/>
      <c r="H375" s="11"/>
      <c r="I375" s="11"/>
    </row>
    <row r="376" spans="1:9" ht="28.5" customHeight="1" x14ac:dyDescent="0.15">
      <c r="A376" s="1"/>
      <c r="B376" s="11"/>
      <c r="C376" s="11"/>
      <c r="D376" s="11"/>
      <c r="E376" s="11"/>
      <c r="F376" s="11"/>
      <c r="G376" s="11"/>
      <c r="H376" s="11"/>
      <c r="I376" s="11"/>
    </row>
    <row r="377" spans="1:9" ht="28.5" customHeight="1" x14ac:dyDescent="0.15">
      <c r="A377" s="1"/>
      <c r="B377" s="11"/>
      <c r="C377" s="11"/>
      <c r="D377" s="11"/>
      <c r="E377" s="11"/>
      <c r="F377" s="11"/>
      <c r="G377" s="11"/>
      <c r="H377" s="11"/>
      <c r="I377" s="11"/>
    </row>
    <row r="378" spans="1:9" ht="28.5" customHeight="1" x14ac:dyDescent="0.15">
      <c r="A378" s="1"/>
      <c r="B378" s="11"/>
      <c r="C378" s="11"/>
      <c r="D378" s="11"/>
      <c r="E378" s="11"/>
      <c r="F378" s="11"/>
      <c r="G378" s="11"/>
      <c r="H378" s="11"/>
      <c r="I378" s="11"/>
    </row>
    <row r="379" spans="1:9" ht="28.5" customHeight="1" x14ac:dyDescent="0.15">
      <c r="A379" s="1"/>
      <c r="B379" s="11"/>
      <c r="C379" s="11"/>
      <c r="D379" s="11"/>
      <c r="E379" s="11"/>
      <c r="F379" s="11"/>
      <c r="G379" s="11"/>
      <c r="H379" s="11"/>
      <c r="I379" s="11"/>
    </row>
    <row r="380" spans="1:9" ht="28.5" customHeight="1" x14ac:dyDescent="0.15">
      <c r="A380" s="1"/>
      <c r="B380" s="11"/>
      <c r="C380" s="11"/>
      <c r="D380" s="11"/>
      <c r="E380" s="11"/>
      <c r="F380" s="11"/>
      <c r="G380" s="11"/>
      <c r="H380" s="11"/>
      <c r="I380" s="11"/>
    </row>
    <row r="381" spans="1:9" ht="28.5" customHeight="1" x14ac:dyDescent="0.15">
      <c r="A381" s="1"/>
      <c r="B381" s="11"/>
      <c r="C381" s="11"/>
      <c r="D381" s="11"/>
      <c r="E381" s="11"/>
      <c r="F381" s="11"/>
      <c r="G381" s="11"/>
      <c r="H381" s="11"/>
      <c r="I381" s="11"/>
    </row>
    <row r="382" spans="1:9" ht="28.5" customHeight="1" x14ac:dyDescent="0.15">
      <c r="A382" s="1"/>
      <c r="B382" s="11"/>
      <c r="C382" s="11"/>
      <c r="D382" s="11"/>
      <c r="E382" s="11"/>
      <c r="F382" s="11"/>
      <c r="G382" s="11"/>
      <c r="H382" s="11"/>
      <c r="I382" s="11"/>
    </row>
    <row r="383" spans="1:9" ht="28.5" customHeight="1" x14ac:dyDescent="0.15">
      <c r="A383" s="1"/>
      <c r="B383" s="11"/>
      <c r="C383" s="11"/>
      <c r="D383" s="11"/>
      <c r="E383" s="11"/>
      <c r="F383" s="11"/>
      <c r="G383" s="11"/>
      <c r="H383" s="11"/>
      <c r="I383" s="11"/>
    </row>
    <row r="384" spans="1:9" ht="28.5" customHeight="1" x14ac:dyDescent="0.15">
      <c r="A384" s="1"/>
      <c r="B384" s="11"/>
      <c r="C384" s="11"/>
      <c r="D384" s="11"/>
      <c r="E384" s="11"/>
      <c r="F384" s="11"/>
      <c r="G384" s="11"/>
      <c r="H384" s="11"/>
      <c r="I384" s="11"/>
    </row>
    <row r="385" spans="1:9" ht="28.5" customHeight="1" x14ac:dyDescent="0.15">
      <c r="A385" s="1"/>
      <c r="B385" s="11"/>
      <c r="C385" s="11"/>
      <c r="D385" s="11"/>
      <c r="E385" s="11"/>
      <c r="F385" s="11"/>
      <c r="G385" s="11"/>
      <c r="H385" s="11"/>
      <c r="I385" s="11"/>
    </row>
    <row r="386" spans="1:9" ht="28.5" customHeight="1" x14ac:dyDescent="0.15">
      <c r="A386" s="1"/>
      <c r="B386" s="11"/>
      <c r="C386" s="11"/>
      <c r="D386" s="11"/>
      <c r="E386" s="11"/>
      <c r="F386" s="11"/>
      <c r="G386" s="11"/>
      <c r="H386" s="11"/>
      <c r="I386" s="11"/>
    </row>
    <row r="387" spans="1:9" ht="28.5" customHeight="1" x14ac:dyDescent="0.15">
      <c r="A387" s="1"/>
      <c r="B387" s="11"/>
      <c r="C387" s="11"/>
      <c r="D387" s="11"/>
      <c r="E387" s="11"/>
      <c r="F387" s="11"/>
      <c r="G387" s="11"/>
      <c r="H387" s="11"/>
      <c r="I387" s="11"/>
    </row>
    <row r="388" spans="1:9" ht="28.5" customHeight="1" x14ac:dyDescent="0.15">
      <c r="A388" s="1"/>
      <c r="B388" s="11"/>
      <c r="C388" s="11"/>
      <c r="D388" s="11"/>
      <c r="E388" s="11"/>
      <c r="F388" s="11"/>
      <c r="G388" s="11"/>
      <c r="H388" s="11"/>
      <c r="I388" s="11"/>
    </row>
    <row r="389" spans="1:9" ht="28.5" customHeight="1" x14ac:dyDescent="0.15">
      <c r="A389" s="1"/>
      <c r="B389" s="11"/>
      <c r="C389" s="11"/>
      <c r="D389" s="11"/>
      <c r="E389" s="11"/>
      <c r="F389" s="11"/>
      <c r="G389" s="11"/>
      <c r="H389" s="11"/>
      <c r="I389" s="11"/>
    </row>
    <row r="390" spans="1:9" ht="28.5" customHeight="1" x14ac:dyDescent="0.15">
      <c r="A390" s="1"/>
      <c r="B390" s="11"/>
      <c r="C390" s="11"/>
      <c r="D390" s="11"/>
      <c r="E390" s="11"/>
      <c r="F390" s="11"/>
      <c r="G390" s="11"/>
      <c r="H390" s="11"/>
      <c r="I390" s="11"/>
    </row>
    <row r="391" spans="1:9" ht="28.5" customHeight="1" x14ac:dyDescent="0.15">
      <c r="A391" s="1"/>
      <c r="B391" s="11"/>
      <c r="C391" s="11"/>
      <c r="D391" s="11"/>
      <c r="E391" s="11"/>
      <c r="F391" s="11"/>
      <c r="G391" s="11"/>
      <c r="H391" s="11"/>
      <c r="I391" s="11"/>
    </row>
    <row r="392" spans="1:9" ht="28.5" customHeight="1" x14ac:dyDescent="0.15">
      <c r="A392" s="1"/>
      <c r="B392" s="11"/>
      <c r="C392" s="11"/>
      <c r="D392" s="11"/>
      <c r="E392" s="11"/>
      <c r="F392" s="11"/>
      <c r="G392" s="11"/>
      <c r="H392" s="11"/>
      <c r="I392" s="11"/>
    </row>
    <row r="393" spans="1:9" ht="28.5" customHeight="1" x14ac:dyDescent="0.15">
      <c r="A393" s="1"/>
      <c r="B393" s="11"/>
      <c r="C393" s="11"/>
      <c r="D393" s="11"/>
      <c r="E393" s="11"/>
      <c r="F393" s="11"/>
      <c r="G393" s="11"/>
      <c r="H393" s="11"/>
      <c r="I393" s="11"/>
    </row>
    <row r="394" spans="1:9" ht="28.5" customHeight="1" x14ac:dyDescent="0.15">
      <c r="A394" s="1"/>
      <c r="B394" s="11"/>
      <c r="C394" s="11"/>
      <c r="D394" s="11"/>
      <c r="E394" s="11"/>
      <c r="F394" s="11"/>
      <c r="G394" s="11"/>
      <c r="H394" s="11"/>
      <c r="I394" s="11"/>
    </row>
    <row r="395" spans="1:9" ht="28.5" customHeight="1" x14ac:dyDescent="0.15">
      <c r="A395" s="1"/>
      <c r="B395" s="11"/>
      <c r="C395" s="11"/>
      <c r="D395" s="11"/>
      <c r="E395" s="11"/>
      <c r="F395" s="11"/>
      <c r="G395" s="11"/>
      <c r="H395" s="11"/>
      <c r="I395" s="11"/>
    </row>
    <row r="396" spans="1:9" ht="28.5" customHeight="1" x14ac:dyDescent="0.15">
      <c r="A396" s="1"/>
      <c r="B396" s="11"/>
      <c r="C396" s="11"/>
      <c r="D396" s="11"/>
      <c r="E396" s="11"/>
      <c r="F396" s="11"/>
      <c r="G396" s="11"/>
      <c r="H396" s="11"/>
      <c r="I396" s="11"/>
    </row>
    <row r="397" spans="1:9" ht="28.5" customHeight="1" x14ac:dyDescent="0.15">
      <c r="A397" s="1"/>
      <c r="B397" s="11"/>
      <c r="C397" s="11"/>
      <c r="D397" s="11"/>
      <c r="E397" s="11"/>
      <c r="F397" s="11"/>
      <c r="G397" s="11"/>
      <c r="H397" s="11"/>
      <c r="I397" s="11"/>
    </row>
    <row r="398" spans="1:9" ht="28.5" customHeight="1" x14ac:dyDescent="0.15">
      <c r="A398" s="1"/>
      <c r="B398" s="11"/>
      <c r="C398" s="11"/>
      <c r="D398" s="11"/>
      <c r="E398" s="11"/>
      <c r="F398" s="11"/>
      <c r="G398" s="11"/>
      <c r="H398" s="11"/>
      <c r="I398" s="11"/>
    </row>
    <row r="399" spans="1:9" ht="28.5" customHeight="1" x14ac:dyDescent="0.15">
      <c r="A399" s="1"/>
      <c r="B399" s="11"/>
      <c r="C399" s="11"/>
      <c r="D399" s="11"/>
      <c r="E399" s="11"/>
      <c r="F399" s="11"/>
      <c r="G399" s="11"/>
      <c r="H399" s="11"/>
      <c r="I399" s="11"/>
    </row>
    <row r="400" spans="1:9" ht="28.5" customHeight="1" x14ac:dyDescent="0.15">
      <c r="A400" s="1"/>
      <c r="B400" s="11"/>
      <c r="C400" s="11"/>
      <c r="D400" s="11"/>
      <c r="E400" s="11"/>
      <c r="F400" s="11"/>
      <c r="G400" s="11"/>
      <c r="H400" s="11"/>
      <c r="I400" s="11"/>
    </row>
    <row r="401" spans="1:9" ht="28.5" customHeight="1" x14ac:dyDescent="0.15">
      <c r="A401" s="1"/>
      <c r="B401" s="11"/>
      <c r="C401" s="11"/>
      <c r="D401" s="11"/>
      <c r="E401" s="11"/>
      <c r="F401" s="11"/>
      <c r="G401" s="11"/>
      <c r="H401" s="11"/>
      <c r="I401" s="11"/>
    </row>
    <row r="402" spans="1:9" ht="28.5" customHeight="1" x14ac:dyDescent="0.15">
      <c r="A402" s="1"/>
      <c r="B402" s="11"/>
      <c r="C402" s="11"/>
      <c r="D402" s="11"/>
      <c r="E402" s="11"/>
      <c r="F402" s="11"/>
      <c r="G402" s="11"/>
      <c r="H402" s="11"/>
      <c r="I402" s="11"/>
    </row>
    <row r="403" spans="1:9" ht="28.5" customHeight="1" x14ac:dyDescent="0.15">
      <c r="A403" s="1"/>
      <c r="B403" s="11"/>
      <c r="C403" s="11"/>
      <c r="D403" s="11"/>
      <c r="E403" s="11"/>
      <c r="F403" s="11"/>
      <c r="G403" s="11"/>
      <c r="H403" s="11"/>
      <c r="I403" s="11"/>
    </row>
    <row r="404" spans="1:9" ht="28.5" customHeight="1" x14ac:dyDescent="0.15">
      <c r="A404" s="1"/>
      <c r="B404" s="11"/>
      <c r="C404" s="11"/>
      <c r="D404" s="11"/>
      <c r="E404" s="11"/>
      <c r="F404" s="11"/>
      <c r="G404" s="11"/>
      <c r="H404" s="11"/>
      <c r="I404" s="11"/>
    </row>
    <row r="405" spans="1:9" ht="28.5" customHeight="1" x14ac:dyDescent="0.15">
      <c r="A405" s="1"/>
      <c r="B405" s="11"/>
      <c r="C405" s="11"/>
      <c r="D405" s="11"/>
      <c r="E405" s="11"/>
      <c r="F405" s="11"/>
      <c r="G405" s="11"/>
      <c r="H405" s="11"/>
      <c r="I405" s="11"/>
    </row>
    <row r="406" spans="1:9" ht="28.5" customHeight="1" x14ac:dyDescent="0.15">
      <c r="A406" s="1"/>
      <c r="B406" s="11"/>
      <c r="C406" s="11"/>
      <c r="D406" s="11"/>
      <c r="E406" s="11"/>
      <c r="F406" s="11"/>
      <c r="G406" s="11"/>
      <c r="H406" s="11"/>
      <c r="I406" s="11"/>
    </row>
    <row r="407" spans="1:9" ht="28.5" customHeight="1" x14ac:dyDescent="0.15">
      <c r="A407" s="1"/>
      <c r="B407" s="11"/>
      <c r="C407" s="11"/>
      <c r="D407" s="11"/>
      <c r="E407" s="11"/>
      <c r="F407" s="11"/>
      <c r="G407" s="11"/>
      <c r="H407" s="11"/>
      <c r="I407" s="11"/>
    </row>
    <row r="408" spans="1:9" ht="28.5" customHeight="1" x14ac:dyDescent="0.15">
      <c r="A408" s="1"/>
      <c r="B408" s="11"/>
      <c r="C408" s="11"/>
      <c r="D408" s="11"/>
      <c r="E408" s="11"/>
      <c r="F408" s="11"/>
      <c r="G408" s="11"/>
      <c r="H408" s="11"/>
      <c r="I408" s="11"/>
    </row>
    <row r="409" spans="1:9" ht="28.5" customHeight="1" x14ac:dyDescent="0.15">
      <c r="A409" s="1"/>
      <c r="B409" s="11"/>
      <c r="C409" s="11"/>
      <c r="D409" s="11"/>
      <c r="E409" s="11"/>
      <c r="F409" s="11"/>
      <c r="G409" s="11"/>
      <c r="H409" s="11"/>
      <c r="I409" s="11"/>
    </row>
    <row r="410" spans="1:9" ht="28.5" customHeight="1" x14ac:dyDescent="0.15">
      <c r="A410" s="1"/>
      <c r="B410" s="11"/>
      <c r="C410" s="11"/>
      <c r="D410" s="11"/>
      <c r="E410" s="11"/>
      <c r="F410" s="11"/>
      <c r="G410" s="11"/>
      <c r="H410" s="11"/>
      <c r="I410" s="11"/>
    </row>
    <row r="411" spans="1:9" ht="28.5" customHeight="1" x14ac:dyDescent="0.15">
      <c r="A411" s="1"/>
      <c r="B411" s="11"/>
      <c r="C411" s="11"/>
      <c r="D411" s="11"/>
      <c r="E411" s="11"/>
      <c r="F411" s="11"/>
      <c r="G411" s="11"/>
      <c r="H411" s="11"/>
      <c r="I411" s="11"/>
    </row>
    <row r="412" spans="1:9" ht="28.5" customHeight="1" x14ac:dyDescent="0.15">
      <c r="A412" s="1"/>
      <c r="B412" s="11"/>
      <c r="C412" s="11"/>
      <c r="D412" s="11"/>
      <c r="E412" s="11"/>
      <c r="F412" s="11"/>
      <c r="G412" s="11"/>
      <c r="H412" s="11"/>
      <c r="I412" s="11"/>
    </row>
    <row r="413" spans="1:9" ht="28.5" customHeight="1" x14ac:dyDescent="0.15">
      <c r="A413" s="1"/>
      <c r="B413" s="11"/>
      <c r="C413" s="11"/>
      <c r="D413" s="11"/>
      <c r="E413" s="11"/>
      <c r="F413" s="11"/>
      <c r="G413" s="11"/>
      <c r="H413" s="11"/>
      <c r="I413" s="11"/>
    </row>
    <row r="414" spans="1:9" ht="28.5" customHeight="1" x14ac:dyDescent="0.15">
      <c r="A414" s="1"/>
      <c r="B414" s="11"/>
      <c r="C414" s="11"/>
      <c r="D414" s="11"/>
      <c r="E414" s="11"/>
      <c r="F414" s="11"/>
      <c r="G414" s="11"/>
      <c r="H414" s="11"/>
      <c r="I414" s="11"/>
    </row>
    <row r="415" spans="1:9" ht="28.5" customHeight="1" x14ac:dyDescent="0.15">
      <c r="A415" s="1"/>
      <c r="B415" s="11"/>
      <c r="C415" s="11"/>
      <c r="D415" s="11"/>
      <c r="E415" s="11"/>
      <c r="F415" s="11"/>
      <c r="G415" s="11"/>
      <c r="H415" s="11"/>
      <c r="I415" s="11"/>
    </row>
    <row r="416" spans="1:9" ht="28.5" customHeight="1" x14ac:dyDescent="0.15">
      <c r="A416" s="1"/>
      <c r="B416" s="11"/>
      <c r="C416" s="11"/>
      <c r="D416" s="11"/>
      <c r="E416" s="11"/>
      <c r="F416" s="11"/>
      <c r="G416" s="11"/>
      <c r="H416" s="11"/>
      <c r="I416" s="11"/>
    </row>
    <row r="417" spans="1:9" ht="28.5" customHeight="1" x14ac:dyDescent="0.15">
      <c r="A417" s="1"/>
      <c r="B417" s="11"/>
      <c r="C417" s="11"/>
      <c r="D417" s="11"/>
      <c r="E417" s="11"/>
      <c r="F417" s="11"/>
      <c r="G417" s="11"/>
      <c r="H417" s="11"/>
      <c r="I417" s="11"/>
    </row>
    <row r="418" spans="1:9" ht="28.5" customHeight="1" x14ac:dyDescent="0.15">
      <c r="A418" s="1"/>
      <c r="B418" s="11"/>
      <c r="C418" s="11"/>
      <c r="D418" s="11"/>
      <c r="E418" s="11"/>
      <c r="F418" s="11"/>
      <c r="G418" s="11"/>
      <c r="H418" s="11"/>
      <c r="I418" s="11"/>
    </row>
    <row r="419" spans="1:9" ht="28.5" customHeight="1" x14ac:dyDescent="0.15">
      <c r="A419" s="1"/>
      <c r="B419" s="11"/>
      <c r="C419" s="11"/>
      <c r="D419" s="11"/>
      <c r="E419" s="11"/>
      <c r="F419" s="11"/>
      <c r="G419" s="11"/>
      <c r="H419" s="11"/>
      <c r="I419" s="11"/>
    </row>
    <row r="420" spans="1:9" ht="28.5" customHeight="1" x14ac:dyDescent="0.15">
      <c r="A420" s="1"/>
      <c r="B420" s="11"/>
      <c r="C420" s="11"/>
      <c r="D420" s="11"/>
      <c r="E420" s="11"/>
      <c r="F420" s="11"/>
      <c r="G420" s="11"/>
      <c r="H420" s="11"/>
      <c r="I420" s="11"/>
    </row>
    <row r="421" spans="1:9" ht="28.5" customHeight="1" x14ac:dyDescent="0.15">
      <c r="A421" s="1"/>
      <c r="B421" s="11"/>
      <c r="C421" s="11"/>
      <c r="D421" s="11"/>
      <c r="E421" s="11"/>
      <c r="F421" s="11"/>
      <c r="G421" s="11"/>
      <c r="H421" s="11"/>
      <c r="I421" s="11"/>
    </row>
    <row r="422" spans="1:9" ht="28.5" customHeight="1" x14ac:dyDescent="0.15">
      <c r="A422" s="1"/>
      <c r="B422" s="11"/>
      <c r="C422" s="11"/>
      <c r="D422" s="11"/>
      <c r="E422" s="11"/>
      <c r="F422" s="11"/>
      <c r="G422" s="11"/>
      <c r="H422" s="11"/>
      <c r="I422" s="11"/>
    </row>
    <row r="423" spans="1:9" ht="28.5" customHeight="1" x14ac:dyDescent="0.15">
      <c r="A423" s="1"/>
      <c r="B423" s="11"/>
      <c r="C423" s="11"/>
      <c r="D423" s="11"/>
      <c r="E423" s="11"/>
      <c r="F423" s="11"/>
      <c r="G423" s="11"/>
      <c r="H423" s="11"/>
      <c r="I423" s="11"/>
    </row>
    <row r="424" spans="1:9" ht="28.5" customHeight="1" x14ac:dyDescent="0.15">
      <c r="A424" s="1"/>
      <c r="B424" s="11"/>
      <c r="C424" s="11"/>
      <c r="D424" s="11"/>
      <c r="E424" s="11"/>
      <c r="F424" s="11"/>
      <c r="G424" s="11"/>
      <c r="H424" s="11"/>
      <c r="I424" s="11"/>
    </row>
    <row r="425" spans="1:9" ht="28.5" customHeight="1" x14ac:dyDescent="0.15">
      <c r="A425" s="1"/>
      <c r="B425" s="11"/>
      <c r="C425" s="11"/>
      <c r="D425" s="11"/>
      <c r="E425" s="11"/>
      <c r="F425" s="11"/>
      <c r="G425" s="11"/>
      <c r="H425" s="11"/>
      <c r="I425" s="11"/>
    </row>
    <row r="426" spans="1:9" ht="28.5" customHeight="1" x14ac:dyDescent="0.15">
      <c r="A426" s="1"/>
      <c r="B426" s="11"/>
      <c r="C426" s="11"/>
      <c r="D426" s="11"/>
      <c r="E426" s="11"/>
      <c r="F426" s="11"/>
      <c r="G426" s="11"/>
      <c r="H426" s="11"/>
      <c r="I426" s="11"/>
    </row>
    <row r="427" spans="1:9" ht="28.5" customHeight="1" x14ac:dyDescent="0.15">
      <c r="A427" s="1"/>
      <c r="B427" s="11"/>
      <c r="C427" s="11"/>
      <c r="D427" s="11"/>
      <c r="E427" s="11"/>
      <c r="F427" s="11"/>
      <c r="G427" s="11"/>
      <c r="H427" s="11"/>
      <c r="I427" s="11"/>
    </row>
    <row r="428" spans="1:9" ht="28.5" customHeight="1" x14ac:dyDescent="0.15">
      <c r="A428" s="1"/>
      <c r="B428" s="11"/>
      <c r="C428" s="11"/>
      <c r="D428" s="11"/>
      <c r="E428" s="11"/>
      <c r="F428" s="11"/>
      <c r="G428" s="11"/>
      <c r="H428" s="11"/>
      <c r="I428" s="11"/>
    </row>
    <row r="429" spans="1:9" ht="28.5" customHeight="1" x14ac:dyDescent="0.15">
      <c r="A429" s="1"/>
      <c r="B429" s="11"/>
      <c r="C429" s="11"/>
      <c r="D429" s="11"/>
      <c r="E429" s="11"/>
      <c r="F429" s="11"/>
      <c r="G429" s="11"/>
      <c r="H429" s="11"/>
      <c r="I429" s="11"/>
    </row>
    <row r="430" spans="1:9" ht="28.5" customHeight="1" x14ac:dyDescent="0.15">
      <c r="A430" s="1"/>
      <c r="B430" s="11"/>
      <c r="C430" s="11"/>
      <c r="D430" s="11"/>
      <c r="E430" s="11"/>
      <c r="F430" s="11"/>
      <c r="G430" s="11"/>
      <c r="H430" s="11"/>
      <c r="I430" s="11"/>
    </row>
    <row r="431" spans="1:9" ht="28.5" customHeight="1" x14ac:dyDescent="0.15">
      <c r="A431" s="1"/>
      <c r="B431" s="11"/>
      <c r="C431" s="11"/>
      <c r="D431" s="11"/>
      <c r="E431" s="11"/>
      <c r="F431" s="11"/>
      <c r="G431" s="11"/>
      <c r="H431" s="11"/>
      <c r="I431" s="11"/>
    </row>
    <row r="432" spans="1:9" ht="28.5" customHeight="1" x14ac:dyDescent="0.15">
      <c r="A432" s="1"/>
      <c r="B432" s="11"/>
      <c r="C432" s="11"/>
      <c r="D432" s="11"/>
      <c r="E432" s="11"/>
      <c r="F432" s="11"/>
      <c r="G432" s="11"/>
      <c r="H432" s="11"/>
      <c r="I432" s="11"/>
    </row>
    <row r="433" spans="1:9" ht="28.5" customHeight="1" x14ac:dyDescent="0.15">
      <c r="A433" s="1"/>
      <c r="B433" s="11"/>
      <c r="C433" s="11"/>
      <c r="D433" s="11"/>
      <c r="E433" s="11"/>
      <c r="F433" s="11"/>
      <c r="G433" s="11"/>
      <c r="H433" s="11"/>
      <c r="I433" s="11"/>
    </row>
    <row r="434" spans="1:9" ht="28.5" customHeight="1" x14ac:dyDescent="0.15">
      <c r="A434" s="1"/>
      <c r="B434" s="11"/>
      <c r="C434" s="11"/>
      <c r="D434" s="11"/>
      <c r="E434" s="11"/>
      <c r="F434" s="11"/>
      <c r="G434" s="11"/>
      <c r="H434" s="11"/>
      <c r="I434" s="11"/>
    </row>
    <row r="435" spans="1:9" ht="28.5" customHeight="1" x14ac:dyDescent="0.15">
      <c r="A435" s="1"/>
      <c r="B435" s="11"/>
      <c r="C435" s="11"/>
      <c r="D435" s="11"/>
      <c r="E435" s="11"/>
      <c r="F435" s="11"/>
      <c r="G435" s="11"/>
      <c r="H435" s="11"/>
      <c r="I435" s="11"/>
    </row>
    <row r="436" spans="1:9" ht="28.5" customHeight="1" x14ac:dyDescent="0.15">
      <c r="A436" s="1"/>
      <c r="B436" s="11"/>
      <c r="C436" s="11"/>
      <c r="D436" s="11"/>
      <c r="E436" s="11"/>
      <c r="F436" s="11"/>
      <c r="G436" s="11"/>
      <c r="H436" s="11"/>
      <c r="I436" s="11"/>
    </row>
    <row r="437" spans="1:9" ht="28.5" customHeight="1" x14ac:dyDescent="0.15">
      <c r="A437" s="1"/>
      <c r="B437" s="11"/>
      <c r="C437" s="11"/>
      <c r="D437" s="11"/>
      <c r="E437" s="11"/>
      <c r="F437" s="11"/>
      <c r="G437" s="11"/>
      <c r="H437" s="11"/>
      <c r="I437" s="11"/>
    </row>
    <row r="438" spans="1:9" ht="28.5" customHeight="1" x14ac:dyDescent="0.15">
      <c r="A438" s="1"/>
      <c r="B438" s="11"/>
      <c r="C438" s="11"/>
      <c r="D438" s="11"/>
      <c r="E438" s="11"/>
      <c r="F438" s="11"/>
      <c r="G438" s="11"/>
      <c r="H438" s="11"/>
      <c r="I438" s="11"/>
    </row>
    <row r="439" spans="1:9" ht="28.5" customHeight="1" x14ac:dyDescent="0.15">
      <c r="A439" s="1"/>
      <c r="B439" s="11"/>
      <c r="C439" s="11"/>
      <c r="D439" s="11"/>
      <c r="E439" s="11"/>
      <c r="F439" s="11"/>
      <c r="G439" s="11"/>
      <c r="H439" s="11"/>
      <c r="I439" s="11"/>
    </row>
    <row r="440" spans="1:9" ht="28.5" customHeight="1" x14ac:dyDescent="0.15">
      <c r="A440" s="1"/>
      <c r="B440" s="11"/>
      <c r="C440" s="11"/>
      <c r="D440" s="11"/>
      <c r="E440" s="11"/>
      <c r="F440" s="11"/>
      <c r="G440" s="11"/>
      <c r="H440" s="11"/>
      <c r="I440" s="11"/>
    </row>
    <row r="441" spans="1:9" ht="28.5" customHeight="1" x14ac:dyDescent="0.15">
      <c r="A441" s="1"/>
      <c r="B441" s="11"/>
      <c r="C441" s="11"/>
      <c r="D441" s="11"/>
      <c r="E441" s="11"/>
      <c r="F441" s="11"/>
      <c r="G441" s="11"/>
      <c r="H441" s="11"/>
      <c r="I441" s="11"/>
    </row>
    <row r="442" spans="1:9" ht="28.5" customHeight="1" x14ac:dyDescent="0.15">
      <c r="A442" s="1"/>
      <c r="B442" s="11"/>
      <c r="C442" s="11"/>
      <c r="D442" s="11"/>
      <c r="E442" s="11"/>
      <c r="F442" s="11"/>
      <c r="G442" s="11"/>
      <c r="H442" s="11"/>
      <c r="I442" s="11"/>
    </row>
    <row r="443" spans="1:9" ht="28.5" customHeight="1" x14ac:dyDescent="0.15">
      <c r="A443" s="1"/>
      <c r="B443" s="11"/>
      <c r="C443" s="11"/>
      <c r="D443" s="11"/>
      <c r="E443" s="11"/>
      <c r="F443" s="11"/>
      <c r="G443" s="11"/>
      <c r="H443" s="11"/>
      <c r="I443" s="11"/>
    </row>
    <row r="444" spans="1:9" ht="28.5" customHeight="1" x14ac:dyDescent="0.15">
      <c r="A444" s="1"/>
      <c r="B444" s="11"/>
      <c r="C444" s="11"/>
      <c r="D444" s="11"/>
      <c r="E444" s="11"/>
      <c r="F444" s="11"/>
      <c r="G444" s="11"/>
      <c r="H444" s="11"/>
      <c r="I444" s="11"/>
    </row>
    <row r="445" spans="1:9" ht="28.5" customHeight="1" x14ac:dyDescent="0.15">
      <c r="A445" s="1"/>
      <c r="B445" s="11"/>
      <c r="C445" s="11"/>
      <c r="D445" s="11"/>
      <c r="E445" s="11"/>
      <c r="F445" s="11"/>
      <c r="G445" s="11"/>
      <c r="H445" s="11"/>
      <c r="I445" s="11"/>
    </row>
    <row r="446" spans="1:9" ht="28.5" customHeight="1" x14ac:dyDescent="0.15">
      <c r="A446" s="1"/>
      <c r="B446" s="11"/>
      <c r="C446" s="11"/>
      <c r="D446" s="11"/>
      <c r="E446" s="11"/>
      <c r="F446" s="11"/>
      <c r="G446" s="11"/>
      <c r="H446" s="11"/>
      <c r="I446" s="11"/>
    </row>
    <row r="447" spans="1:9" ht="28.5" customHeight="1" x14ac:dyDescent="0.15">
      <c r="A447" s="1"/>
      <c r="B447" s="11"/>
      <c r="C447" s="11"/>
      <c r="D447" s="11"/>
      <c r="E447" s="11"/>
      <c r="F447" s="11"/>
      <c r="G447" s="11"/>
      <c r="H447" s="11"/>
      <c r="I447" s="11"/>
    </row>
    <row r="448" spans="1:9" ht="28.5" customHeight="1" x14ac:dyDescent="0.15">
      <c r="A448" s="1"/>
      <c r="B448" s="11"/>
      <c r="C448" s="11"/>
      <c r="D448" s="11"/>
      <c r="E448" s="11"/>
      <c r="F448" s="11"/>
      <c r="G448" s="11"/>
      <c r="H448" s="11"/>
      <c r="I448" s="11"/>
    </row>
    <row r="449" spans="1:9" ht="28.5" customHeight="1" x14ac:dyDescent="0.15">
      <c r="A449" s="1"/>
      <c r="B449" s="11"/>
      <c r="C449" s="11"/>
      <c r="D449" s="11"/>
      <c r="E449" s="11"/>
      <c r="F449" s="11"/>
      <c r="G449" s="11"/>
      <c r="H449" s="11"/>
      <c r="I449" s="11"/>
    </row>
    <row r="450" spans="1:9" ht="28.5" customHeight="1" x14ac:dyDescent="0.15">
      <c r="A450" s="1"/>
      <c r="B450" s="11"/>
      <c r="C450" s="11"/>
      <c r="D450" s="11"/>
      <c r="E450" s="11"/>
      <c r="F450" s="11"/>
      <c r="G450" s="11"/>
      <c r="H450" s="11"/>
      <c r="I450" s="11"/>
    </row>
    <row r="451" spans="1:9" ht="28.5" customHeight="1" x14ac:dyDescent="0.15">
      <c r="A451" s="1"/>
      <c r="B451" s="11"/>
      <c r="C451" s="11"/>
      <c r="D451" s="11"/>
      <c r="E451" s="11"/>
      <c r="F451" s="11"/>
      <c r="G451" s="11"/>
      <c r="H451" s="11"/>
      <c r="I451" s="11"/>
    </row>
    <row r="452" spans="1:9" ht="28.5" customHeight="1" x14ac:dyDescent="0.15">
      <c r="A452" s="1"/>
      <c r="B452" s="11"/>
      <c r="C452" s="11"/>
      <c r="D452" s="11"/>
      <c r="E452" s="11"/>
      <c r="F452" s="11"/>
      <c r="G452" s="11"/>
      <c r="H452" s="11"/>
      <c r="I452" s="11"/>
    </row>
    <row r="453" spans="1:9" ht="28.5" customHeight="1" x14ac:dyDescent="0.15">
      <c r="A453" s="1"/>
      <c r="B453" s="11"/>
      <c r="C453" s="11"/>
      <c r="D453" s="11"/>
      <c r="E453" s="11"/>
      <c r="F453" s="11"/>
      <c r="G453" s="11"/>
      <c r="H453" s="11"/>
      <c r="I453" s="11"/>
    </row>
    <row r="454" spans="1:9" ht="28.5" customHeight="1" x14ac:dyDescent="0.15">
      <c r="A454" s="1"/>
      <c r="B454" s="11"/>
      <c r="C454" s="11"/>
      <c r="D454" s="11"/>
      <c r="E454" s="11"/>
      <c r="F454" s="11"/>
      <c r="G454" s="11"/>
      <c r="H454" s="11"/>
      <c r="I454" s="11"/>
    </row>
    <row r="455" spans="1:9" ht="28.5" customHeight="1" x14ac:dyDescent="0.15">
      <c r="A455" s="1"/>
      <c r="B455" s="11"/>
      <c r="C455" s="11"/>
      <c r="D455" s="11"/>
      <c r="E455" s="11"/>
      <c r="F455" s="11"/>
      <c r="G455" s="11"/>
      <c r="H455" s="11"/>
      <c r="I455" s="11"/>
    </row>
    <row r="456" spans="1:9" ht="28.5" customHeight="1" x14ac:dyDescent="0.15">
      <c r="A456" s="1"/>
      <c r="B456" s="11"/>
      <c r="C456" s="11"/>
      <c r="D456" s="11"/>
      <c r="E456" s="11"/>
      <c r="F456" s="11"/>
      <c r="G456" s="11"/>
      <c r="H456" s="11"/>
      <c r="I456" s="11"/>
    </row>
    <row r="457" spans="1:9" ht="28.5" customHeight="1" x14ac:dyDescent="0.15">
      <c r="A457" s="1"/>
      <c r="B457" s="11"/>
      <c r="C457" s="11"/>
      <c r="D457" s="11"/>
      <c r="E457" s="11"/>
      <c r="F457" s="11"/>
      <c r="G457" s="11"/>
      <c r="H457" s="11"/>
      <c r="I457" s="11"/>
    </row>
    <row r="458" spans="1:9" ht="28.5" customHeight="1" x14ac:dyDescent="0.15">
      <c r="A458" s="1"/>
      <c r="B458" s="11"/>
      <c r="C458" s="11"/>
      <c r="D458" s="11"/>
      <c r="E458" s="11"/>
      <c r="F458" s="11"/>
      <c r="G458" s="11"/>
      <c r="H458" s="11"/>
      <c r="I458" s="11"/>
    </row>
    <row r="459" spans="1:9" ht="28.5" customHeight="1" x14ac:dyDescent="0.15">
      <c r="A459" s="1"/>
      <c r="B459" s="11"/>
      <c r="C459" s="11"/>
      <c r="D459" s="11"/>
      <c r="E459" s="11"/>
      <c r="F459" s="11"/>
      <c r="G459" s="11"/>
      <c r="H459" s="11"/>
      <c r="I459" s="11"/>
    </row>
    <row r="460" spans="1:9" ht="28.5" customHeight="1" x14ac:dyDescent="0.15">
      <c r="A460" s="1"/>
      <c r="B460" s="11"/>
      <c r="C460" s="11"/>
      <c r="D460" s="11"/>
      <c r="E460" s="11"/>
      <c r="F460" s="11"/>
      <c r="G460" s="11"/>
      <c r="H460" s="11"/>
      <c r="I460" s="11"/>
    </row>
    <row r="461" spans="1:9" ht="28.5" customHeight="1" x14ac:dyDescent="0.15">
      <c r="A461" s="1"/>
      <c r="B461" s="11"/>
      <c r="C461" s="11"/>
      <c r="D461" s="11"/>
      <c r="E461" s="11"/>
      <c r="F461" s="11"/>
      <c r="G461" s="11"/>
      <c r="H461" s="11"/>
      <c r="I461" s="11"/>
    </row>
    <row r="462" spans="1:9" ht="28.5" customHeight="1" x14ac:dyDescent="0.15">
      <c r="A462" s="1"/>
      <c r="B462" s="11"/>
      <c r="C462" s="11"/>
      <c r="D462" s="11"/>
      <c r="E462" s="11"/>
      <c r="F462" s="11"/>
      <c r="G462" s="11"/>
      <c r="H462" s="11"/>
      <c r="I462" s="11"/>
    </row>
    <row r="463" spans="1:9" ht="28.5" customHeight="1" x14ac:dyDescent="0.15">
      <c r="A463" s="1"/>
      <c r="B463" s="11"/>
      <c r="C463" s="11"/>
      <c r="D463" s="11"/>
      <c r="E463" s="11"/>
      <c r="F463" s="11"/>
      <c r="G463" s="11"/>
      <c r="H463" s="11"/>
      <c r="I463" s="11"/>
    </row>
    <row r="464" spans="1:9" ht="28.5" customHeight="1" x14ac:dyDescent="0.15">
      <c r="A464" s="1"/>
      <c r="B464" s="11"/>
      <c r="C464" s="11"/>
      <c r="D464" s="11"/>
      <c r="E464" s="11"/>
      <c r="F464" s="11"/>
      <c r="G464" s="11"/>
      <c r="H464" s="11"/>
      <c r="I464" s="11"/>
    </row>
    <row r="465" spans="1:9" ht="28.5" customHeight="1" x14ac:dyDescent="0.15">
      <c r="A465" s="1"/>
      <c r="B465" s="11"/>
      <c r="C465" s="11"/>
      <c r="D465" s="11"/>
      <c r="E465" s="11"/>
      <c r="F465" s="11"/>
      <c r="G465" s="11"/>
      <c r="H465" s="11"/>
      <c r="I465" s="11"/>
    </row>
    <row r="466" spans="1:9" ht="28.5" customHeight="1" x14ac:dyDescent="0.15">
      <c r="A466" s="1"/>
      <c r="B466" s="11"/>
      <c r="C466" s="11"/>
      <c r="D466" s="11"/>
      <c r="E466" s="11"/>
      <c r="F466" s="11"/>
      <c r="G466" s="11"/>
      <c r="H466" s="11"/>
      <c r="I466" s="11"/>
    </row>
    <row r="467" spans="1:9" ht="28.5" customHeight="1" x14ac:dyDescent="0.15">
      <c r="A467" s="1"/>
      <c r="B467" s="11"/>
      <c r="C467" s="11"/>
      <c r="D467" s="11"/>
      <c r="E467" s="11"/>
      <c r="F467" s="11"/>
      <c r="G467" s="11"/>
      <c r="H467" s="11"/>
      <c r="I467" s="11"/>
    </row>
    <row r="468" spans="1:9" ht="28.5" customHeight="1" x14ac:dyDescent="0.15">
      <c r="A468" s="1"/>
      <c r="B468" s="11"/>
      <c r="C468" s="11"/>
      <c r="D468" s="11"/>
      <c r="E468" s="11"/>
      <c r="F468" s="11"/>
      <c r="G468" s="11"/>
      <c r="H468" s="11"/>
      <c r="I468" s="11"/>
    </row>
    <row r="469" spans="1:9" ht="28.5" customHeight="1" x14ac:dyDescent="0.15">
      <c r="A469" s="1"/>
      <c r="B469" s="11"/>
      <c r="C469" s="11"/>
      <c r="D469" s="11"/>
      <c r="E469" s="11"/>
      <c r="F469" s="11"/>
      <c r="G469" s="11"/>
      <c r="H469" s="11"/>
      <c r="I469" s="11"/>
    </row>
    <row r="470" spans="1:9" ht="28.5" customHeight="1" x14ac:dyDescent="0.15">
      <c r="A470" s="1"/>
      <c r="B470" s="11"/>
      <c r="C470" s="11"/>
      <c r="D470" s="11"/>
      <c r="E470" s="11"/>
      <c r="F470" s="11"/>
      <c r="G470" s="11"/>
      <c r="H470" s="11"/>
      <c r="I470" s="11"/>
    </row>
    <row r="471" spans="1:9" ht="28.5" customHeight="1" x14ac:dyDescent="0.15">
      <c r="A471" s="1"/>
      <c r="B471" s="11"/>
      <c r="C471" s="11"/>
      <c r="D471" s="11"/>
      <c r="E471" s="11"/>
      <c r="F471" s="11"/>
      <c r="G471" s="11"/>
      <c r="H471" s="11"/>
      <c r="I471" s="11"/>
    </row>
    <row r="472" spans="1:9" ht="28.5" customHeight="1" x14ac:dyDescent="0.15">
      <c r="A472" s="1"/>
      <c r="B472" s="11"/>
      <c r="C472" s="11"/>
      <c r="D472" s="11"/>
      <c r="E472" s="11"/>
      <c r="F472" s="11"/>
      <c r="G472" s="11"/>
      <c r="H472" s="11"/>
      <c r="I472" s="11"/>
    </row>
    <row r="473" spans="1:9" ht="28.5" customHeight="1" x14ac:dyDescent="0.15">
      <c r="A473" s="1"/>
      <c r="B473" s="11"/>
      <c r="C473" s="11"/>
      <c r="D473" s="11"/>
      <c r="E473" s="11"/>
      <c r="F473" s="11"/>
      <c r="G473" s="11"/>
      <c r="H473" s="11"/>
      <c r="I473" s="11"/>
    </row>
    <row r="474" spans="1:9" ht="28.5" customHeight="1" x14ac:dyDescent="0.15">
      <c r="A474" s="1"/>
      <c r="B474" s="11"/>
      <c r="C474" s="11"/>
      <c r="D474" s="11"/>
      <c r="E474" s="11"/>
      <c r="F474" s="11"/>
      <c r="G474" s="11"/>
      <c r="H474" s="11"/>
      <c r="I474" s="11"/>
    </row>
    <row r="475" spans="1:9" ht="28.5" customHeight="1" x14ac:dyDescent="0.15">
      <c r="A475" s="1"/>
      <c r="B475" s="11"/>
      <c r="C475" s="11"/>
      <c r="D475" s="11"/>
      <c r="E475" s="11"/>
      <c r="F475" s="11"/>
      <c r="G475" s="11"/>
      <c r="H475" s="11"/>
      <c r="I475" s="11"/>
    </row>
    <row r="476" spans="1:9" ht="28.5" customHeight="1" x14ac:dyDescent="0.15">
      <c r="A476" s="1"/>
      <c r="B476" s="11"/>
      <c r="C476" s="11"/>
      <c r="D476" s="11"/>
      <c r="E476" s="11"/>
      <c r="F476" s="11"/>
      <c r="G476" s="11"/>
      <c r="H476" s="11"/>
      <c r="I476" s="11"/>
    </row>
    <row r="477" spans="1:9" ht="28.5" customHeight="1" x14ac:dyDescent="0.15">
      <c r="A477" s="1"/>
      <c r="B477" s="11"/>
      <c r="C477" s="11"/>
      <c r="D477" s="11"/>
      <c r="E477" s="11"/>
      <c r="F477" s="11"/>
      <c r="G477" s="11"/>
      <c r="H477" s="11"/>
      <c r="I477" s="11"/>
    </row>
    <row r="478" spans="1:9" ht="28.5" customHeight="1" x14ac:dyDescent="0.15">
      <c r="A478" s="1"/>
      <c r="B478" s="11"/>
      <c r="C478" s="11"/>
      <c r="D478" s="11"/>
      <c r="E478" s="11"/>
      <c r="F478" s="11"/>
      <c r="G478" s="11"/>
      <c r="H478" s="11"/>
      <c r="I478" s="11"/>
    </row>
    <row r="479" spans="1:9" ht="28.5" customHeight="1" x14ac:dyDescent="0.15">
      <c r="A479" s="1"/>
      <c r="B479" s="11"/>
      <c r="C479" s="11"/>
      <c r="D479" s="11"/>
      <c r="E479" s="11"/>
      <c r="F479" s="11"/>
      <c r="G479" s="11"/>
      <c r="H479" s="11"/>
      <c r="I479" s="11"/>
    </row>
    <row r="480" spans="1:9" ht="28.5" customHeight="1" x14ac:dyDescent="0.15">
      <c r="A480" s="1"/>
      <c r="B480" s="11"/>
      <c r="C480" s="11"/>
      <c r="D480" s="11"/>
      <c r="E480" s="11"/>
      <c r="F480" s="11"/>
      <c r="G480" s="11"/>
      <c r="H480" s="11"/>
      <c r="I480" s="11"/>
    </row>
    <row r="481" spans="1:9" ht="28.5" customHeight="1" x14ac:dyDescent="0.15">
      <c r="A481" s="1"/>
      <c r="B481" s="11"/>
      <c r="C481" s="11"/>
      <c r="D481" s="11"/>
      <c r="E481" s="11"/>
      <c r="F481" s="11"/>
      <c r="G481" s="11"/>
      <c r="H481" s="11"/>
      <c r="I481" s="11"/>
    </row>
    <row r="482" spans="1:9" ht="28.5" customHeight="1" x14ac:dyDescent="0.15">
      <c r="A482" s="1"/>
      <c r="B482" s="11"/>
      <c r="C482" s="11"/>
      <c r="D482" s="11"/>
      <c r="E482" s="11"/>
      <c r="F482" s="11"/>
      <c r="G482" s="11"/>
      <c r="H482" s="11"/>
      <c r="I482" s="11"/>
    </row>
    <row r="483" spans="1:9" ht="28.5" customHeight="1" x14ac:dyDescent="0.15">
      <c r="A483" s="1"/>
      <c r="B483" s="11"/>
      <c r="C483" s="11"/>
      <c r="D483" s="11"/>
      <c r="E483" s="11"/>
      <c r="F483" s="11"/>
      <c r="G483" s="11"/>
      <c r="H483" s="11"/>
      <c r="I483" s="11"/>
    </row>
    <row r="484" spans="1:9" ht="28.5" customHeight="1" x14ac:dyDescent="0.15">
      <c r="A484" s="1"/>
      <c r="B484" s="11"/>
      <c r="C484" s="11"/>
      <c r="D484" s="11"/>
      <c r="E484" s="11"/>
      <c r="F484" s="11"/>
      <c r="G484" s="11"/>
      <c r="H484" s="11"/>
      <c r="I484" s="11"/>
    </row>
    <row r="485" spans="1:9" ht="28.5" customHeight="1" x14ac:dyDescent="0.15">
      <c r="A485" s="1"/>
      <c r="B485" s="11"/>
      <c r="C485" s="11"/>
      <c r="D485" s="11"/>
      <c r="E485" s="11"/>
      <c r="F485" s="11"/>
      <c r="G485" s="11"/>
      <c r="H485" s="11"/>
      <c r="I485" s="11"/>
    </row>
    <row r="486" spans="1:9" ht="28.5" customHeight="1" x14ac:dyDescent="0.15">
      <c r="A486" s="1"/>
      <c r="B486" s="11"/>
      <c r="C486" s="11"/>
      <c r="D486" s="11"/>
      <c r="E486" s="11"/>
      <c r="F486" s="11"/>
      <c r="G486" s="11"/>
      <c r="H486" s="11"/>
      <c r="I486" s="11"/>
    </row>
    <row r="487" spans="1:9" ht="28.5" customHeight="1" x14ac:dyDescent="0.15">
      <c r="A487" s="1"/>
      <c r="B487" s="11"/>
      <c r="C487" s="11"/>
      <c r="D487" s="11"/>
      <c r="E487" s="11"/>
      <c r="F487" s="11"/>
      <c r="G487" s="11"/>
      <c r="H487" s="11"/>
      <c r="I487" s="11"/>
    </row>
    <row r="488" spans="1:9" ht="28.5" customHeight="1" x14ac:dyDescent="0.15">
      <c r="A488" s="1"/>
      <c r="B488" s="11"/>
      <c r="C488" s="11"/>
      <c r="D488" s="11"/>
      <c r="E488" s="11"/>
      <c r="F488" s="11"/>
      <c r="G488" s="11"/>
      <c r="H488" s="11"/>
      <c r="I488" s="11"/>
    </row>
    <row r="489" spans="1:9" ht="28.5" customHeight="1" x14ac:dyDescent="0.15">
      <c r="A489" s="1"/>
      <c r="B489" s="11"/>
      <c r="C489" s="11"/>
      <c r="D489" s="11"/>
      <c r="E489" s="11"/>
      <c r="F489" s="11"/>
      <c r="G489" s="11"/>
      <c r="H489" s="11"/>
      <c r="I489" s="11"/>
    </row>
    <row r="490" spans="1:9" ht="28.5" customHeight="1" x14ac:dyDescent="0.15">
      <c r="A490" s="1"/>
      <c r="B490" s="11"/>
      <c r="C490" s="11"/>
      <c r="D490" s="11"/>
      <c r="E490" s="11"/>
      <c r="F490" s="11"/>
      <c r="G490" s="11"/>
      <c r="H490" s="11"/>
      <c r="I490" s="11"/>
    </row>
    <row r="491" spans="1:9" ht="28.5" customHeight="1" x14ac:dyDescent="0.15">
      <c r="A491" s="1"/>
      <c r="B491" s="11"/>
      <c r="C491" s="11"/>
      <c r="D491" s="11"/>
      <c r="E491" s="11"/>
      <c r="F491" s="11"/>
      <c r="G491" s="11"/>
      <c r="H491" s="11"/>
      <c r="I491" s="11"/>
    </row>
    <row r="492" spans="1:9" ht="28.5" customHeight="1" x14ac:dyDescent="0.15">
      <c r="A492" s="1"/>
      <c r="B492" s="11"/>
      <c r="C492" s="11"/>
      <c r="D492" s="11"/>
      <c r="E492" s="11"/>
      <c r="F492" s="11"/>
      <c r="G492" s="11"/>
      <c r="H492" s="11"/>
      <c r="I492" s="11"/>
    </row>
    <row r="493" spans="1:9" ht="28.5" customHeight="1" x14ac:dyDescent="0.15">
      <c r="A493" s="1"/>
      <c r="B493" s="11"/>
      <c r="C493" s="11"/>
      <c r="D493" s="11"/>
      <c r="E493" s="11"/>
      <c r="F493" s="11"/>
      <c r="G493" s="11"/>
      <c r="H493" s="11"/>
      <c r="I493" s="11"/>
    </row>
    <row r="494" spans="1:9" ht="28.5" customHeight="1" x14ac:dyDescent="0.15">
      <c r="A494" s="1"/>
      <c r="B494" s="11"/>
      <c r="C494" s="11"/>
      <c r="D494" s="11"/>
      <c r="E494" s="11"/>
      <c r="F494" s="11"/>
      <c r="G494" s="11"/>
      <c r="H494" s="11"/>
      <c r="I494" s="11"/>
    </row>
    <row r="495" spans="1:9" ht="28.5" customHeight="1" x14ac:dyDescent="0.15">
      <c r="A495" s="1"/>
      <c r="B495" s="11"/>
      <c r="C495" s="11"/>
      <c r="D495" s="11"/>
      <c r="E495" s="11"/>
      <c r="F495" s="11"/>
      <c r="G495" s="11"/>
      <c r="H495" s="11"/>
      <c r="I495" s="11"/>
    </row>
    <row r="496" spans="1:9" ht="28.5" customHeight="1" x14ac:dyDescent="0.15">
      <c r="A496" s="1"/>
      <c r="B496" s="11"/>
      <c r="C496" s="11"/>
      <c r="D496" s="11"/>
      <c r="E496" s="11"/>
      <c r="F496" s="11"/>
      <c r="G496" s="11"/>
      <c r="H496" s="11"/>
      <c r="I496" s="11"/>
    </row>
    <row r="497" spans="1:9" ht="28.5" customHeight="1" x14ac:dyDescent="0.15">
      <c r="A497" s="1"/>
      <c r="B497" s="11"/>
      <c r="C497" s="11"/>
      <c r="D497" s="11"/>
      <c r="E497" s="11"/>
      <c r="F497" s="11"/>
      <c r="G497" s="11"/>
      <c r="H497" s="11"/>
      <c r="I497" s="11"/>
    </row>
    <row r="498" spans="1:9" ht="28.5" customHeight="1" x14ac:dyDescent="0.15">
      <c r="A498" s="1"/>
      <c r="B498" s="11"/>
      <c r="C498" s="11"/>
      <c r="D498" s="11"/>
      <c r="E498" s="11"/>
      <c r="F498" s="11"/>
      <c r="G498" s="11"/>
      <c r="H498" s="11"/>
      <c r="I498" s="11"/>
    </row>
    <row r="499" spans="1:9" ht="28.5" customHeight="1" x14ac:dyDescent="0.15">
      <c r="A499" s="1"/>
      <c r="B499" s="11"/>
      <c r="C499" s="11"/>
      <c r="D499" s="11"/>
      <c r="E499" s="11"/>
      <c r="F499" s="11"/>
      <c r="G499" s="11"/>
      <c r="H499" s="11"/>
      <c r="I499" s="11"/>
    </row>
    <row r="500" spans="1:9" ht="28.5" customHeight="1" x14ac:dyDescent="0.15">
      <c r="A500" s="1"/>
      <c r="B500" s="11"/>
      <c r="C500" s="11"/>
      <c r="D500" s="11"/>
      <c r="E500" s="11"/>
      <c r="F500" s="11"/>
      <c r="G500" s="11"/>
      <c r="H500" s="11"/>
      <c r="I500" s="11"/>
    </row>
    <row r="501" spans="1:9" ht="28.5" customHeight="1" x14ac:dyDescent="0.15">
      <c r="A501" s="1"/>
      <c r="B501" s="11"/>
      <c r="C501" s="11"/>
      <c r="D501" s="11"/>
      <c r="E501" s="11"/>
      <c r="F501" s="11"/>
      <c r="G501" s="11"/>
      <c r="H501" s="11"/>
      <c r="I501" s="11"/>
    </row>
    <row r="502" spans="1:9" ht="28.5" customHeight="1" x14ac:dyDescent="0.15">
      <c r="A502" s="1"/>
      <c r="B502" s="11"/>
      <c r="C502" s="11"/>
      <c r="D502" s="11"/>
      <c r="E502" s="11"/>
      <c r="F502" s="11"/>
      <c r="G502" s="11"/>
      <c r="H502" s="11"/>
      <c r="I502" s="11"/>
    </row>
    <row r="503" spans="1:9" ht="28.5" customHeight="1" x14ac:dyDescent="0.15">
      <c r="A503" s="1"/>
      <c r="B503" s="11"/>
      <c r="C503" s="11"/>
      <c r="D503" s="11"/>
      <c r="E503" s="11"/>
      <c r="F503" s="11"/>
      <c r="G503" s="11"/>
      <c r="H503" s="11"/>
      <c r="I503" s="11"/>
    </row>
    <row r="504" spans="1:9" ht="28.5" customHeight="1" x14ac:dyDescent="0.15">
      <c r="A504" s="1"/>
      <c r="B504" s="11"/>
      <c r="C504" s="11"/>
      <c r="D504" s="11"/>
      <c r="E504" s="11"/>
      <c r="F504" s="11"/>
      <c r="G504" s="11"/>
      <c r="H504" s="11"/>
      <c r="I504" s="11"/>
    </row>
    <row r="505" spans="1:9" ht="28.5" customHeight="1" x14ac:dyDescent="0.15">
      <c r="A505" s="1"/>
      <c r="B505" s="11"/>
      <c r="C505" s="11"/>
      <c r="D505" s="11"/>
      <c r="E505" s="11"/>
      <c r="F505" s="11"/>
      <c r="G505" s="11"/>
      <c r="H505" s="11"/>
      <c r="I505" s="11"/>
    </row>
    <row r="506" spans="1:9" ht="28.5" customHeight="1" x14ac:dyDescent="0.15">
      <c r="A506" s="1"/>
      <c r="B506" s="11"/>
      <c r="C506" s="11"/>
      <c r="D506" s="11"/>
      <c r="E506" s="11"/>
      <c r="F506" s="11"/>
      <c r="G506" s="11"/>
      <c r="H506" s="11"/>
      <c r="I506" s="11"/>
    </row>
    <row r="507" spans="1:9" ht="28.5" customHeight="1" x14ac:dyDescent="0.15">
      <c r="A507" s="1"/>
      <c r="B507" s="11"/>
      <c r="C507" s="11"/>
      <c r="D507" s="11"/>
      <c r="E507" s="11"/>
      <c r="F507" s="11"/>
      <c r="G507" s="11"/>
      <c r="H507" s="11"/>
      <c r="I507" s="11"/>
    </row>
    <row r="508" spans="1:9" ht="28.5" customHeight="1" x14ac:dyDescent="0.15">
      <c r="A508" s="1"/>
      <c r="B508" s="11"/>
      <c r="C508" s="11"/>
      <c r="D508" s="11"/>
      <c r="E508" s="11"/>
      <c r="F508" s="11"/>
      <c r="G508" s="11"/>
      <c r="H508" s="11"/>
      <c r="I508" s="11"/>
    </row>
    <row r="509" spans="1:9" ht="28.5" customHeight="1" x14ac:dyDescent="0.15">
      <c r="A509" s="1"/>
      <c r="B509" s="11"/>
      <c r="C509" s="11"/>
      <c r="D509" s="11"/>
      <c r="E509" s="11"/>
      <c r="F509" s="11"/>
      <c r="G509" s="11"/>
      <c r="H509" s="11"/>
      <c r="I509" s="11"/>
    </row>
    <row r="510" spans="1:9" ht="28.5" customHeight="1" x14ac:dyDescent="0.15">
      <c r="A510" s="1"/>
      <c r="B510" s="11"/>
      <c r="C510" s="11"/>
      <c r="D510" s="11"/>
      <c r="E510" s="11"/>
      <c r="F510" s="11"/>
      <c r="G510" s="11"/>
      <c r="H510" s="11"/>
      <c r="I510" s="11"/>
    </row>
    <row r="511" spans="1:9" ht="28.5" customHeight="1" x14ac:dyDescent="0.15">
      <c r="A511" s="1"/>
      <c r="B511" s="11"/>
      <c r="C511" s="11"/>
      <c r="D511" s="11"/>
      <c r="E511" s="11"/>
      <c r="F511" s="11"/>
      <c r="G511" s="11"/>
      <c r="H511" s="11"/>
      <c r="I511" s="11"/>
    </row>
    <row r="512" spans="1:9" ht="28.5" customHeight="1" x14ac:dyDescent="0.15">
      <c r="A512" s="1"/>
      <c r="B512" s="11"/>
      <c r="C512" s="11"/>
      <c r="D512" s="11"/>
      <c r="E512" s="11"/>
      <c r="F512" s="11"/>
      <c r="G512" s="11"/>
      <c r="H512" s="11"/>
      <c r="I512" s="11"/>
    </row>
    <row r="513" spans="1:9" ht="28.5" customHeight="1" x14ac:dyDescent="0.15">
      <c r="A513" s="1"/>
      <c r="B513" s="11"/>
      <c r="C513" s="11"/>
      <c r="D513" s="11"/>
      <c r="E513" s="11"/>
      <c r="F513" s="11"/>
      <c r="G513" s="11"/>
      <c r="H513" s="11"/>
      <c r="I513" s="11"/>
    </row>
    <row r="514" spans="1:9" ht="28.5" customHeight="1" x14ac:dyDescent="0.15">
      <c r="A514" s="1"/>
      <c r="B514" s="11"/>
      <c r="C514" s="11"/>
      <c r="D514" s="11"/>
      <c r="E514" s="11"/>
      <c r="F514" s="11"/>
      <c r="G514" s="11"/>
      <c r="H514" s="11"/>
      <c r="I514" s="11"/>
    </row>
    <row r="515" spans="1:9" ht="28.5" customHeight="1" x14ac:dyDescent="0.15">
      <c r="A515" s="1"/>
      <c r="B515" s="11"/>
      <c r="C515" s="11"/>
      <c r="D515" s="11"/>
      <c r="E515" s="11"/>
      <c r="F515" s="11"/>
      <c r="G515" s="11"/>
      <c r="H515" s="11"/>
      <c r="I515" s="11"/>
    </row>
    <row r="516" spans="1:9" ht="28.5" customHeight="1" x14ac:dyDescent="0.15">
      <c r="A516" s="1"/>
      <c r="B516" s="11"/>
      <c r="C516" s="11"/>
      <c r="D516" s="11"/>
      <c r="E516" s="11"/>
      <c r="F516" s="11"/>
      <c r="G516" s="11"/>
      <c r="H516" s="11"/>
      <c r="I516" s="11"/>
    </row>
    <row r="517" spans="1:9" ht="28.5" customHeight="1" x14ac:dyDescent="0.15">
      <c r="A517" s="1"/>
      <c r="B517" s="11"/>
      <c r="C517" s="11"/>
      <c r="D517" s="11"/>
      <c r="E517" s="11"/>
      <c r="F517" s="11"/>
      <c r="G517" s="11"/>
      <c r="H517" s="11"/>
      <c r="I517" s="11"/>
    </row>
    <row r="518" spans="1:9" ht="28.5" customHeight="1" x14ac:dyDescent="0.15">
      <c r="A518" s="1"/>
      <c r="B518" s="11"/>
      <c r="C518" s="11"/>
      <c r="D518" s="11"/>
      <c r="E518" s="11"/>
      <c r="F518" s="11"/>
      <c r="G518" s="11"/>
      <c r="H518" s="11"/>
      <c r="I518" s="11"/>
    </row>
    <row r="519" spans="1:9" ht="28.5" customHeight="1" x14ac:dyDescent="0.15">
      <c r="A519" s="1"/>
      <c r="B519" s="11"/>
      <c r="C519" s="11"/>
      <c r="D519" s="11"/>
      <c r="E519" s="11"/>
      <c r="F519" s="11"/>
      <c r="G519" s="11"/>
      <c r="H519" s="11"/>
      <c r="I519" s="11"/>
    </row>
    <row r="520" spans="1:9" ht="28.5" customHeight="1" x14ac:dyDescent="0.15">
      <c r="A520" s="1"/>
      <c r="B520" s="11"/>
      <c r="C520" s="11"/>
      <c r="D520" s="11"/>
      <c r="E520" s="11"/>
      <c r="F520" s="11"/>
      <c r="G520" s="11"/>
      <c r="H520" s="11"/>
      <c r="I520" s="11"/>
    </row>
    <row r="521" spans="1:9" ht="28.5" customHeight="1" x14ac:dyDescent="0.15">
      <c r="A521" s="1"/>
      <c r="B521" s="11"/>
      <c r="C521" s="11"/>
      <c r="D521" s="11"/>
      <c r="E521" s="11"/>
      <c r="F521" s="11"/>
      <c r="G521" s="11"/>
      <c r="H521" s="11"/>
      <c r="I521" s="11"/>
    </row>
    <row r="522" spans="1:9" ht="28.5" customHeight="1" x14ac:dyDescent="0.15">
      <c r="A522" s="1"/>
      <c r="B522" s="11"/>
      <c r="C522" s="11"/>
      <c r="D522" s="11"/>
      <c r="E522" s="11"/>
      <c r="F522" s="11"/>
      <c r="G522" s="11"/>
      <c r="H522" s="11"/>
      <c r="I522" s="11"/>
    </row>
    <row r="523" spans="1:9" ht="28.5" customHeight="1" x14ac:dyDescent="0.15">
      <c r="A523" s="1"/>
      <c r="B523" s="11"/>
      <c r="C523" s="11"/>
      <c r="D523" s="11"/>
      <c r="E523" s="11"/>
      <c r="F523" s="11"/>
      <c r="G523" s="11"/>
      <c r="H523" s="11"/>
      <c r="I523" s="11"/>
    </row>
    <row r="524" spans="1:9" ht="28.5" customHeight="1" x14ac:dyDescent="0.15">
      <c r="A524" s="1"/>
      <c r="B524" s="11"/>
      <c r="C524" s="11"/>
      <c r="D524" s="11"/>
      <c r="E524" s="11"/>
      <c r="F524" s="11"/>
      <c r="G524" s="11"/>
      <c r="H524" s="11"/>
      <c r="I524" s="11"/>
    </row>
    <row r="525" spans="1:9" ht="28.5" customHeight="1" x14ac:dyDescent="0.15">
      <c r="A525" s="1"/>
      <c r="B525" s="11"/>
      <c r="C525" s="11"/>
      <c r="D525" s="11"/>
      <c r="E525" s="11"/>
      <c r="F525" s="11"/>
      <c r="G525" s="11"/>
      <c r="H525" s="11"/>
      <c r="I525" s="11"/>
    </row>
    <row r="526" spans="1:9" ht="28.5" customHeight="1" x14ac:dyDescent="0.15">
      <c r="A526" s="1"/>
      <c r="B526" s="11"/>
      <c r="C526" s="11"/>
      <c r="D526" s="11"/>
      <c r="E526" s="11"/>
      <c r="F526" s="11"/>
      <c r="G526" s="11"/>
      <c r="H526" s="11"/>
      <c r="I526" s="11"/>
    </row>
    <row r="527" spans="1:9" ht="28.5" customHeight="1" x14ac:dyDescent="0.15">
      <c r="A527" s="1"/>
      <c r="B527" s="11"/>
      <c r="C527" s="11"/>
      <c r="D527" s="11"/>
      <c r="E527" s="11"/>
      <c r="F527" s="11"/>
      <c r="G527" s="11"/>
      <c r="H527" s="11"/>
      <c r="I527" s="11"/>
    </row>
    <row r="528" spans="1:9" ht="28.5" customHeight="1" x14ac:dyDescent="0.15">
      <c r="A528" s="1"/>
      <c r="B528" s="11"/>
      <c r="C528" s="11"/>
      <c r="D528" s="11"/>
      <c r="E528" s="11"/>
      <c r="F528" s="11"/>
      <c r="G528" s="11"/>
      <c r="H528" s="11"/>
      <c r="I528" s="11"/>
    </row>
    <row r="529" spans="1:9" ht="28.5" customHeight="1" x14ac:dyDescent="0.15">
      <c r="A529" s="1"/>
      <c r="B529" s="11"/>
      <c r="C529" s="11"/>
      <c r="D529" s="11"/>
      <c r="E529" s="11"/>
      <c r="F529" s="11"/>
      <c r="G529" s="11"/>
      <c r="H529" s="11"/>
      <c r="I529" s="11"/>
    </row>
    <row r="530" spans="1:9" ht="28.5" customHeight="1" x14ac:dyDescent="0.15">
      <c r="A530" s="1"/>
      <c r="B530" s="11"/>
      <c r="C530" s="11"/>
      <c r="D530" s="11"/>
      <c r="E530" s="11"/>
      <c r="F530" s="11"/>
      <c r="G530" s="11"/>
      <c r="H530" s="11"/>
      <c r="I530" s="11"/>
    </row>
    <row r="531" spans="1:9" ht="28.5" customHeight="1" x14ac:dyDescent="0.15">
      <c r="A531" s="1"/>
      <c r="B531" s="11"/>
      <c r="C531" s="11"/>
      <c r="D531" s="11"/>
      <c r="E531" s="11"/>
      <c r="F531" s="11"/>
      <c r="G531" s="11"/>
      <c r="H531" s="11"/>
      <c r="I531" s="11"/>
    </row>
    <row r="532" spans="1:9" ht="28.5" customHeight="1" x14ac:dyDescent="0.15">
      <c r="A532" s="1"/>
      <c r="B532" s="11"/>
      <c r="C532" s="11"/>
      <c r="D532" s="11"/>
      <c r="E532" s="11"/>
      <c r="F532" s="11"/>
      <c r="G532" s="11"/>
      <c r="H532" s="11"/>
      <c r="I532" s="11"/>
    </row>
    <row r="533" spans="1:9" ht="28.5" customHeight="1" x14ac:dyDescent="0.15">
      <c r="A533" s="1"/>
      <c r="B533" s="11"/>
      <c r="C533" s="11"/>
      <c r="D533" s="11"/>
      <c r="E533" s="11"/>
      <c r="F533" s="11"/>
      <c r="G533" s="11"/>
      <c r="H533" s="11"/>
      <c r="I533" s="11"/>
    </row>
    <row r="534" spans="1:9" ht="28.5" customHeight="1" x14ac:dyDescent="0.15">
      <c r="A534" s="1"/>
      <c r="B534" s="11"/>
      <c r="C534" s="11"/>
      <c r="D534" s="11"/>
      <c r="E534" s="11"/>
      <c r="F534" s="11"/>
      <c r="G534" s="11"/>
      <c r="H534" s="11"/>
      <c r="I534" s="11"/>
    </row>
    <row r="535" spans="1:9" ht="28.5" customHeight="1" x14ac:dyDescent="0.15">
      <c r="A535" s="1"/>
      <c r="B535" s="11"/>
      <c r="C535" s="11"/>
      <c r="D535" s="11"/>
      <c r="E535" s="11"/>
      <c r="F535" s="11"/>
      <c r="G535" s="11"/>
      <c r="H535" s="11"/>
      <c r="I535" s="11"/>
    </row>
    <row r="536" spans="1:9" ht="28.5" customHeight="1" x14ac:dyDescent="0.15">
      <c r="A536" s="1"/>
      <c r="B536" s="11"/>
      <c r="C536" s="11"/>
      <c r="D536" s="11"/>
      <c r="E536" s="11"/>
      <c r="F536" s="11"/>
      <c r="G536" s="11"/>
      <c r="H536" s="11"/>
      <c r="I536" s="11"/>
    </row>
    <row r="537" spans="1:9" ht="28.5" customHeight="1" x14ac:dyDescent="0.15">
      <c r="A537" s="1"/>
      <c r="B537" s="11"/>
      <c r="C537" s="11"/>
      <c r="D537" s="11"/>
      <c r="E537" s="11"/>
      <c r="F537" s="11"/>
      <c r="G537" s="11"/>
      <c r="H537" s="11"/>
      <c r="I537" s="11"/>
    </row>
    <row r="538" spans="1:9" ht="28.5" customHeight="1" x14ac:dyDescent="0.15">
      <c r="A538" s="1"/>
      <c r="B538" s="11"/>
      <c r="C538" s="11"/>
      <c r="D538" s="11"/>
      <c r="E538" s="11"/>
      <c r="F538" s="11"/>
      <c r="G538" s="11"/>
      <c r="H538" s="11"/>
      <c r="I538" s="11"/>
    </row>
    <row r="539" spans="1:9" ht="28.5" customHeight="1" x14ac:dyDescent="0.15">
      <c r="A539" s="1"/>
      <c r="B539" s="11"/>
      <c r="C539" s="11"/>
      <c r="D539" s="11"/>
      <c r="E539" s="11"/>
      <c r="F539" s="11"/>
      <c r="G539" s="11"/>
      <c r="H539" s="11"/>
      <c r="I539" s="11"/>
    </row>
    <row r="540" spans="1:9" ht="28.5" customHeight="1" x14ac:dyDescent="0.15">
      <c r="A540" s="1"/>
      <c r="B540" s="11"/>
      <c r="C540" s="11"/>
      <c r="D540" s="11"/>
      <c r="E540" s="11"/>
      <c r="F540" s="11"/>
      <c r="G540" s="11"/>
      <c r="H540" s="11"/>
      <c r="I540" s="11"/>
    </row>
    <row r="541" spans="1:9" ht="28.5" customHeight="1" x14ac:dyDescent="0.15">
      <c r="A541" s="1"/>
      <c r="B541" s="11"/>
      <c r="C541" s="11"/>
      <c r="D541" s="11"/>
      <c r="E541" s="11"/>
      <c r="F541" s="11"/>
      <c r="G541" s="11"/>
      <c r="H541" s="11"/>
      <c r="I541" s="11"/>
    </row>
    <row r="542" spans="1:9" ht="28.5" customHeight="1" x14ac:dyDescent="0.15">
      <c r="A542" s="1"/>
      <c r="B542" s="11"/>
      <c r="C542" s="11"/>
      <c r="D542" s="11"/>
      <c r="E542" s="11"/>
      <c r="F542" s="11"/>
      <c r="G542" s="11"/>
      <c r="H542" s="11"/>
      <c r="I542" s="11"/>
    </row>
    <row r="543" spans="1:9" ht="28.5" customHeight="1" x14ac:dyDescent="0.15">
      <c r="A543" s="1"/>
      <c r="B543" s="11"/>
      <c r="C543" s="11"/>
      <c r="D543" s="11"/>
      <c r="E543" s="11"/>
      <c r="F543" s="11"/>
      <c r="G543" s="11"/>
      <c r="H543" s="11"/>
      <c r="I543" s="11"/>
    </row>
    <row r="544" spans="1:9" ht="28.5" customHeight="1" x14ac:dyDescent="0.15">
      <c r="A544" s="1"/>
      <c r="B544" s="11"/>
      <c r="C544" s="11"/>
      <c r="D544" s="11"/>
      <c r="E544" s="11"/>
      <c r="F544" s="11"/>
      <c r="G544" s="11"/>
      <c r="H544" s="11"/>
      <c r="I544" s="11"/>
    </row>
    <row r="545" spans="1:9" ht="28.5" customHeight="1" x14ac:dyDescent="0.15">
      <c r="A545" s="1"/>
      <c r="B545" s="11"/>
      <c r="C545" s="11"/>
      <c r="D545" s="11"/>
      <c r="E545" s="11"/>
      <c r="F545" s="11"/>
      <c r="G545" s="11"/>
      <c r="H545" s="11"/>
      <c r="I545" s="11"/>
    </row>
    <row r="546" spans="1:9" ht="28.5" customHeight="1" x14ac:dyDescent="0.15">
      <c r="A546" s="1"/>
      <c r="B546" s="11"/>
      <c r="C546" s="11"/>
      <c r="D546" s="11"/>
      <c r="E546" s="11"/>
      <c r="F546" s="11"/>
      <c r="G546" s="11"/>
      <c r="H546" s="11"/>
      <c r="I546" s="11"/>
    </row>
    <row r="547" spans="1:9" ht="28.5" customHeight="1" x14ac:dyDescent="0.15">
      <c r="A547" s="1"/>
      <c r="B547" s="11"/>
      <c r="C547" s="11"/>
      <c r="D547" s="11"/>
      <c r="E547" s="11"/>
      <c r="F547" s="11"/>
      <c r="G547" s="11"/>
      <c r="H547" s="11"/>
      <c r="I547" s="11"/>
    </row>
    <row r="548" spans="1:9" ht="28.5" customHeight="1" x14ac:dyDescent="0.15">
      <c r="A548" s="1"/>
      <c r="B548" s="11"/>
      <c r="C548" s="11"/>
      <c r="D548" s="11"/>
      <c r="E548" s="11"/>
      <c r="F548" s="11"/>
      <c r="G548" s="11"/>
      <c r="H548" s="11"/>
      <c r="I548" s="11"/>
    </row>
    <row r="549" spans="1:9" ht="28.5" customHeight="1" x14ac:dyDescent="0.15">
      <c r="A549" s="1"/>
      <c r="B549" s="11"/>
      <c r="C549" s="11"/>
      <c r="D549" s="11"/>
      <c r="E549" s="11"/>
      <c r="F549" s="11"/>
      <c r="G549" s="11"/>
      <c r="H549" s="11"/>
      <c r="I549" s="11"/>
    </row>
    <row r="550" spans="1:9" ht="28.5" customHeight="1" x14ac:dyDescent="0.15">
      <c r="A550" s="1"/>
      <c r="B550" s="11"/>
      <c r="C550" s="11"/>
      <c r="D550" s="11"/>
      <c r="E550" s="11"/>
      <c r="F550" s="11"/>
      <c r="G550" s="11"/>
      <c r="H550" s="11"/>
      <c r="I550" s="11"/>
    </row>
    <row r="551" spans="1:9" ht="28.5" customHeight="1" x14ac:dyDescent="0.15">
      <c r="A551" s="1"/>
      <c r="B551" s="11"/>
      <c r="C551" s="11"/>
      <c r="D551" s="11"/>
      <c r="E551" s="11"/>
      <c r="F551" s="11"/>
      <c r="G551" s="11"/>
      <c r="H551" s="11"/>
      <c r="I551" s="11"/>
    </row>
    <row r="552" spans="1:9" ht="28.5" customHeight="1" x14ac:dyDescent="0.15">
      <c r="A552" s="1"/>
      <c r="B552" s="11"/>
      <c r="C552" s="11"/>
      <c r="D552" s="11"/>
      <c r="E552" s="11"/>
      <c r="F552" s="11"/>
      <c r="G552" s="11"/>
      <c r="H552" s="11"/>
      <c r="I552" s="11"/>
    </row>
    <row r="553" spans="1:9" ht="28.5" customHeight="1" x14ac:dyDescent="0.15">
      <c r="A553" s="1"/>
      <c r="B553" s="11"/>
      <c r="C553" s="11"/>
      <c r="D553" s="11"/>
      <c r="E553" s="11"/>
      <c r="F553" s="11"/>
      <c r="G553" s="11"/>
      <c r="H553" s="11"/>
      <c r="I553" s="11"/>
    </row>
    <row r="554" spans="1:9" ht="28.5" customHeight="1" x14ac:dyDescent="0.15">
      <c r="A554" s="1"/>
      <c r="B554" s="11"/>
      <c r="C554" s="11"/>
      <c r="D554" s="11"/>
      <c r="E554" s="11"/>
      <c r="F554" s="11"/>
      <c r="G554" s="11"/>
      <c r="H554" s="11"/>
      <c r="I554" s="11"/>
    </row>
    <row r="555" spans="1:9" ht="28.5" customHeight="1" x14ac:dyDescent="0.15">
      <c r="A555" s="1"/>
      <c r="B555" s="11"/>
      <c r="C555" s="11"/>
      <c r="D555" s="11"/>
      <c r="E555" s="11"/>
      <c r="F555" s="11"/>
      <c r="G555" s="11"/>
      <c r="H555" s="11"/>
      <c r="I555" s="11"/>
    </row>
    <row r="556" spans="1:9" ht="28.5" customHeight="1" x14ac:dyDescent="0.15">
      <c r="A556" s="1"/>
      <c r="B556" s="11"/>
      <c r="C556" s="11"/>
      <c r="D556" s="11"/>
      <c r="E556" s="11"/>
      <c r="F556" s="11"/>
      <c r="G556" s="11"/>
      <c r="H556" s="11"/>
      <c r="I556" s="11"/>
    </row>
    <row r="557" spans="1:9" ht="28.5" customHeight="1" x14ac:dyDescent="0.15">
      <c r="A557" s="1"/>
      <c r="B557" s="11"/>
      <c r="C557" s="11"/>
      <c r="D557" s="11"/>
      <c r="E557" s="11"/>
      <c r="F557" s="11"/>
      <c r="G557" s="11"/>
      <c r="H557" s="11"/>
      <c r="I557" s="11"/>
    </row>
    <row r="558" spans="1:9" ht="28.5" customHeight="1" x14ac:dyDescent="0.15">
      <c r="A558" s="1"/>
      <c r="B558" s="11"/>
      <c r="C558" s="11"/>
      <c r="D558" s="11"/>
      <c r="E558" s="11"/>
      <c r="F558" s="11"/>
      <c r="G558" s="11"/>
      <c r="H558" s="11"/>
      <c r="I558" s="11"/>
    </row>
    <row r="559" spans="1:9" ht="28.5" customHeight="1" x14ac:dyDescent="0.15">
      <c r="A559" s="1"/>
      <c r="B559" s="11"/>
      <c r="C559" s="11"/>
      <c r="D559" s="11"/>
      <c r="E559" s="11"/>
      <c r="F559" s="11"/>
      <c r="G559" s="11"/>
      <c r="H559" s="11"/>
      <c r="I559" s="11"/>
    </row>
    <row r="560" spans="1:9" ht="28.5" customHeight="1" x14ac:dyDescent="0.15">
      <c r="A560" s="1"/>
      <c r="B560" s="11"/>
      <c r="C560" s="11"/>
      <c r="D560" s="11"/>
      <c r="E560" s="11"/>
      <c r="F560" s="11"/>
      <c r="G560" s="11"/>
      <c r="H560" s="11"/>
      <c r="I560" s="11"/>
    </row>
    <row r="561" spans="1:9" ht="28.5" customHeight="1" x14ac:dyDescent="0.15">
      <c r="A561" s="1"/>
      <c r="B561" s="11"/>
      <c r="C561" s="11"/>
      <c r="D561" s="11"/>
      <c r="E561" s="11"/>
      <c r="F561" s="11"/>
      <c r="G561" s="11"/>
      <c r="H561" s="11"/>
      <c r="I561" s="11"/>
    </row>
    <row r="562" spans="1:9" ht="28.5" customHeight="1" x14ac:dyDescent="0.15">
      <c r="A562" s="1"/>
      <c r="B562" s="11"/>
      <c r="C562" s="11"/>
      <c r="D562" s="11"/>
      <c r="E562" s="11"/>
      <c r="F562" s="11"/>
      <c r="G562" s="11"/>
      <c r="H562" s="11"/>
      <c r="I562" s="11"/>
    </row>
    <row r="563" spans="1:9" ht="28.5" customHeight="1" x14ac:dyDescent="0.15">
      <c r="A563" s="1"/>
      <c r="B563" s="11"/>
      <c r="C563" s="11"/>
      <c r="D563" s="11"/>
      <c r="E563" s="11"/>
      <c r="F563" s="11"/>
      <c r="G563" s="11"/>
      <c r="H563" s="11"/>
      <c r="I563" s="11"/>
    </row>
    <row r="564" spans="1:9" ht="28.5" customHeight="1" x14ac:dyDescent="0.15">
      <c r="A564" s="1"/>
      <c r="B564" s="11"/>
      <c r="C564" s="11"/>
      <c r="D564" s="11"/>
      <c r="E564" s="11"/>
      <c r="F564" s="11"/>
      <c r="G564" s="11"/>
      <c r="H564" s="11"/>
      <c r="I564" s="11"/>
    </row>
    <row r="565" spans="1:9" ht="28.5" customHeight="1" x14ac:dyDescent="0.15">
      <c r="A565" s="1"/>
      <c r="B565" s="11"/>
      <c r="C565" s="11"/>
      <c r="D565" s="11"/>
      <c r="E565" s="11"/>
      <c r="F565" s="11"/>
      <c r="G565" s="11"/>
      <c r="H565" s="11"/>
      <c r="I565" s="11"/>
    </row>
    <row r="566" spans="1:9" ht="28.5" customHeight="1" x14ac:dyDescent="0.15">
      <c r="A566" s="1"/>
      <c r="B566" s="11"/>
      <c r="C566" s="11"/>
      <c r="D566" s="11"/>
      <c r="E566" s="11"/>
      <c r="F566" s="11"/>
      <c r="G566" s="11"/>
      <c r="H566" s="11"/>
      <c r="I566" s="11"/>
    </row>
    <row r="567" spans="1:9" ht="28.5" customHeight="1" x14ac:dyDescent="0.15">
      <c r="A567" s="1"/>
      <c r="B567" s="11"/>
      <c r="C567" s="11"/>
      <c r="D567" s="11"/>
      <c r="E567" s="11"/>
      <c r="F567" s="11"/>
      <c r="G567" s="11"/>
      <c r="H567" s="11"/>
      <c r="I567" s="11"/>
    </row>
    <row r="568" spans="1:9" ht="28.5" customHeight="1" x14ac:dyDescent="0.15">
      <c r="A568" s="1"/>
      <c r="B568" s="11"/>
      <c r="C568" s="11"/>
      <c r="D568" s="11"/>
      <c r="E568" s="11"/>
      <c r="F568" s="11"/>
      <c r="G568" s="11"/>
      <c r="H568" s="11"/>
      <c r="I568" s="11"/>
    </row>
    <row r="569" spans="1:9" ht="28.5" customHeight="1" x14ac:dyDescent="0.15">
      <c r="A569" s="1"/>
      <c r="B569" s="11"/>
      <c r="C569" s="11"/>
      <c r="D569" s="11"/>
      <c r="E569" s="11"/>
      <c r="F569" s="11"/>
      <c r="G569" s="11"/>
      <c r="H569" s="11"/>
      <c r="I569" s="11"/>
    </row>
    <row r="570" spans="1:9" ht="28.5" customHeight="1" x14ac:dyDescent="0.15">
      <c r="A570" s="1"/>
      <c r="B570" s="11"/>
      <c r="C570" s="11"/>
      <c r="D570" s="11"/>
      <c r="E570" s="11"/>
      <c r="F570" s="11"/>
      <c r="G570" s="11"/>
      <c r="H570" s="11"/>
      <c r="I570" s="11"/>
    </row>
    <row r="571" spans="1:9" ht="28.5" customHeight="1" x14ac:dyDescent="0.15">
      <c r="A571" s="1"/>
      <c r="B571" s="11"/>
      <c r="C571" s="11"/>
      <c r="D571" s="11"/>
      <c r="E571" s="11"/>
      <c r="F571" s="11"/>
      <c r="G571" s="11"/>
      <c r="H571" s="11"/>
      <c r="I571" s="11"/>
    </row>
    <row r="572" spans="1:9" ht="28.5" customHeight="1" x14ac:dyDescent="0.15">
      <c r="A572" s="1"/>
      <c r="B572" s="11"/>
      <c r="C572" s="11"/>
      <c r="D572" s="11"/>
      <c r="E572" s="11"/>
      <c r="F572" s="11"/>
      <c r="G572" s="11"/>
      <c r="H572" s="11"/>
      <c r="I572" s="11"/>
    </row>
    <row r="573" spans="1:9" ht="28.5" customHeight="1" x14ac:dyDescent="0.15">
      <c r="A573" s="1"/>
      <c r="B573" s="11"/>
      <c r="C573" s="11"/>
      <c r="D573" s="11"/>
      <c r="E573" s="11"/>
      <c r="F573" s="11"/>
      <c r="G573" s="11"/>
      <c r="H573" s="11"/>
      <c r="I573" s="11"/>
    </row>
    <row r="574" spans="1:9" ht="28.5" customHeight="1" x14ac:dyDescent="0.15">
      <c r="A574" s="1"/>
      <c r="B574" s="11"/>
      <c r="C574" s="11"/>
      <c r="D574" s="11"/>
      <c r="E574" s="11"/>
      <c r="F574" s="11"/>
      <c r="G574" s="11"/>
      <c r="H574" s="11"/>
      <c r="I574" s="11"/>
    </row>
    <row r="575" spans="1:9" ht="28.5" customHeight="1" x14ac:dyDescent="0.15">
      <c r="A575" s="1"/>
      <c r="B575" s="11"/>
      <c r="C575" s="11"/>
      <c r="D575" s="11"/>
      <c r="E575" s="11"/>
      <c r="F575" s="11"/>
      <c r="G575" s="11"/>
      <c r="H575" s="11"/>
      <c r="I575" s="11"/>
    </row>
    <row r="576" spans="1:9" ht="28.5" customHeight="1" x14ac:dyDescent="0.15">
      <c r="A576" s="1"/>
      <c r="B576" s="11"/>
      <c r="C576" s="11"/>
      <c r="D576" s="11"/>
      <c r="E576" s="11"/>
      <c r="F576" s="11"/>
      <c r="G576" s="11"/>
      <c r="H576" s="11"/>
      <c r="I576" s="11"/>
    </row>
    <row r="577" spans="1:9" ht="28.5" customHeight="1" x14ac:dyDescent="0.15">
      <c r="A577" s="1"/>
      <c r="B577" s="11"/>
      <c r="C577" s="11"/>
      <c r="D577" s="11"/>
      <c r="E577" s="11"/>
      <c r="F577" s="11"/>
      <c r="G577" s="11"/>
      <c r="H577" s="11"/>
      <c r="I577" s="11"/>
    </row>
    <row r="578" spans="1:9" ht="28.5" customHeight="1" x14ac:dyDescent="0.15">
      <c r="A578" s="1"/>
      <c r="B578" s="11"/>
      <c r="C578" s="11"/>
      <c r="D578" s="11"/>
      <c r="E578" s="11"/>
      <c r="F578" s="11"/>
      <c r="G578" s="11"/>
      <c r="H578" s="11"/>
      <c r="I578" s="11"/>
    </row>
    <row r="579" spans="1:9" ht="28.5" customHeight="1" x14ac:dyDescent="0.15">
      <c r="A579" s="1"/>
      <c r="B579" s="11"/>
      <c r="C579" s="11"/>
      <c r="D579" s="11"/>
      <c r="E579" s="11"/>
      <c r="F579" s="11"/>
      <c r="G579" s="11"/>
      <c r="H579" s="11"/>
      <c r="I579" s="11"/>
    </row>
    <row r="580" spans="1:9" ht="28.5" customHeight="1" x14ac:dyDescent="0.15">
      <c r="A580" s="1"/>
      <c r="B580" s="11"/>
      <c r="C580" s="11"/>
      <c r="D580" s="11"/>
      <c r="E580" s="11"/>
      <c r="F580" s="11"/>
      <c r="G580" s="11"/>
      <c r="H580" s="11"/>
      <c r="I580" s="11"/>
    </row>
    <row r="581" spans="1:9" ht="28.5" customHeight="1" x14ac:dyDescent="0.15">
      <c r="A581" s="1"/>
      <c r="B581" s="11"/>
      <c r="C581" s="11"/>
      <c r="D581" s="11"/>
      <c r="E581" s="11"/>
      <c r="F581" s="11"/>
      <c r="G581" s="11"/>
      <c r="H581" s="11"/>
      <c r="I581" s="11"/>
    </row>
    <row r="582" spans="1:9" ht="28.5" customHeight="1" x14ac:dyDescent="0.15">
      <c r="A582" s="1"/>
      <c r="B582" s="11"/>
      <c r="C582" s="11"/>
      <c r="D582" s="11"/>
      <c r="E582" s="11"/>
      <c r="F582" s="11"/>
      <c r="G582" s="11"/>
      <c r="H582" s="11"/>
      <c r="I582" s="11"/>
    </row>
    <row r="583" spans="1:9" ht="28.5" customHeight="1" x14ac:dyDescent="0.15">
      <c r="A583" s="1"/>
      <c r="B583" s="11"/>
      <c r="C583" s="11"/>
      <c r="D583" s="11"/>
      <c r="E583" s="11"/>
      <c r="F583" s="11"/>
      <c r="G583" s="11"/>
      <c r="H583" s="11"/>
      <c r="I583" s="11"/>
    </row>
    <row r="584" spans="1:9" ht="28.5" customHeight="1" x14ac:dyDescent="0.15">
      <c r="A584" s="1"/>
      <c r="B584" s="11"/>
      <c r="C584" s="11"/>
      <c r="D584" s="11"/>
      <c r="E584" s="11"/>
      <c r="F584" s="11"/>
      <c r="G584" s="11"/>
      <c r="H584" s="11"/>
      <c r="I584" s="11"/>
    </row>
    <row r="585" spans="1:9" ht="28.5" customHeight="1" x14ac:dyDescent="0.15">
      <c r="A585" s="1"/>
      <c r="B585" s="11"/>
      <c r="C585" s="11"/>
      <c r="D585" s="11"/>
      <c r="E585" s="11"/>
      <c r="F585" s="11"/>
      <c r="G585" s="11"/>
      <c r="H585" s="11"/>
      <c r="I585" s="11"/>
    </row>
    <row r="586" spans="1:9" ht="28.5" customHeight="1" x14ac:dyDescent="0.15">
      <c r="A586" s="1"/>
      <c r="B586" s="11"/>
      <c r="C586" s="11"/>
      <c r="D586" s="11"/>
      <c r="E586" s="11"/>
      <c r="F586" s="11"/>
      <c r="G586" s="11"/>
      <c r="H586" s="11"/>
      <c r="I586" s="11"/>
    </row>
    <row r="587" spans="1:9" ht="28.5" customHeight="1" x14ac:dyDescent="0.15">
      <c r="A587" s="1"/>
      <c r="B587" s="11"/>
      <c r="C587" s="11"/>
      <c r="D587" s="11"/>
      <c r="E587" s="11"/>
      <c r="F587" s="11"/>
      <c r="G587" s="11"/>
      <c r="H587" s="11"/>
      <c r="I587" s="11"/>
    </row>
    <row r="588" spans="1:9" ht="28.5" customHeight="1" x14ac:dyDescent="0.15">
      <c r="A588" s="1"/>
      <c r="B588" s="11"/>
      <c r="C588" s="11"/>
      <c r="D588" s="11"/>
      <c r="E588" s="11"/>
      <c r="F588" s="11"/>
      <c r="G588" s="11"/>
      <c r="H588" s="11"/>
      <c r="I588" s="11"/>
    </row>
    <row r="589" spans="1:9" ht="28.5" customHeight="1" x14ac:dyDescent="0.15">
      <c r="A589" s="1"/>
      <c r="B589" s="11"/>
      <c r="C589" s="11"/>
      <c r="D589" s="11"/>
      <c r="E589" s="11"/>
      <c r="F589" s="11"/>
      <c r="G589" s="11"/>
      <c r="H589" s="11"/>
      <c r="I589" s="11"/>
    </row>
    <row r="590" spans="1:9" ht="28.5" customHeight="1" x14ac:dyDescent="0.15">
      <c r="A590" s="1"/>
      <c r="B590" s="11"/>
      <c r="C590" s="11"/>
      <c r="D590" s="11"/>
      <c r="E590" s="11"/>
      <c r="F590" s="11"/>
      <c r="G590" s="11"/>
      <c r="H590" s="11"/>
      <c r="I590" s="11"/>
    </row>
    <row r="591" spans="1:9" ht="28.5" customHeight="1" x14ac:dyDescent="0.15">
      <c r="A591" s="1"/>
      <c r="B591" s="11"/>
      <c r="C591" s="11"/>
      <c r="D591" s="11"/>
      <c r="E591" s="11"/>
      <c r="F591" s="11"/>
      <c r="G591" s="11"/>
      <c r="H591" s="11"/>
      <c r="I591" s="11"/>
    </row>
    <row r="592" spans="1:9" ht="28.5" customHeight="1" x14ac:dyDescent="0.15">
      <c r="A592" s="1"/>
      <c r="B592" s="11"/>
      <c r="C592" s="11"/>
      <c r="D592" s="11"/>
      <c r="E592" s="11"/>
      <c r="F592" s="11"/>
      <c r="G592" s="11"/>
      <c r="H592" s="11"/>
      <c r="I592" s="11"/>
    </row>
    <row r="593" spans="1:9" ht="28.5" customHeight="1" x14ac:dyDescent="0.15">
      <c r="A593" s="1"/>
      <c r="B593" s="11"/>
      <c r="C593" s="11"/>
      <c r="D593" s="11"/>
      <c r="E593" s="11"/>
      <c r="F593" s="11"/>
      <c r="G593" s="11"/>
      <c r="H593" s="11"/>
      <c r="I593" s="11"/>
    </row>
    <row r="594" spans="1:9" ht="28.5" customHeight="1" x14ac:dyDescent="0.15">
      <c r="A594" s="1"/>
      <c r="B594" s="11"/>
      <c r="C594" s="11"/>
      <c r="D594" s="11"/>
      <c r="E594" s="11"/>
      <c r="F594" s="11"/>
      <c r="G594" s="11"/>
      <c r="H594" s="11"/>
      <c r="I594" s="11"/>
    </row>
    <row r="595" spans="1:9" ht="28.5" customHeight="1" x14ac:dyDescent="0.15">
      <c r="A595" s="1"/>
      <c r="B595" s="11"/>
      <c r="C595" s="11"/>
      <c r="D595" s="11"/>
      <c r="E595" s="11"/>
      <c r="F595" s="11"/>
      <c r="G595" s="11"/>
      <c r="H595" s="11"/>
      <c r="I595" s="11"/>
    </row>
    <row r="596" spans="1:9" ht="28.5" customHeight="1" x14ac:dyDescent="0.15">
      <c r="A596" s="1"/>
      <c r="B596" s="11"/>
      <c r="C596" s="11"/>
      <c r="D596" s="11"/>
      <c r="E596" s="11"/>
      <c r="F596" s="11"/>
      <c r="G596" s="11"/>
      <c r="H596" s="11"/>
      <c r="I596" s="11"/>
    </row>
    <row r="597" spans="1:9" ht="28.5" customHeight="1" x14ac:dyDescent="0.15">
      <c r="A597" s="1"/>
      <c r="B597" s="11"/>
      <c r="C597" s="11"/>
      <c r="D597" s="11"/>
      <c r="E597" s="11"/>
      <c r="F597" s="11"/>
      <c r="G597" s="11"/>
      <c r="H597" s="11"/>
      <c r="I597" s="11"/>
    </row>
    <row r="598" spans="1:9" ht="28.5" customHeight="1" x14ac:dyDescent="0.15">
      <c r="A598" s="1"/>
      <c r="B598" s="11"/>
      <c r="C598" s="11"/>
      <c r="D598" s="11"/>
      <c r="E598" s="11"/>
      <c r="F598" s="11"/>
      <c r="G598" s="11"/>
      <c r="H598" s="11"/>
      <c r="I598" s="11"/>
    </row>
    <row r="599" spans="1:9" ht="28.5" customHeight="1" x14ac:dyDescent="0.15">
      <c r="A599" s="1"/>
      <c r="B599" s="11"/>
      <c r="C599" s="11"/>
      <c r="D599" s="11"/>
      <c r="E599" s="11"/>
      <c r="F599" s="11"/>
      <c r="G599" s="11"/>
      <c r="H599" s="11"/>
      <c r="I599" s="11"/>
    </row>
    <row r="600" spans="1:9" ht="28.5" customHeight="1" x14ac:dyDescent="0.15">
      <c r="A600" s="1"/>
      <c r="B600" s="11"/>
      <c r="C600" s="11"/>
      <c r="D600" s="11"/>
      <c r="E600" s="11"/>
      <c r="F600" s="11"/>
      <c r="G600" s="11"/>
      <c r="H600" s="11"/>
      <c r="I600" s="11"/>
    </row>
    <row r="601" spans="1:9" ht="28.5" customHeight="1" x14ac:dyDescent="0.15">
      <c r="A601" s="1"/>
      <c r="B601" s="11"/>
      <c r="C601" s="11"/>
      <c r="D601" s="11"/>
      <c r="E601" s="11"/>
      <c r="F601" s="11"/>
      <c r="G601" s="11"/>
      <c r="H601" s="11"/>
      <c r="I601" s="11"/>
    </row>
    <row r="602" spans="1:9" ht="28.5" customHeight="1" x14ac:dyDescent="0.15">
      <c r="A602" s="1"/>
      <c r="B602" s="11"/>
      <c r="C602" s="11"/>
      <c r="D602" s="11"/>
      <c r="E602" s="11"/>
      <c r="F602" s="11"/>
      <c r="G602" s="11"/>
      <c r="H602" s="11"/>
      <c r="I602" s="11"/>
    </row>
    <row r="603" spans="1:9" ht="28.5" customHeight="1" x14ac:dyDescent="0.15">
      <c r="A603" s="1"/>
      <c r="B603" s="11"/>
      <c r="C603" s="11"/>
      <c r="D603" s="11"/>
      <c r="E603" s="11"/>
      <c r="F603" s="11"/>
      <c r="G603" s="11"/>
      <c r="H603" s="11"/>
      <c r="I603" s="11"/>
    </row>
    <row r="604" spans="1:9" ht="28.5" customHeight="1" x14ac:dyDescent="0.15">
      <c r="A604" s="1"/>
      <c r="B604" s="11"/>
      <c r="C604" s="11"/>
      <c r="D604" s="11"/>
      <c r="E604" s="11"/>
      <c r="F604" s="11"/>
      <c r="G604" s="11"/>
      <c r="H604" s="11"/>
      <c r="I604" s="11"/>
    </row>
    <row r="605" spans="1:9" ht="28.5" customHeight="1" x14ac:dyDescent="0.15">
      <c r="A605" s="1"/>
      <c r="B605" s="11"/>
      <c r="C605" s="11"/>
      <c r="D605" s="11"/>
      <c r="E605" s="11"/>
      <c r="F605" s="11"/>
      <c r="G605" s="11"/>
      <c r="H605" s="11"/>
      <c r="I605" s="11"/>
    </row>
    <row r="606" spans="1:9" ht="28.5" customHeight="1" x14ac:dyDescent="0.15">
      <c r="A606" s="1"/>
      <c r="B606" s="11"/>
      <c r="C606" s="11"/>
      <c r="D606" s="11"/>
      <c r="E606" s="11"/>
      <c r="F606" s="11"/>
      <c r="G606" s="11"/>
      <c r="H606" s="11"/>
      <c r="I606" s="11"/>
    </row>
    <row r="607" spans="1:9" ht="28.5" customHeight="1" x14ac:dyDescent="0.15">
      <c r="A607" s="1"/>
      <c r="B607" s="11"/>
      <c r="C607" s="11"/>
      <c r="D607" s="11"/>
      <c r="E607" s="11"/>
      <c r="F607" s="11"/>
      <c r="G607" s="11"/>
      <c r="H607" s="11"/>
      <c r="I607" s="11"/>
    </row>
    <row r="608" spans="1:9" ht="28.5" customHeight="1" x14ac:dyDescent="0.15">
      <c r="A608" s="1"/>
      <c r="B608" s="11"/>
      <c r="C608" s="11"/>
      <c r="D608" s="11"/>
      <c r="E608" s="11"/>
      <c r="F608" s="11"/>
      <c r="G608" s="11"/>
      <c r="H608" s="11"/>
      <c r="I608" s="11"/>
    </row>
    <row r="609" spans="1:9" ht="28.5" customHeight="1" x14ac:dyDescent="0.15">
      <c r="A609" s="1"/>
      <c r="B609" s="11"/>
      <c r="C609" s="11"/>
      <c r="D609" s="11"/>
      <c r="E609" s="11"/>
      <c r="F609" s="11"/>
      <c r="G609" s="11"/>
      <c r="H609" s="11"/>
      <c r="I609" s="11"/>
    </row>
    <row r="610" spans="1:9" ht="28.5" customHeight="1" x14ac:dyDescent="0.15">
      <c r="A610" s="1"/>
      <c r="B610" s="11"/>
      <c r="C610" s="11"/>
      <c r="D610" s="11"/>
      <c r="E610" s="11"/>
      <c r="F610" s="11"/>
      <c r="G610" s="11"/>
      <c r="H610" s="11"/>
      <c r="I610" s="11"/>
    </row>
    <row r="611" spans="1:9" ht="28.5" customHeight="1" x14ac:dyDescent="0.15">
      <c r="A611" s="1"/>
      <c r="B611" s="11"/>
      <c r="C611" s="11"/>
      <c r="D611" s="11"/>
      <c r="E611" s="11"/>
      <c r="F611" s="11"/>
      <c r="G611" s="11"/>
      <c r="H611" s="11"/>
      <c r="I611" s="11"/>
    </row>
    <row r="612" spans="1:9" ht="28.5" customHeight="1" x14ac:dyDescent="0.15">
      <c r="A612" s="1"/>
      <c r="B612" s="11"/>
      <c r="C612" s="11"/>
      <c r="D612" s="11"/>
      <c r="E612" s="11"/>
      <c r="F612" s="11"/>
      <c r="G612" s="11"/>
      <c r="H612" s="11"/>
      <c r="I612" s="11"/>
    </row>
    <row r="613" spans="1:9" ht="28.5" customHeight="1" x14ac:dyDescent="0.15">
      <c r="A613" s="1"/>
      <c r="B613" s="11"/>
      <c r="C613" s="11"/>
      <c r="D613" s="11"/>
      <c r="E613" s="11"/>
      <c r="F613" s="11"/>
      <c r="G613" s="11"/>
      <c r="H613" s="11"/>
      <c r="I613" s="11"/>
    </row>
    <row r="614" spans="1:9" ht="28.5" customHeight="1" x14ac:dyDescent="0.15">
      <c r="A614" s="1"/>
      <c r="B614" s="11"/>
      <c r="C614" s="11"/>
      <c r="D614" s="11"/>
      <c r="E614" s="11"/>
      <c r="F614" s="11"/>
      <c r="G614" s="11"/>
      <c r="H614" s="11"/>
      <c r="I614" s="11"/>
    </row>
    <row r="615" spans="1:9" ht="28.5" customHeight="1" x14ac:dyDescent="0.15">
      <c r="A615" s="1"/>
      <c r="B615" s="11"/>
      <c r="C615" s="11"/>
      <c r="D615" s="11"/>
      <c r="E615" s="11"/>
      <c r="F615" s="11"/>
      <c r="G615" s="11"/>
      <c r="H615" s="11"/>
      <c r="I615" s="11"/>
    </row>
    <row r="616" spans="1:9" ht="28.5" customHeight="1" x14ac:dyDescent="0.15">
      <c r="A616" s="1"/>
      <c r="B616" s="11"/>
      <c r="C616" s="11"/>
      <c r="D616" s="11"/>
      <c r="E616" s="11"/>
      <c r="F616" s="11"/>
      <c r="G616" s="11"/>
      <c r="H616" s="11"/>
      <c r="I616" s="11"/>
    </row>
    <row r="617" spans="1:9" ht="28.5" customHeight="1" x14ac:dyDescent="0.15">
      <c r="A617" s="1"/>
      <c r="B617" s="11"/>
      <c r="C617" s="11"/>
      <c r="D617" s="11"/>
      <c r="E617" s="11"/>
      <c r="F617" s="11"/>
      <c r="G617" s="11"/>
      <c r="H617" s="11"/>
      <c r="I617" s="11"/>
    </row>
    <row r="618" spans="1:9" ht="28.5" customHeight="1" x14ac:dyDescent="0.15">
      <c r="A618" s="1"/>
      <c r="B618" s="11"/>
      <c r="C618" s="11"/>
      <c r="D618" s="11"/>
      <c r="E618" s="11"/>
      <c r="F618" s="11"/>
      <c r="G618" s="11"/>
      <c r="H618" s="11"/>
      <c r="I618" s="11"/>
    </row>
    <row r="619" spans="1:9" ht="28.5" customHeight="1" x14ac:dyDescent="0.15">
      <c r="A619" s="1"/>
      <c r="B619" s="11"/>
      <c r="C619" s="11"/>
      <c r="D619" s="11"/>
      <c r="E619" s="11"/>
      <c r="F619" s="11"/>
      <c r="G619" s="11"/>
      <c r="H619" s="11"/>
      <c r="I619" s="11"/>
    </row>
    <row r="620" spans="1:9" ht="28.5" customHeight="1" x14ac:dyDescent="0.15">
      <c r="A620" s="1"/>
      <c r="B620" s="11"/>
      <c r="C620" s="11"/>
      <c r="D620" s="11"/>
      <c r="E620" s="11"/>
      <c r="F620" s="11"/>
      <c r="G620" s="11"/>
      <c r="H620" s="11"/>
      <c r="I620" s="11"/>
    </row>
    <row r="621" spans="1:9" ht="28.5" customHeight="1" x14ac:dyDescent="0.15">
      <c r="A621" s="1"/>
      <c r="B621" s="11"/>
      <c r="C621" s="11"/>
      <c r="D621" s="11"/>
      <c r="E621" s="11"/>
      <c r="F621" s="11"/>
      <c r="G621" s="11"/>
      <c r="H621" s="11"/>
      <c r="I621" s="11"/>
    </row>
    <row r="622" spans="1:9" ht="28.5" customHeight="1" x14ac:dyDescent="0.15">
      <c r="A622" s="1"/>
      <c r="B622" s="11"/>
      <c r="C622" s="11"/>
      <c r="D622" s="11"/>
      <c r="E622" s="11"/>
      <c r="F622" s="11"/>
      <c r="G622" s="11"/>
      <c r="H622" s="11"/>
      <c r="I622" s="11"/>
    </row>
    <row r="623" spans="1:9" ht="28.5" customHeight="1" x14ac:dyDescent="0.15">
      <c r="A623" s="1"/>
      <c r="B623" s="11"/>
      <c r="C623" s="11"/>
      <c r="D623" s="11"/>
      <c r="E623" s="11"/>
      <c r="F623" s="11"/>
      <c r="G623" s="11"/>
      <c r="H623" s="11"/>
      <c r="I623" s="11"/>
    </row>
    <row r="624" spans="1:9" ht="28.5" customHeight="1" x14ac:dyDescent="0.15">
      <c r="A624" s="1"/>
      <c r="B624" s="11"/>
      <c r="C624" s="11"/>
      <c r="D624" s="11"/>
      <c r="E624" s="11"/>
      <c r="F624" s="11"/>
      <c r="G624" s="11"/>
      <c r="H624" s="11"/>
      <c r="I624" s="11"/>
    </row>
    <row r="625" spans="1:9" ht="28.5" customHeight="1" x14ac:dyDescent="0.15">
      <c r="A625" s="1"/>
      <c r="B625" s="11"/>
      <c r="C625" s="11"/>
      <c r="D625" s="11"/>
      <c r="E625" s="11"/>
      <c r="F625" s="11"/>
      <c r="G625" s="11"/>
      <c r="H625" s="11"/>
      <c r="I625" s="11"/>
    </row>
    <row r="626" spans="1:9" ht="28.5" customHeight="1" x14ac:dyDescent="0.15">
      <c r="A626" s="1"/>
      <c r="B626" s="11"/>
      <c r="C626" s="11"/>
      <c r="D626" s="11"/>
      <c r="E626" s="11"/>
      <c r="F626" s="11"/>
      <c r="G626" s="11"/>
      <c r="H626" s="11"/>
      <c r="I626" s="11"/>
    </row>
    <row r="627" spans="1:9" ht="28.5" customHeight="1" x14ac:dyDescent="0.15">
      <c r="A627" s="1"/>
      <c r="B627" s="11"/>
      <c r="C627" s="11"/>
      <c r="D627" s="11"/>
      <c r="E627" s="11"/>
      <c r="F627" s="11"/>
      <c r="G627" s="11"/>
      <c r="H627" s="11"/>
      <c r="I627" s="11"/>
    </row>
    <row r="628" spans="1:9" ht="28.5" customHeight="1" x14ac:dyDescent="0.15">
      <c r="A628" s="1"/>
      <c r="B628" s="11"/>
      <c r="C628" s="11"/>
      <c r="D628" s="11"/>
      <c r="E628" s="11"/>
      <c r="F628" s="11"/>
      <c r="G628" s="11"/>
      <c r="H628" s="11"/>
      <c r="I628" s="11"/>
    </row>
    <row r="629" spans="1:9" ht="28.5" customHeight="1" x14ac:dyDescent="0.15">
      <c r="A629" s="1"/>
      <c r="B629" s="11"/>
      <c r="C629" s="11"/>
      <c r="D629" s="11"/>
      <c r="E629" s="11"/>
      <c r="F629" s="11"/>
      <c r="G629" s="11"/>
      <c r="H629" s="11"/>
      <c r="I629" s="11"/>
    </row>
    <row r="630" spans="1:9" ht="28.5" customHeight="1" x14ac:dyDescent="0.15">
      <c r="A630" s="1"/>
      <c r="B630" s="11"/>
      <c r="C630" s="11"/>
      <c r="D630" s="11"/>
      <c r="E630" s="11"/>
      <c r="F630" s="11"/>
      <c r="G630" s="11"/>
      <c r="H630" s="11"/>
      <c r="I630" s="11"/>
    </row>
    <row r="631" spans="1:9" ht="28.5" customHeight="1" x14ac:dyDescent="0.15">
      <c r="A631" s="1"/>
      <c r="B631" s="11"/>
      <c r="C631" s="11"/>
      <c r="D631" s="11"/>
      <c r="E631" s="11"/>
      <c r="F631" s="11"/>
      <c r="G631" s="11"/>
      <c r="H631" s="11"/>
      <c r="I631" s="11"/>
    </row>
    <row r="632" spans="1:9" ht="28.5" customHeight="1" x14ac:dyDescent="0.15">
      <c r="A632" s="1"/>
      <c r="B632" s="11"/>
      <c r="C632" s="11"/>
      <c r="D632" s="11"/>
      <c r="E632" s="11"/>
      <c r="F632" s="11"/>
      <c r="G632" s="11"/>
      <c r="H632" s="11"/>
      <c r="I632" s="11"/>
    </row>
    <row r="633" spans="1:9" ht="28.5" customHeight="1" x14ac:dyDescent="0.15">
      <c r="A633" s="1"/>
      <c r="B633" s="11"/>
      <c r="C633" s="11"/>
      <c r="D633" s="11"/>
      <c r="E633" s="11"/>
      <c r="F633" s="11"/>
      <c r="G633" s="11"/>
      <c r="H633" s="11"/>
      <c r="I633" s="11"/>
    </row>
    <row r="634" spans="1:9" ht="28.5" customHeight="1" x14ac:dyDescent="0.15">
      <c r="A634" s="1"/>
      <c r="B634" s="11"/>
      <c r="C634" s="11"/>
      <c r="D634" s="11"/>
      <c r="E634" s="11"/>
      <c r="F634" s="11"/>
      <c r="G634" s="11"/>
      <c r="H634" s="11"/>
      <c r="I634" s="11"/>
    </row>
    <row r="635" spans="1:9" ht="28.5" customHeight="1" x14ac:dyDescent="0.15">
      <c r="A635" s="1"/>
      <c r="B635" s="11"/>
      <c r="C635" s="11"/>
      <c r="D635" s="11"/>
      <c r="E635" s="11"/>
      <c r="F635" s="11"/>
      <c r="G635" s="11"/>
      <c r="H635" s="11"/>
      <c r="I635" s="11"/>
    </row>
    <row r="636" spans="1:9" ht="28.5" customHeight="1" x14ac:dyDescent="0.15">
      <c r="A636" s="1"/>
      <c r="B636" s="11"/>
      <c r="C636" s="11"/>
      <c r="D636" s="11"/>
      <c r="E636" s="11"/>
      <c r="F636" s="11"/>
      <c r="G636" s="11"/>
      <c r="H636" s="11"/>
      <c r="I636" s="11"/>
    </row>
    <row r="637" spans="1:9" ht="28.5" customHeight="1" x14ac:dyDescent="0.15">
      <c r="A637" s="1"/>
      <c r="B637" s="11"/>
      <c r="C637" s="11"/>
      <c r="D637" s="11"/>
      <c r="E637" s="11"/>
      <c r="F637" s="11"/>
      <c r="G637" s="11"/>
      <c r="H637" s="11"/>
      <c r="I637" s="11"/>
    </row>
    <row r="638" spans="1:9" ht="28.5" customHeight="1" x14ac:dyDescent="0.15">
      <c r="A638" s="1"/>
      <c r="B638" s="11"/>
      <c r="C638" s="11"/>
      <c r="D638" s="11"/>
      <c r="E638" s="11"/>
      <c r="F638" s="11"/>
      <c r="G638" s="11"/>
      <c r="H638" s="11"/>
      <c r="I638" s="11"/>
    </row>
    <row r="639" spans="1:9" ht="28.5" customHeight="1" x14ac:dyDescent="0.15">
      <c r="A639" s="1"/>
      <c r="B639" s="11"/>
      <c r="C639" s="11"/>
      <c r="D639" s="11"/>
      <c r="E639" s="11"/>
      <c r="F639" s="11"/>
      <c r="G639" s="11"/>
      <c r="H639" s="11"/>
      <c r="I639" s="11"/>
    </row>
    <row r="640" spans="1:9" ht="28.5" customHeight="1" x14ac:dyDescent="0.15">
      <c r="A640" s="1"/>
      <c r="B640" s="11"/>
      <c r="C640" s="11"/>
      <c r="D640" s="11"/>
      <c r="E640" s="11"/>
      <c r="F640" s="11"/>
      <c r="G640" s="11"/>
      <c r="H640" s="11"/>
      <c r="I640" s="11"/>
    </row>
    <row r="641" spans="1:9" ht="28.5" customHeight="1" x14ac:dyDescent="0.15">
      <c r="A641" s="1"/>
      <c r="B641" s="11"/>
      <c r="C641" s="11"/>
      <c r="D641" s="11"/>
      <c r="E641" s="11"/>
      <c r="F641" s="11"/>
      <c r="G641" s="11"/>
      <c r="H641" s="11"/>
      <c r="I641" s="11"/>
    </row>
    <row r="642" spans="1:9" ht="28.5" customHeight="1" x14ac:dyDescent="0.15">
      <c r="A642" s="1"/>
      <c r="B642" s="11"/>
      <c r="C642" s="11"/>
      <c r="D642" s="11"/>
      <c r="E642" s="11"/>
      <c r="F642" s="11"/>
      <c r="G642" s="11"/>
      <c r="H642" s="11"/>
      <c r="I642" s="11"/>
    </row>
    <row r="643" spans="1:9" ht="28.5" customHeight="1" x14ac:dyDescent="0.15">
      <c r="A643" s="1"/>
      <c r="B643" s="11"/>
      <c r="C643" s="11"/>
      <c r="D643" s="11"/>
      <c r="E643" s="11"/>
      <c r="F643" s="11"/>
      <c r="G643" s="11"/>
      <c r="H643" s="11"/>
      <c r="I643" s="11"/>
    </row>
    <row r="644" spans="1:9" ht="28.5" customHeight="1" x14ac:dyDescent="0.15">
      <c r="A644" s="1"/>
      <c r="B644" s="11"/>
      <c r="C644" s="11"/>
      <c r="D644" s="11"/>
      <c r="E644" s="11"/>
      <c r="F644" s="11"/>
      <c r="G644" s="11"/>
      <c r="H644" s="11"/>
      <c r="I644" s="11"/>
    </row>
    <row r="645" spans="1:9" ht="28.5" customHeight="1" x14ac:dyDescent="0.15">
      <c r="A645" s="1"/>
      <c r="B645" s="11"/>
      <c r="C645" s="11"/>
      <c r="D645" s="11"/>
      <c r="E645" s="11"/>
      <c r="F645" s="11"/>
      <c r="G645" s="11"/>
      <c r="H645" s="11"/>
      <c r="I645" s="11"/>
    </row>
    <row r="646" spans="1:9" ht="28.5" customHeight="1" x14ac:dyDescent="0.15">
      <c r="A646" s="1"/>
      <c r="B646" s="11"/>
      <c r="C646" s="11"/>
      <c r="D646" s="11"/>
      <c r="E646" s="11"/>
      <c r="F646" s="11"/>
      <c r="G646" s="11"/>
      <c r="H646" s="11"/>
      <c r="I646" s="11"/>
    </row>
    <row r="647" spans="1:9" ht="28.5" customHeight="1" x14ac:dyDescent="0.15">
      <c r="A647" s="1"/>
      <c r="B647" s="11"/>
      <c r="C647" s="11"/>
      <c r="D647" s="11"/>
      <c r="E647" s="11"/>
      <c r="F647" s="11"/>
      <c r="G647" s="11"/>
      <c r="H647" s="11"/>
      <c r="I647" s="11"/>
    </row>
    <row r="648" spans="1:9" ht="28.5" customHeight="1" x14ac:dyDescent="0.15">
      <c r="A648" s="1"/>
      <c r="B648" s="11"/>
      <c r="C648" s="11"/>
      <c r="D648" s="11"/>
      <c r="E648" s="11"/>
      <c r="F648" s="11"/>
      <c r="G648" s="11"/>
      <c r="H648" s="11"/>
      <c r="I648" s="11"/>
    </row>
    <row r="649" spans="1:9" ht="28.5" customHeight="1" x14ac:dyDescent="0.15">
      <c r="A649" s="1"/>
      <c r="B649" s="11"/>
      <c r="C649" s="11"/>
      <c r="D649" s="11"/>
      <c r="E649" s="11"/>
      <c r="F649" s="11"/>
      <c r="G649" s="11"/>
      <c r="H649" s="11"/>
      <c r="I649" s="11"/>
    </row>
    <row r="650" spans="1:9" ht="28.5" customHeight="1" x14ac:dyDescent="0.15">
      <c r="A650" s="1"/>
      <c r="B650" s="11"/>
      <c r="C650" s="11"/>
      <c r="D650" s="11"/>
      <c r="E650" s="11"/>
      <c r="F650" s="11"/>
      <c r="G650" s="11"/>
      <c r="H650" s="11"/>
      <c r="I650" s="11"/>
    </row>
    <row r="651" spans="1:9" ht="28.5" customHeight="1" x14ac:dyDescent="0.15">
      <c r="A651" s="1"/>
      <c r="B651" s="11"/>
      <c r="C651" s="11"/>
      <c r="D651" s="11"/>
      <c r="E651" s="11"/>
      <c r="F651" s="11"/>
      <c r="G651" s="11"/>
      <c r="H651" s="11"/>
      <c r="I651" s="11"/>
    </row>
    <row r="652" spans="1:9" ht="28.5" customHeight="1" x14ac:dyDescent="0.15">
      <c r="A652" s="1"/>
      <c r="B652" s="11"/>
      <c r="C652" s="11"/>
      <c r="D652" s="11"/>
      <c r="E652" s="11"/>
      <c r="F652" s="11"/>
      <c r="G652" s="11"/>
      <c r="H652" s="11"/>
      <c r="I652" s="11"/>
    </row>
    <row r="653" spans="1:9" ht="28.5" customHeight="1" x14ac:dyDescent="0.15">
      <c r="A653" s="1"/>
      <c r="B653" s="11"/>
      <c r="C653" s="11"/>
      <c r="D653" s="11"/>
      <c r="E653" s="11"/>
      <c r="F653" s="11"/>
      <c r="G653" s="11"/>
      <c r="H653" s="11"/>
      <c r="I653" s="11"/>
    </row>
    <row r="654" spans="1:9" ht="28.5" customHeight="1" x14ac:dyDescent="0.15">
      <c r="A654" s="1"/>
      <c r="B654" s="11"/>
      <c r="C654" s="11"/>
      <c r="D654" s="11"/>
      <c r="E654" s="11"/>
      <c r="F654" s="11"/>
      <c r="G654" s="11"/>
      <c r="H654" s="11"/>
      <c r="I654" s="11"/>
    </row>
    <row r="655" spans="1:9" ht="28.5" customHeight="1" x14ac:dyDescent="0.15">
      <c r="A655" s="1"/>
      <c r="B655" s="11"/>
      <c r="C655" s="11"/>
      <c r="D655" s="11"/>
      <c r="E655" s="11"/>
      <c r="F655" s="11"/>
      <c r="G655" s="11"/>
      <c r="H655" s="11"/>
      <c r="I655" s="11"/>
    </row>
    <row r="656" spans="1:9" ht="28.5" customHeight="1" x14ac:dyDescent="0.15">
      <c r="A656" s="1"/>
      <c r="B656" s="11"/>
      <c r="C656" s="11"/>
      <c r="D656" s="11"/>
      <c r="E656" s="11"/>
      <c r="F656" s="11"/>
      <c r="G656" s="11"/>
      <c r="H656" s="11"/>
      <c r="I656" s="11"/>
    </row>
    <row r="657" spans="1:9" ht="28.5" customHeight="1" x14ac:dyDescent="0.15">
      <c r="A657" s="1"/>
      <c r="B657" s="11"/>
      <c r="C657" s="11"/>
      <c r="D657" s="11"/>
      <c r="E657" s="11"/>
      <c r="F657" s="11"/>
      <c r="G657" s="11"/>
      <c r="H657" s="11"/>
      <c r="I657" s="11"/>
    </row>
    <row r="658" spans="1:9" ht="28.5" customHeight="1" x14ac:dyDescent="0.15">
      <c r="A658" s="1"/>
      <c r="B658" s="11"/>
      <c r="C658" s="11"/>
      <c r="D658" s="11"/>
      <c r="E658" s="11"/>
      <c r="F658" s="11"/>
      <c r="G658" s="11"/>
      <c r="H658" s="11"/>
      <c r="I658" s="11"/>
    </row>
    <row r="659" spans="1:9" ht="28.5" customHeight="1" x14ac:dyDescent="0.15">
      <c r="A659" s="1"/>
      <c r="B659" s="11"/>
      <c r="C659" s="11"/>
      <c r="D659" s="11"/>
      <c r="E659" s="11"/>
      <c r="F659" s="11"/>
      <c r="G659" s="11"/>
      <c r="H659" s="11"/>
      <c r="I659" s="11"/>
    </row>
    <row r="660" spans="1:9" ht="28.5" customHeight="1" x14ac:dyDescent="0.15">
      <c r="A660" s="1"/>
      <c r="B660" s="11"/>
      <c r="C660" s="11"/>
      <c r="D660" s="11"/>
      <c r="E660" s="11"/>
      <c r="F660" s="11"/>
      <c r="G660" s="11"/>
      <c r="H660" s="11"/>
      <c r="I660" s="11"/>
    </row>
    <row r="661" spans="1:9" ht="28.5" customHeight="1" x14ac:dyDescent="0.15">
      <c r="A661" s="1"/>
      <c r="B661" s="11"/>
      <c r="C661" s="11"/>
      <c r="D661" s="11"/>
      <c r="E661" s="11"/>
      <c r="F661" s="11"/>
      <c r="G661" s="11"/>
      <c r="H661" s="11"/>
      <c r="I661" s="11"/>
    </row>
    <row r="662" spans="1:9" ht="28.5" customHeight="1" x14ac:dyDescent="0.15">
      <c r="A662" s="1"/>
      <c r="B662" s="11"/>
      <c r="C662" s="11"/>
      <c r="D662" s="11"/>
      <c r="E662" s="11"/>
      <c r="F662" s="11"/>
      <c r="G662" s="11"/>
      <c r="H662" s="11"/>
      <c r="I662" s="11"/>
    </row>
    <row r="663" spans="1:9" ht="28.5" customHeight="1" x14ac:dyDescent="0.15">
      <c r="A663" s="1"/>
      <c r="B663" s="11"/>
      <c r="C663" s="11"/>
      <c r="D663" s="11"/>
      <c r="E663" s="11"/>
      <c r="F663" s="11"/>
      <c r="G663" s="11"/>
      <c r="H663" s="11"/>
      <c r="I663" s="11"/>
    </row>
    <row r="664" spans="1:9" ht="28.5" customHeight="1" x14ac:dyDescent="0.15">
      <c r="A664" s="1"/>
      <c r="B664" s="11"/>
      <c r="C664" s="11"/>
      <c r="D664" s="11"/>
      <c r="E664" s="11"/>
      <c r="F664" s="11"/>
      <c r="G664" s="11"/>
      <c r="H664" s="11"/>
      <c r="I664" s="11"/>
    </row>
    <row r="665" spans="1:9" ht="28.5" customHeight="1" x14ac:dyDescent="0.15">
      <c r="A665" s="1"/>
      <c r="B665" s="11"/>
      <c r="C665" s="11"/>
      <c r="D665" s="11"/>
      <c r="E665" s="11"/>
      <c r="F665" s="11"/>
      <c r="G665" s="11"/>
      <c r="H665" s="11"/>
      <c r="I665" s="11"/>
    </row>
    <row r="666" spans="1:9" ht="28.5" customHeight="1" x14ac:dyDescent="0.15">
      <c r="A666" s="1"/>
      <c r="B666" s="11"/>
      <c r="C666" s="11"/>
      <c r="D666" s="11"/>
      <c r="E666" s="11"/>
      <c r="F666" s="11"/>
      <c r="G666" s="11"/>
      <c r="H666" s="11"/>
      <c r="I666" s="11"/>
    </row>
    <row r="667" spans="1:9" ht="28.5" customHeight="1" x14ac:dyDescent="0.15">
      <c r="A667" s="1"/>
      <c r="B667" s="11"/>
      <c r="C667" s="11"/>
      <c r="D667" s="11"/>
      <c r="E667" s="11"/>
      <c r="F667" s="11"/>
      <c r="G667" s="11"/>
      <c r="H667" s="11"/>
      <c r="I667" s="11"/>
    </row>
    <row r="668" spans="1:9" ht="28.5" customHeight="1" x14ac:dyDescent="0.15">
      <c r="A668" s="1"/>
      <c r="B668" s="11"/>
      <c r="C668" s="11"/>
      <c r="D668" s="11"/>
      <c r="E668" s="11"/>
      <c r="F668" s="11"/>
      <c r="G668" s="11"/>
      <c r="H668" s="11"/>
      <c r="I668" s="11"/>
    </row>
    <row r="669" spans="1:9" ht="28.5" customHeight="1" x14ac:dyDescent="0.15">
      <c r="A669" s="1"/>
      <c r="B669" s="11"/>
      <c r="C669" s="11"/>
      <c r="D669" s="11"/>
      <c r="E669" s="11"/>
      <c r="F669" s="11"/>
      <c r="G669" s="11"/>
      <c r="H669" s="11"/>
      <c r="I669" s="11"/>
    </row>
    <row r="670" spans="1:9" ht="28.5" customHeight="1" x14ac:dyDescent="0.15">
      <c r="A670" s="1"/>
      <c r="B670" s="11"/>
      <c r="C670" s="11"/>
      <c r="D670" s="11"/>
      <c r="E670" s="11"/>
      <c r="F670" s="11"/>
      <c r="G670" s="11"/>
      <c r="H670" s="11"/>
      <c r="I670" s="11"/>
    </row>
    <row r="671" spans="1:9" ht="28.5" customHeight="1" x14ac:dyDescent="0.15">
      <c r="A671" s="1"/>
      <c r="B671" s="11"/>
      <c r="C671" s="11"/>
      <c r="D671" s="11"/>
      <c r="E671" s="11"/>
      <c r="F671" s="11"/>
      <c r="G671" s="11"/>
      <c r="H671" s="11"/>
      <c r="I671" s="11"/>
    </row>
    <row r="672" spans="1:9" ht="28.5" customHeight="1" x14ac:dyDescent="0.15">
      <c r="A672" s="1"/>
      <c r="B672" s="11"/>
      <c r="C672" s="11"/>
      <c r="D672" s="11"/>
      <c r="E672" s="11"/>
      <c r="F672" s="11"/>
      <c r="G672" s="11"/>
      <c r="H672" s="11"/>
      <c r="I672" s="11"/>
    </row>
    <row r="673" spans="1:9" ht="28.5" customHeight="1" x14ac:dyDescent="0.15">
      <c r="A673" s="1"/>
      <c r="B673" s="11"/>
      <c r="C673" s="11"/>
      <c r="D673" s="11"/>
      <c r="E673" s="11"/>
      <c r="F673" s="11"/>
      <c r="G673" s="11"/>
      <c r="H673" s="11"/>
      <c r="I673" s="11"/>
    </row>
    <row r="674" spans="1:9" ht="28.5" customHeight="1" x14ac:dyDescent="0.15">
      <c r="A674" s="1"/>
      <c r="B674" s="11"/>
      <c r="C674" s="11"/>
      <c r="D674" s="11"/>
      <c r="E674" s="11"/>
      <c r="F674" s="11"/>
      <c r="G674" s="11"/>
      <c r="H674" s="11"/>
      <c r="I674" s="11"/>
    </row>
    <row r="675" spans="1:9" ht="28.5" customHeight="1" x14ac:dyDescent="0.15">
      <c r="A675" s="1"/>
      <c r="B675" s="11"/>
      <c r="C675" s="11"/>
      <c r="D675" s="11"/>
      <c r="E675" s="11"/>
      <c r="F675" s="11"/>
      <c r="G675" s="11"/>
      <c r="H675" s="11"/>
      <c r="I675" s="11"/>
    </row>
    <row r="676" spans="1:9" ht="28.5" customHeight="1" x14ac:dyDescent="0.15">
      <c r="A676" s="1"/>
      <c r="B676" s="11"/>
      <c r="C676" s="11"/>
      <c r="D676" s="11"/>
      <c r="E676" s="11"/>
      <c r="F676" s="11"/>
      <c r="G676" s="11"/>
      <c r="H676" s="11"/>
      <c r="I676" s="11"/>
    </row>
    <row r="677" spans="1:9" ht="28.5" customHeight="1" x14ac:dyDescent="0.15">
      <c r="A677" s="1"/>
      <c r="B677" s="11"/>
      <c r="C677" s="11"/>
      <c r="D677" s="11"/>
      <c r="E677" s="11"/>
      <c r="F677" s="11"/>
      <c r="G677" s="11"/>
      <c r="H677" s="11"/>
      <c r="I677" s="11"/>
    </row>
    <row r="678" spans="1:9" ht="28.5" customHeight="1" x14ac:dyDescent="0.15">
      <c r="A678" s="1"/>
      <c r="B678" s="11"/>
      <c r="C678" s="11"/>
      <c r="D678" s="11"/>
      <c r="E678" s="11"/>
      <c r="F678" s="11"/>
      <c r="G678" s="11"/>
      <c r="H678" s="11"/>
      <c r="I678" s="11"/>
    </row>
    <row r="679" spans="1:9" ht="28.5" customHeight="1" x14ac:dyDescent="0.15">
      <c r="A679" s="1"/>
      <c r="B679" s="11"/>
      <c r="C679" s="11"/>
      <c r="D679" s="11"/>
      <c r="E679" s="11"/>
      <c r="F679" s="11"/>
      <c r="G679" s="11"/>
      <c r="H679" s="11"/>
      <c r="I679" s="11"/>
    </row>
    <row r="680" spans="1:9" ht="28.5" customHeight="1" x14ac:dyDescent="0.15">
      <c r="A680" s="1"/>
      <c r="B680" s="11"/>
      <c r="C680" s="11"/>
      <c r="D680" s="11"/>
      <c r="E680" s="11"/>
      <c r="F680" s="11"/>
      <c r="G680" s="11"/>
      <c r="H680" s="11"/>
      <c r="I680" s="11"/>
    </row>
    <row r="681" spans="1:9" ht="28.5" customHeight="1" x14ac:dyDescent="0.15">
      <c r="A681" s="1"/>
      <c r="B681" s="11"/>
      <c r="C681" s="11"/>
      <c r="D681" s="11"/>
      <c r="E681" s="11"/>
      <c r="F681" s="11"/>
      <c r="G681" s="11"/>
      <c r="H681" s="11"/>
      <c r="I681" s="11"/>
    </row>
    <row r="682" spans="1:9" ht="28.5" customHeight="1" x14ac:dyDescent="0.15">
      <c r="A682" s="1"/>
      <c r="B682" s="11"/>
      <c r="C682" s="11"/>
      <c r="D682" s="11"/>
      <c r="E682" s="11"/>
      <c r="F682" s="11"/>
      <c r="G682" s="11"/>
      <c r="H682" s="11"/>
      <c r="I682" s="11"/>
    </row>
    <row r="683" spans="1:9" ht="28.5" customHeight="1" x14ac:dyDescent="0.15">
      <c r="A683" s="1"/>
      <c r="B683" s="11"/>
      <c r="C683" s="11"/>
      <c r="D683" s="11"/>
      <c r="E683" s="11"/>
      <c r="F683" s="11"/>
      <c r="G683" s="11"/>
      <c r="H683" s="11"/>
      <c r="I683" s="11"/>
    </row>
    <row r="684" spans="1:9" ht="28.5" customHeight="1" x14ac:dyDescent="0.15">
      <c r="A684" s="1"/>
      <c r="B684" s="11"/>
      <c r="C684" s="11"/>
      <c r="D684" s="11"/>
      <c r="E684" s="11"/>
      <c r="F684" s="11"/>
      <c r="G684" s="11"/>
      <c r="H684" s="11"/>
      <c r="I684" s="11"/>
    </row>
    <row r="685" spans="1:9" ht="28.5" customHeight="1" x14ac:dyDescent="0.15">
      <c r="A685" s="1"/>
      <c r="B685" s="11"/>
      <c r="C685" s="11"/>
      <c r="D685" s="11"/>
      <c r="E685" s="11"/>
      <c r="F685" s="11"/>
      <c r="G685" s="11"/>
      <c r="H685" s="11"/>
      <c r="I685" s="11"/>
    </row>
    <row r="686" spans="1:9" ht="28.5" customHeight="1" x14ac:dyDescent="0.15">
      <c r="A686" s="1"/>
      <c r="B686" s="11"/>
      <c r="C686" s="11"/>
      <c r="D686" s="11"/>
      <c r="E686" s="11"/>
      <c r="F686" s="11"/>
      <c r="G686" s="11"/>
      <c r="H686" s="11"/>
      <c r="I686" s="11"/>
    </row>
    <row r="687" spans="1:9" ht="28.5" customHeight="1" x14ac:dyDescent="0.15">
      <c r="A687" s="1"/>
      <c r="B687" s="11"/>
      <c r="C687" s="11"/>
      <c r="D687" s="11"/>
      <c r="E687" s="11"/>
      <c r="F687" s="11"/>
      <c r="G687" s="11"/>
      <c r="H687" s="11"/>
      <c r="I687" s="11"/>
    </row>
    <row r="688" spans="1:9" ht="28.5" customHeight="1" x14ac:dyDescent="0.15">
      <c r="A688" s="1"/>
      <c r="B688" s="11"/>
      <c r="C688" s="11"/>
      <c r="D688" s="11"/>
      <c r="E688" s="11"/>
      <c r="F688" s="11"/>
      <c r="G688" s="11"/>
      <c r="H688" s="11"/>
      <c r="I688" s="11"/>
    </row>
    <row r="689" spans="1:9" ht="28.5" customHeight="1" x14ac:dyDescent="0.15">
      <c r="A689" s="1"/>
      <c r="B689" s="11"/>
      <c r="C689" s="11"/>
      <c r="D689" s="11"/>
      <c r="E689" s="11"/>
      <c r="F689" s="11"/>
      <c r="G689" s="11"/>
      <c r="H689" s="11"/>
      <c r="I689" s="11"/>
    </row>
    <row r="690" spans="1:9" ht="28.5" customHeight="1" x14ac:dyDescent="0.15">
      <c r="A690" s="1"/>
      <c r="B690" s="11"/>
      <c r="C690" s="11"/>
      <c r="D690" s="11"/>
      <c r="E690" s="11"/>
      <c r="F690" s="11"/>
      <c r="G690" s="11"/>
      <c r="H690" s="11"/>
      <c r="I690" s="11"/>
    </row>
    <row r="691" spans="1:9" ht="28.5" customHeight="1" x14ac:dyDescent="0.15">
      <c r="A691" s="1"/>
      <c r="B691" s="11"/>
      <c r="C691" s="11"/>
      <c r="D691" s="11"/>
      <c r="E691" s="11"/>
      <c r="F691" s="11"/>
      <c r="G691" s="11"/>
      <c r="H691" s="11"/>
      <c r="I691" s="11"/>
    </row>
    <row r="692" spans="1:9" ht="28.5" customHeight="1" x14ac:dyDescent="0.15">
      <c r="A692" s="1"/>
      <c r="B692" s="11"/>
      <c r="C692" s="11"/>
      <c r="D692" s="11"/>
      <c r="E692" s="11"/>
      <c r="F692" s="11"/>
      <c r="G692" s="11"/>
      <c r="H692" s="11"/>
      <c r="I692" s="11"/>
    </row>
    <row r="693" spans="1:9" ht="28.5" customHeight="1" x14ac:dyDescent="0.15">
      <c r="A693" s="1"/>
      <c r="B693" s="11"/>
      <c r="C693" s="11"/>
      <c r="D693" s="11"/>
      <c r="E693" s="11"/>
      <c r="F693" s="11"/>
      <c r="G693" s="11"/>
      <c r="H693" s="11"/>
      <c r="I693" s="11"/>
    </row>
    <row r="694" spans="1:9" ht="28.5" customHeight="1" x14ac:dyDescent="0.15">
      <c r="A694" s="1"/>
      <c r="B694" s="11"/>
      <c r="C694" s="11"/>
      <c r="D694" s="11"/>
      <c r="E694" s="11"/>
      <c r="F694" s="11"/>
      <c r="G694" s="11"/>
      <c r="H694" s="11"/>
      <c r="I694" s="11"/>
    </row>
    <row r="695" spans="1:9" ht="28.5" customHeight="1" x14ac:dyDescent="0.15">
      <c r="A695" s="1"/>
      <c r="B695" s="11"/>
      <c r="C695" s="11"/>
      <c r="D695" s="11"/>
      <c r="E695" s="11"/>
      <c r="F695" s="11"/>
      <c r="G695" s="11"/>
      <c r="H695" s="11"/>
      <c r="I695" s="11"/>
    </row>
    <row r="696" spans="1:9" ht="28.5" customHeight="1" x14ac:dyDescent="0.15">
      <c r="A696" s="1"/>
      <c r="B696" s="11"/>
      <c r="C696" s="11"/>
      <c r="D696" s="11"/>
      <c r="E696" s="11"/>
      <c r="F696" s="11"/>
      <c r="G696" s="11"/>
      <c r="H696" s="11"/>
      <c r="I696" s="11"/>
    </row>
    <row r="697" spans="1:9" ht="28.5" customHeight="1" x14ac:dyDescent="0.15">
      <c r="A697" s="1"/>
      <c r="B697" s="11"/>
      <c r="C697" s="11"/>
      <c r="D697" s="11"/>
      <c r="E697" s="11"/>
      <c r="F697" s="11"/>
      <c r="G697" s="11"/>
      <c r="H697" s="11"/>
      <c r="I697" s="11"/>
    </row>
    <row r="698" spans="1:9" ht="28.5" customHeight="1" x14ac:dyDescent="0.15">
      <c r="A698" s="1"/>
      <c r="B698" s="11"/>
      <c r="C698" s="11"/>
      <c r="D698" s="11"/>
      <c r="E698" s="11"/>
      <c r="F698" s="11"/>
      <c r="G698" s="11"/>
      <c r="H698" s="11"/>
      <c r="I698" s="11"/>
    </row>
    <row r="699" spans="1:9" ht="28.5" customHeight="1" x14ac:dyDescent="0.15">
      <c r="A699" s="1"/>
      <c r="B699" s="11"/>
      <c r="C699" s="11"/>
      <c r="D699" s="11"/>
      <c r="E699" s="11"/>
      <c r="F699" s="11"/>
      <c r="G699" s="11"/>
      <c r="H699" s="11"/>
      <c r="I699" s="11"/>
    </row>
    <row r="700" spans="1:9" ht="28.5" customHeight="1" x14ac:dyDescent="0.15">
      <c r="A700" s="1"/>
      <c r="B700" s="11"/>
      <c r="C700" s="11"/>
      <c r="D700" s="11"/>
      <c r="E700" s="11"/>
      <c r="F700" s="11"/>
      <c r="G700" s="11"/>
      <c r="H700" s="11"/>
      <c r="I700" s="11"/>
    </row>
    <row r="701" spans="1:9" ht="28.5" customHeight="1" x14ac:dyDescent="0.15">
      <c r="A701" s="1"/>
      <c r="B701" s="11"/>
      <c r="C701" s="11"/>
      <c r="D701" s="11"/>
      <c r="E701" s="11"/>
      <c r="F701" s="11"/>
      <c r="G701" s="11"/>
      <c r="H701" s="11"/>
      <c r="I701" s="11"/>
    </row>
    <row r="702" spans="1:9" ht="28.5" customHeight="1" x14ac:dyDescent="0.15">
      <c r="A702" s="1"/>
      <c r="B702" s="11"/>
      <c r="C702" s="11"/>
      <c r="D702" s="11"/>
      <c r="E702" s="11"/>
      <c r="F702" s="11"/>
      <c r="G702" s="11"/>
      <c r="H702" s="11"/>
      <c r="I702" s="11"/>
    </row>
    <row r="703" spans="1:9" ht="28.5" customHeight="1" x14ac:dyDescent="0.15">
      <c r="A703" s="1"/>
      <c r="B703" s="11"/>
      <c r="C703" s="11"/>
      <c r="D703" s="11"/>
      <c r="E703" s="11"/>
      <c r="F703" s="11"/>
      <c r="G703" s="11"/>
      <c r="H703" s="11"/>
      <c r="I703" s="11"/>
    </row>
    <row r="704" spans="1:9" ht="28.5" customHeight="1" x14ac:dyDescent="0.15">
      <c r="A704" s="1"/>
      <c r="B704" s="11"/>
      <c r="C704" s="11"/>
      <c r="D704" s="11"/>
      <c r="E704" s="11"/>
      <c r="F704" s="11"/>
      <c r="G704" s="11"/>
      <c r="H704" s="11"/>
      <c r="I704" s="11"/>
    </row>
    <row r="705" spans="1:9" ht="28.5" customHeight="1" x14ac:dyDescent="0.15">
      <c r="A705" s="1"/>
      <c r="B705" s="11"/>
      <c r="C705" s="11"/>
      <c r="D705" s="11"/>
      <c r="E705" s="11"/>
      <c r="F705" s="11"/>
      <c r="G705" s="11"/>
      <c r="H705" s="11"/>
      <c r="I705" s="11"/>
    </row>
    <row r="706" spans="1:9" ht="28.5" customHeight="1" x14ac:dyDescent="0.15">
      <c r="A706" s="1"/>
      <c r="B706" s="11"/>
      <c r="C706" s="11"/>
      <c r="D706" s="11"/>
      <c r="E706" s="11"/>
      <c r="F706" s="11"/>
      <c r="G706" s="11"/>
      <c r="H706" s="11"/>
      <c r="I706" s="11"/>
    </row>
    <row r="707" spans="1:9" ht="28.5" customHeight="1" x14ac:dyDescent="0.15">
      <c r="A707" s="1"/>
      <c r="B707" s="11"/>
      <c r="C707" s="11"/>
      <c r="D707" s="11"/>
      <c r="E707" s="11"/>
      <c r="F707" s="11"/>
      <c r="G707" s="11"/>
      <c r="H707" s="11"/>
      <c r="I707" s="11"/>
    </row>
    <row r="708" spans="1:9" ht="28.5" customHeight="1" x14ac:dyDescent="0.15">
      <c r="A708" s="1"/>
      <c r="B708" s="11"/>
      <c r="C708" s="11"/>
      <c r="D708" s="11"/>
      <c r="E708" s="11"/>
      <c r="F708" s="11"/>
      <c r="G708" s="11"/>
      <c r="H708" s="11"/>
      <c r="I708" s="11"/>
    </row>
    <row r="709" spans="1:9" ht="28.5" customHeight="1" x14ac:dyDescent="0.15">
      <c r="A709" s="1"/>
      <c r="B709" s="11"/>
      <c r="C709" s="11"/>
      <c r="D709" s="11"/>
      <c r="E709" s="11"/>
      <c r="F709" s="11"/>
      <c r="G709" s="11"/>
      <c r="H709" s="11"/>
      <c r="I709" s="11"/>
    </row>
    <row r="710" spans="1:9" ht="28.5" customHeight="1" x14ac:dyDescent="0.15">
      <c r="A710" s="1"/>
      <c r="B710" s="11"/>
      <c r="C710" s="11"/>
      <c r="D710" s="11"/>
      <c r="E710" s="11"/>
      <c r="F710" s="11"/>
      <c r="G710" s="11"/>
      <c r="H710" s="11"/>
      <c r="I710" s="11"/>
    </row>
    <row r="711" spans="1:9" ht="28.5" customHeight="1" x14ac:dyDescent="0.15">
      <c r="A711" s="1"/>
      <c r="B711" s="11"/>
      <c r="C711" s="11"/>
      <c r="D711" s="11"/>
      <c r="E711" s="11"/>
      <c r="F711" s="11"/>
      <c r="G711" s="11"/>
      <c r="H711" s="11"/>
      <c r="I711" s="11"/>
    </row>
    <row r="712" spans="1:9" ht="28.5" customHeight="1" x14ac:dyDescent="0.15">
      <c r="A712" s="1"/>
      <c r="B712" s="11"/>
      <c r="C712" s="11"/>
      <c r="D712" s="11"/>
      <c r="E712" s="11"/>
      <c r="F712" s="11"/>
      <c r="G712" s="11"/>
      <c r="H712" s="11"/>
      <c r="I712" s="11"/>
    </row>
    <row r="713" spans="1:9" ht="28.5" customHeight="1" x14ac:dyDescent="0.15">
      <c r="A713" s="1"/>
      <c r="B713" s="11"/>
      <c r="C713" s="11"/>
      <c r="D713" s="11"/>
      <c r="E713" s="11"/>
      <c r="F713" s="11"/>
      <c r="G713" s="11"/>
      <c r="H713" s="11"/>
      <c r="I713" s="11"/>
    </row>
    <row r="714" spans="1:9" ht="28.5" customHeight="1" x14ac:dyDescent="0.15">
      <c r="A714" s="1"/>
      <c r="B714" s="11"/>
      <c r="C714" s="11"/>
      <c r="D714" s="11"/>
      <c r="E714" s="11"/>
      <c r="F714" s="11"/>
      <c r="G714" s="11"/>
      <c r="H714" s="11"/>
      <c r="I714" s="11"/>
    </row>
    <row r="715" spans="1:9" ht="28.5" customHeight="1" x14ac:dyDescent="0.15">
      <c r="A715" s="1"/>
      <c r="B715" s="11"/>
      <c r="C715" s="11"/>
      <c r="D715" s="11"/>
      <c r="E715" s="11"/>
      <c r="F715" s="11"/>
      <c r="G715" s="11"/>
      <c r="H715" s="11"/>
      <c r="I715" s="11"/>
    </row>
    <row r="716" spans="1:9" ht="28.5" customHeight="1" x14ac:dyDescent="0.15">
      <c r="A716" s="1"/>
      <c r="B716" s="11"/>
      <c r="C716" s="11"/>
      <c r="D716" s="11"/>
      <c r="E716" s="11"/>
      <c r="F716" s="11"/>
      <c r="G716" s="11"/>
      <c r="H716" s="11"/>
      <c r="I716" s="11"/>
    </row>
    <row r="717" spans="1:9" ht="28.5" customHeight="1" x14ac:dyDescent="0.15">
      <c r="A717" s="1"/>
      <c r="B717" s="11"/>
      <c r="C717" s="11"/>
      <c r="D717" s="11"/>
      <c r="E717" s="11"/>
      <c r="F717" s="11"/>
      <c r="G717" s="11"/>
      <c r="H717" s="11"/>
      <c r="I717" s="11"/>
    </row>
    <row r="718" spans="1:9" ht="28.5" customHeight="1" x14ac:dyDescent="0.15">
      <c r="A718" s="1"/>
      <c r="B718" s="11"/>
      <c r="C718" s="11"/>
      <c r="D718" s="11"/>
      <c r="E718" s="11"/>
      <c r="F718" s="11"/>
      <c r="G718" s="11"/>
      <c r="H718" s="11"/>
      <c r="I718" s="11"/>
    </row>
    <row r="719" spans="1:9" ht="28.5" customHeight="1" x14ac:dyDescent="0.15">
      <c r="A719" s="1"/>
      <c r="B719" s="11"/>
      <c r="C719" s="11"/>
      <c r="D719" s="11"/>
      <c r="E719" s="11"/>
      <c r="F719" s="11"/>
      <c r="G719" s="11"/>
      <c r="H719" s="11"/>
      <c r="I719" s="11"/>
    </row>
    <row r="720" spans="1:9" ht="28.5" customHeight="1" x14ac:dyDescent="0.15">
      <c r="A720" s="1"/>
      <c r="B720" s="11"/>
      <c r="C720" s="11"/>
      <c r="D720" s="11"/>
      <c r="E720" s="11"/>
      <c r="F720" s="11"/>
      <c r="G720" s="11"/>
      <c r="H720" s="11"/>
      <c r="I720" s="11"/>
    </row>
    <row r="721" spans="1:9" ht="28.5" customHeight="1" x14ac:dyDescent="0.15">
      <c r="A721" s="1"/>
      <c r="B721" s="11"/>
      <c r="C721" s="11"/>
      <c r="D721" s="11"/>
      <c r="E721" s="11"/>
      <c r="F721" s="11"/>
      <c r="G721" s="11"/>
      <c r="H721" s="11"/>
      <c r="I721" s="11"/>
    </row>
    <row r="722" spans="1:9" ht="28.5" customHeight="1" x14ac:dyDescent="0.15">
      <c r="A722" s="1"/>
      <c r="B722" s="11"/>
      <c r="C722" s="11"/>
      <c r="D722" s="11"/>
      <c r="E722" s="11"/>
      <c r="F722" s="11"/>
      <c r="G722" s="11"/>
      <c r="H722" s="11"/>
      <c r="I722" s="11"/>
    </row>
    <row r="723" spans="1:9" ht="28.5" customHeight="1" x14ac:dyDescent="0.15">
      <c r="A723" s="1"/>
      <c r="B723" s="11"/>
      <c r="C723" s="11"/>
      <c r="D723" s="11"/>
      <c r="E723" s="11"/>
      <c r="F723" s="11"/>
      <c r="G723" s="11"/>
      <c r="H723" s="11"/>
      <c r="I723" s="11"/>
    </row>
    <row r="724" spans="1:9" ht="28.5" customHeight="1" x14ac:dyDescent="0.15">
      <c r="A724" s="1"/>
      <c r="B724" s="11"/>
      <c r="C724" s="11"/>
      <c r="D724" s="11"/>
      <c r="E724" s="11"/>
      <c r="F724" s="11"/>
      <c r="G724" s="11"/>
      <c r="H724" s="11"/>
      <c r="I724" s="11"/>
    </row>
    <row r="725" spans="1:9" ht="28.5" customHeight="1" x14ac:dyDescent="0.15">
      <c r="A725" s="1"/>
      <c r="B725" s="11"/>
      <c r="C725" s="11"/>
      <c r="D725" s="11"/>
      <c r="E725" s="11"/>
      <c r="F725" s="11"/>
      <c r="G725" s="11"/>
      <c r="H725" s="11"/>
      <c r="I725" s="11"/>
    </row>
    <row r="726" spans="1:9" ht="28.5" customHeight="1" x14ac:dyDescent="0.15">
      <c r="A726" s="1"/>
      <c r="B726" s="11"/>
      <c r="C726" s="11"/>
      <c r="D726" s="11"/>
      <c r="E726" s="11"/>
      <c r="F726" s="11"/>
      <c r="G726" s="11"/>
      <c r="H726" s="11"/>
      <c r="I726" s="11"/>
    </row>
    <row r="727" spans="1:9" ht="28.5" customHeight="1" x14ac:dyDescent="0.15">
      <c r="A727" s="1"/>
      <c r="B727" s="11"/>
      <c r="C727" s="11"/>
      <c r="D727" s="11"/>
      <c r="E727" s="11"/>
      <c r="F727" s="11"/>
      <c r="G727" s="11"/>
      <c r="H727" s="11"/>
      <c r="I727" s="11"/>
    </row>
    <row r="728" spans="1:9" ht="28.5" customHeight="1" x14ac:dyDescent="0.15">
      <c r="A728" s="1"/>
      <c r="B728" s="11"/>
      <c r="C728" s="11"/>
      <c r="D728" s="11"/>
      <c r="E728" s="11"/>
      <c r="F728" s="11"/>
      <c r="G728" s="11"/>
      <c r="H728" s="11"/>
      <c r="I728" s="11"/>
    </row>
    <row r="729" spans="1:9" ht="28.5" customHeight="1" x14ac:dyDescent="0.15">
      <c r="A729" s="1"/>
      <c r="B729" s="11"/>
      <c r="C729" s="11"/>
      <c r="D729" s="11"/>
      <c r="E729" s="11"/>
      <c r="F729" s="11"/>
      <c r="G729" s="11"/>
      <c r="H729" s="11"/>
      <c r="I729" s="11"/>
    </row>
    <row r="730" spans="1:9" ht="28.5" customHeight="1" x14ac:dyDescent="0.15">
      <c r="A730" s="1"/>
      <c r="B730" s="11"/>
      <c r="C730" s="11"/>
      <c r="D730" s="11"/>
      <c r="E730" s="11"/>
      <c r="F730" s="11"/>
      <c r="G730" s="11"/>
      <c r="H730" s="11"/>
      <c r="I730" s="11"/>
    </row>
    <row r="731" spans="1:9" ht="28.5" customHeight="1" x14ac:dyDescent="0.15">
      <c r="A731" s="1"/>
      <c r="B731" s="11"/>
      <c r="C731" s="11"/>
      <c r="D731" s="11"/>
      <c r="E731" s="11"/>
      <c r="F731" s="11"/>
      <c r="G731" s="11"/>
      <c r="H731" s="11"/>
      <c r="I731" s="11"/>
    </row>
    <row r="732" spans="1:9" ht="28.5" customHeight="1" x14ac:dyDescent="0.15">
      <c r="A732" s="1"/>
      <c r="B732" s="11"/>
      <c r="C732" s="11"/>
      <c r="D732" s="11"/>
      <c r="E732" s="11"/>
      <c r="F732" s="11"/>
      <c r="G732" s="11"/>
      <c r="H732" s="11"/>
      <c r="I732" s="11"/>
    </row>
    <row r="733" spans="1:9" ht="28.5" customHeight="1" x14ac:dyDescent="0.15">
      <c r="A733" s="1"/>
      <c r="B733" s="11"/>
      <c r="C733" s="11"/>
      <c r="D733" s="11"/>
      <c r="E733" s="11"/>
      <c r="F733" s="11"/>
      <c r="G733" s="11"/>
      <c r="H733" s="11"/>
      <c r="I733" s="11"/>
    </row>
    <row r="734" spans="1:9" ht="28.5" customHeight="1" x14ac:dyDescent="0.15">
      <c r="A734" s="1"/>
      <c r="B734" s="11"/>
      <c r="C734" s="11"/>
      <c r="D734" s="11"/>
      <c r="E734" s="11"/>
      <c r="F734" s="11"/>
      <c r="G734" s="11"/>
      <c r="H734" s="11"/>
      <c r="I734" s="11"/>
    </row>
    <row r="735" spans="1:9" ht="28.5" customHeight="1" x14ac:dyDescent="0.15">
      <c r="A735" s="1"/>
      <c r="B735" s="11"/>
      <c r="C735" s="11"/>
      <c r="D735" s="11"/>
      <c r="E735" s="11"/>
      <c r="F735" s="11"/>
      <c r="G735" s="11"/>
      <c r="H735" s="11"/>
      <c r="I735" s="11"/>
    </row>
    <row r="736" spans="1:9" ht="28.5" customHeight="1" x14ac:dyDescent="0.15">
      <c r="A736" s="1"/>
      <c r="B736" s="11"/>
      <c r="C736" s="11"/>
      <c r="D736" s="11"/>
      <c r="E736" s="11"/>
      <c r="F736" s="11"/>
      <c r="G736" s="11"/>
      <c r="H736" s="11"/>
      <c r="I736" s="11"/>
    </row>
    <row r="737" spans="1:9" ht="28.5" customHeight="1" x14ac:dyDescent="0.15">
      <c r="A737" s="1"/>
      <c r="B737" s="11"/>
      <c r="C737" s="11"/>
      <c r="D737" s="11"/>
      <c r="E737" s="11"/>
      <c r="F737" s="11"/>
      <c r="G737" s="11"/>
      <c r="H737" s="11"/>
      <c r="I737" s="11"/>
    </row>
    <row r="738" spans="1:9" ht="28.5" customHeight="1" x14ac:dyDescent="0.15">
      <c r="A738" s="1"/>
      <c r="B738" s="11"/>
      <c r="C738" s="11"/>
      <c r="D738" s="11"/>
      <c r="E738" s="11"/>
      <c r="F738" s="11"/>
      <c r="G738" s="11"/>
      <c r="H738" s="11"/>
      <c r="I738" s="11"/>
    </row>
    <row r="739" spans="1:9" ht="28.5" customHeight="1" x14ac:dyDescent="0.15">
      <c r="A739" s="1"/>
      <c r="B739" s="11"/>
      <c r="C739" s="11"/>
      <c r="D739" s="11"/>
      <c r="E739" s="11"/>
      <c r="F739" s="11"/>
      <c r="G739" s="11"/>
      <c r="H739" s="11"/>
      <c r="I739" s="11"/>
    </row>
    <row r="740" spans="1:9" ht="28.5" customHeight="1" x14ac:dyDescent="0.15">
      <c r="A740" s="1"/>
      <c r="B740" s="11"/>
      <c r="C740" s="11"/>
      <c r="D740" s="11"/>
      <c r="E740" s="11"/>
      <c r="F740" s="11"/>
      <c r="G740" s="11"/>
      <c r="H740" s="11"/>
      <c r="I740" s="11"/>
    </row>
    <row r="741" spans="1:9" ht="28.5" customHeight="1" x14ac:dyDescent="0.15">
      <c r="A741" s="1"/>
      <c r="B741" s="11"/>
      <c r="C741" s="11"/>
      <c r="D741" s="11"/>
      <c r="E741" s="11"/>
      <c r="F741" s="11"/>
      <c r="G741" s="11"/>
      <c r="H741" s="11"/>
      <c r="I741" s="11"/>
    </row>
    <row r="742" spans="1:9" ht="28.5" customHeight="1" x14ac:dyDescent="0.15">
      <c r="A742" s="1"/>
      <c r="B742" s="11"/>
      <c r="C742" s="11"/>
      <c r="D742" s="11"/>
      <c r="E742" s="11"/>
      <c r="F742" s="11"/>
      <c r="G742" s="11"/>
      <c r="H742" s="11"/>
      <c r="I742" s="11"/>
    </row>
    <row r="743" spans="1:9" ht="28.5" customHeight="1" x14ac:dyDescent="0.15">
      <c r="A743" s="1"/>
      <c r="B743" s="11"/>
      <c r="C743" s="11"/>
      <c r="D743" s="11"/>
      <c r="E743" s="11"/>
      <c r="F743" s="11"/>
      <c r="G743" s="11"/>
      <c r="H743" s="11"/>
      <c r="I743" s="11"/>
    </row>
    <row r="744" spans="1:9" ht="28.5" customHeight="1" x14ac:dyDescent="0.15">
      <c r="A744" s="1"/>
      <c r="B744" s="11"/>
      <c r="C744" s="11"/>
      <c r="D744" s="11"/>
      <c r="E744" s="11"/>
      <c r="F744" s="11"/>
      <c r="G744" s="11"/>
      <c r="H744" s="11"/>
      <c r="I744" s="11"/>
    </row>
    <row r="745" spans="1:9" ht="28.5" customHeight="1" x14ac:dyDescent="0.15">
      <c r="A745" s="1"/>
      <c r="B745" s="11"/>
      <c r="C745" s="11"/>
      <c r="D745" s="11"/>
      <c r="E745" s="11"/>
      <c r="F745" s="11"/>
      <c r="G745" s="11"/>
      <c r="H745" s="11"/>
      <c r="I745" s="11"/>
    </row>
    <row r="746" spans="1:9" ht="28.5" customHeight="1" x14ac:dyDescent="0.15">
      <c r="A746" s="1"/>
      <c r="B746" s="11"/>
      <c r="C746" s="11"/>
      <c r="D746" s="11"/>
      <c r="E746" s="11"/>
      <c r="F746" s="11"/>
      <c r="G746" s="11"/>
      <c r="H746" s="11"/>
      <c r="I746" s="11"/>
    </row>
    <row r="747" spans="1:9" ht="28.5" customHeight="1" x14ac:dyDescent="0.15">
      <c r="A747" s="1"/>
      <c r="B747" s="11"/>
      <c r="C747" s="11"/>
      <c r="D747" s="11"/>
      <c r="E747" s="11"/>
      <c r="F747" s="11"/>
      <c r="G747" s="11"/>
      <c r="H747" s="11"/>
      <c r="I747" s="11"/>
    </row>
    <row r="748" spans="1:9" ht="28.5" customHeight="1" x14ac:dyDescent="0.15">
      <c r="A748" s="1"/>
      <c r="B748" s="11"/>
      <c r="C748" s="11"/>
      <c r="D748" s="11"/>
      <c r="E748" s="11"/>
      <c r="F748" s="11"/>
      <c r="G748" s="11"/>
      <c r="H748" s="11"/>
      <c r="I748" s="11"/>
    </row>
    <row r="749" spans="1:9" ht="28.5" customHeight="1" x14ac:dyDescent="0.15">
      <c r="A749" s="1"/>
      <c r="B749" s="11"/>
      <c r="C749" s="11"/>
      <c r="D749" s="11"/>
      <c r="E749" s="11"/>
      <c r="F749" s="11"/>
      <c r="G749" s="11"/>
      <c r="H749" s="11"/>
      <c r="I749" s="11"/>
    </row>
    <row r="750" spans="1:9" ht="28.5" customHeight="1" x14ac:dyDescent="0.15">
      <c r="A750" s="1"/>
      <c r="B750" s="11"/>
      <c r="C750" s="11"/>
      <c r="D750" s="11"/>
      <c r="E750" s="11"/>
      <c r="F750" s="11"/>
      <c r="G750" s="11"/>
      <c r="H750" s="11"/>
      <c r="I750" s="11"/>
    </row>
    <row r="751" spans="1:9" ht="28.5" customHeight="1" x14ac:dyDescent="0.15">
      <c r="A751" s="1"/>
      <c r="B751" s="11"/>
      <c r="C751" s="11"/>
      <c r="D751" s="11"/>
      <c r="E751" s="11"/>
      <c r="F751" s="11"/>
      <c r="G751" s="11"/>
      <c r="H751" s="11"/>
      <c r="I751" s="11"/>
    </row>
    <row r="752" spans="1:9" ht="28.5" customHeight="1" x14ac:dyDescent="0.15">
      <c r="A752" s="1"/>
      <c r="B752" s="11"/>
      <c r="C752" s="11"/>
      <c r="D752" s="11"/>
      <c r="E752" s="11"/>
      <c r="F752" s="11"/>
      <c r="G752" s="11"/>
      <c r="H752" s="11"/>
      <c r="I752" s="11"/>
    </row>
    <row r="753" spans="1:9" ht="28.5" customHeight="1" x14ac:dyDescent="0.15">
      <c r="A753" s="1"/>
      <c r="B753" s="11"/>
      <c r="C753" s="11"/>
      <c r="D753" s="11"/>
      <c r="E753" s="11"/>
      <c r="F753" s="11"/>
      <c r="G753" s="11"/>
      <c r="H753" s="11"/>
      <c r="I753" s="11"/>
    </row>
    <row r="754" spans="1:9" ht="28.5" customHeight="1" x14ac:dyDescent="0.15">
      <c r="A754" s="1"/>
      <c r="B754" s="11"/>
      <c r="C754" s="11"/>
      <c r="D754" s="11"/>
      <c r="E754" s="11"/>
      <c r="F754" s="11"/>
      <c r="G754" s="11"/>
      <c r="H754" s="11"/>
      <c r="I754" s="11"/>
    </row>
    <row r="755" spans="1:9" ht="28.5" customHeight="1" x14ac:dyDescent="0.15">
      <c r="A755" s="1"/>
      <c r="B755" s="11"/>
      <c r="C755" s="11"/>
      <c r="D755" s="11"/>
      <c r="E755" s="11"/>
      <c r="F755" s="11"/>
      <c r="G755" s="11"/>
      <c r="H755" s="11"/>
      <c r="I755" s="11"/>
    </row>
    <row r="756" spans="1:9" ht="28.5" customHeight="1" x14ac:dyDescent="0.15">
      <c r="A756" s="1"/>
      <c r="B756" s="11"/>
      <c r="C756" s="11"/>
      <c r="D756" s="11"/>
      <c r="E756" s="11"/>
      <c r="F756" s="11"/>
      <c r="G756" s="11"/>
      <c r="H756" s="11"/>
      <c r="I756" s="11"/>
    </row>
    <row r="757" spans="1:9" ht="28.5" customHeight="1" x14ac:dyDescent="0.15">
      <c r="A757" s="1"/>
      <c r="B757" s="11"/>
      <c r="C757" s="11"/>
      <c r="D757" s="11"/>
      <c r="E757" s="11"/>
      <c r="F757" s="11"/>
      <c r="G757" s="11"/>
      <c r="H757" s="11"/>
      <c r="I757" s="11"/>
    </row>
    <row r="758" spans="1:9" ht="28.5" customHeight="1" x14ac:dyDescent="0.15">
      <c r="A758" s="1"/>
      <c r="B758" s="11"/>
      <c r="C758" s="11"/>
      <c r="D758" s="11"/>
      <c r="E758" s="11"/>
      <c r="F758" s="11"/>
      <c r="G758" s="11"/>
      <c r="H758" s="11"/>
      <c r="I758" s="11"/>
    </row>
    <row r="759" spans="1:9" ht="28.5" customHeight="1" x14ac:dyDescent="0.15">
      <c r="A759" s="1"/>
      <c r="B759" s="11"/>
      <c r="C759" s="11"/>
      <c r="D759" s="11"/>
      <c r="E759" s="11"/>
      <c r="F759" s="11"/>
      <c r="G759" s="11"/>
      <c r="H759" s="11"/>
      <c r="I759" s="11"/>
    </row>
    <row r="760" spans="1:9" ht="28.5" customHeight="1" x14ac:dyDescent="0.15">
      <c r="A760" s="1"/>
      <c r="B760" s="11"/>
      <c r="C760" s="11"/>
      <c r="D760" s="11"/>
      <c r="E760" s="11"/>
      <c r="F760" s="11"/>
      <c r="G760" s="11"/>
      <c r="H760" s="11"/>
      <c r="I760" s="11"/>
    </row>
    <row r="761" spans="1:9" ht="28.5" customHeight="1" x14ac:dyDescent="0.15">
      <c r="A761" s="1"/>
      <c r="B761" s="11"/>
      <c r="C761" s="11"/>
      <c r="D761" s="11"/>
      <c r="E761" s="11"/>
      <c r="F761" s="11"/>
      <c r="G761" s="11"/>
      <c r="H761" s="11"/>
      <c r="I761" s="11"/>
    </row>
    <row r="762" spans="1:9" ht="28.5" customHeight="1" x14ac:dyDescent="0.15">
      <c r="A762" s="1"/>
      <c r="B762" s="11"/>
      <c r="C762" s="11"/>
      <c r="D762" s="11"/>
      <c r="E762" s="11"/>
      <c r="F762" s="11"/>
      <c r="G762" s="11"/>
      <c r="H762" s="11"/>
      <c r="I762" s="11"/>
    </row>
    <row r="763" spans="1:9" ht="28.5" customHeight="1" x14ac:dyDescent="0.15">
      <c r="A763" s="1"/>
      <c r="B763" s="11"/>
      <c r="C763" s="11"/>
      <c r="D763" s="11"/>
      <c r="E763" s="11"/>
      <c r="F763" s="11"/>
      <c r="G763" s="11"/>
      <c r="H763" s="11"/>
      <c r="I763" s="11"/>
    </row>
    <row r="764" spans="1:9" ht="28.5" customHeight="1" x14ac:dyDescent="0.15">
      <c r="A764" s="1"/>
      <c r="B764" s="11"/>
      <c r="C764" s="11"/>
      <c r="D764" s="11"/>
      <c r="E764" s="11"/>
      <c r="F764" s="11"/>
      <c r="G764" s="11"/>
      <c r="H764" s="11"/>
      <c r="I764" s="11"/>
    </row>
    <row r="765" spans="1:9" ht="28.5" customHeight="1" x14ac:dyDescent="0.15">
      <c r="A765" s="1"/>
      <c r="B765" s="11"/>
      <c r="C765" s="11"/>
      <c r="D765" s="11"/>
      <c r="E765" s="11"/>
      <c r="F765" s="11"/>
      <c r="G765" s="11"/>
      <c r="H765" s="11"/>
      <c r="I765" s="11"/>
    </row>
    <row r="766" spans="1:9" ht="28.5" customHeight="1" x14ac:dyDescent="0.15">
      <c r="A766" s="1"/>
      <c r="B766" s="11"/>
      <c r="C766" s="11"/>
      <c r="D766" s="11"/>
      <c r="E766" s="11"/>
      <c r="F766" s="11"/>
      <c r="G766" s="11"/>
      <c r="H766" s="11"/>
      <c r="I766" s="11"/>
    </row>
    <row r="767" spans="1:9" ht="28.5" customHeight="1" x14ac:dyDescent="0.15">
      <c r="A767" s="1"/>
      <c r="B767" s="11"/>
      <c r="C767" s="11"/>
      <c r="D767" s="11"/>
      <c r="E767" s="11"/>
      <c r="F767" s="11"/>
      <c r="G767" s="11"/>
      <c r="H767" s="11"/>
      <c r="I767" s="11"/>
    </row>
    <row r="768" spans="1:9" ht="28.5" customHeight="1" x14ac:dyDescent="0.15">
      <c r="A768" s="1"/>
      <c r="B768" s="11"/>
      <c r="C768" s="11"/>
      <c r="D768" s="11"/>
      <c r="E768" s="11"/>
      <c r="F768" s="11"/>
      <c r="G768" s="11"/>
      <c r="H768" s="11"/>
      <c r="I768" s="11"/>
    </row>
    <row r="769" spans="1:9" ht="28.5" customHeight="1" x14ac:dyDescent="0.15">
      <c r="A769" s="1"/>
      <c r="B769" s="11"/>
      <c r="C769" s="11"/>
      <c r="D769" s="11"/>
      <c r="E769" s="11"/>
      <c r="F769" s="11"/>
      <c r="G769" s="11"/>
      <c r="H769" s="11"/>
      <c r="I769" s="11"/>
    </row>
    <row r="770" spans="1:9" ht="28.5" customHeight="1" x14ac:dyDescent="0.15">
      <c r="A770" s="1"/>
      <c r="B770" s="11"/>
      <c r="C770" s="11"/>
      <c r="D770" s="11"/>
      <c r="E770" s="11"/>
      <c r="F770" s="11"/>
      <c r="G770" s="11"/>
      <c r="H770" s="11"/>
      <c r="I770" s="11"/>
    </row>
    <row r="771" spans="1:9" ht="28.5" customHeight="1" x14ac:dyDescent="0.15">
      <c r="A771" s="1"/>
      <c r="B771" s="11"/>
      <c r="C771" s="11"/>
      <c r="D771" s="11"/>
      <c r="E771" s="11"/>
      <c r="F771" s="11"/>
      <c r="G771" s="11"/>
      <c r="H771" s="11"/>
      <c r="I771" s="11"/>
    </row>
    <row r="772" spans="1:9" ht="28.5" customHeight="1" x14ac:dyDescent="0.15">
      <c r="A772" s="1"/>
      <c r="B772" s="11"/>
      <c r="C772" s="11"/>
      <c r="D772" s="11"/>
      <c r="E772" s="11"/>
      <c r="F772" s="11"/>
      <c r="G772" s="11"/>
      <c r="H772" s="11"/>
      <c r="I772" s="11"/>
    </row>
    <row r="773" spans="1:9" ht="28.5" customHeight="1" x14ac:dyDescent="0.15">
      <c r="A773" s="1"/>
      <c r="B773" s="11"/>
      <c r="C773" s="11"/>
      <c r="D773" s="11"/>
      <c r="E773" s="11"/>
      <c r="F773" s="11"/>
      <c r="G773" s="11"/>
      <c r="H773" s="11"/>
      <c r="I773" s="11"/>
    </row>
    <row r="774" spans="1:9" ht="28.5" customHeight="1" x14ac:dyDescent="0.15">
      <c r="A774" s="1"/>
      <c r="B774" s="11"/>
      <c r="C774" s="11"/>
      <c r="D774" s="11"/>
      <c r="E774" s="11"/>
      <c r="F774" s="11"/>
      <c r="G774" s="11"/>
      <c r="H774" s="11"/>
      <c r="I774" s="11"/>
    </row>
    <row r="775" spans="1:9" ht="28.5" customHeight="1" x14ac:dyDescent="0.15">
      <c r="A775" s="1"/>
      <c r="B775" s="11"/>
      <c r="C775" s="11"/>
      <c r="D775" s="11"/>
      <c r="E775" s="11"/>
      <c r="F775" s="11"/>
      <c r="G775" s="11"/>
      <c r="H775" s="11"/>
      <c r="I775" s="11"/>
    </row>
    <row r="776" spans="1:9" ht="28.5" customHeight="1" x14ac:dyDescent="0.15">
      <c r="A776" s="1"/>
      <c r="B776" s="11"/>
      <c r="C776" s="11"/>
      <c r="D776" s="11"/>
      <c r="E776" s="11"/>
      <c r="F776" s="11"/>
      <c r="G776" s="11"/>
      <c r="H776" s="11"/>
      <c r="I776" s="11"/>
    </row>
    <row r="777" spans="1:9" ht="28.5" customHeight="1" x14ac:dyDescent="0.15">
      <c r="A777" s="1"/>
      <c r="B777" s="11"/>
      <c r="C777" s="11"/>
      <c r="D777" s="11"/>
      <c r="E777" s="11"/>
      <c r="F777" s="11"/>
      <c r="G777" s="11"/>
      <c r="H777" s="11"/>
      <c r="I777" s="11"/>
    </row>
    <row r="778" spans="1:9" ht="28.5" customHeight="1" x14ac:dyDescent="0.15">
      <c r="A778" s="1"/>
      <c r="B778" s="11"/>
      <c r="C778" s="11"/>
      <c r="D778" s="11"/>
      <c r="E778" s="11"/>
      <c r="F778" s="11"/>
      <c r="G778" s="11"/>
      <c r="H778" s="11"/>
      <c r="I778" s="11"/>
    </row>
    <row r="779" spans="1:9" ht="28.5" customHeight="1" x14ac:dyDescent="0.15">
      <c r="A779" s="1"/>
      <c r="B779" s="11"/>
      <c r="C779" s="11"/>
      <c r="D779" s="11"/>
      <c r="E779" s="11"/>
      <c r="F779" s="11"/>
      <c r="G779" s="11"/>
      <c r="H779" s="11"/>
      <c r="I779" s="11"/>
    </row>
    <row r="780" spans="1:9" ht="28.5" customHeight="1" x14ac:dyDescent="0.15">
      <c r="A780" s="1"/>
      <c r="B780" s="11"/>
      <c r="C780" s="11"/>
      <c r="D780" s="11"/>
      <c r="E780" s="11"/>
      <c r="F780" s="11"/>
      <c r="G780" s="11"/>
      <c r="H780" s="11"/>
      <c r="I780" s="11"/>
    </row>
    <row r="781" spans="1:9" ht="28.5" customHeight="1" x14ac:dyDescent="0.15">
      <c r="A781" s="1"/>
      <c r="B781" s="11"/>
      <c r="C781" s="11"/>
      <c r="D781" s="11"/>
      <c r="E781" s="11"/>
      <c r="F781" s="11"/>
      <c r="G781" s="11"/>
      <c r="H781" s="11"/>
      <c r="I781" s="11"/>
    </row>
    <row r="782" spans="1:9" ht="28.5" customHeight="1" x14ac:dyDescent="0.15">
      <c r="A782" s="1"/>
      <c r="B782" s="11"/>
      <c r="C782" s="11"/>
      <c r="D782" s="11"/>
      <c r="E782" s="11"/>
      <c r="F782" s="11"/>
      <c r="G782" s="11"/>
      <c r="H782" s="11"/>
      <c r="I782" s="11"/>
    </row>
    <row r="783" spans="1:9" ht="28.5" customHeight="1" x14ac:dyDescent="0.15">
      <c r="A783" s="1"/>
      <c r="B783" s="11"/>
      <c r="C783" s="11"/>
      <c r="D783" s="11"/>
      <c r="E783" s="11"/>
      <c r="F783" s="11"/>
      <c r="G783" s="11"/>
      <c r="H783" s="11"/>
      <c r="I783" s="11"/>
    </row>
    <row r="784" spans="1:9" ht="28.5" customHeight="1" x14ac:dyDescent="0.15">
      <c r="A784" s="1"/>
      <c r="B784" s="11"/>
      <c r="C784" s="11"/>
      <c r="D784" s="11"/>
      <c r="E784" s="11"/>
      <c r="F784" s="11"/>
      <c r="G784" s="11"/>
      <c r="H784" s="11"/>
      <c r="I784" s="11"/>
    </row>
    <row r="785" spans="1:9" ht="28.5" customHeight="1" x14ac:dyDescent="0.15">
      <c r="A785" s="1"/>
      <c r="B785" s="11"/>
      <c r="C785" s="11"/>
      <c r="D785" s="11"/>
      <c r="E785" s="11"/>
      <c r="F785" s="11"/>
      <c r="G785" s="11"/>
      <c r="H785" s="11"/>
      <c r="I785" s="11"/>
    </row>
    <row r="786" spans="1:9" ht="28.5" customHeight="1" x14ac:dyDescent="0.15">
      <c r="A786" s="1"/>
      <c r="B786" s="11"/>
      <c r="C786" s="11"/>
      <c r="D786" s="11"/>
      <c r="E786" s="11"/>
      <c r="F786" s="11"/>
      <c r="G786" s="11"/>
      <c r="H786" s="11"/>
      <c r="I786" s="11"/>
    </row>
    <row r="787" spans="1:9" ht="28.5" customHeight="1" x14ac:dyDescent="0.15">
      <c r="A787" s="1"/>
      <c r="B787" s="11"/>
      <c r="C787" s="11"/>
      <c r="D787" s="11"/>
      <c r="E787" s="11"/>
      <c r="F787" s="11"/>
      <c r="G787" s="11"/>
      <c r="H787" s="11"/>
      <c r="I787" s="11"/>
    </row>
    <row r="788" spans="1:9" ht="28.5" customHeight="1" x14ac:dyDescent="0.15">
      <c r="A788" s="1"/>
      <c r="B788" s="11"/>
      <c r="C788" s="11"/>
      <c r="D788" s="11"/>
      <c r="E788" s="11"/>
      <c r="F788" s="11"/>
      <c r="G788" s="11"/>
      <c r="H788" s="11"/>
      <c r="I788" s="11"/>
    </row>
    <row r="789" spans="1:9" ht="28.5" customHeight="1" x14ac:dyDescent="0.15">
      <c r="A789" s="1"/>
      <c r="B789" s="11"/>
      <c r="C789" s="11"/>
      <c r="D789" s="11"/>
      <c r="E789" s="11"/>
      <c r="F789" s="11"/>
      <c r="G789" s="11"/>
      <c r="H789" s="11"/>
      <c r="I789" s="11"/>
    </row>
    <row r="790" spans="1:9" ht="28.5" customHeight="1" x14ac:dyDescent="0.15">
      <c r="A790" s="1"/>
      <c r="B790" s="11"/>
      <c r="C790" s="11"/>
      <c r="D790" s="11"/>
      <c r="E790" s="11"/>
      <c r="F790" s="11"/>
      <c r="G790" s="11"/>
      <c r="H790" s="11"/>
      <c r="I790" s="11"/>
    </row>
    <row r="791" spans="1:9" ht="28.5" customHeight="1" x14ac:dyDescent="0.15">
      <c r="A791" s="1"/>
      <c r="B791" s="11"/>
      <c r="C791" s="11"/>
      <c r="D791" s="11"/>
      <c r="E791" s="11"/>
      <c r="F791" s="11"/>
      <c r="G791" s="11"/>
      <c r="H791" s="11"/>
      <c r="I791" s="11"/>
    </row>
    <row r="792" spans="1:9" ht="28.5" customHeight="1" x14ac:dyDescent="0.15">
      <c r="A792" s="1"/>
      <c r="B792" s="11"/>
      <c r="C792" s="11"/>
      <c r="D792" s="11"/>
      <c r="E792" s="11"/>
      <c r="F792" s="11"/>
      <c r="G792" s="11"/>
      <c r="H792" s="11"/>
      <c r="I792" s="11"/>
    </row>
    <row r="793" spans="1:9" ht="28.5" customHeight="1" x14ac:dyDescent="0.15">
      <c r="A793" s="1"/>
      <c r="B793" s="11"/>
      <c r="C793" s="11"/>
      <c r="D793" s="11"/>
      <c r="E793" s="11"/>
      <c r="F793" s="11"/>
      <c r="G793" s="11"/>
      <c r="H793" s="11"/>
      <c r="I793" s="11"/>
    </row>
    <row r="794" spans="1:9" ht="28.5" customHeight="1" x14ac:dyDescent="0.15">
      <c r="A794" s="1"/>
      <c r="B794" s="11"/>
      <c r="C794" s="11"/>
      <c r="D794" s="11"/>
      <c r="E794" s="11"/>
      <c r="F794" s="11"/>
      <c r="G794" s="11"/>
      <c r="H794" s="11"/>
      <c r="I794" s="11"/>
    </row>
    <row r="795" spans="1:9" ht="28.5" customHeight="1" x14ac:dyDescent="0.15">
      <c r="A795" s="1"/>
      <c r="B795" s="11"/>
      <c r="C795" s="11"/>
      <c r="D795" s="11"/>
      <c r="E795" s="11"/>
      <c r="F795" s="11"/>
      <c r="G795" s="11"/>
      <c r="H795" s="11"/>
      <c r="I795" s="11"/>
    </row>
    <row r="796" spans="1:9" ht="28.5" customHeight="1" x14ac:dyDescent="0.15">
      <c r="A796" s="1"/>
      <c r="B796" s="11"/>
      <c r="C796" s="11"/>
      <c r="D796" s="11"/>
      <c r="E796" s="11"/>
      <c r="F796" s="11"/>
      <c r="G796" s="11"/>
      <c r="H796" s="11"/>
      <c r="I796" s="11"/>
    </row>
    <row r="797" spans="1:9" ht="28.5" customHeight="1" x14ac:dyDescent="0.15">
      <c r="A797" s="1"/>
      <c r="B797" s="11"/>
      <c r="C797" s="11"/>
      <c r="D797" s="11"/>
      <c r="E797" s="11"/>
      <c r="F797" s="11"/>
      <c r="G797" s="11"/>
      <c r="H797" s="11"/>
      <c r="I797" s="11"/>
    </row>
    <row r="798" spans="1:9" ht="28.5" customHeight="1" x14ac:dyDescent="0.15">
      <c r="A798" s="1"/>
      <c r="B798" s="11"/>
      <c r="C798" s="11"/>
      <c r="D798" s="11"/>
      <c r="E798" s="11"/>
      <c r="F798" s="11"/>
      <c r="G798" s="11"/>
      <c r="H798" s="11"/>
      <c r="I798" s="11"/>
    </row>
    <row r="799" spans="1:9" ht="28.5" customHeight="1" x14ac:dyDescent="0.15">
      <c r="A799" s="1"/>
      <c r="B799" s="11"/>
      <c r="C799" s="11"/>
      <c r="D799" s="11"/>
      <c r="E799" s="11"/>
      <c r="F799" s="11"/>
      <c r="G799" s="11"/>
      <c r="H799" s="11"/>
      <c r="I799" s="11"/>
    </row>
    <row r="800" spans="1:9" ht="28.5" customHeight="1" x14ac:dyDescent="0.15">
      <c r="A800" s="1"/>
      <c r="B800" s="11"/>
      <c r="C800" s="11"/>
      <c r="D800" s="11"/>
      <c r="E800" s="11"/>
      <c r="F800" s="11"/>
      <c r="G800" s="11"/>
      <c r="H800" s="11"/>
      <c r="I800" s="11"/>
    </row>
    <row r="801" spans="1:9" ht="28.5" customHeight="1" x14ac:dyDescent="0.15">
      <c r="A801" s="1"/>
      <c r="B801" s="11"/>
      <c r="C801" s="11"/>
      <c r="D801" s="11"/>
      <c r="E801" s="11"/>
      <c r="F801" s="11"/>
      <c r="G801" s="11"/>
      <c r="H801" s="11"/>
      <c r="I801" s="11"/>
    </row>
    <row r="802" spans="1:9" ht="28.5" customHeight="1" x14ac:dyDescent="0.15">
      <c r="A802" s="1"/>
      <c r="B802" s="11"/>
      <c r="C802" s="11"/>
      <c r="D802" s="11"/>
      <c r="E802" s="11"/>
      <c r="F802" s="11"/>
      <c r="G802" s="11"/>
      <c r="H802" s="11"/>
      <c r="I802" s="11"/>
    </row>
    <row r="803" spans="1:9" ht="28.5" customHeight="1" x14ac:dyDescent="0.15">
      <c r="A803" s="1"/>
      <c r="B803" s="11"/>
      <c r="C803" s="11"/>
      <c r="D803" s="11"/>
      <c r="E803" s="11"/>
      <c r="F803" s="11"/>
      <c r="G803" s="11"/>
      <c r="H803" s="11"/>
      <c r="I803" s="11"/>
    </row>
    <row r="804" spans="1:9" ht="28.5" customHeight="1" x14ac:dyDescent="0.15">
      <c r="A804" s="1"/>
      <c r="B804" s="11"/>
      <c r="C804" s="11"/>
      <c r="D804" s="11"/>
      <c r="E804" s="11"/>
      <c r="F804" s="11"/>
      <c r="G804" s="11"/>
      <c r="H804" s="11"/>
      <c r="I804" s="11"/>
    </row>
    <row r="805" spans="1:9" ht="28.5" customHeight="1" x14ac:dyDescent="0.15">
      <c r="A805" s="1"/>
      <c r="B805" s="11"/>
      <c r="C805" s="11"/>
      <c r="D805" s="11"/>
      <c r="E805" s="11"/>
      <c r="F805" s="11"/>
      <c r="G805" s="11"/>
      <c r="H805" s="11"/>
      <c r="I805" s="11"/>
    </row>
    <row r="806" spans="1:9" ht="28.5" customHeight="1" x14ac:dyDescent="0.15">
      <c r="A806" s="1"/>
      <c r="B806" s="11"/>
      <c r="C806" s="11"/>
      <c r="D806" s="11"/>
      <c r="E806" s="11"/>
      <c r="F806" s="11"/>
      <c r="G806" s="11"/>
      <c r="H806" s="11"/>
      <c r="I806" s="11"/>
    </row>
    <row r="807" spans="1:9" ht="28.5" customHeight="1" x14ac:dyDescent="0.15">
      <c r="A807" s="1"/>
      <c r="B807" s="11"/>
      <c r="C807" s="11"/>
      <c r="D807" s="11"/>
      <c r="E807" s="11"/>
      <c r="F807" s="11"/>
      <c r="G807" s="11"/>
      <c r="H807" s="11"/>
      <c r="I807" s="11"/>
    </row>
    <row r="808" spans="1:9" ht="28.5" customHeight="1" x14ac:dyDescent="0.15">
      <c r="A808" s="1"/>
      <c r="B808" s="11"/>
      <c r="C808" s="11"/>
      <c r="D808" s="11"/>
      <c r="E808" s="11"/>
      <c r="F808" s="11"/>
      <c r="G808" s="11"/>
      <c r="H808" s="11"/>
      <c r="I808" s="11"/>
    </row>
    <row r="809" spans="1:9" ht="28.5" customHeight="1" x14ac:dyDescent="0.15">
      <c r="A809" s="1"/>
      <c r="B809" s="11"/>
      <c r="C809" s="11"/>
      <c r="D809" s="11"/>
      <c r="E809" s="11"/>
      <c r="F809" s="11"/>
      <c r="G809" s="11"/>
      <c r="H809" s="11"/>
      <c r="I809" s="11"/>
    </row>
    <row r="810" spans="1:9" ht="28.5" customHeight="1" x14ac:dyDescent="0.15">
      <c r="A810" s="1"/>
      <c r="B810" s="11"/>
      <c r="C810" s="11"/>
      <c r="D810" s="11"/>
      <c r="E810" s="11"/>
      <c r="F810" s="11"/>
      <c r="G810" s="11"/>
      <c r="H810" s="11"/>
      <c r="I810" s="11"/>
    </row>
    <row r="811" spans="1:9" ht="28.5" customHeight="1" x14ac:dyDescent="0.15">
      <c r="A811" s="1"/>
      <c r="B811" s="11"/>
      <c r="C811" s="11"/>
      <c r="D811" s="11"/>
      <c r="E811" s="11"/>
      <c r="F811" s="11"/>
      <c r="G811" s="11"/>
      <c r="H811" s="11"/>
      <c r="I811" s="11"/>
    </row>
    <row r="812" spans="1:9" ht="28.5" customHeight="1" x14ac:dyDescent="0.15">
      <c r="A812" s="1"/>
      <c r="B812" s="11"/>
      <c r="C812" s="11"/>
      <c r="D812" s="11"/>
      <c r="E812" s="11"/>
      <c r="F812" s="11"/>
      <c r="G812" s="11"/>
      <c r="H812" s="11"/>
      <c r="I812" s="11"/>
    </row>
    <row r="813" spans="1:9" ht="28.5" customHeight="1" x14ac:dyDescent="0.15">
      <c r="A813" s="1"/>
      <c r="B813" s="11"/>
      <c r="C813" s="11"/>
      <c r="D813" s="11"/>
      <c r="E813" s="11"/>
      <c r="F813" s="11"/>
      <c r="G813" s="11"/>
      <c r="H813" s="11"/>
      <c r="I813" s="11"/>
    </row>
    <row r="814" spans="1:9" ht="28.5" customHeight="1" x14ac:dyDescent="0.15">
      <c r="A814" s="1"/>
      <c r="B814" s="11"/>
      <c r="C814" s="11"/>
      <c r="D814" s="11"/>
      <c r="E814" s="11"/>
      <c r="F814" s="11"/>
      <c r="G814" s="11"/>
      <c r="H814" s="11"/>
      <c r="I814" s="11"/>
    </row>
    <row r="815" spans="1:9" ht="28.5" customHeight="1" x14ac:dyDescent="0.15">
      <c r="A815" s="1"/>
      <c r="B815" s="11"/>
      <c r="C815" s="11"/>
      <c r="D815" s="11"/>
      <c r="E815" s="11"/>
      <c r="F815" s="11"/>
      <c r="G815" s="11"/>
      <c r="H815" s="11"/>
      <c r="I815" s="11"/>
    </row>
    <row r="816" spans="1:9" ht="28.5" customHeight="1" x14ac:dyDescent="0.15">
      <c r="A816" s="1"/>
      <c r="B816" s="11"/>
      <c r="C816" s="11"/>
      <c r="D816" s="11"/>
      <c r="E816" s="11"/>
      <c r="F816" s="11"/>
      <c r="G816" s="11"/>
      <c r="H816" s="11"/>
      <c r="I816" s="11"/>
    </row>
    <row r="817" spans="1:9" ht="28.5" customHeight="1" x14ac:dyDescent="0.15">
      <c r="A817" s="1"/>
      <c r="B817" s="11"/>
      <c r="C817" s="11"/>
      <c r="D817" s="11"/>
      <c r="E817" s="11"/>
      <c r="F817" s="11"/>
      <c r="G817" s="11"/>
      <c r="H817" s="11"/>
      <c r="I817" s="11"/>
    </row>
    <row r="818" spans="1:9" ht="28.5" customHeight="1" x14ac:dyDescent="0.15">
      <c r="A818" s="1"/>
      <c r="B818" s="11"/>
      <c r="C818" s="11"/>
      <c r="D818" s="11"/>
      <c r="E818" s="11"/>
      <c r="F818" s="11"/>
      <c r="G818" s="11"/>
      <c r="H818" s="11"/>
      <c r="I818" s="11"/>
    </row>
    <row r="819" spans="1:9" ht="28.5" customHeight="1" x14ac:dyDescent="0.15">
      <c r="A819" s="1"/>
      <c r="B819" s="11"/>
      <c r="C819" s="11"/>
      <c r="D819" s="11"/>
      <c r="E819" s="11"/>
      <c r="F819" s="11"/>
      <c r="G819" s="11"/>
      <c r="H819" s="11"/>
      <c r="I819" s="11"/>
    </row>
    <row r="820" spans="1:9" ht="28.5" customHeight="1" x14ac:dyDescent="0.15">
      <c r="A820" s="1"/>
      <c r="B820" s="11"/>
      <c r="C820" s="11"/>
      <c r="D820" s="11"/>
      <c r="E820" s="11"/>
      <c r="F820" s="11"/>
      <c r="G820" s="11"/>
      <c r="H820" s="11"/>
      <c r="I820" s="11"/>
    </row>
    <row r="821" spans="1:9" ht="28.5" customHeight="1" x14ac:dyDescent="0.15">
      <c r="A821" s="1"/>
      <c r="B821" s="11"/>
      <c r="C821" s="11"/>
      <c r="D821" s="11"/>
      <c r="E821" s="11"/>
      <c r="F821" s="11"/>
      <c r="G821" s="11"/>
      <c r="H821" s="11"/>
      <c r="I821" s="11"/>
    </row>
    <row r="822" spans="1:9" ht="28.5" customHeight="1" x14ac:dyDescent="0.15">
      <c r="A822" s="1"/>
      <c r="B822" s="11"/>
      <c r="C822" s="11"/>
      <c r="D822" s="11"/>
      <c r="E822" s="11"/>
      <c r="F822" s="11"/>
      <c r="G822" s="11"/>
      <c r="H822" s="11"/>
      <c r="I822" s="11"/>
    </row>
    <row r="823" spans="1:9" ht="28.5" customHeight="1" x14ac:dyDescent="0.15">
      <c r="A823" s="1"/>
      <c r="B823" s="11"/>
      <c r="C823" s="11"/>
      <c r="D823" s="11"/>
      <c r="E823" s="11"/>
      <c r="F823" s="11"/>
      <c r="G823" s="11"/>
      <c r="H823" s="11"/>
      <c r="I823" s="11"/>
    </row>
    <row r="824" spans="1:9" ht="28.5" customHeight="1" x14ac:dyDescent="0.15">
      <c r="A824" s="1"/>
      <c r="B824" s="11"/>
      <c r="C824" s="11"/>
      <c r="D824" s="11"/>
      <c r="E824" s="11"/>
      <c r="F824" s="11"/>
      <c r="G824" s="11"/>
      <c r="H824" s="11"/>
      <c r="I824" s="11"/>
    </row>
    <row r="825" spans="1:9" ht="28.5" customHeight="1" x14ac:dyDescent="0.15">
      <c r="A825" s="1"/>
      <c r="B825" s="11"/>
      <c r="C825" s="11"/>
      <c r="D825" s="11"/>
      <c r="E825" s="11"/>
      <c r="F825" s="11"/>
      <c r="G825" s="11"/>
      <c r="H825" s="11"/>
      <c r="I825" s="11"/>
    </row>
    <row r="826" spans="1:9" ht="28.5" customHeight="1" x14ac:dyDescent="0.15">
      <c r="A826" s="1"/>
      <c r="B826" s="11"/>
      <c r="C826" s="11"/>
      <c r="D826" s="11"/>
      <c r="E826" s="11"/>
      <c r="F826" s="11"/>
      <c r="G826" s="11"/>
      <c r="H826" s="11"/>
      <c r="I826" s="11"/>
    </row>
    <row r="827" spans="1:9" ht="28.5" customHeight="1" x14ac:dyDescent="0.15">
      <c r="A827" s="1"/>
      <c r="B827" s="11"/>
      <c r="C827" s="11"/>
      <c r="D827" s="11"/>
      <c r="E827" s="11"/>
      <c r="F827" s="11"/>
      <c r="G827" s="11"/>
      <c r="H827" s="11"/>
      <c r="I827" s="11"/>
    </row>
    <row r="828" spans="1:9" ht="28.5" customHeight="1" x14ac:dyDescent="0.15">
      <c r="A828" s="1"/>
      <c r="B828" s="11"/>
      <c r="C828" s="11"/>
      <c r="D828" s="11"/>
      <c r="E828" s="11"/>
      <c r="F828" s="11"/>
      <c r="G828" s="11"/>
      <c r="H828" s="11"/>
      <c r="I828" s="11"/>
    </row>
    <row r="829" spans="1:9" ht="28.5" customHeight="1" x14ac:dyDescent="0.15">
      <c r="A829" s="1"/>
      <c r="B829" s="11"/>
      <c r="C829" s="11"/>
      <c r="D829" s="11"/>
      <c r="E829" s="11"/>
      <c r="F829" s="11"/>
      <c r="G829" s="11"/>
      <c r="H829" s="11"/>
      <c r="I829" s="11"/>
    </row>
    <row r="830" spans="1:9" ht="28.5" customHeight="1" x14ac:dyDescent="0.15">
      <c r="A830" s="1"/>
      <c r="B830" s="11"/>
      <c r="C830" s="11"/>
      <c r="D830" s="11"/>
      <c r="E830" s="11"/>
      <c r="F830" s="11"/>
      <c r="G830" s="11"/>
      <c r="H830" s="11"/>
      <c r="I830" s="11"/>
    </row>
    <row r="831" spans="1:9" ht="28.5" customHeight="1" x14ac:dyDescent="0.15">
      <c r="A831" s="1"/>
      <c r="B831" s="11"/>
      <c r="C831" s="11"/>
      <c r="D831" s="11"/>
      <c r="E831" s="11"/>
      <c r="F831" s="11"/>
      <c r="G831" s="11"/>
      <c r="H831" s="11"/>
      <c r="I831" s="11"/>
    </row>
    <row r="832" spans="1:9" ht="28.5" customHeight="1" x14ac:dyDescent="0.15">
      <c r="A832" s="1"/>
      <c r="B832" s="11"/>
      <c r="C832" s="11"/>
      <c r="D832" s="11"/>
      <c r="E832" s="11"/>
      <c r="F832" s="11"/>
      <c r="G832" s="11"/>
      <c r="H832" s="11"/>
      <c r="I832" s="11"/>
    </row>
    <row r="833" spans="1:9" ht="28.5" customHeight="1" x14ac:dyDescent="0.15">
      <c r="A833" s="1"/>
      <c r="B833" s="11"/>
      <c r="C833" s="11"/>
      <c r="D833" s="11"/>
      <c r="E833" s="11"/>
      <c r="F833" s="11"/>
      <c r="G833" s="11"/>
      <c r="H833" s="11"/>
      <c r="I833" s="11"/>
    </row>
    <row r="834" spans="1:9" ht="28.5" customHeight="1" x14ac:dyDescent="0.15">
      <c r="A834" s="1"/>
      <c r="B834" s="11"/>
      <c r="C834" s="11"/>
      <c r="D834" s="11"/>
      <c r="E834" s="11"/>
      <c r="F834" s="11"/>
      <c r="G834" s="11"/>
      <c r="H834" s="11"/>
      <c r="I834" s="11"/>
    </row>
    <row r="835" spans="1:9" ht="28.5" customHeight="1" x14ac:dyDescent="0.15">
      <c r="A835" s="1"/>
      <c r="B835" s="11"/>
      <c r="C835" s="11"/>
      <c r="D835" s="11"/>
      <c r="E835" s="11"/>
      <c r="F835" s="11"/>
      <c r="G835" s="11"/>
      <c r="H835" s="11"/>
      <c r="I835" s="11"/>
    </row>
    <row r="836" spans="1:9" ht="28.5" customHeight="1" x14ac:dyDescent="0.15">
      <c r="A836" s="1"/>
      <c r="B836" s="11"/>
      <c r="C836" s="11"/>
      <c r="D836" s="11"/>
      <c r="E836" s="11"/>
      <c r="F836" s="11"/>
      <c r="G836" s="11"/>
      <c r="H836" s="11"/>
      <c r="I836" s="11"/>
    </row>
    <row r="837" spans="1:9" ht="28.5" customHeight="1" x14ac:dyDescent="0.15">
      <c r="A837" s="1"/>
      <c r="B837" s="11"/>
      <c r="C837" s="11"/>
      <c r="D837" s="11"/>
      <c r="E837" s="11"/>
      <c r="F837" s="11"/>
      <c r="G837" s="11"/>
      <c r="H837" s="11"/>
      <c r="I837" s="11"/>
    </row>
    <row r="838" spans="1:9" ht="28.5" customHeight="1" x14ac:dyDescent="0.15">
      <c r="A838" s="1"/>
      <c r="B838" s="11"/>
      <c r="C838" s="11"/>
      <c r="D838" s="11"/>
      <c r="E838" s="11"/>
      <c r="F838" s="11"/>
      <c r="G838" s="11"/>
      <c r="H838" s="11"/>
      <c r="I838" s="11"/>
    </row>
    <row r="839" spans="1:9" ht="28.5" customHeight="1" x14ac:dyDescent="0.15">
      <c r="A839" s="1"/>
      <c r="B839" s="11"/>
      <c r="C839" s="11"/>
      <c r="D839" s="11"/>
      <c r="E839" s="11"/>
      <c r="F839" s="11"/>
      <c r="G839" s="11"/>
      <c r="H839" s="11"/>
      <c r="I839" s="11"/>
    </row>
    <row r="840" spans="1:9" ht="28.5" customHeight="1" x14ac:dyDescent="0.15">
      <c r="A840" s="1"/>
      <c r="B840" s="11"/>
      <c r="C840" s="11"/>
      <c r="D840" s="11"/>
      <c r="E840" s="11"/>
      <c r="F840" s="11"/>
      <c r="G840" s="11"/>
      <c r="H840" s="11"/>
      <c r="I840" s="11"/>
    </row>
    <row r="841" spans="1:9" ht="28.5" customHeight="1" x14ac:dyDescent="0.15">
      <c r="A841" s="1"/>
      <c r="B841" s="11"/>
      <c r="C841" s="11"/>
      <c r="D841" s="11"/>
      <c r="E841" s="11"/>
      <c r="F841" s="11"/>
      <c r="G841" s="11"/>
      <c r="H841" s="11"/>
      <c r="I841" s="11"/>
    </row>
    <row r="842" spans="1:9" ht="28.5" customHeight="1" x14ac:dyDescent="0.15">
      <c r="A842" s="1"/>
      <c r="B842" s="11"/>
      <c r="C842" s="11"/>
      <c r="D842" s="11"/>
      <c r="E842" s="11"/>
      <c r="F842" s="11"/>
      <c r="G842" s="11"/>
      <c r="H842" s="11"/>
      <c r="I842" s="11"/>
    </row>
    <row r="843" spans="1:9" ht="28.5" customHeight="1" x14ac:dyDescent="0.15">
      <c r="A843" s="1"/>
      <c r="B843" s="11"/>
      <c r="C843" s="11"/>
      <c r="D843" s="11"/>
      <c r="E843" s="11"/>
      <c r="F843" s="11"/>
      <c r="G843" s="11"/>
      <c r="H843" s="11"/>
      <c r="I843" s="11"/>
    </row>
    <row r="844" spans="1:9" ht="28.5" customHeight="1" x14ac:dyDescent="0.15">
      <c r="A844" s="1"/>
      <c r="B844" s="11"/>
      <c r="C844" s="11"/>
      <c r="D844" s="11"/>
      <c r="E844" s="11"/>
      <c r="F844" s="11"/>
      <c r="G844" s="11"/>
      <c r="H844" s="11"/>
      <c r="I844" s="11"/>
    </row>
    <row r="845" spans="1:9" ht="28.5" customHeight="1" x14ac:dyDescent="0.15">
      <c r="A845" s="1"/>
      <c r="B845" s="11"/>
      <c r="C845" s="11"/>
      <c r="D845" s="11"/>
      <c r="E845" s="11"/>
      <c r="F845" s="11"/>
      <c r="G845" s="11"/>
      <c r="H845" s="11"/>
      <c r="I845" s="11"/>
    </row>
    <row r="846" spans="1:9" ht="28.5" customHeight="1" x14ac:dyDescent="0.15">
      <c r="A846" s="1"/>
      <c r="B846" s="11"/>
      <c r="C846" s="11"/>
      <c r="D846" s="11"/>
      <c r="E846" s="11"/>
      <c r="F846" s="11"/>
      <c r="G846" s="11"/>
      <c r="H846" s="11"/>
      <c r="I846" s="11"/>
    </row>
    <row r="847" spans="1:9" ht="28.5" customHeight="1" x14ac:dyDescent="0.15">
      <c r="A847" s="1"/>
      <c r="B847" s="11"/>
      <c r="C847" s="11"/>
      <c r="D847" s="11"/>
      <c r="E847" s="11"/>
      <c r="F847" s="11"/>
      <c r="G847" s="11"/>
      <c r="H847" s="11"/>
      <c r="I847" s="11"/>
    </row>
    <row r="848" spans="1:9" ht="28.5" customHeight="1" x14ac:dyDescent="0.15">
      <c r="A848" s="1"/>
      <c r="B848" s="11"/>
      <c r="C848" s="11"/>
      <c r="D848" s="11"/>
      <c r="E848" s="11"/>
      <c r="F848" s="11"/>
      <c r="G848" s="11"/>
      <c r="H848" s="11"/>
      <c r="I848" s="11"/>
    </row>
    <row r="849" spans="1:9" ht="28.5" customHeight="1" x14ac:dyDescent="0.15">
      <c r="A849" s="1"/>
      <c r="B849" s="11"/>
      <c r="C849" s="11"/>
      <c r="D849" s="11"/>
      <c r="E849" s="11"/>
      <c r="F849" s="11"/>
      <c r="G849" s="11"/>
      <c r="H849" s="11"/>
      <c r="I849" s="11"/>
    </row>
    <row r="850" spans="1:9" ht="28.5" customHeight="1" x14ac:dyDescent="0.15">
      <c r="A850" s="1"/>
      <c r="B850" s="11"/>
      <c r="C850" s="11"/>
      <c r="D850" s="11"/>
      <c r="E850" s="11"/>
      <c r="F850" s="11"/>
      <c r="G850" s="11"/>
      <c r="H850" s="11"/>
      <c r="I850" s="11"/>
    </row>
    <row r="851" spans="1:9" ht="28.5" customHeight="1" x14ac:dyDescent="0.15">
      <c r="A851" s="1"/>
      <c r="B851" s="11"/>
      <c r="C851" s="11"/>
      <c r="D851" s="11"/>
      <c r="E851" s="11"/>
      <c r="F851" s="11"/>
      <c r="G851" s="11"/>
      <c r="H851" s="11"/>
      <c r="I851" s="11"/>
    </row>
    <row r="852" spans="1:9" ht="28.5" customHeight="1" x14ac:dyDescent="0.15">
      <c r="A852" s="1"/>
      <c r="B852" s="11"/>
      <c r="C852" s="11"/>
      <c r="D852" s="11"/>
      <c r="E852" s="11"/>
      <c r="F852" s="11"/>
      <c r="G852" s="11"/>
      <c r="H852" s="11"/>
      <c r="I852" s="11"/>
    </row>
    <row r="853" spans="1:9" ht="28.5" customHeight="1" x14ac:dyDescent="0.15">
      <c r="A853" s="1"/>
      <c r="B853" s="11"/>
      <c r="C853" s="11"/>
      <c r="D853" s="11"/>
      <c r="E853" s="11"/>
      <c r="F853" s="11"/>
      <c r="G853" s="11"/>
      <c r="H853" s="11"/>
      <c r="I853" s="11"/>
    </row>
    <row r="854" spans="1:9" ht="28.5" customHeight="1" x14ac:dyDescent="0.15">
      <c r="A854" s="1"/>
      <c r="B854" s="11"/>
      <c r="C854" s="11"/>
      <c r="D854" s="11"/>
      <c r="E854" s="11"/>
      <c r="F854" s="11"/>
      <c r="G854" s="11"/>
      <c r="H854" s="11"/>
      <c r="I854" s="11"/>
    </row>
    <row r="855" spans="1:9" ht="28.5" customHeight="1" x14ac:dyDescent="0.15">
      <c r="A855" s="1"/>
      <c r="B855" s="11"/>
      <c r="C855" s="11"/>
      <c r="D855" s="11"/>
      <c r="E855" s="11"/>
      <c r="F855" s="11"/>
      <c r="G855" s="11"/>
      <c r="H855" s="11"/>
      <c r="I855" s="11"/>
    </row>
    <row r="856" spans="1:9" ht="28.5" customHeight="1" x14ac:dyDescent="0.15">
      <c r="A856" s="1"/>
      <c r="B856" s="11"/>
      <c r="C856" s="11"/>
      <c r="D856" s="11"/>
      <c r="E856" s="11"/>
      <c r="F856" s="11"/>
      <c r="G856" s="11"/>
      <c r="H856" s="11"/>
      <c r="I856" s="11"/>
    </row>
    <row r="857" spans="1:9" ht="28.5" customHeight="1" x14ac:dyDescent="0.15">
      <c r="A857" s="1"/>
      <c r="B857" s="11"/>
      <c r="C857" s="11"/>
      <c r="D857" s="11"/>
      <c r="E857" s="11"/>
      <c r="F857" s="11"/>
      <c r="G857" s="11"/>
      <c r="H857" s="11"/>
      <c r="I857" s="11"/>
    </row>
    <row r="858" spans="1:9" ht="28.5" customHeight="1" x14ac:dyDescent="0.15">
      <c r="A858" s="1"/>
      <c r="B858" s="11"/>
      <c r="C858" s="11"/>
      <c r="D858" s="11"/>
      <c r="E858" s="11"/>
      <c r="F858" s="11"/>
      <c r="G858" s="11"/>
      <c r="H858" s="11"/>
      <c r="I858" s="11"/>
    </row>
    <row r="859" spans="1:9" ht="28.5" customHeight="1" x14ac:dyDescent="0.15">
      <c r="A859" s="1"/>
      <c r="B859" s="11"/>
      <c r="C859" s="11"/>
      <c r="D859" s="11"/>
      <c r="E859" s="11"/>
      <c r="F859" s="11"/>
      <c r="G859" s="11"/>
      <c r="H859" s="11"/>
      <c r="I859" s="11"/>
    </row>
    <row r="860" spans="1:9" ht="28.5" customHeight="1" x14ac:dyDescent="0.15">
      <c r="A860" s="1"/>
      <c r="B860" s="11"/>
      <c r="C860" s="11"/>
      <c r="D860" s="11"/>
      <c r="E860" s="11"/>
      <c r="F860" s="11"/>
      <c r="G860" s="11"/>
      <c r="H860" s="11"/>
      <c r="I860" s="11"/>
    </row>
    <row r="861" spans="1:9" ht="28.5" customHeight="1" x14ac:dyDescent="0.15">
      <c r="A861" s="1"/>
      <c r="B861" s="11"/>
      <c r="C861" s="11"/>
      <c r="D861" s="11"/>
      <c r="E861" s="11"/>
      <c r="F861" s="11"/>
      <c r="G861" s="11"/>
      <c r="H861" s="11"/>
      <c r="I861" s="11"/>
    </row>
    <row r="862" spans="1:9" ht="28.5" customHeight="1" x14ac:dyDescent="0.15">
      <c r="A862" s="1"/>
      <c r="B862" s="11"/>
      <c r="C862" s="11"/>
      <c r="D862" s="11"/>
      <c r="E862" s="11"/>
      <c r="F862" s="11"/>
      <c r="G862" s="11"/>
      <c r="H862" s="11"/>
      <c r="I862" s="11"/>
    </row>
    <row r="863" spans="1:9" ht="28.5" customHeight="1" x14ac:dyDescent="0.15">
      <c r="A863" s="1"/>
      <c r="B863" s="11"/>
      <c r="C863" s="11"/>
      <c r="D863" s="11"/>
      <c r="E863" s="11"/>
      <c r="F863" s="11"/>
      <c r="G863" s="11"/>
      <c r="H863" s="11"/>
      <c r="I863" s="11"/>
    </row>
    <row r="864" spans="1:9" ht="28.5" customHeight="1" x14ac:dyDescent="0.15">
      <c r="A864" s="1"/>
      <c r="B864" s="11"/>
      <c r="C864" s="11"/>
      <c r="D864" s="11"/>
      <c r="E864" s="11"/>
      <c r="F864" s="11"/>
      <c r="G864" s="11"/>
      <c r="H864" s="11"/>
      <c r="I864" s="11"/>
    </row>
    <row r="865" spans="1:9" ht="28.5" customHeight="1" x14ac:dyDescent="0.15">
      <c r="A865" s="1"/>
      <c r="B865" s="11"/>
      <c r="C865" s="11"/>
      <c r="D865" s="11"/>
      <c r="E865" s="11"/>
      <c r="F865" s="11"/>
      <c r="G865" s="11"/>
      <c r="H865" s="11"/>
      <c r="I865" s="11"/>
    </row>
    <row r="866" spans="1:9" ht="28.5" customHeight="1" x14ac:dyDescent="0.15">
      <c r="A866" s="1"/>
      <c r="B866" s="11"/>
      <c r="C866" s="11"/>
      <c r="D866" s="11"/>
      <c r="E866" s="11"/>
      <c r="F866" s="11"/>
      <c r="G866" s="11"/>
      <c r="H866" s="11"/>
      <c r="I866" s="11"/>
    </row>
    <row r="867" spans="1:9" ht="28.5" customHeight="1" x14ac:dyDescent="0.15">
      <c r="A867" s="1"/>
      <c r="B867" s="11"/>
      <c r="C867" s="11"/>
      <c r="D867" s="11"/>
      <c r="E867" s="11"/>
      <c r="F867" s="11"/>
      <c r="G867" s="11"/>
      <c r="H867" s="11"/>
      <c r="I867" s="11"/>
    </row>
    <row r="868" spans="1:9" ht="28.5" customHeight="1" x14ac:dyDescent="0.15">
      <c r="A868" s="1"/>
      <c r="B868" s="11"/>
      <c r="C868" s="11"/>
      <c r="D868" s="11"/>
      <c r="E868" s="11"/>
      <c r="F868" s="11"/>
      <c r="G868" s="11"/>
      <c r="H868" s="11"/>
      <c r="I868" s="11"/>
    </row>
    <row r="869" spans="1:9" ht="28.5" customHeight="1" x14ac:dyDescent="0.15">
      <c r="A869" s="1"/>
      <c r="B869" s="11"/>
      <c r="C869" s="11"/>
      <c r="D869" s="11"/>
      <c r="E869" s="11"/>
      <c r="F869" s="11"/>
      <c r="G869" s="11"/>
      <c r="H869" s="11"/>
      <c r="I869" s="11"/>
    </row>
    <row r="870" spans="1:9" ht="28.5" customHeight="1" x14ac:dyDescent="0.15">
      <c r="A870" s="1"/>
      <c r="B870" s="11"/>
      <c r="C870" s="11"/>
      <c r="D870" s="11"/>
      <c r="E870" s="11"/>
      <c r="F870" s="11"/>
      <c r="G870" s="11"/>
      <c r="H870" s="11"/>
      <c r="I870" s="11"/>
    </row>
    <row r="871" spans="1:9" ht="28.5" customHeight="1" x14ac:dyDescent="0.15">
      <c r="A871" s="1"/>
      <c r="B871" s="11"/>
      <c r="C871" s="11"/>
      <c r="D871" s="11"/>
      <c r="E871" s="11"/>
      <c r="F871" s="11"/>
      <c r="G871" s="11"/>
      <c r="H871" s="11"/>
      <c r="I871" s="11"/>
    </row>
    <row r="872" spans="1:9" ht="28.5" customHeight="1" x14ac:dyDescent="0.15">
      <c r="A872" s="1"/>
      <c r="B872" s="11"/>
      <c r="C872" s="11"/>
      <c r="D872" s="11"/>
      <c r="E872" s="11"/>
      <c r="F872" s="11"/>
      <c r="G872" s="11"/>
      <c r="H872" s="11"/>
      <c r="I872" s="11"/>
    </row>
    <row r="873" spans="1:9" ht="28.5" customHeight="1" x14ac:dyDescent="0.15">
      <c r="A873" s="1"/>
      <c r="B873" s="11"/>
      <c r="C873" s="11"/>
      <c r="D873" s="11"/>
      <c r="E873" s="11"/>
      <c r="F873" s="11"/>
      <c r="G873" s="11"/>
      <c r="H873" s="11"/>
      <c r="I873" s="11"/>
    </row>
    <row r="874" spans="1:9" ht="28.5" customHeight="1" x14ac:dyDescent="0.15">
      <c r="A874" s="1"/>
      <c r="B874" s="11"/>
      <c r="C874" s="11"/>
      <c r="D874" s="11"/>
      <c r="E874" s="11"/>
      <c r="F874" s="11"/>
      <c r="G874" s="11"/>
      <c r="H874" s="11"/>
      <c r="I874" s="11"/>
    </row>
    <row r="875" spans="1:9" ht="28.5" customHeight="1" x14ac:dyDescent="0.15">
      <c r="A875" s="1"/>
      <c r="B875" s="11"/>
      <c r="C875" s="11"/>
      <c r="D875" s="11"/>
      <c r="E875" s="11"/>
      <c r="F875" s="11"/>
      <c r="G875" s="11"/>
      <c r="H875" s="11"/>
      <c r="I875" s="11"/>
    </row>
    <row r="876" spans="1:9" ht="28.5" customHeight="1" x14ac:dyDescent="0.15">
      <c r="A876" s="1"/>
      <c r="B876" s="11"/>
      <c r="C876" s="11"/>
      <c r="D876" s="11"/>
      <c r="E876" s="11"/>
      <c r="F876" s="11"/>
      <c r="G876" s="11"/>
      <c r="H876" s="11"/>
      <c r="I876" s="11"/>
    </row>
    <row r="877" spans="1:9" ht="28.5" customHeight="1" x14ac:dyDescent="0.15">
      <c r="A877" s="1"/>
      <c r="B877" s="11"/>
      <c r="C877" s="11"/>
      <c r="D877" s="11"/>
      <c r="E877" s="11"/>
      <c r="F877" s="11"/>
      <c r="G877" s="11"/>
      <c r="H877" s="11"/>
      <c r="I877" s="11"/>
    </row>
    <row r="878" spans="1:9" ht="28.5" customHeight="1" x14ac:dyDescent="0.15">
      <c r="A878" s="1"/>
      <c r="B878" s="11"/>
      <c r="C878" s="11"/>
      <c r="D878" s="11"/>
      <c r="E878" s="11"/>
      <c r="F878" s="11"/>
      <c r="G878" s="11"/>
      <c r="H878" s="11"/>
      <c r="I878" s="11"/>
    </row>
    <row r="879" spans="1:9" ht="28.5" customHeight="1" x14ac:dyDescent="0.15">
      <c r="A879" s="1"/>
      <c r="B879" s="11"/>
      <c r="C879" s="11"/>
      <c r="D879" s="11"/>
      <c r="E879" s="11"/>
      <c r="F879" s="11"/>
      <c r="G879" s="11"/>
      <c r="H879" s="11"/>
      <c r="I879" s="11"/>
    </row>
    <row r="880" spans="1:9" ht="28.5" customHeight="1" x14ac:dyDescent="0.15">
      <c r="A880" s="1"/>
      <c r="B880" s="11"/>
      <c r="C880" s="11"/>
      <c r="D880" s="11"/>
      <c r="E880" s="11"/>
      <c r="F880" s="11"/>
      <c r="G880" s="11"/>
      <c r="H880" s="11"/>
      <c r="I880" s="11"/>
    </row>
    <row r="881" spans="1:9" ht="28.5" customHeight="1" x14ac:dyDescent="0.15">
      <c r="A881" s="1"/>
      <c r="B881" s="11"/>
      <c r="C881" s="11"/>
      <c r="D881" s="11"/>
      <c r="E881" s="11"/>
      <c r="F881" s="11"/>
      <c r="G881" s="11"/>
      <c r="H881" s="11"/>
      <c r="I881" s="11"/>
    </row>
    <row r="882" spans="1:9" ht="28.5" customHeight="1" x14ac:dyDescent="0.15">
      <c r="A882" s="1"/>
      <c r="B882" s="11"/>
      <c r="C882" s="11"/>
      <c r="D882" s="11"/>
      <c r="E882" s="11"/>
      <c r="F882" s="11"/>
      <c r="G882" s="11"/>
      <c r="H882" s="11"/>
      <c r="I882" s="11"/>
    </row>
    <row r="883" spans="1:9" ht="28.5" customHeight="1" x14ac:dyDescent="0.15">
      <c r="A883" s="1"/>
      <c r="B883" s="11"/>
      <c r="C883" s="11"/>
      <c r="D883" s="11"/>
      <c r="E883" s="11"/>
      <c r="F883" s="11"/>
      <c r="G883" s="11"/>
      <c r="H883" s="11"/>
      <c r="I883" s="11"/>
    </row>
    <row r="884" spans="1:9" ht="28.5" customHeight="1" x14ac:dyDescent="0.15">
      <c r="A884" s="1"/>
      <c r="B884" s="11"/>
      <c r="C884" s="11"/>
      <c r="D884" s="11"/>
      <c r="E884" s="11"/>
      <c r="F884" s="11"/>
      <c r="G884" s="11"/>
      <c r="H884" s="11"/>
      <c r="I884" s="11"/>
    </row>
    <row r="885" spans="1:9" ht="28.5" customHeight="1" x14ac:dyDescent="0.15">
      <c r="A885" s="1"/>
      <c r="B885" s="11"/>
      <c r="C885" s="11"/>
      <c r="D885" s="11"/>
      <c r="E885" s="11"/>
      <c r="F885" s="11"/>
      <c r="G885" s="11"/>
      <c r="H885" s="11"/>
      <c r="I885" s="11"/>
    </row>
    <row r="886" spans="1:9" ht="28.5" customHeight="1" x14ac:dyDescent="0.15">
      <c r="A886" s="1"/>
      <c r="B886" s="11"/>
      <c r="C886" s="11"/>
      <c r="D886" s="11"/>
      <c r="E886" s="11"/>
      <c r="F886" s="11"/>
      <c r="G886" s="11"/>
      <c r="H886" s="11"/>
      <c r="I886" s="11"/>
    </row>
    <row r="887" spans="1:9" ht="28.5" customHeight="1" x14ac:dyDescent="0.15">
      <c r="A887" s="1"/>
      <c r="B887" s="11"/>
      <c r="C887" s="11"/>
      <c r="D887" s="11"/>
      <c r="E887" s="11"/>
      <c r="F887" s="11"/>
      <c r="G887" s="11"/>
      <c r="H887" s="11"/>
      <c r="I887" s="11"/>
    </row>
    <row r="888" spans="1:9" ht="28.5" customHeight="1" x14ac:dyDescent="0.15">
      <c r="A888" s="1"/>
      <c r="B888" s="11"/>
      <c r="C888" s="11"/>
      <c r="D888" s="11"/>
      <c r="E888" s="11"/>
      <c r="F888" s="11"/>
      <c r="G888" s="11"/>
      <c r="H888" s="11"/>
      <c r="I888" s="11"/>
    </row>
    <row r="889" spans="1:9" ht="28.5" customHeight="1" x14ac:dyDescent="0.15">
      <c r="A889" s="1"/>
      <c r="B889" s="11"/>
      <c r="C889" s="11"/>
      <c r="D889" s="11"/>
      <c r="E889" s="11"/>
      <c r="F889" s="11"/>
      <c r="G889" s="11"/>
      <c r="H889" s="11"/>
      <c r="I889" s="11"/>
    </row>
    <row r="890" spans="1:9" ht="28.5" customHeight="1" x14ac:dyDescent="0.15">
      <c r="A890" s="1"/>
      <c r="B890" s="11"/>
      <c r="C890" s="11"/>
      <c r="D890" s="11"/>
      <c r="E890" s="11"/>
      <c r="F890" s="11"/>
      <c r="G890" s="11"/>
      <c r="H890" s="11"/>
      <c r="I890" s="11"/>
    </row>
    <row r="891" spans="1:9" ht="28.5" customHeight="1" x14ac:dyDescent="0.15">
      <c r="A891" s="1"/>
      <c r="B891" s="11"/>
      <c r="C891" s="11"/>
      <c r="D891" s="11"/>
      <c r="E891" s="11"/>
      <c r="F891" s="11"/>
      <c r="G891" s="11"/>
      <c r="H891" s="11"/>
      <c r="I891" s="11"/>
    </row>
    <row r="892" spans="1:9" ht="28.5" customHeight="1" x14ac:dyDescent="0.15">
      <c r="A892" s="1"/>
      <c r="B892" s="11"/>
      <c r="C892" s="11"/>
      <c r="D892" s="11"/>
      <c r="E892" s="11"/>
      <c r="F892" s="11"/>
      <c r="G892" s="11"/>
      <c r="H892" s="11"/>
      <c r="I892" s="11"/>
    </row>
    <row r="893" spans="1:9" ht="28.5" customHeight="1" x14ac:dyDescent="0.15">
      <c r="A893" s="1"/>
      <c r="B893" s="11"/>
      <c r="C893" s="11"/>
      <c r="D893" s="11"/>
      <c r="E893" s="11"/>
      <c r="F893" s="11"/>
      <c r="G893" s="11"/>
      <c r="H893" s="11"/>
      <c r="I893" s="11"/>
    </row>
    <row r="894" spans="1:9" ht="28.5" customHeight="1" x14ac:dyDescent="0.15">
      <c r="A894" s="1"/>
      <c r="B894" s="11"/>
      <c r="C894" s="11"/>
      <c r="D894" s="11"/>
      <c r="E894" s="11"/>
      <c r="F894" s="11"/>
      <c r="G894" s="11"/>
      <c r="H894" s="11"/>
      <c r="I894" s="11"/>
    </row>
    <row r="895" spans="1:9" ht="28.5" customHeight="1" x14ac:dyDescent="0.15">
      <c r="A895" s="1"/>
      <c r="B895" s="11"/>
      <c r="C895" s="11"/>
      <c r="D895" s="11"/>
      <c r="E895" s="11"/>
      <c r="F895" s="11"/>
      <c r="G895" s="11"/>
      <c r="H895" s="11"/>
      <c r="I895" s="11"/>
    </row>
    <row r="896" spans="1:9" ht="28.5" customHeight="1" x14ac:dyDescent="0.15">
      <c r="A896" s="1"/>
      <c r="B896" s="11"/>
      <c r="C896" s="11"/>
      <c r="D896" s="11"/>
      <c r="E896" s="11"/>
      <c r="F896" s="11"/>
      <c r="G896" s="11"/>
      <c r="H896" s="11"/>
      <c r="I896" s="11"/>
    </row>
    <row r="897" spans="1:9" ht="28.5" customHeight="1" x14ac:dyDescent="0.15">
      <c r="A897" s="1"/>
      <c r="B897" s="11"/>
      <c r="C897" s="11"/>
      <c r="D897" s="11"/>
      <c r="E897" s="11"/>
      <c r="F897" s="11"/>
      <c r="G897" s="11"/>
      <c r="H897" s="11"/>
      <c r="I897" s="11"/>
    </row>
    <row r="898" spans="1:9" ht="28.5" customHeight="1" x14ac:dyDescent="0.15">
      <c r="A898" s="1"/>
      <c r="B898" s="11"/>
      <c r="C898" s="11"/>
      <c r="D898" s="11"/>
      <c r="E898" s="11"/>
      <c r="F898" s="11"/>
      <c r="G898" s="11"/>
      <c r="H898" s="11"/>
      <c r="I898" s="11"/>
    </row>
    <row r="899" spans="1:9" ht="28.5" customHeight="1" x14ac:dyDescent="0.15">
      <c r="A899" s="1"/>
      <c r="B899" s="11"/>
      <c r="C899" s="11"/>
      <c r="D899" s="11"/>
      <c r="E899" s="11"/>
      <c r="F899" s="11"/>
      <c r="G899" s="11"/>
      <c r="H899" s="11"/>
      <c r="I899" s="11"/>
    </row>
    <row r="900" spans="1:9" ht="28.5" customHeight="1" x14ac:dyDescent="0.15">
      <c r="A900" s="1"/>
      <c r="B900" s="11"/>
      <c r="C900" s="11"/>
      <c r="D900" s="11"/>
      <c r="E900" s="11"/>
      <c r="F900" s="11"/>
      <c r="G900" s="11"/>
      <c r="H900" s="11"/>
      <c r="I900" s="11"/>
    </row>
    <row r="901" spans="1:9" ht="28.5" customHeight="1" x14ac:dyDescent="0.15">
      <c r="A901" s="1"/>
      <c r="B901" s="11"/>
      <c r="C901" s="11"/>
      <c r="D901" s="11"/>
      <c r="E901" s="11"/>
      <c r="F901" s="11"/>
      <c r="G901" s="11"/>
      <c r="H901" s="11"/>
      <c r="I901" s="11"/>
    </row>
    <row r="902" spans="1:9" ht="28.5" customHeight="1" x14ac:dyDescent="0.15">
      <c r="A902" s="1"/>
      <c r="B902" s="11"/>
      <c r="C902" s="11"/>
      <c r="D902" s="11"/>
      <c r="E902" s="11"/>
      <c r="F902" s="11"/>
      <c r="G902" s="11"/>
      <c r="H902" s="11"/>
      <c r="I902" s="11"/>
    </row>
    <row r="903" spans="1:9" ht="28.5" customHeight="1" x14ac:dyDescent="0.15">
      <c r="A903" s="1"/>
      <c r="B903" s="11"/>
      <c r="C903" s="11"/>
      <c r="D903" s="11"/>
      <c r="E903" s="11"/>
      <c r="F903" s="11"/>
      <c r="G903" s="11"/>
      <c r="H903" s="11"/>
      <c r="I903" s="11"/>
    </row>
    <row r="904" spans="1:9" ht="28.5" customHeight="1" x14ac:dyDescent="0.15">
      <c r="A904" s="1"/>
      <c r="B904" s="11"/>
      <c r="C904" s="11"/>
      <c r="D904" s="11"/>
      <c r="E904" s="11"/>
      <c r="F904" s="11"/>
      <c r="G904" s="11"/>
      <c r="H904" s="11"/>
      <c r="I904" s="11"/>
    </row>
    <row r="905" spans="1:9" ht="28.5" customHeight="1" x14ac:dyDescent="0.15">
      <c r="A905" s="1"/>
      <c r="B905" s="11"/>
      <c r="C905" s="11"/>
      <c r="D905" s="11"/>
      <c r="E905" s="11"/>
      <c r="F905" s="11"/>
      <c r="G905" s="11"/>
      <c r="H905" s="11"/>
      <c r="I905" s="11"/>
    </row>
    <row r="906" spans="1:9" ht="28.5" customHeight="1" x14ac:dyDescent="0.15">
      <c r="A906" s="1"/>
      <c r="B906" s="11"/>
      <c r="C906" s="11"/>
      <c r="D906" s="11"/>
      <c r="E906" s="11"/>
      <c r="F906" s="11"/>
      <c r="G906" s="11"/>
      <c r="H906" s="11"/>
      <c r="I906" s="11"/>
    </row>
    <row r="907" spans="1:9" ht="28.5" customHeight="1" x14ac:dyDescent="0.15">
      <c r="A907" s="1"/>
      <c r="B907" s="11"/>
      <c r="C907" s="11"/>
      <c r="D907" s="11"/>
      <c r="E907" s="11"/>
      <c r="F907" s="11"/>
      <c r="G907" s="11"/>
      <c r="H907" s="11"/>
      <c r="I907" s="11"/>
    </row>
    <row r="908" spans="1:9" ht="28.5" customHeight="1" x14ac:dyDescent="0.15">
      <c r="A908" s="1"/>
      <c r="B908" s="11"/>
      <c r="C908" s="11"/>
      <c r="D908" s="11"/>
      <c r="E908" s="11"/>
      <c r="F908" s="11"/>
      <c r="G908" s="11"/>
      <c r="H908" s="11"/>
      <c r="I908" s="11"/>
    </row>
    <row r="909" spans="1:9" ht="28.5" customHeight="1" x14ac:dyDescent="0.15">
      <c r="A909" s="1"/>
      <c r="B909" s="11"/>
      <c r="C909" s="11"/>
      <c r="D909" s="11"/>
      <c r="E909" s="11"/>
      <c r="F909" s="11"/>
      <c r="G909" s="11"/>
      <c r="H909" s="11"/>
      <c r="I909" s="11"/>
    </row>
    <row r="910" spans="1:9" ht="28.5" customHeight="1" x14ac:dyDescent="0.15">
      <c r="A910" s="1"/>
      <c r="B910" s="11"/>
      <c r="C910" s="11"/>
      <c r="D910" s="11"/>
      <c r="E910" s="11"/>
      <c r="F910" s="11"/>
      <c r="G910" s="11"/>
      <c r="H910" s="11"/>
      <c r="I910" s="11"/>
    </row>
    <row r="911" spans="1:9" ht="28.5" customHeight="1" x14ac:dyDescent="0.15">
      <c r="A911" s="1"/>
      <c r="B911" s="11"/>
      <c r="C911" s="11"/>
      <c r="D911" s="11"/>
      <c r="E911" s="11"/>
      <c r="F911" s="11"/>
      <c r="G911" s="11"/>
      <c r="H911" s="11"/>
      <c r="I911" s="11"/>
    </row>
    <row r="912" spans="1:9" ht="28.5" customHeight="1" x14ac:dyDescent="0.15">
      <c r="A912" s="1"/>
      <c r="B912" s="11"/>
      <c r="C912" s="11"/>
      <c r="D912" s="11"/>
      <c r="E912" s="11"/>
      <c r="F912" s="11"/>
      <c r="G912" s="11"/>
      <c r="H912" s="11"/>
      <c r="I912" s="11"/>
    </row>
    <row r="913" spans="1:9" ht="28.5" customHeight="1" x14ac:dyDescent="0.15">
      <c r="A913" s="1"/>
      <c r="B913" s="11"/>
      <c r="C913" s="11"/>
      <c r="D913" s="11"/>
      <c r="E913" s="11"/>
      <c r="F913" s="11"/>
      <c r="G913" s="11"/>
      <c r="H913" s="11"/>
      <c r="I913" s="11"/>
    </row>
    <row r="914" spans="1:9" ht="28.5" customHeight="1" x14ac:dyDescent="0.15">
      <c r="A914" s="1"/>
      <c r="B914" s="11"/>
      <c r="C914" s="11"/>
      <c r="D914" s="11"/>
      <c r="E914" s="11"/>
      <c r="F914" s="11"/>
      <c r="G914" s="11"/>
      <c r="H914" s="11"/>
      <c r="I914" s="11"/>
    </row>
    <row r="915" spans="1:9" ht="28.5" customHeight="1" x14ac:dyDescent="0.15">
      <c r="A915" s="1"/>
      <c r="B915" s="11"/>
      <c r="C915" s="11"/>
      <c r="D915" s="11"/>
      <c r="E915" s="11"/>
      <c r="F915" s="11"/>
      <c r="G915" s="11"/>
      <c r="H915" s="11"/>
      <c r="I915" s="11"/>
    </row>
    <row r="916" spans="1:9" ht="28.5" customHeight="1" x14ac:dyDescent="0.15">
      <c r="A916" s="1"/>
      <c r="B916" s="11"/>
      <c r="C916" s="11"/>
      <c r="D916" s="11"/>
      <c r="E916" s="11"/>
      <c r="F916" s="11"/>
      <c r="G916" s="11"/>
      <c r="H916" s="11"/>
      <c r="I916" s="11"/>
    </row>
    <row r="917" spans="1:9" ht="28.5" customHeight="1" x14ac:dyDescent="0.15">
      <c r="A917" s="1"/>
      <c r="B917" s="11"/>
      <c r="C917" s="11"/>
      <c r="D917" s="11"/>
      <c r="E917" s="11"/>
      <c r="F917" s="11"/>
      <c r="G917" s="11"/>
      <c r="H917" s="11"/>
      <c r="I917" s="11"/>
    </row>
    <row r="918" spans="1:9" ht="28.5" customHeight="1" x14ac:dyDescent="0.15">
      <c r="A918" s="1"/>
      <c r="B918" s="11"/>
      <c r="C918" s="11"/>
      <c r="D918" s="11"/>
      <c r="E918" s="11"/>
      <c r="F918" s="11"/>
      <c r="G918" s="11"/>
      <c r="H918" s="11"/>
      <c r="I918" s="11"/>
    </row>
    <row r="919" spans="1:9" ht="28.5" customHeight="1" x14ac:dyDescent="0.15">
      <c r="A919" s="1"/>
      <c r="B919" s="11"/>
      <c r="C919" s="11"/>
      <c r="D919" s="11"/>
      <c r="E919" s="11"/>
      <c r="F919" s="11"/>
      <c r="G919" s="11"/>
      <c r="H919" s="11"/>
      <c r="I919" s="11"/>
    </row>
    <row r="920" spans="1:9" ht="28.5" customHeight="1" x14ac:dyDescent="0.15">
      <c r="A920" s="1"/>
      <c r="B920" s="11"/>
      <c r="C920" s="11"/>
      <c r="D920" s="11"/>
      <c r="E920" s="11"/>
      <c r="F920" s="11"/>
      <c r="G920" s="11"/>
      <c r="H920" s="11"/>
      <c r="I920" s="11"/>
    </row>
    <row r="921" spans="1:9" ht="28.5" customHeight="1" x14ac:dyDescent="0.15">
      <c r="A921" s="1"/>
      <c r="B921" s="11"/>
      <c r="C921" s="11"/>
      <c r="D921" s="11"/>
      <c r="E921" s="11"/>
      <c r="F921" s="11"/>
      <c r="G921" s="11"/>
      <c r="H921" s="11"/>
      <c r="I921" s="11"/>
    </row>
    <row r="922" spans="1:9" ht="28.5" customHeight="1" x14ac:dyDescent="0.15">
      <c r="A922" s="1"/>
      <c r="B922" s="11"/>
      <c r="C922" s="11"/>
      <c r="D922" s="11"/>
      <c r="E922" s="11"/>
      <c r="F922" s="11"/>
      <c r="G922" s="11"/>
      <c r="H922" s="11"/>
      <c r="I922" s="11"/>
    </row>
    <row r="923" spans="1:9" ht="28.5" customHeight="1" x14ac:dyDescent="0.15">
      <c r="A923" s="1"/>
      <c r="B923" s="11"/>
      <c r="C923" s="11"/>
      <c r="D923" s="11"/>
      <c r="E923" s="11"/>
      <c r="F923" s="11"/>
      <c r="G923" s="11"/>
      <c r="H923" s="11"/>
      <c r="I923" s="11"/>
    </row>
    <row r="924" spans="1:9" ht="28.5" customHeight="1" x14ac:dyDescent="0.15">
      <c r="A924" s="1"/>
      <c r="B924" s="11"/>
      <c r="C924" s="11"/>
      <c r="D924" s="11"/>
      <c r="E924" s="11"/>
      <c r="F924" s="11"/>
      <c r="G924" s="11"/>
      <c r="H924" s="11"/>
      <c r="I924" s="11"/>
    </row>
    <row r="925" spans="1:9" ht="28.5" customHeight="1" x14ac:dyDescent="0.15">
      <c r="A925" s="1"/>
      <c r="B925" s="11"/>
      <c r="C925" s="11"/>
      <c r="D925" s="11"/>
      <c r="E925" s="11"/>
      <c r="F925" s="11"/>
      <c r="G925" s="11"/>
      <c r="H925" s="11"/>
      <c r="I925" s="11"/>
    </row>
    <row r="926" spans="1:9" ht="28.5" customHeight="1" x14ac:dyDescent="0.15">
      <c r="A926" s="1"/>
      <c r="B926" s="11"/>
      <c r="C926" s="11"/>
      <c r="D926" s="11"/>
      <c r="E926" s="11"/>
      <c r="F926" s="11"/>
      <c r="G926" s="11"/>
      <c r="H926" s="11"/>
      <c r="I926" s="11"/>
    </row>
    <row r="927" spans="1:9" ht="28.5" customHeight="1" x14ac:dyDescent="0.15">
      <c r="A927" s="1"/>
      <c r="B927" s="11"/>
      <c r="C927" s="11"/>
      <c r="D927" s="11"/>
      <c r="E927" s="11"/>
      <c r="F927" s="11"/>
      <c r="G927" s="11"/>
      <c r="H927" s="11"/>
      <c r="I927" s="11"/>
    </row>
    <row r="928" spans="1:9" ht="28.5" customHeight="1" x14ac:dyDescent="0.15">
      <c r="A928" s="1"/>
      <c r="B928" s="11"/>
      <c r="C928" s="11"/>
      <c r="D928" s="11"/>
      <c r="E928" s="11"/>
      <c r="F928" s="11"/>
      <c r="G928" s="11"/>
      <c r="H928" s="11"/>
      <c r="I928" s="11"/>
    </row>
    <row r="929" spans="1:9" ht="28.5" customHeight="1" x14ac:dyDescent="0.15">
      <c r="A929" s="1"/>
      <c r="B929" s="11"/>
      <c r="C929" s="11"/>
      <c r="D929" s="11"/>
      <c r="E929" s="11"/>
      <c r="F929" s="11"/>
      <c r="G929" s="11"/>
      <c r="H929" s="11"/>
      <c r="I929" s="11"/>
    </row>
    <row r="930" spans="1:9" ht="28.5" customHeight="1" x14ac:dyDescent="0.15">
      <c r="A930" s="1"/>
      <c r="B930" s="11"/>
      <c r="C930" s="11"/>
      <c r="D930" s="11"/>
      <c r="E930" s="11"/>
      <c r="F930" s="11"/>
      <c r="G930" s="11"/>
      <c r="H930" s="11"/>
      <c r="I930" s="11"/>
    </row>
    <row r="931" spans="1:9" ht="28.5" customHeight="1" x14ac:dyDescent="0.15">
      <c r="A931" s="1"/>
      <c r="B931" s="11"/>
      <c r="C931" s="11"/>
      <c r="D931" s="11"/>
      <c r="E931" s="11"/>
      <c r="F931" s="11"/>
      <c r="G931" s="11"/>
      <c r="H931" s="11"/>
      <c r="I931" s="11"/>
    </row>
    <row r="932" spans="1:9" ht="28.5" customHeight="1" x14ac:dyDescent="0.15">
      <c r="A932" s="1"/>
      <c r="B932" s="11"/>
      <c r="C932" s="11"/>
      <c r="D932" s="11"/>
      <c r="E932" s="11"/>
      <c r="F932" s="11"/>
      <c r="G932" s="11"/>
      <c r="H932" s="11"/>
      <c r="I932" s="11"/>
    </row>
    <row r="933" spans="1:9" ht="28.5" customHeight="1" x14ac:dyDescent="0.15">
      <c r="A933" s="1"/>
      <c r="B933" s="11"/>
      <c r="C933" s="11"/>
      <c r="D933" s="11"/>
      <c r="E933" s="11"/>
      <c r="F933" s="11"/>
      <c r="G933" s="11"/>
      <c r="H933" s="11"/>
      <c r="I933" s="11"/>
    </row>
    <row r="934" spans="1:9" ht="28.5" customHeight="1" x14ac:dyDescent="0.15">
      <c r="A934" s="1"/>
      <c r="B934" s="11"/>
      <c r="C934" s="11"/>
      <c r="D934" s="11"/>
      <c r="E934" s="11"/>
      <c r="F934" s="11"/>
      <c r="G934" s="11"/>
      <c r="H934" s="11"/>
      <c r="I934" s="11"/>
    </row>
    <row r="935" spans="1:9" ht="28.5" customHeight="1" x14ac:dyDescent="0.15">
      <c r="A935" s="1"/>
      <c r="B935" s="11"/>
      <c r="C935" s="11"/>
      <c r="D935" s="11"/>
      <c r="E935" s="11"/>
      <c r="F935" s="11"/>
      <c r="G935" s="11"/>
      <c r="H935" s="11"/>
      <c r="I935" s="11"/>
    </row>
    <row r="936" spans="1:9" ht="28.5" customHeight="1" x14ac:dyDescent="0.15">
      <c r="A936" s="1"/>
      <c r="B936" s="11"/>
      <c r="C936" s="11"/>
      <c r="D936" s="11"/>
      <c r="E936" s="11"/>
      <c r="F936" s="11"/>
      <c r="G936" s="11"/>
      <c r="H936" s="11"/>
      <c r="I936" s="11"/>
    </row>
    <row r="937" spans="1:9" ht="28.5" customHeight="1" x14ac:dyDescent="0.15">
      <c r="A937" s="1"/>
      <c r="B937" s="11"/>
      <c r="C937" s="11"/>
      <c r="D937" s="11"/>
      <c r="E937" s="11"/>
      <c r="F937" s="11"/>
      <c r="G937" s="11"/>
      <c r="H937" s="11"/>
      <c r="I937" s="11"/>
    </row>
    <row r="938" spans="1:9" ht="28.5" customHeight="1" x14ac:dyDescent="0.15">
      <c r="A938" s="1"/>
      <c r="B938" s="11"/>
      <c r="C938" s="11"/>
      <c r="D938" s="11"/>
      <c r="E938" s="11"/>
      <c r="F938" s="11"/>
      <c r="G938" s="11"/>
      <c r="H938" s="11"/>
      <c r="I938" s="11"/>
    </row>
    <row r="939" spans="1:9" ht="28.5" customHeight="1" x14ac:dyDescent="0.15">
      <c r="A939" s="1"/>
      <c r="B939" s="11"/>
      <c r="C939" s="11"/>
      <c r="D939" s="11"/>
      <c r="E939" s="11"/>
      <c r="F939" s="11"/>
      <c r="G939" s="11"/>
      <c r="H939" s="11"/>
      <c r="I939" s="11"/>
    </row>
    <row r="940" spans="1:9" ht="28.5" customHeight="1" x14ac:dyDescent="0.15">
      <c r="A940" s="1"/>
      <c r="B940" s="11"/>
      <c r="C940" s="11"/>
      <c r="D940" s="11"/>
      <c r="E940" s="11"/>
      <c r="F940" s="11"/>
      <c r="G940" s="11"/>
      <c r="H940" s="11"/>
      <c r="I940" s="11"/>
    </row>
    <row r="941" spans="1:9" ht="28.5" customHeight="1" x14ac:dyDescent="0.15">
      <c r="A941" s="1"/>
      <c r="B941" s="11"/>
      <c r="C941" s="11"/>
      <c r="D941" s="11"/>
      <c r="E941" s="11"/>
      <c r="F941" s="11"/>
      <c r="G941" s="11"/>
      <c r="H941" s="11"/>
      <c r="I941" s="11"/>
    </row>
    <row r="942" spans="1:9" ht="28.5" customHeight="1" x14ac:dyDescent="0.15">
      <c r="A942" s="1"/>
      <c r="B942" s="11"/>
      <c r="C942" s="11"/>
      <c r="D942" s="11"/>
      <c r="E942" s="11"/>
      <c r="F942" s="11"/>
      <c r="G942" s="11"/>
      <c r="H942" s="11"/>
      <c r="I942" s="11"/>
    </row>
    <row r="943" spans="1:9" ht="28.5" customHeight="1" x14ac:dyDescent="0.15">
      <c r="A943" s="1"/>
      <c r="B943" s="11"/>
      <c r="C943" s="11"/>
      <c r="D943" s="11"/>
      <c r="E943" s="11"/>
      <c r="F943" s="11"/>
      <c r="G943" s="11"/>
      <c r="H943" s="11"/>
      <c r="I943" s="11"/>
    </row>
    <row r="944" spans="1:9" ht="28.5" customHeight="1" x14ac:dyDescent="0.15">
      <c r="A944" s="1"/>
      <c r="B944" s="11"/>
      <c r="C944" s="11"/>
      <c r="D944" s="11"/>
      <c r="E944" s="11"/>
      <c r="F944" s="11"/>
      <c r="G944" s="11"/>
      <c r="H944" s="11"/>
      <c r="I944" s="11"/>
    </row>
    <row r="945" spans="1:9" ht="28.5" customHeight="1" x14ac:dyDescent="0.15">
      <c r="A945" s="1"/>
      <c r="B945" s="11"/>
      <c r="C945" s="11"/>
      <c r="D945" s="11"/>
      <c r="E945" s="11"/>
      <c r="F945" s="11"/>
      <c r="G945" s="11"/>
      <c r="H945" s="11"/>
      <c r="I945" s="11"/>
    </row>
    <row r="946" spans="1:9" ht="28.5" customHeight="1" x14ac:dyDescent="0.15">
      <c r="A946" s="1"/>
      <c r="B946" s="11"/>
      <c r="C946" s="11"/>
      <c r="D946" s="11"/>
      <c r="E946" s="11"/>
      <c r="F946" s="11"/>
      <c r="G946" s="11"/>
      <c r="H946" s="11"/>
      <c r="I946" s="11"/>
    </row>
    <row r="947" spans="1:9" ht="28.5" customHeight="1" x14ac:dyDescent="0.15">
      <c r="A947" s="1"/>
      <c r="B947" s="11"/>
      <c r="C947" s="11"/>
      <c r="D947" s="11"/>
      <c r="E947" s="11"/>
      <c r="F947" s="11"/>
      <c r="G947" s="11"/>
      <c r="H947" s="11"/>
      <c r="I947" s="11"/>
    </row>
    <row r="948" spans="1:9" ht="28.5" customHeight="1" x14ac:dyDescent="0.15">
      <c r="A948" s="1"/>
      <c r="B948" s="11"/>
      <c r="C948" s="11"/>
      <c r="D948" s="11"/>
      <c r="E948" s="11"/>
      <c r="F948" s="11"/>
      <c r="G948" s="11"/>
      <c r="H948" s="11"/>
      <c r="I948" s="11"/>
    </row>
    <row r="949" spans="1:9" ht="28.5" customHeight="1" x14ac:dyDescent="0.15">
      <c r="A949" s="1"/>
      <c r="B949" s="11"/>
      <c r="C949" s="11"/>
      <c r="D949" s="11"/>
      <c r="E949" s="11"/>
      <c r="F949" s="11"/>
      <c r="G949" s="11"/>
      <c r="H949" s="11"/>
      <c r="I949" s="11"/>
    </row>
    <row r="950" spans="1:9" ht="28.5" customHeight="1" x14ac:dyDescent="0.15">
      <c r="A950" s="1"/>
      <c r="B950" s="11"/>
      <c r="C950" s="11"/>
      <c r="D950" s="11"/>
      <c r="E950" s="11"/>
      <c r="F950" s="11"/>
      <c r="G950" s="11"/>
      <c r="H950" s="11"/>
      <c r="I950" s="11"/>
    </row>
    <row r="951" spans="1:9" ht="28.5" customHeight="1" x14ac:dyDescent="0.15">
      <c r="A951" s="1"/>
      <c r="B951" s="11"/>
      <c r="C951" s="11"/>
      <c r="D951" s="11"/>
      <c r="E951" s="11"/>
      <c r="F951" s="11"/>
      <c r="G951" s="11"/>
      <c r="H951" s="11"/>
      <c r="I951" s="11"/>
    </row>
    <row r="952" spans="1:9" ht="28.5" customHeight="1" x14ac:dyDescent="0.15">
      <c r="A952" s="1"/>
      <c r="B952" s="11"/>
      <c r="C952" s="11"/>
      <c r="D952" s="11"/>
      <c r="E952" s="11"/>
      <c r="F952" s="11"/>
      <c r="G952" s="11"/>
      <c r="H952" s="11"/>
      <c r="I952" s="11"/>
    </row>
    <row r="953" spans="1:9" ht="28.5" customHeight="1" x14ac:dyDescent="0.15">
      <c r="A953" s="1"/>
      <c r="B953" s="11"/>
      <c r="C953" s="11"/>
      <c r="D953" s="11"/>
      <c r="E953" s="11"/>
      <c r="F953" s="11"/>
      <c r="G953" s="11"/>
      <c r="H953" s="11"/>
      <c r="I953" s="11"/>
    </row>
    <row r="954" spans="1:9" ht="28.5" customHeight="1" x14ac:dyDescent="0.15">
      <c r="A954" s="1"/>
      <c r="B954" s="11"/>
      <c r="C954" s="11"/>
      <c r="D954" s="11"/>
      <c r="E954" s="11"/>
      <c r="F954" s="11"/>
      <c r="G954" s="11"/>
      <c r="H954" s="11"/>
      <c r="I954" s="11"/>
    </row>
    <row r="955" spans="1:9" ht="28.5" customHeight="1" x14ac:dyDescent="0.15">
      <c r="A955" s="1"/>
      <c r="B955" s="11"/>
      <c r="C955" s="11"/>
      <c r="D955" s="11"/>
      <c r="E955" s="11"/>
      <c r="F955" s="11"/>
      <c r="G955" s="11"/>
      <c r="H955" s="11"/>
      <c r="I955" s="11"/>
    </row>
    <row r="956" spans="1:9" ht="28.5" customHeight="1" x14ac:dyDescent="0.15">
      <c r="A956" s="1"/>
      <c r="B956" s="11"/>
      <c r="C956" s="11"/>
      <c r="D956" s="11"/>
      <c r="E956" s="11"/>
      <c r="F956" s="11"/>
      <c r="G956" s="11"/>
      <c r="H956" s="11"/>
      <c r="I956" s="11"/>
    </row>
    <row r="957" spans="1:9" ht="28.5" customHeight="1" x14ac:dyDescent="0.15">
      <c r="A957" s="1"/>
      <c r="B957" s="11"/>
      <c r="C957" s="11"/>
      <c r="D957" s="11"/>
      <c r="E957" s="11"/>
      <c r="F957" s="11"/>
      <c r="G957" s="11"/>
      <c r="H957" s="11"/>
      <c r="I957" s="11"/>
    </row>
    <row r="958" spans="1:9" ht="28.5" customHeight="1" x14ac:dyDescent="0.15">
      <c r="A958" s="1"/>
      <c r="B958" s="11"/>
      <c r="C958" s="11"/>
      <c r="D958" s="11"/>
      <c r="E958" s="11"/>
      <c r="F958" s="11"/>
      <c r="G958" s="11"/>
      <c r="H958" s="11"/>
      <c r="I958" s="11"/>
    </row>
    <row r="959" spans="1:9" ht="28.5" customHeight="1" x14ac:dyDescent="0.15">
      <c r="A959" s="1"/>
      <c r="B959" s="11"/>
      <c r="C959" s="11"/>
      <c r="D959" s="11"/>
      <c r="E959" s="11"/>
      <c r="F959" s="11"/>
      <c r="G959" s="11"/>
      <c r="H959" s="11"/>
      <c r="I959" s="11"/>
    </row>
    <row r="960" spans="1:9" ht="28.5" customHeight="1" x14ac:dyDescent="0.15">
      <c r="A960" s="1"/>
      <c r="B960" s="11"/>
      <c r="C960" s="11"/>
      <c r="D960" s="11"/>
      <c r="E960" s="11"/>
      <c r="F960" s="11"/>
      <c r="G960" s="11"/>
      <c r="H960" s="11"/>
      <c r="I960" s="11"/>
    </row>
    <row r="961" spans="1:9" ht="28.5" customHeight="1" x14ac:dyDescent="0.15">
      <c r="A961" s="1"/>
      <c r="B961" s="11"/>
      <c r="C961" s="11"/>
      <c r="D961" s="11"/>
      <c r="E961" s="11"/>
      <c r="F961" s="11"/>
      <c r="G961" s="11"/>
      <c r="H961" s="11"/>
      <c r="I961" s="11"/>
    </row>
    <row r="962" spans="1:9" ht="28.5" customHeight="1" x14ac:dyDescent="0.15">
      <c r="A962" s="1"/>
      <c r="B962" s="11"/>
      <c r="C962" s="11"/>
      <c r="D962" s="11"/>
      <c r="E962" s="11"/>
      <c r="F962" s="11"/>
      <c r="G962" s="11"/>
      <c r="H962" s="11"/>
      <c r="I962" s="11"/>
    </row>
    <row r="963" spans="1:9" ht="28.5" customHeight="1" x14ac:dyDescent="0.15">
      <c r="A963" s="1"/>
      <c r="B963" s="11"/>
      <c r="C963" s="11"/>
      <c r="D963" s="11"/>
      <c r="E963" s="11"/>
      <c r="F963" s="11"/>
      <c r="G963" s="11"/>
      <c r="H963" s="11"/>
      <c r="I963" s="11"/>
    </row>
    <row r="964" spans="1:9" ht="28.5" customHeight="1" x14ac:dyDescent="0.15">
      <c r="A964" s="1"/>
      <c r="B964" s="11"/>
      <c r="C964" s="11"/>
      <c r="D964" s="11"/>
      <c r="E964" s="11"/>
      <c r="F964" s="11"/>
      <c r="G964" s="11"/>
      <c r="H964" s="11"/>
      <c r="I964" s="11"/>
    </row>
    <row r="965" spans="1:9" ht="28.5" customHeight="1" x14ac:dyDescent="0.15">
      <c r="A965" s="1"/>
      <c r="B965" s="11"/>
      <c r="C965" s="11"/>
      <c r="D965" s="11"/>
      <c r="E965" s="11"/>
      <c r="F965" s="11"/>
      <c r="G965" s="11"/>
      <c r="H965" s="11"/>
      <c r="I965" s="11"/>
    </row>
    <row r="966" spans="1:9" ht="28.5" customHeight="1" x14ac:dyDescent="0.15">
      <c r="A966" s="1"/>
      <c r="B966" s="11"/>
      <c r="C966" s="11"/>
      <c r="D966" s="11"/>
      <c r="E966" s="11"/>
      <c r="F966" s="11"/>
      <c r="G966" s="11"/>
      <c r="H966" s="11"/>
      <c r="I966" s="11"/>
    </row>
    <row r="967" spans="1:9" ht="28.5" customHeight="1" x14ac:dyDescent="0.15">
      <c r="A967" s="1"/>
      <c r="B967" s="11"/>
      <c r="C967" s="11"/>
      <c r="D967" s="11"/>
      <c r="E967" s="11"/>
      <c r="F967" s="11"/>
      <c r="G967" s="11"/>
      <c r="H967" s="11"/>
      <c r="I967" s="11"/>
    </row>
    <row r="968" spans="1:9" ht="28.5" customHeight="1" x14ac:dyDescent="0.15">
      <c r="A968" s="1"/>
      <c r="B968" s="11"/>
      <c r="C968" s="11"/>
      <c r="D968" s="11"/>
      <c r="E968" s="11"/>
      <c r="F968" s="11"/>
      <c r="G968" s="11"/>
      <c r="H968" s="11"/>
      <c r="I968" s="11"/>
    </row>
    <row r="969" spans="1:9" ht="28.5" customHeight="1" x14ac:dyDescent="0.15">
      <c r="A969" s="1"/>
      <c r="B969" s="11"/>
      <c r="C969" s="11"/>
      <c r="D969" s="11"/>
      <c r="E969" s="11"/>
      <c r="F969" s="11"/>
      <c r="G969" s="11"/>
      <c r="H969" s="11"/>
      <c r="I969" s="11"/>
    </row>
    <row r="970" spans="1:9" ht="28.5" customHeight="1" x14ac:dyDescent="0.15">
      <c r="A970" s="1"/>
      <c r="B970" s="11"/>
      <c r="C970" s="11"/>
      <c r="D970" s="11"/>
      <c r="E970" s="11"/>
      <c r="F970" s="11"/>
      <c r="G970" s="11"/>
      <c r="H970" s="11"/>
      <c r="I970" s="11"/>
    </row>
    <row r="971" spans="1:9" ht="28.5" customHeight="1" x14ac:dyDescent="0.15">
      <c r="A971" s="1"/>
      <c r="B971" s="11"/>
      <c r="C971" s="11"/>
      <c r="D971" s="11"/>
      <c r="E971" s="11"/>
      <c r="F971" s="11"/>
      <c r="G971" s="11"/>
      <c r="H971" s="11"/>
      <c r="I971" s="11"/>
    </row>
    <row r="972" spans="1:9" ht="28.5" customHeight="1" x14ac:dyDescent="0.15">
      <c r="A972" s="1"/>
      <c r="B972" s="11"/>
      <c r="C972" s="11"/>
      <c r="D972" s="11"/>
      <c r="E972" s="11"/>
      <c r="F972" s="11"/>
      <c r="G972" s="11"/>
      <c r="H972" s="11"/>
      <c r="I972" s="11"/>
    </row>
    <row r="973" spans="1:9" ht="28.5" customHeight="1" x14ac:dyDescent="0.15">
      <c r="A973" s="1"/>
      <c r="B973" s="11"/>
      <c r="C973" s="11"/>
      <c r="D973" s="11"/>
      <c r="E973" s="11"/>
      <c r="F973" s="11"/>
      <c r="G973" s="11"/>
      <c r="H973" s="11"/>
      <c r="I973" s="11"/>
    </row>
    <row r="974" spans="1:9" ht="28.5" customHeight="1" x14ac:dyDescent="0.15">
      <c r="A974" s="1"/>
      <c r="B974" s="11"/>
      <c r="C974" s="11"/>
      <c r="D974" s="11"/>
      <c r="E974" s="11"/>
      <c r="F974" s="11"/>
      <c r="G974" s="11"/>
      <c r="H974" s="11"/>
      <c r="I974" s="11"/>
    </row>
    <row r="975" spans="1:9" ht="28.5" customHeight="1" x14ac:dyDescent="0.15">
      <c r="A975" s="1"/>
      <c r="B975" s="11"/>
      <c r="C975" s="11"/>
      <c r="D975" s="11"/>
      <c r="E975" s="11"/>
      <c r="F975" s="11"/>
      <c r="G975" s="11"/>
      <c r="H975" s="11"/>
      <c r="I975" s="11"/>
    </row>
    <row r="976" spans="1:9" ht="28.5" customHeight="1" x14ac:dyDescent="0.15">
      <c r="A976" s="1"/>
      <c r="B976" s="11"/>
      <c r="C976" s="11"/>
      <c r="D976" s="11"/>
      <c r="E976" s="11"/>
      <c r="F976" s="11"/>
      <c r="G976" s="11"/>
      <c r="H976" s="11"/>
      <c r="I976" s="11"/>
    </row>
    <row r="977" spans="1:9" ht="28.5" customHeight="1" x14ac:dyDescent="0.15">
      <c r="A977" s="1"/>
      <c r="B977" s="11"/>
      <c r="C977" s="11"/>
      <c r="D977" s="11"/>
      <c r="E977" s="11"/>
      <c r="F977" s="11"/>
      <c r="G977" s="11"/>
      <c r="H977" s="11"/>
      <c r="I977" s="11"/>
    </row>
    <row r="978" spans="1:9" ht="28.5" customHeight="1" x14ac:dyDescent="0.15">
      <c r="A978" s="1"/>
      <c r="B978" s="11"/>
      <c r="C978" s="11"/>
      <c r="D978" s="11"/>
      <c r="E978" s="11"/>
      <c r="F978" s="11"/>
      <c r="G978" s="11"/>
      <c r="H978" s="11"/>
      <c r="I978" s="11"/>
    </row>
    <row r="979" spans="1:9" ht="28.5" customHeight="1" x14ac:dyDescent="0.15">
      <c r="A979" s="1"/>
      <c r="B979" s="11"/>
      <c r="C979" s="11"/>
      <c r="D979" s="11"/>
      <c r="E979" s="11"/>
      <c r="F979" s="11"/>
      <c r="G979" s="11"/>
      <c r="H979" s="11"/>
      <c r="I979" s="11"/>
    </row>
    <row r="980" spans="1:9" ht="28.5" customHeight="1" x14ac:dyDescent="0.15">
      <c r="A980" s="1"/>
      <c r="B980" s="11"/>
      <c r="C980" s="11"/>
      <c r="D980" s="11"/>
      <c r="E980" s="11"/>
      <c r="F980" s="11"/>
      <c r="G980" s="11"/>
      <c r="H980" s="11"/>
      <c r="I980" s="11"/>
    </row>
    <row r="981" spans="1:9" ht="28.5" customHeight="1" x14ac:dyDescent="0.15">
      <c r="A981" s="1"/>
      <c r="B981" s="11"/>
      <c r="C981" s="11"/>
      <c r="D981" s="11"/>
      <c r="E981" s="11"/>
      <c r="F981" s="11"/>
      <c r="G981" s="11"/>
      <c r="H981" s="11"/>
      <c r="I981" s="11"/>
    </row>
    <row r="982" spans="1:9" ht="28.5" customHeight="1" x14ac:dyDescent="0.15">
      <c r="A982" s="1"/>
      <c r="B982" s="11"/>
      <c r="C982" s="11"/>
      <c r="D982" s="11"/>
      <c r="E982" s="11"/>
      <c r="F982" s="11"/>
      <c r="G982" s="11"/>
      <c r="H982" s="11"/>
      <c r="I982" s="11"/>
    </row>
    <row r="983" spans="1:9" ht="28.5" customHeight="1" x14ac:dyDescent="0.15">
      <c r="A983" s="1"/>
      <c r="B983" s="11"/>
      <c r="C983" s="11"/>
      <c r="D983" s="11"/>
      <c r="E983" s="11"/>
      <c r="F983" s="11"/>
      <c r="G983" s="11"/>
      <c r="H983" s="11"/>
      <c r="I983" s="11"/>
    </row>
    <row r="984" spans="1:9" ht="28.5" customHeight="1" x14ac:dyDescent="0.15">
      <c r="A984" s="1"/>
      <c r="B984" s="11"/>
      <c r="C984" s="11"/>
      <c r="D984" s="11"/>
      <c r="E984" s="11"/>
      <c r="F984" s="11"/>
      <c r="G984" s="11"/>
      <c r="H984" s="11"/>
      <c r="I984" s="11"/>
    </row>
    <row r="985" spans="1:9" ht="28.5" customHeight="1" x14ac:dyDescent="0.15">
      <c r="A985" s="1"/>
      <c r="B985" s="11"/>
      <c r="C985" s="11"/>
      <c r="D985" s="11"/>
      <c r="E985" s="11"/>
      <c r="F985" s="11"/>
      <c r="G985" s="11"/>
      <c r="H985" s="11"/>
      <c r="I985" s="11"/>
    </row>
    <row r="986" spans="1:9" ht="28.5" customHeight="1" x14ac:dyDescent="0.15">
      <c r="A986" s="1"/>
      <c r="B986" s="11"/>
      <c r="C986" s="11"/>
      <c r="D986" s="11"/>
      <c r="E986" s="11"/>
      <c r="F986" s="11"/>
      <c r="G986" s="11"/>
      <c r="H986" s="11"/>
      <c r="I986" s="11"/>
    </row>
    <row r="987" spans="1:9" ht="28.5" customHeight="1" x14ac:dyDescent="0.15">
      <c r="A987" s="1"/>
      <c r="B987" s="11"/>
      <c r="C987" s="11"/>
      <c r="D987" s="11"/>
      <c r="E987" s="11"/>
      <c r="F987" s="11"/>
      <c r="G987" s="11"/>
      <c r="H987" s="11"/>
      <c r="I987" s="11"/>
    </row>
    <row r="988" spans="1:9" ht="28.5" customHeight="1" x14ac:dyDescent="0.15">
      <c r="A988" s="1"/>
      <c r="B988" s="11"/>
      <c r="C988" s="11"/>
      <c r="D988" s="11"/>
      <c r="E988" s="11"/>
      <c r="F988" s="11"/>
      <c r="G988" s="11"/>
      <c r="H988" s="11"/>
      <c r="I988" s="11"/>
    </row>
    <row r="989" spans="1:9" ht="28.5" customHeight="1" x14ac:dyDescent="0.15">
      <c r="A989" s="1"/>
      <c r="B989" s="11"/>
      <c r="C989" s="11"/>
      <c r="D989" s="11"/>
      <c r="E989" s="11"/>
      <c r="F989" s="11"/>
      <c r="G989" s="11"/>
      <c r="H989" s="11"/>
      <c r="I989" s="11"/>
    </row>
    <row r="990" spans="1:9" ht="28.5" customHeight="1" x14ac:dyDescent="0.15">
      <c r="A990" s="1"/>
      <c r="B990" s="11"/>
      <c r="C990" s="11"/>
      <c r="D990" s="11"/>
      <c r="E990" s="11"/>
      <c r="F990" s="11"/>
      <c r="G990" s="11"/>
      <c r="H990" s="11"/>
      <c r="I990" s="11"/>
    </row>
    <row r="991" spans="1:9" ht="28.5" customHeight="1" x14ac:dyDescent="0.15">
      <c r="A991" s="1"/>
      <c r="B991" s="11"/>
      <c r="C991" s="11"/>
      <c r="D991" s="11"/>
      <c r="E991" s="11"/>
      <c r="F991" s="11"/>
      <c r="G991" s="11"/>
      <c r="H991" s="11"/>
      <c r="I991" s="11"/>
    </row>
    <row r="992" spans="1:9" ht="28.5" customHeight="1" x14ac:dyDescent="0.15">
      <c r="A992" s="1"/>
      <c r="B992" s="11"/>
      <c r="C992" s="11"/>
      <c r="D992" s="11"/>
      <c r="E992" s="11"/>
      <c r="F992" s="11"/>
      <c r="G992" s="11"/>
      <c r="H992" s="11"/>
      <c r="I992" s="11"/>
    </row>
    <row r="993" spans="1:9" ht="28.5" customHeight="1" x14ac:dyDescent="0.15">
      <c r="A993" s="1"/>
      <c r="B993" s="11"/>
      <c r="C993" s="11"/>
      <c r="D993" s="11"/>
      <c r="E993" s="11"/>
      <c r="F993" s="11"/>
      <c r="G993" s="11"/>
      <c r="H993" s="11"/>
      <c r="I993" s="11"/>
    </row>
    <row r="994" spans="1:9" ht="28.5" customHeight="1" x14ac:dyDescent="0.15">
      <c r="A994" s="1"/>
      <c r="B994" s="11"/>
      <c r="C994" s="11"/>
      <c r="D994" s="11"/>
      <c r="E994" s="11"/>
      <c r="F994" s="11"/>
      <c r="G994" s="11"/>
      <c r="H994" s="11"/>
      <c r="I994" s="11"/>
    </row>
    <row r="995" spans="1:9" ht="28.5" customHeight="1" x14ac:dyDescent="0.15">
      <c r="A995" s="1"/>
      <c r="B995" s="11"/>
      <c r="C995" s="11"/>
      <c r="D995" s="11"/>
      <c r="E995" s="11"/>
      <c r="F995" s="11"/>
      <c r="G995" s="11"/>
      <c r="H995" s="11"/>
      <c r="I995" s="11"/>
    </row>
    <row r="996" spans="1:9" ht="28.5" customHeight="1" x14ac:dyDescent="0.15">
      <c r="A996" s="1"/>
      <c r="B996" s="11"/>
      <c r="C996" s="11"/>
      <c r="D996" s="11"/>
      <c r="E996" s="11"/>
      <c r="F996" s="11"/>
      <c r="G996" s="11"/>
      <c r="H996" s="11"/>
      <c r="I996" s="11"/>
    </row>
    <row r="997" spans="1:9" ht="28.5" customHeight="1" x14ac:dyDescent="0.15">
      <c r="A997" s="1"/>
      <c r="B997" s="11"/>
      <c r="C997" s="11"/>
      <c r="D997" s="11"/>
      <c r="E997" s="11"/>
      <c r="F997" s="11"/>
      <c r="G997" s="11"/>
      <c r="H997" s="11"/>
      <c r="I997" s="11"/>
    </row>
    <row r="998" spans="1:9" ht="28.5" customHeight="1" x14ac:dyDescent="0.15">
      <c r="A998" s="1"/>
      <c r="B998" s="11"/>
      <c r="C998" s="11"/>
      <c r="D998" s="11"/>
      <c r="E998" s="11"/>
      <c r="F998" s="11"/>
      <c r="G998" s="11"/>
      <c r="H998" s="11"/>
      <c r="I998" s="11"/>
    </row>
    <row r="999" spans="1:9" ht="28.5" customHeight="1" x14ac:dyDescent="0.15">
      <c r="A999" s="1"/>
      <c r="B999" s="11"/>
      <c r="C999" s="11"/>
      <c r="D999" s="11"/>
      <c r="E999" s="11"/>
      <c r="F999" s="11"/>
      <c r="G999" s="11"/>
      <c r="H999" s="11"/>
      <c r="I999" s="11"/>
    </row>
    <row r="1000" spans="1:9" ht="28.5" customHeight="1" x14ac:dyDescent="0.15">
      <c r="A1000" s="1"/>
      <c r="B1000" s="11"/>
      <c r="C1000" s="11"/>
      <c r="D1000" s="11"/>
      <c r="E1000" s="11"/>
      <c r="F1000" s="11"/>
      <c r="G1000" s="11"/>
      <c r="H1000" s="11"/>
      <c r="I1000" s="11"/>
    </row>
    <row r="1001" spans="1:9" ht="28.5" customHeight="1" x14ac:dyDescent="0.15">
      <c r="A1001" s="1"/>
      <c r="B1001" s="11"/>
      <c r="C1001" s="11"/>
      <c r="D1001" s="11"/>
      <c r="E1001" s="11"/>
      <c r="F1001" s="11"/>
      <c r="G1001" s="11"/>
      <c r="H1001" s="11"/>
      <c r="I1001" s="11"/>
    </row>
  </sheetData>
  <mergeCells count="1">
    <mergeCell ref="A1:I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Y996"/>
  <sheetViews>
    <sheetView workbookViewId="0"/>
  </sheetViews>
  <sheetFormatPr baseColWidth="10" defaultColWidth="12.6640625" defaultRowHeight="15.75" customHeight="1" x14ac:dyDescent="0.15"/>
  <cols>
    <col min="1" max="1" width="17" customWidth="1"/>
    <col min="2" max="2" width="10.83203125" customWidth="1"/>
    <col min="3" max="3" width="9.83203125" customWidth="1"/>
    <col min="4" max="4" width="12.5" customWidth="1"/>
    <col min="5" max="5" width="27.33203125" customWidth="1"/>
    <col min="6" max="6" width="21.1640625" customWidth="1"/>
    <col min="7" max="7" width="26.5" customWidth="1"/>
    <col min="8" max="8" width="76.6640625" customWidth="1"/>
    <col min="9" max="9" width="16.83203125" customWidth="1"/>
    <col min="10" max="10" width="4.1640625" customWidth="1"/>
    <col min="11" max="11" width="12.6640625" customWidth="1"/>
    <col min="12" max="12" width="4.6640625" customWidth="1"/>
    <col min="13" max="13" width="25.6640625" customWidth="1"/>
    <col min="14" max="14" width="41.5" customWidth="1"/>
    <col min="15" max="15" width="31.5" customWidth="1"/>
    <col min="16" max="16" width="14.83203125" customWidth="1"/>
    <col min="17" max="17" width="15.1640625" customWidth="1"/>
    <col min="18" max="18" width="13.1640625" customWidth="1"/>
    <col min="19" max="19" width="12.6640625" customWidth="1"/>
    <col min="20" max="20" width="10.1640625" customWidth="1"/>
  </cols>
  <sheetData>
    <row r="1" spans="1:25" ht="30.75" customHeight="1" x14ac:dyDescent="0.15">
      <c r="A1" s="56" t="s">
        <v>25</v>
      </c>
      <c r="B1" s="56" t="s">
        <v>26</v>
      </c>
      <c r="C1" s="57" t="s">
        <v>27</v>
      </c>
      <c r="D1" s="57" t="s">
        <v>28</v>
      </c>
      <c r="E1" s="58" t="s">
        <v>3869</v>
      </c>
      <c r="F1" s="57" t="s">
        <v>3870</v>
      </c>
      <c r="G1" s="57" t="s">
        <v>3871</v>
      </c>
      <c r="H1" s="57" t="s">
        <v>3872</v>
      </c>
      <c r="I1" s="57" t="s">
        <v>33</v>
      </c>
      <c r="J1" s="57" t="s">
        <v>34</v>
      </c>
      <c r="K1" s="57" t="s">
        <v>35</v>
      </c>
      <c r="L1" s="57" t="s">
        <v>36</v>
      </c>
      <c r="M1" s="57" t="s">
        <v>3873</v>
      </c>
      <c r="N1" s="57" t="s">
        <v>96</v>
      </c>
      <c r="O1" s="57" t="s">
        <v>3874</v>
      </c>
      <c r="P1" s="57" t="s">
        <v>39</v>
      </c>
      <c r="Q1" s="15" t="s">
        <v>24</v>
      </c>
      <c r="R1" s="14" t="s">
        <v>1</v>
      </c>
      <c r="S1" s="15" t="s">
        <v>113</v>
      </c>
      <c r="T1" s="15" t="s">
        <v>114</v>
      </c>
      <c r="U1" s="59"/>
      <c r="V1" s="59"/>
      <c r="W1" s="59"/>
      <c r="X1" s="59"/>
      <c r="Y1" s="59"/>
    </row>
    <row r="2" spans="1:25" ht="30.75" customHeight="1" x14ac:dyDescent="0.15">
      <c r="A2" s="59" t="str">
        <f ca="1">IFERROR(__xludf.DUMMYFUNCTION("QUERY(MasterData!A1:NK11244,""select D,E,F,G,H,I,J,K,L,M,N,O,P,Q,R,B,C,FL,FM where C='S1: Student Journal Pub.'"",0)"),"#N/A")</f>
        <v>#N/A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</row>
    <row r="3" spans="1:25" ht="30.75" customHeight="1" x14ac:dyDescent="0.15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</row>
    <row r="4" spans="1:25" ht="30.75" customHeight="1" x14ac:dyDescent="0.15">
      <c r="A4" s="59"/>
      <c r="B4" s="59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</row>
    <row r="5" spans="1:25" ht="30.75" customHeight="1" x14ac:dyDescent="0.15">
      <c r="A5" s="59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</row>
    <row r="6" spans="1:25" ht="30.75" customHeight="1" x14ac:dyDescent="0.15">
      <c r="A6" s="59"/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</row>
    <row r="7" spans="1:25" ht="30.75" customHeight="1" x14ac:dyDescent="0.15">
      <c r="A7" s="59"/>
      <c r="B7" s="59"/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</row>
    <row r="8" spans="1:25" ht="30.75" customHeight="1" x14ac:dyDescent="0.15">
      <c r="A8" s="59"/>
      <c r="B8" s="59"/>
      <c r="C8" s="59"/>
      <c r="D8" s="59"/>
      <c r="E8" s="59"/>
      <c r="F8" s="59"/>
      <c r="G8" s="59"/>
      <c r="H8" s="59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</row>
    <row r="9" spans="1:25" ht="30.75" customHeight="1" x14ac:dyDescent="0.15">
      <c r="A9" s="59"/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</row>
    <row r="10" spans="1:25" ht="30.75" customHeight="1" x14ac:dyDescent="0.15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</row>
    <row r="11" spans="1:25" ht="30.75" customHeight="1" x14ac:dyDescent="0.15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</row>
    <row r="12" spans="1:25" ht="30.75" customHeight="1" x14ac:dyDescent="0.15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</row>
    <row r="13" spans="1:25" ht="30.75" customHeight="1" x14ac:dyDescent="0.15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</row>
    <row r="14" spans="1:25" ht="30.75" customHeight="1" x14ac:dyDescent="0.15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</row>
    <row r="15" spans="1:25" ht="30.75" customHeight="1" x14ac:dyDescent="0.15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</row>
    <row r="16" spans="1:25" ht="30.75" customHeight="1" x14ac:dyDescent="0.15">
      <c r="A16" s="59"/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</row>
    <row r="17" spans="1:25" ht="30.75" customHeight="1" x14ac:dyDescent="0.15">
      <c r="A17" s="59"/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</row>
    <row r="18" spans="1:25" ht="30.75" customHeight="1" x14ac:dyDescent="0.15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</row>
    <row r="19" spans="1:25" ht="30.75" customHeight="1" x14ac:dyDescent="0.15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</row>
    <row r="20" spans="1:25" ht="30.75" customHeight="1" x14ac:dyDescent="0.15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</row>
    <row r="21" spans="1:25" ht="30.75" customHeight="1" x14ac:dyDescent="0.1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</row>
    <row r="22" spans="1:25" ht="30.75" customHeight="1" x14ac:dyDescent="0.1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</row>
    <row r="23" spans="1:25" ht="30.75" customHeight="1" x14ac:dyDescent="0.15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</row>
    <row r="24" spans="1:25" ht="30.75" customHeight="1" x14ac:dyDescent="0.15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</row>
    <row r="25" spans="1:25" ht="30.75" customHeight="1" x14ac:dyDescent="0.15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</row>
    <row r="26" spans="1:25" ht="30.75" customHeight="1" x14ac:dyDescent="0.15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</row>
    <row r="27" spans="1:25" ht="30.75" customHeight="1" x14ac:dyDescent="0.15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</row>
    <row r="28" spans="1:25" ht="30.75" customHeight="1" x14ac:dyDescent="0.15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</row>
    <row r="29" spans="1:25" ht="30.75" customHeight="1" x14ac:dyDescent="0.15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</row>
    <row r="30" spans="1:25" ht="30.75" customHeight="1" x14ac:dyDescent="0.15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</row>
    <row r="31" spans="1:25" ht="30.75" customHeight="1" x14ac:dyDescent="0.15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</row>
    <row r="32" spans="1:25" ht="30.75" customHeight="1" x14ac:dyDescent="0.15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</row>
    <row r="33" spans="1:25" ht="30.75" customHeight="1" x14ac:dyDescent="0.15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</row>
    <row r="34" spans="1:25" ht="30.75" customHeight="1" x14ac:dyDescent="0.15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</row>
    <row r="35" spans="1:25" ht="30.75" customHeight="1" x14ac:dyDescent="0.15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</row>
    <row r="36" spans="1:25" ht="30.75" customHeight="1" x14ac:dyDescent="0.15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</row>
    <row r="37" spans="1:25" ht="30.75" customHeight="1" x14ac:dyDescent="0.15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</row>
    <row r="38" spans="1:25" ht="30.75" customHeight="1" x14ac:dyDescent="0.15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</row>
    <row r="39" spans="1:25" ht="30.75" customHeight="1" x14ac:dyDescent="0.15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</row>
    <row r="40" spans="1:25" ht="30.75" customHeight="1" x14ac:dyDescent="0.15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</row>
    <row r="41" spans="1:25" ht="30.75" customHeight="1" x14ac:dyDescent="0.15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</row>
    <row r="42" spans="1:25" ht="30.75" customHeight="1" x14ac:dyDescent="0.15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</row>
    <row r="43" spans="1:25" ht="30.75" customHeight="1" x14ac:dyDescent="0.15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</row>
    <row r="44" spans="1:25" ht="30.75" customHeight="1" x14ac:dyDescent="0.15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</row>
    <row r="45" spans="1:25" ht="30.75" customHeight="1" x14ac:dyDescent="0.15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</row>
    <row r="46" spans="1:25" ht="30.75" customHeight="1" x14ac:dyDescent="0.15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</row>
    <row r="47" spans="1:25" ht="30.75" customHeight="1" x14ac:dyDescent="0.15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</row>
    <row r="48" spans="1:25" ht="30.75" customHeight="1" x14ac:dyDescent="0.15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</row>
    <row r="49" spans="1:25" ht="30.75" customHeight="1" x14ac:dyDescent="0.15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</row>
    <row r="50" spans="1:25" ht="30.75" customHeight="1" x14ac:dyDescent="0.15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</row>
    <row r="51" spans="1:25" ht="30.75" customHeight="1" x14ac:dyDescent="0.15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</row>
    <row r="52" spans="1:25" ht="30.75" customHeight="1" x14ac:dyDescent="0.15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</row>
    <row r="53" spans="1:25" ht="30.75" customHeight="1" x14ac:dyDescent="0.15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</row>
    <row r="54" spans="1:25" ht="30.75" customHeight="1" x14ac:dyDescent="0.15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</row>
    <row r="55" spans="1:25" ht="30.75" customHeight="1" x14ac:dyDescent="0.15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</row>
    <row r="56" spans="1:25" ht="30.75" customHeight="1" x14ac:dyDescent="0.15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</row>
    <row r="57" spans="1:25" ht="30.75" customHeight="1" x14ac:dyDescent="0.15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</row>
    <row r="58" spans="1:25" ht="30.75" customHeight="1" x14ac:dyDescent="0.15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</row>
    <row r="59" spans="1:25" ht="30.75" customHeight="1" x14ac:dyDescent="0.15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</row>
    <row r="60" spans="1:25" ht="30.75" customHeight="1" x14ac:dyDescent="0.15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</row>
    <row r="61" spans="1:25" ht="30.75" customHeight="1" x14ac:dyDescent="0.15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</row>
    <row r="62" spans="1:25" ht="30.75" customHeight="1" x14ac:dyDescent="0.15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</row>
    <row r="63" spans="1:25" ht="30.75" customHeight="1" x14ac:dyDescent="0.15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</row>
    <row r="64" spans="1:25" ht="30.75" customHeight="1" x14ac:dyDescent="0.15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</row>
    <row r="65" spans="1:25" ht="30.75" customHeight="1" x14ac:dyDescent="0.15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</row>
    <row r="66" spans="1:25" ht="30.75" customHeight="1" x14ac:dyDescent="0.15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</row>
    <row r="67" spans="1:25" ht="30.75" customHeight="1" x14ac:dyDescent="0.15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</row>
    <row r="68" spans="1:25" ht="30.75" customHeight="1" x14ac:dyDescent="0.15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</row>
    <row r="69" spans="1:25" ht="30.75" customHeight="1" x14ac:dyDescent="0.15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</row>
    <row r="70" spans="1:25" ht="30.75" customHeight="1" x14ac:dyDescent="0.15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</row>
    <row r="71" spans="1:25" ht="30.75" customHeight="1" x14ac:dyDescent="0.15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</row>
    <row r="72" spans="1:25" ht="30.75" customHeight="1" x14ac:dyDescent="0.15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</row>
    <row r="73" spans="1:25" ht="30.75" customHeight="1" x14ac:dyDescent="0.15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</row>
    <row r="74" spans="1:25" ht="30.75" customHeight="1" x14ac:dyDescent="0.15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</row>
    <row r="75" spans="1:25" ht="30.75" customHeight="1" x14ac:dyDescent="0.15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</row>
    <row r="76" spans="1:25" ht="30.75" customHeight="1" x14ac:dyDescent="0.15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</row>
    <row r="77" spans="1:25" ht="30.75" customHeight="1" x14ac:dyDescent="0.15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</row>
    <row r="78" spans="1:25" ht="30.75" customHeight="1" x14ac:dyDescent="0.15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</row>
    <row r="79" spans="1:25" ht="30.75" customHeight="1" x14ac:dyDescent="0.15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</row>
    <row r="80" spans="1:25" ht="30.75" customHeight="1" x14ac:dyDescent="0.15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</row>
    <row r="81" spans="1:25" ht="30.75" customHeight="1" x14ac:dyDescent="0.15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</row>
    <row r="82" spans="1:25" ht="30.75" customHeight="1" x14ac:dyDescent="0.15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</row>
    <row r="83" spans="1:25" ht="30.75" customHeight="1" x14ac:dyDescent="0.15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</row>
    <row r="84" spans="1:25" ht="30.75" customHeight="1" x14ac:dyDescent="0.15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</row>
    <row r="85" spans="1:25" ht="30.75" customHeight="1" x14ac:dyDescent="0.15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</row>
    <row r="86" spans="1:25" ht="30.75" customHeight="1" x14ac:dyDescent="0.15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</row>
    <row r="87" spans="1:25" ht="30.75" customHeight="1" x14ac:dyDescent="0.15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</row>
    <row r="88" spans="1:25" ht="30.75" customHeight="1" x14ac:dyDescent="0.15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</row>
    <row r="89" spans="1:25" ht="30.75" customHeight="1" x14ac:dyDescent="0.15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</row>
    <row r="90" spans="1:25" ht="30.75" customHeight="1" x14ac:dyDescent="0.15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</row>
    <row r="91" spans="1:25" ht="30.75" customHeight="1" x14ac:dyDescent="0.15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</row>
    <row r="92" spans="1:25" ht="30.75" customHeight="1" x14ac:dyDescent="0.15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</row>
    <row r="93" spans="1:25" ht="30.75" customHeight="1" x14ac:dyDescent="0.15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</row>
    <row r="94" spans="1:25" ht="30.75" customHeight="1" x14ac:dyDescent="0.15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</row>
    <row r="95" spans="1:25" ht="30.75" customHeight="1" x14ac:dyDescent="0.15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</row>
    <row r="96" spans="1:25" ht="30.75" customHeight="1" x14ac:dyDescent="0.15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</row>
    <row r="97" spans="1:25" ht="30.75" customHeight="1" x14ac:dyDescent="0.15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</row>
    <row r="98" spans="1:25" ht="30.75" customHeight="1" x14ac:dyDescent="0.15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</row>
    <row r="99" spans="1:25" ht="30.75" customHeight="1" x14ac:dyDescent="0.15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</row>
    <row r="100" spans="1:25" ht="30.75" customHeight="1" x14ac:dyDescent="0.15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</row>
    <row r="101" spans="1:25" ht="30.75" customHeight="1" x14ac:dyDescent="0.15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</row>
    <row r="102" spans="1:25" ht="30.75" customHeight="1" x14ac:dyDescent="0.15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</row>
    <row r="103" spans="1:25" ht="30.75" customHeight="1" x14ac:dyDescent="0.15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</row>
    <row r="104" spans="1:25" ht="30.75" customHeight="1" x14ac:dyDescent="0.15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</row>
    <row r="105" spans="1:25" ht="30.75" customHeight="1" x14ac:dyDescent="0.15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</row>
    <row r="106" spans="1:25" ht="30.75" customHeight="1" x14ac:dyDescent="0.15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</row>
    <row r="107" spans="1:25" ht="30.75" customHeight="1" x14ac:dyDescent="0.15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</row>
    <row r="108" spans="1:25" ht="30.75" customHeight="1" x14ac:dyDescent="0.15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</row>
    <row r="109" spans="1:25" ht="30.75" customHeight="1" x14ac:dyDescent="0.15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</row>
    <row r="110" spans="1:25" ht="30.75" customHeight="1" x14ac:dyDescent="0.15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</row>
    <row r="111" spans="1:25" ht="30.75" customHeight="1" x14ac:dyDescent="0.15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</row>
    <row r="112" spans="1:25" ht="30.75" customHeight="1" x14ac:dyDescent="0.15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</row>
    <row r="113" spans="1:25" ht="30.75" customHeight="1" x14ac:dyDescent="0.15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</row>
    <row r="114" spans="1:25" ht="30.75" customHeight="1" x14ac:dyDescent="0.15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</row>
    <row r="115" spans="1:25" ht="30.75" customHeight="1" x14ac:dyDescent="0.15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</row>
    <row r="116" spans="1:25" ht="30.75" customHeight="1" x14ac:dyDescent="0.15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</row>
    <row r="117" spans="1:25" ht="30.75" customHeight="1" x14ac:dyDescent="0.15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</row>
    <row r="118" spans="1:25" ht="30.75" customHeight="1" x14ac:dyDescent="0.15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</row>
    <row r="119" spans="1:25" ht="30.75" customHeight="1" x14ac:dyDescent="0.15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</row>
    <row r="120" spans="1:25" ht="30.75" customHeight="1" x14ac:dyDescent="0.15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</row>
    <row r="121" spans="1:25" ht="30.75" customHeight="1" x14ac:dyDescent="0.15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</row>
    <row r="122" spans="1:25" ht="30.75" customHeight="1" x14ac:dyDescent="0.15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</row>
    <row r="123" spans="1:25" ht="30.75" customHeight="1" x14ac:dyDescent="0.15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</row>
    <row r="124" spans="1:25" ht="30.75" customHeight="1" x14ac:dyDescent="0.15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</row>
    <row r="125" spans="1:25" ht="30.75" customHeight="1" x14ac:dyDescent="0.15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</row>
    <row r="126" spans="1:25" ht="30.75" customHeight="1" x14ac:dyDescent="0.15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</row>
    <row r="127" spans="1:25" ht="30.75" customHeight="1" x14ac:dyDescent="0.15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</row>
    <row r="128" spans="1:25" ht="30.75" customHeight="1" x14ac:dyDescent="0.15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</row>
    <row r="129" spans="1:25" ht="30.75" customHeight="1" x14ac:dyDescent="0.15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</row>
    <row r="130" spans="1:25" ht="30.75" customHeight="1" x14ac:dyDescent="0.15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</row>
    <row r="131" spans="1:25" ht="30.75" customHeight="1" x14ac:dyDescent="0.15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</row>
    <row r="132" spans="1:25" ht="30.75" customHeight="1" x14ac:dyDescent="0.15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</row>
    <row r="133" spans="1:25" ht="30.75" customHeight="1" x14ac:dyDescent="0.15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</row>
    <row r="134" spans="1:25" ht="30.75" customHeight="1" x14ac:dyDescent="0.15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</row>
    <row r="135" spans="1:25" ht="30.75" customHeight="1" x14ac:dyDescent="0.15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</row>
    <row r="136" spans="1:25" ht="30.75" customHeight="1" x14ac:dyDescent="0.15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</row>
    <row r="137" spans="1:25" ht="30.75" customHeight="1" x14ac:dyDescent="0.15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</row>
    <row r="138" spans="1:25" ht="30.75" customHeight="1" x14ac:dyDescent="0.15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</row>
    <row r="139" spans="1:25" ht="30.75" customHeight="1" x14ac:dyDescent="0.15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</row>
    <row r="140" spans="1:25" ht="30.75" customHeight="1" x14ac:dyDescent="0.15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</row>
    <row r="141" spans="1:25" ht="30.75" customHeight="1" x14ac:dyDescent="0.15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</row>
    <row r="142" spans="1:25" ht="30.75" customHeight="1" x14ac:dyDescent="0.15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</row>
    <row r="143" spans="1:25" ht="30.75" customHeight="1" x14ac:dyDescent="0.15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</row>
    <row r="144" spans="1:25" ht="30.75" customHeight="1" x14ac:dyDescent="0.15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</row>
    <row r="145" spans="1:25" ht="30.75" customHeight="1" x14ac:dyDescent="0.15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</row>
    <row r="146" spans="1:25" ht="30.75" customHeight="1" x14ac:dyDescent="0.15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</row>
    <row r="147" spans="1:25" ht="30.75" customHeight="1" x14ac:dyDescent="0.15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</row>
    <row r="148" spans="1:25" ht="30.75" customHeight="1" x14ac:dyDescent="0.15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</row>
    <row r="149" spans="1:25" ht="30.75" customHeight="1" x14ac:dyDescent="0.15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</row>
    <row r="150" spans="1:25" ht="30.75" customHeight="1" x14ac:dyDescent="0.15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</row>
    <row r="151" spans="1:25" ht="30.75" customHeight="1" x14ac:dyDescent="0.15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</row>
    <row r="152" spans="1:25" ht="30.75" customHeight="1" x14ac:dyDescent="0.15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</row>
    <row r="153" spans="1:25" ht="30.75" customHeight="1" x14ac:dyDescent="0.15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</row>
    <row r="154" spans="1:25" ht="30.75" customHeight="1" x14ac:dyDescent="0.15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</row>
    <row r="155" spans="1:25" ht="30.75" customHeight="1" x14ac:dyDescent="0.15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</row>
    <row r="156" spans="1:25" ht="30.75" customHeight="1" x14ac:dyDescent="0.15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</row>
    <row r="157" spans="1:25" ht="30.75" customHeight="1" x14ac:dyDescent="0.15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</row>
    <row r="158" spans="1:25" ht="30.75" customHeight="1" x14ac:dyDescent="0.15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</row>
    <row r="159" spans="1:25" ht="30.75" customHeight="1" x14ac:dyDescent="0.15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</row>
    <row r="160" spans="1:25" ht="30.75" customHeight="1" x14ac:dyDescent="0.15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</row>
    <row r="161" spans="1:25" ht="30.75" customHeight="1" x14ac:dyDescent="0.15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</row>
    <row r="162" spans="1:25" ht="30.75" customHeight="1" x14ac:dyDescent="0.15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</row>
    <row r="163" spans="1:25" ht="30.75" customHeight="1" x14ac:dyDescent="0.15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</row>
    <row r="164" spans="1:25" ht="30.75" customHeight="1" x14ac:dyDescent="0.15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</row>
    <row r="165" spans="1:25" ht="30.75" customHeight="1" x14ac:dyDescent="0.15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</row>
    <row r="166" spans="1:25" ht="30.75" customHeight="1" x14ac:dyDescent="0.15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</row>
    <row r="167" spans="1:25" ht="30.75" customHeight="1" x14ac:dyDescent="0.15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</row>
    <row r="168" spans="1:25" ht="30.75" customHeight="1" x14ac:dyDescent="0.15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</row>
    <row r="169" spans="1:25" ht="30.75" customHeight="1" x14ac:dyDescent="0.15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</row>
    <row r="170" spans="1:25" ht="30.75" customHeight="1" x14ac:dyDescent="0.15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</row>
    <row r="171" spans="1:25" ht="30.75" customHeight="1" x14ac:dyDescent="0.15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</row>
    <row r="172" spans="1:25" ht="30.75" customHeight="1" x14ac:dyDescent="0.15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</row>
    <row r="173" spans="1:25" ht="30.75" customHeight="1" x14ac:dyDescent="0.15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</row>
    <row r="174" spans="1:25" ht="30.75" customHeight="1" x14ac:dyDescent="0.15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</row>
    <row r="175" spans="1:25" ht="30.75" customHeight="1" x14ac:dyDescent="0.15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</row>
    <row r="176" spans="1:25" ht="30.75" customHeight="1" x14ac:dyDescent="0.15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</row>
    <row r="177" spans="1:25" ht="30.75" customHeight="1" x14ac:dyDescent="0.15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</row>
    <row r="178" spans="1:25" ht="30.75" customHeight="1" x14ac:dyDescent="0.15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</row>
    <row r="179" spans="1:25" ht="30.75" customHeight="1" x14ac:dyDescent="0.15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</row>
    <row r="180" spans="1:25" ht="30.75" customHeight="1" x14ac:dyDescent="0.15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</row>
    <row r="181" spans="1:25" ht="30.75" customHeight="1" x14ac:dyDescent="0.15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</row>
    <row r="182" spans="1:25" ht="30.75" customHeight="1" x14ac:dyDescent="0.15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</row>
    <row r="183" spans="1:25" ht="30.75" customHeight="1" x14ac:dyDescent="0.15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</row>
    <row r="184" spans="1:25" ht="30.75" customHeight="1" x14ac:dyDescent="0.15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</row>
    <row r="185" spans="1:25" ht="30.75" customHeight="1" x14ac:dyDescent="0.15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</row>
    <row r="186" spans="1:25" ht="30.75" customHeight="1" x14ac:dyDescent="0.15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</row>
    <row r="187" spans="1:25" ht="30.75" customHeight="1" x14ac:dyDescent="0.15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</row>
    <row r="188" spans="1:25" ht="30.75" customHeight="1" x14ac:dyDescent="0.15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</row>
    <row r="189" spans="1:25" ht="30.75" customHeight="1" x14ac:dyDescent="0.15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</row>
    <row r="190" spans="1:25" ht="30.75" customHeight="1" x14ac:dyDescent="0.15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</row>
    <row r="191" spans="1:25" ht="30.75" customHeight="1" x14ac:dyDescent="0.15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</row>
    <row r="192" spans="1:25" ht="30.75" customHeight="1" x14ac:dyDescent="0.15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</row>
    <row r="193" spans="1:25" ht="30.75" customHeight="1" x14ac:dyDescent="0.15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</row>
    <row r="194" spans="1:25" ht="30.75" customHeight="1" x14ac:dyDescent="0.15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</row>
    <row r="195" spans="1:25" ht="30.75" customHeight="1" x14ac:dyDescent="0.15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</row>
    <row r="196" spans="1:25" ht="30.75" customHeight="1" x14ac:dyDescent="0.15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</row>
    <row r="197" spans="1:25" ht="30.75" customHeight="1" x14ac:dyDescent="0.15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</row>
    <row r="198" spans="1:25" ht="30.75" customHeight="1" x14ac:dyDescent="0.15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</row>
    <row r="199" spans="1:25" ht="30.75" customHeight="1" x14ac:dyDescent="0.15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</row>
    <row r="200" spans="1:25" ht="30.75" customHeight="1" x14ac:dyDescent="0.15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</row>
    <row r="201" spans="1:25" ht="30.75" customHeight="1" x14ac:dyDescent="0.15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</row>
    <row r="202" spans="1:25" ht="30.75" customHeight="1" x14ac:dyDescent="0.15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</row>
    <row r="203" spans="1:25" ht="30.75" customHeight="1" x14ac:dyDescent="0.15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</row>
    <row r="204" spans="1:25" ht="30.75" customHeight="1" x14ac:dyDescent="0.15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</row>
    <row r="205" spans="1:25" ht="30.75" customHeight="1" x14ac:dyDescent="0.15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</row>
    <row r="206" spans="1:25" ht="30.75" customHeight="1" x14ac:dyDescent="0.15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</row>
    <row r="207" spans="1:25" ht="30.75" customHeight="1" x14ac:dyDescent="0.15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</row>
    <row r="208" spans="1:25" ht="30.75" customHeight="1" x14ac:dyDescent="0.15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</row>
    <row r="209" spans="1:25" ht="30.75" customHeight="1" x14ac:dyDescent="0.15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</row>
    <row r="210" spans="1:25" ht="30.75" customHeight="1" x14ac:dyDescent="0.15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</row>
    <row r="211" spans="1:25" ht="30.75" customHeight="1" x14ac:dyDescent="0.15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</row>
    <row r="212" spans="1:25" ht="30.75" customHeight="1" x14ac:dyDescent="0.15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</row>
    <row r="213" spans="1:25" ht="30.75" customHeight="1" x14ac:dyDescent="0.15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</row>
    <row r="214" spans="1:25" ht="30.75" customHeight="1" x14ac:dyDescent="0.15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</row>
    <row r="215" spans="1:25" ht="30.75" customHeight="1" x14ac:dyDescent="0.15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</row>
    <row r="216" spans="1:25" ht="30.75" customHeight="1" x14ac:dyDescent="0.15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</row>
    <row r="217" spans="1:25" ht="30.75" customHeight="1" x14ac:dyDescent="0.15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</row>
    <row r="218" spans="1:25" ht="30.75" customHeight="1" x14ac:dyDescent="0.15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</row>
    <row r="219" spans="1:25" ht="30.75" customHeight="1" x14ac:dyDescent="0.15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</row>
    <row r="220" spans="1:25" ht="30.75" customHeight="1" x14ac:dyDescent="0.15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</row>
    <row r="221" spans="1:25" ht="30.75" customHeight="1" x14ac:dyDescent="0.15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</row>
    <row r="222" spans="1:25" ht="30.75" customHeight="1" x14ac:dyDescent="0.15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</row>
    <row r="223" spans="1:25" ht="30.75" customHeight="1" x14ac:dyDescent="0.15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</row>
    <row r="224" spans="1:25" ht="30.75" customHeight="1" x14ac:dyDescent="0.15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</row>
    <row r="225" spans="1:25" ht="30.75" customHeight="1" x14ac:dyDescent="0.15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</row>
    <row r="226" spans="1:25" ht="30.75" customHeight="1" x14ac:dyDescent="0.15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</row>
    <row r="227" spans="1:25" ht="30.75" customHeight="1" x14ac:dyDescent="0.15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</row>
    <row r="228" spans="1:25" ht="30.75" customHeight="1" x14ac:dyDescent="0.15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</row>
    <row r="229" spans="1:25" ht="30.75" customHeight="1" x14ac:dyDescent="0.15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</row>
    <row r="230" spans="1:25" ht="30.75" customHeight="1" x14ac:dyDescent="0.15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</row>
    <row r="231" spans="1:25" ht="30.75" customHeight="1" x14ac:dyDescent="0.15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</row>
    <row r="232" spans="1:25" ht="30.75" customHeight="1" x14ac:dyDescent="0.15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</row>
    <row r="233" spans="1:25" ht="30.75" customHeight="1" x14ac:dyDescent="0.15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</row>
    <row r="234" spans="1:25" ht="30.75" customHeight="1" x14ac:dyDescent="0.15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</row>
    <row r="235" spans="1:25" ht="30.75" customHeight="1" x14ac:dyDescent="0.15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</row>
    <row r="236" spans="1:25" ht="30.75" customHeight="1" x14ac:dyDescent="0.15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</row>
    <row r="237" spans="1:25" ht="30.75" customHeight="1" x14ac:dyDescent="0.15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</row>
    <row r="238" spans="1:25" ht="30.75" customHeight="1" x14ac:dyDescent="0.15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</row>
    <row r="239" spans="1:25" ht="30.75" customHeight="1" x14ac:dyDescent="0.15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</row>
    <row r="240" spans="1:25" ht="30.75" customHeight="1" x14ac:dyDescent="0.15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</row>
    <row r="241" spans="1:25" ht="30.75" customHeight="1" x14ac:dyDescent="0.15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</row>
    <row r="242" spans="1:25" ht="30.75" customHeight="1" x14ac:dyDescent="0.15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</row>
    <row r="243" spans="1:25" ht="30.75" customHeight="1" x14ac:dyDescent="0.15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</row>
    <row r="244" spans="1:25" ht="30.75" customHeight="1" x14ac:dyDescent="0.15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</row>
    <row r="245" spans="1:25" ht="30.75" customHeight="1" x14ac:dyDescent="0.15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</row>
    <row r="246" spans="1:25" ht="30.75" customHeight="1" x14ac:dyDescent="0.15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</row>
    <row r="247" spans="1:25" ht="30.75" customHeight="1" x14ac:dyDescent="0.15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</row>
    <row r="248" spans="1:25" ht="30.75" customHeight="1" x14ac:dyDescent="0.15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</row>
    <row r="249" spans="1:25" ht="30.75" customHeight="1" x14ac:dyDescent="0.15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</row>
    <row r="250" spans="1:25" ht="30.75" customHeight="1" x14ac:dyDescent="0.15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</row>
    <row r="251" spans="1:25" ht="30.75" customHeight="1" x14ac:dyDescent="0.15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</row>
    <row r="252" spans="1:25" ht="30.75" customHeight="1" x14ac:dyDescent="0.15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</row>
    <row r="253" spans="1:25" ht="30.75" customHeight="1" x14ac:dyDescent="0.15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</row>
    <row r="254" spans="1:25" ht="30.75" customHeight="1" x14ac:dyDescent="0.15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</row>
    <row r="255" spans="1:25" ht="30.75" customHeight="1" x14ac:dyDescent="0.15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</row>
    <row r="256" spans="1:25" ht="30.75" customHeight="1" x14ac:dyDescent="0.15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</row>
    <row r="257" spans="1:25" ht="30.75" customHeight="1" x14ac:dyDescent="0.15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</row>
    <row r="258" spans="1:25" ht="30.75" customHeight="1" x14ac:dyDescent="0.15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</row>
    <row r="259" spans="1:25" ht="30.75" customHeight="1" x14ac:dyDescent="0.15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</row>
    <row r="260" spans="1:25" ht="30.75" customHeight="1" x14ac:dyDescent="0.15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</row>
    <row r="261" spans="1:25" ht="30.75" customHeight="1" x14ac:dyDescent="0.15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</row>
    <row r="262" spans="1:25" ht="30.75" customHeight="1" x14ac:dyDescent="0.15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</row>
    <row r="263" spans="1:25" ht="30.75" customHeight="1" x14ac:dyDescent="0.15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</row>
    <row r="264" spans="1:25" ht="30.75" customHeight="1" x14ac:dyDescent="0.15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</row>
    <row r="265" spans="1:25" ht="30.75" customHeight="1" x14ac:dyDescent="0.15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</row>
    <row r="266" spans="1:25" ht="30.75" customHeight="1" x14ac:dyDescent="0.15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</row>
    <row r="267" spans="1:25" ht="30.75" customHeight="1" x14ac:dyDescent="0.15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</row>
    <row r="268" spans="1:25" ht="30.75" customHeight="1" x14ac:dyDescent="0.15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</row>
    <row r="269" spans="1:25" ht="30.75" customHeight="1" x14ac:dyDescent="0.15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</row>
    <row r="270" spans="1:25" ht="30.75" customHeight="1" x14ac:dyDescent="0.15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</row>
    <row r="271" spans="1:25" ht="30.75" customHeight="1" x14ac:dyDescent="0.15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</row>
    <row r="272" spans="1:25" ht="30.75" customHeight="1" x14ac:dyDescent="0.15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</row>
    <row r="273" spans="1:25" ht="30.75" customHeight="1" x14ac:dyDescent="0.15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</row>
    <row r="274" spans="1:25" ht="30.75" customHeight="1" x14ac:dyDescent="0.15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</row>
    <row r="275" spans="1:25" ht="30.75" customHeight="1" x14ac:dyDescent="0.15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</row>
    <row r="276" spans="1:25" ht="30.75" customHeight="1" x14ac:dyDescent="0.15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</row>
    <row r="277" spans="1:25" ht="30.75" customHeight="1" x14ac:dyDescent="0.15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</row>
    <row r="278" spans="1:25" ht="30.75" customHeight="1" x14ac:dyDescent="0.15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</row>
    <row r="279" spans="1:25" ht="30.75" customHeight="1" x14ac:dyDescent="0.15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</row>
    <row r="280" spans="1:25" ht="30.75" customHeight="1" x14ac:dyDescent="0.15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</row>
    <row r="281" spans="1:25" ht="30.75" customHeight="1" x14ac:dyDescent="0.15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</row>
    <row r="282" spans="1:25" ht="30.75" customHeight="1" x14ac:dyDescent="0.15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</row>
    <row r="283" spans="1:25" ht="30.75" customHeight="1" x14ac:dyDescent="0.15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</row>
    <row r="284" spans="1:25" ht="30.75" customHeight="1" x14ac:dyDescent="0.15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</row>
    <row r="285" spans="1:25" ht="30.75" customHeight="1" x14ac:dyDescent="0.15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</row>
    <row r="286" spans="1:25" ht="30.75" customHeight="1" x14ac:dyDescent="0.15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</row>
    <row r="287" spans="1:25" ht="30.75" customHeight="1" x14ac:dyDescent="0.15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</row>
    <row r="288" spans="1:25" ht="30.75" customHeight="1" x14ac:dyDescent="0.15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</row>
    <row r="289" spans="1:25" ht="30.75" customHeight="1" x14ac:dyDescent="0.15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</row>
    <row r="290" spans="1:25" ht="30.75" customHeight="1" x14ac:dyDescent="0.15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</row>
    <row r="291" spans="1:25" ht="30.75" customHeight="1" x14ac:dyDescent="0.15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</row>
    <row r="292" spans="1:25" ht="30.75" customHeight="1" x14ac:dyDescent="0.15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</row>
    <row r="293" spans="1:25" ht="30.75" customHeight="1" x14ac:dyDescent="0.15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</row>
    <row r="294" spans="1:25" ht="30.75" customHeight="1" x14ac:dyDescent="0.15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</row>
    <row r="295" spans="1:25" ht="30.75" customHeight="1" x14ac:dyDescent="0.15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</row>
    <row r="296" spans="1:25" ht="30.75" customHeight="1" x14ac:dyDescent="0.15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</row>
    <row r="297" spans="1:25" ht="30.75" customHeight="1" x14ac:dyDescent="0.15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</row>
    <row r="298" spans="1:25" ht="30.75" customHeight="1" x14ac:dyDescent="0.15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</row>
    <row r="299" spans="1:25" ht="30.75" customHeight="1" x14ac:dyDescent="0.15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</row>
    <row r="300" spans="1:25" ht="30.75" customHeight="1" x14ac:dyDescent="0.15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</row>
    <row r="301" spans="1:25" ht="30.75" customHeight="1" x14ac:dyDescent="0.15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</row>
    <row r="302" spans="1:25" ht="30.75" customHeight="1" x14ac:dyDescent="0.15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</row>
    <row r="303" spans="1:25" ht="30.75" customHeight="1" x14ac:dyDescent="0.15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</row>
    <row r="304" spans="1:25" ht="30.75" customHeight="1" x14ac:dyDescent="0.15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</row>
    <row r="305" spans="1:25" ht="30.75" customHeight="1" x14ac:dyDescent="0.15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</row>
    <row r="306" spans="1:25" ht="30.75" customHeight="1" x14ac:dyDescent="0.15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</row>
    <row r="307" spans="1:25" ht="30.75" customHeight="1" x14ac:dyDescent="0.15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</row>
    <row r="308" spans="1:25" ht="30.75" customHeight="1" x14ac:dyDescent="0.15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</row>
    <row r="309" spans="1:25" ht="30.75" customHeight="1" x14ac:dyDescent="0.15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</row>
    <row r="310" spans="1:25" ht="30.75" customHeight="1" x14ac:dyDescent="0.15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</row>
    <row r="311" spans="1:25" ht="30.75" customHeight="1" x14ac:dyDescent="0.15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</row>
    <row r="312" spans="1:25" ht="30.75" customHeight="1" x14ac:dyDescent="0.15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</row>
    <row r="313" spans="1:25" ht="30.75" customHeight="1" x14ac:dyDescent="0.15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</row>
    <row r="314" spans="1:25" ht="30.75" customHeight="1" x14ac:dyDescent="0.15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</row>
    <row r="315" spans="1:25" ht="30.75" customHeight="1" x14ac:dyDescent="0.15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</row>
    <row r="316" spans="1:25" ht="30.75" customHeight="1" x14ac:dyDescent="0.15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</row>
    <row r="317" spans="1:25" ht="30.75" customHeight="1" x14ac:dyDescent="0.15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</row>
    <row r="318" spans="1:25" ht="30.75" customHeight="1" x14ac:dyDescent="0.15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</row>
    <row r="319" spans="1:25" ht="30.75" customHeight="1" x14ac:dyDescent="0.15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</row>
    <row r="320" spans="1:25" ht="30.75" customHeight="1" x14ac:dyDescent="0.15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</row>
    <row r="321" spans="1:25" ht="30.75" customHeight="1" x14ac:dyDescent="0.15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</row>
    <row r="322" spans="1:25" ht="30.75" customHeight="1" x14ac:dyDescent="0.15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</row>
    <row r="323" spans="1:25" ht="30.75" customHeight="1" x14ac:dyDescent="0.15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</row>
    <row r="324" spans="1:25" ht="30.75" customHeight="1" x14ac:dyDescent="0.15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</row>
    <row r="325" spans="1:25" ht="30.75" customHeight="1" x14ac:dyDescent="0.15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</row>
    <row r="326" spans="1:25" ht="30.75" customHeight="1" x14ac:dyDescent="0.15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</row>
    <row r="327" spans="1:25" ht="30.75" customHeight="1" x14ac:dyDescent="0.15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</row>
    <row r="328" spans="1:25" ht="30.75" customHeight="1" x14ac:dyDescent="0.15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</row>
    <row r="329" spans="1:25" ht="30.75" customHeight="1" x14ac:dyDescent="0.15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</row>
    <row r="330" spans="1:25" ht="30.75" customHeight="1" x14ac:dyDescent="0.15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</row>
    <row r="331" spans="1:25" ht="30.75" customHeight="1" x14ac:dyDescent="0.15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</row>
    <row r="332" spans="1:25" ht="30.75" customHeight="1" x14ac:dyDescent="0.15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</row>
    <row r="333" spans="1:25" ht="30.75" customHeight="1" x14ac:dyDescent="0.15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</row>
    <row r="334" spans="1:25" ht="30.75" customHeight="1" x14ac:dyDescent="0.15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</row>
    <row r="335" spans="1:25" ht="30.75" customHeight="1" x14ac:dyDescent="0.15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</row>
    <row r="336" spans="1:25" ht="30.75" customHeight="1" x14ac:dyDescent="0.15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</row>
    <row r="337" spans="1:25" ht="30.75" customHeight="1" x14ac:dyDescent="0.15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</row>
    <row r="338" spans="1:25" ht="30.75" customHeight="1" x14ac:dyDescent="0.15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</row>
    <row r="339" spans="1:25" ht="30.75" customHeight="1" x14ac:dyDescent="0.15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</row>
    <row r="340" spans="1:25" ht="30.75" customHeight="1" x14ac:dyDescent="0.15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</row>
    <row r="341" spans="1:25" ht="30.75" customHeight="1" x14ac:dyDescent="0.15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</row>
    <row r="342" spans="1:25" ht="30.75" customHeight="1" x14ac:dyDescent="0.15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</row>
    <row r="343" spans="1:25" ht="30.75" customHeight="1" x14ac:dyDescent="0.15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</row>
    <row r="344" spans="1:25" ht="30.75" customHeight="1" x14ac:dyDescent="0.15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</row>
    <row r="345" spans="1:25" ht="30.75" customHeight="1" x14ac:dyDescent="0.15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</row>
    <row r="346" spans="1:25" ht="30.75" customHeight="1" x14ac:dyDescent="0.15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</row>
    <row r="347" spans="1:25" ht="30.75" customHeight="1" x14ac:dyDescent="0.15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</row>
    <row r="348" spans="1:25" ht="30.75" customHeight="1" x14ac:dyDescent="0.15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</row>
    <row r="349" spans="1:25" ht="30.75" customHeight="1" x14ac:dyDescent="0.15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</row>
    <row r="350" spans="1:25" ht="30.75" customHeight="1" x14ac:dyDescent="0.15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</row>
    <row r="351" spans="1:25" ht="30.75" customHeight="1" x14ac:dyDescent="0.15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</row>
    <row r="352" spans="1:25" ht="30.75" customHeight="1" x14ac:dyDescent="0.15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</row>
    <row r="353" spans="1:25" ht="30.75" customHeight="1" x14ac:dyDescent="0.15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</row>
    <row r="354" spans="1:25" ht="30.75" customHeight="1" x14ac:dyDescent="0.15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</row>
    <row r="355" spans="1:25" ht="30.75" customHeight="1" x14ac:dyDescent="0.15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</row>
    <row r="356" spans="1:25" ht="30.75" customHeight="1" x14ac:dyDescent="0.15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</row>
    <row r="357" spans="1:25" ht="30.75" customHeight="1" x14ac:dyDescent="0.15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</row>
    <row r="358" spans="1:25" ht="30.75" customHeight="1" x14ac:dyDescent="0.15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</row>
    <row r="359" spans="1:25" ht="30.75" customHeight="1" x14ac:dyDescent="0.15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</row>
    <row r="360" spans="1:25" ht="30.75" customHeight="1" x14ac:dyDescent="0.15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</row>
    <row r="361" spans="1:25" ht="30.75" customHeight="1" x14ac:dyDescent="0.15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</row>
    <row r="362" spans="1:25" ht="30.75" customHeight="1" x14ac:dyDescent="0.15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</row>
    <row r="363" spans="1:25" ht="30.75" customHeight="1" x14ac:dyDescent="0.15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</row>
    <row r="364" spans="1:25" ht="30.75" customHeight="1" x14ac:dyDescent="0.15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</row>
    <row r="365" spans="1:25" ht="30.75" customHeight="1" x14ac:dyDescent="0.15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</row>
    <row r="366" spans="1:25" ht="30.75" customHeight="1" x14ac:dyDescent="0.15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</row>
    <row r="367" spans="1:25" ht="30.75" customHeight="1" x14ac:dyDescent="0.15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</row>
    <row r="368" spans="1:25" ht="30.75" customHeight="1" x14ac:dyDescent="0.15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</row>
    <row r="369" spans="1:25" ht="30.75" customHeight="1" x14ac:dyDescent="0.15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</row>
    <row r="370" spans="1:25" ht="30.75" customHeight="1" x14ac:dyDescent="0.15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</row>
    <row r="371" spans="1:25" ht="30.75" customHeight="1" x14ac:dyDescent="0.15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</row>
    <row r="372" spans="1:25" ht="30.75" customHeight="1" x14ac:dyDescent="0.15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</row>
    <row r="373" spans="1:25" ht="30.75" customHeight="1" x14ac:dyDescent="0.15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</row>
    <row r="374" spans="1:25" ht="30.75" customHeight="1" x14ac:dyDescent="0.15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</row>
    <row r="375" spans="1:25" ht="30.75" customHeight="1" x14ac:dyDescent="0.15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</row>
    <row r="376" spans="1:25" ht="30.75" customHeight="1" x14ac:dyDescent="0.15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</row>
    <row r="377" spans="1:25" ht="30.75" customHeight="1" x14ac:dyDescent="0.15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</row>
    <row r="378" spans="1:25" ht="30.75" customHeight="1" x14ac:dyDescent="0.15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</row>
    <row r="379" spans="1:25" ht="30.75" customHeight="1" x14ac:dyDescent="0.15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</row>
    <row r="380" spans="1:25" ht="30.75" customHeight="1" x14ac:dyDescent="0.15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</row>
    <row r="381" spans="1:25" ht="30.75" customHeight="1" x14ac:dyDescent="0.15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</row>
    <row r="382" spans="1:25" ht="30.75" customHeight="1" x14ac:dyDescent="0.15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</row>
    <row r="383" spans="1:25" ht="30.75" customHeight="1" x14ac:dyDescent="0.15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</row>
    <row r="384" spans="1:25" ht="30.75" customHeight="1" x14ac:dyDescent="0.15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</row>
    <row r="385" spans="1:25" ht="30.75" customHeight="1" x14ac:dyDescent="0.15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</row>
    <row r="386" spans="1:25" ht="30.75" customHeight="1" x14ac:dyDescent="0.15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</row>
    <row r="387" spans="1:25" ht="30.75" customHeight="1" x14ac:dyDescent="0.15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</row>
    <row r="388" spans="1:25" ht="30.75" customHeight="1" x14ac:dyDescent="0.15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</row>
    <row r="389" spans="1:25" ht="30.75" customHeight="1" x14ac:dyDescent="0.15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</row>
    <row r="390" spans="1:25" ht="30.75" customHeight="1" x14ac:dyDescent="0.15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</row>
    <row r="391" spans="1:25" ht="30.75" customHeight="1" x14ac:dyDescent="0.15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</row>
    <row r="392" spans="1:25" ht="30.75" customHeight="1" x14ac:dyDescent="0.15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  <c r="X392" s="59"/>
      <c r="Y392" s="59"/>
    </row>
    <row r="393" spans="1:25" ht="30.75" customHeight="1" x14ac:dyDescent="0.15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  <c r="X393" s="59"/>
      <c r="Y393" s="59"/>
    </row>
    <row r="394" spans="1:25" ht="30.75" customHeight="1" x14ac:dyDescent="0.15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  <c r="X394" s="59"/>
      <c r="Y394" s="59"/>
    </row>
    <row r="395" spans="1:25" ht="30.75" customHeight="1" x14ac:dyDescent="0.15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  <c r="X395" s="59"/>
      <c r="Y395" s="59"/>
    </row>
    <row r="396" spans="1:25" ht="30.75" customHeight="1" x14ac:dyDescent="0.15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  <c r="X396" s="59"/>
      <c r="Y396" s="59"/>
    </row>
    <row r="397" spans="1:25" ht="30.75" customHeight="1" x14ac:dyDescent="0.15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  <c r="X397" s="59"/>
      <c r="Y397" s="59"/>
    </row>
    <row r="398" spans="1:25" ht="30.75" customHeight="1" x14ac:dyDescent="0.15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  <c r="X398" s="59"/>
      <c r="Y398" s="59"/>
    </row>
    <row r="399" spans="1:25" ht="30.75" customHeight="1" x14ac:dyDescent="0.15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  <c r="X399" s="59"/>
      <c r="Y399" s="59"/>
    </row>
    <row r="400" spans="1:25" ht="30.75" customHeight="1" x14ac:dyDescent="0.15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  <c r="X400" s="59"/>
      <c r="Y400" s="59"/>
    </row>
    <row r="401" spans="1:25" ht="30.75" customHeight="1" x14ac:dyDescent="0.15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  <c r="X401" s="59"/>
      <c r="Y401" s="59"/>
    </row>
    <row r="402" spans="1:25" ht="30.75" customHeight="1" x14ac:dyDescent="0.15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  <c r="X402" s="59"/>
      <c r="Y402" s="59"/>
    </row>
    <row r="403" spans="1:25" ht="30.75" customHeight="1" x14ac:dyDescent="0.15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  <c r="X403" s="59"/>
      <c r="Y403" s="59"/>
    </row>
    <row r="404" spans="1:25" ht="30.75" customHeight="1" x14ac:dyDescent="0.15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  <c r="X404" s="59"/>
      <c r="Y404" s="59"/>
    </row>
    <row r="405" spans="1:25" ht="30.75" customHeight="1" x14ac:dyDescent="0.15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  <c r="X405" s="59"/>
      <c r="Y405" s="59"/>
    </row>
    <row r="406" spans="1:25" ht="30.75" customHeight="1" x14ac:dyDescent="0.15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  <c r="X406" s="59"/>
      <c r="Y406" s="59"/>
    </row>
    <row r="407" spans="1:25" ht="30.75" customHeight="1" x14ac:dyDescent="0.15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</row>
    <row r="408" spans="1:25" ht="30.75" customHeight="1" x14ac:dyDescent="0.15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  <c r="X408" s="59"/>
      <c r="Y408" s="59"/>
    </row>
    <row r="409" spans="1:25" ht="30.75" customHeight="1" x14ac:dyDescent="0.15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  <c r="X409" s="59"/>
      <c r="Y409" s="59"/>
    </row>
    <row r="410" spans="1:25" ht="30.75" customHeight="1" x14ac:dyDescent="0.15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  <c r="X410" s="59"/>
      <c r="Y410" s="59"/>
    </row>
    <row r="411" spans="1:25" ht="30.75" customHeight="1" x14ac:dyDescent="0.15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  <c r="X411" s="59"/>
      <c r="Y411" s="59"/>
    </row>
    <row r="412" spans="1:25" ht="30.75" customHeight="1" x14ac:dyDescent="0.15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  <c r="X412" s="59"/>
      <c r="Y412" s="59"/>
    </row>
    <row r="413" spans="1:25" ht="30.75" customHeight="1" x14ac:dyDescent="0.15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  <c r="X413" s="59"/>
      <c r="Y413" s="59"/>
    </row>
    <row r="414" spans="1:25" ht="30.75" customHeight="1" x14ac:dyDescent="0.15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  <c r="X414" s="59"/>
      <c r="Y414" s="59"/>
    </row>
    <row r="415" spans="1:25" ht="30.75" customHeight="1" x14ac:dyDescent="0.15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  <c r="X415" s="59"/>
      <c r="Y415" s="59"/>
    </row>
    <row r="416" spans="1:25" ht="30.75" customHeight="1" x14ac:dyDescent="0.15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  <c r="X416" s="59"/>
      <c r="Y416" s="59"/>
    </row>
    <row r="417" spans="1:25" ht="30.75" customHeight="1" x14ac:dyDescent="0.15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  <c r="X417" s="59"/>
      <c r="Y417" s="59"/>
    </row>
    <row r="418" spans="1:25" ht="30.75" customHeight="1" x14ac:dyDescent="0.15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  <c r="X418" s="59"/>
      <c r="Y418" s="59"/>
    </row>
    <row r="419" spans="1:25" ht="30.75" customHeight="1" x14ac:dyDescent="0.15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  <c r="X419" s="59"/>
      <c r="Y419" s="59"/>
    </row>
    <row r="420" spans="1:25" ht="30.75" customHeight="1" x14ac:dyDescent="0.15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  <c r="X420" s="59"/>
      <c r="Y420" s="59"/>
    </row>
    <row r="421" spans="1:25" ht="30.75" customHeight="1" x14ac:dyDescent="0.15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  <c r="X421" s="59"/>
      <c r="Y421" s="59"/>
    </row>
    <row r="422" spans="1:25" ht="30.75" customHeight="1" x14ac:dyDescent="0.15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  <c r="X422" s="59"/>
      <c r="Y422" s="59"/>
    </row>
    <row r="423" spans="1:25" ht="30.75" customHeight="1" x14ac:dyDescent="0.15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  <c r="X423" s="59"/>
      <c r="Y423" s="59"/>
    </row>
    <row r="424" spans="1:25" ht="30.75" customHeight="1" x14ac:dyDescent="0.15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  <c r="X424" s="59"/>
      <c r="Y424" s="59"/>
    </row>
    <row r="425" spans="1:25" ht="30.75" customHeight="1" x14ac:dyDescent="0.15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  <c r="X425" s="59"/>
      <c r="Y425" s="59"/>
    </row>
    <row r="426" spans="1:25" ht="30.75" customHeight="1" x14ac:dyDescent="0.15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  <c r="X426" s="59"/>
      <c r="Y426" s="59"/>
    </row>
    <row r="427" spans="1:25" ht="30.75" customHeight="1" x14ac:dyDescent="0.15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  <c r="X427" s="59"/>
      <c r="Y427" s="59"/>
    </row>
    <row r="428" spans="1:25" ht="30.75" customHeight="1" x14ac:dyDescent="0.15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  <c r="X428" s="59"/>
      <c r="Y428" s="59"/>
    </row>
    <row r="429" spans="1:25" ht="30.75" customHeight="1" x14ac:dyDescent="0.15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  <c r="X429" s="59"/>
      <c r="Y429" s="59"/>
    </row>
    <row r="430" spans="1:25" ht="30.75" customHeight="1" x14ac:dyDescent="0.15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  <c r="X430" s="59"/>
      <c r="Y430" s="59"/>
    </row>
    <row r="431" spans="1:25" ht="30.75" customHeight="1" x14ac:dyDescent="0.15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  <c r="X431" s="59"/>
      <c r="Y431" s="59"/>
    </row>
    <row r="432" spans="1:25" ht="30.75" customHeight="1" x14ac:dyDescent="0.15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  <c r="X432" s="59"/>
      <c r="Y432" s="59"/>
    </row>
    <row r="433" spans="1:25" ht="30.75" customHeight="1" x14ac:dyDescent="0.15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  <c r="X433" s="59"/>
      <c r="Y433" s="59"/>
    </row>
    <row r="434" spans="1:25" ht="30.75" customHeight="1" x14ac:dyDescent="0.15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  <c r="X434" s="59"/>
      <c r="Y434" s="59"/>
    </row>
    <row r="435" spans="1:25" ht="30.75" customHeight="1" x14ac:dyDescent="0.15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  <c r="X435" s="59"/>
      <c r="Y435" s="59"/>
    </row>
    <row r="436" spans="1:25" ht="30.75" customHeight="1" x14ac:dyDescent="0.15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  <c r="X436" s="59"/>
      <c r="Y436" s="59"/>
    </row>
    <row r="437" spans="1:25" ht="30.75" customHeight="1" x14ac:dyDescent="0.15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/>
    </row>
    <row r="438" spans="1:25" ht="30.75" customHeight="1" x14ac:dyDescent="0.15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  <c r="X438" s="59"/>
      <c r="Y438" s="59"/>
    </row>
    <row r="439" spans="1:25" ht="30.75" customHeight="1" x14ac:dyDescent="0.15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  <c r="X439" s="59"/>
      <c r="Y439" s="59"/>
    </row>
    <row r="440" spans="1:25" ht="30.75" customHeight="1" x14ac:dyDescent="0.15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  <c r="X440" s="59"/>
      <c r="Y440" s="59"/>
    </row>
    <row r="441" spans="1:25" ht="30.75" customHeight="1" x14ac:dyDescent="0.15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  <c r="X441" s="59"/>
      <c r="Y441" s="59"/>
    </row>
    <row r="442" spans="1:25" ht="30.75" customHeight="1" x14ac:dyDescent="0.15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  <c r="X442" s="59"/>
      <c r="Y442" s="59"/>
    </row>
    <row r="443" spans="1:25" ht="30.75" customHeight="1" x14ac:dyDescent="0.15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  <c r="X443" s="59"/>
      <c r="Y443" s="59"/>
    </row>
    <row r="444" spans="1:25" ht="30.75" customHeight="1" x14ac:dyDescent="0.15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  <c r="X444" s="59"/>
      <c r="Y444" s="59"/>
    </row>
    <row r="445" spans="1:25" ht="30.75" customHeight="1" x14ac:dyDescent="0.15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  <c r="X445" s="59"/>
      <c r="Y445" s="59"/>
    </row>
    <row r="446" spans="1:25" ht="30.75" customHeight="1" x14ac:dyDescent="0.15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/>
      <c r="Y446" s="59"/>
    </row>
    <row r="447" spans="1:25" ht="30.75" customHeight="1" x14ac:dyDescent="0.15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  <c r="X447" s="59"/>
      <c r="Y447" s="59"/>
    </row>
    <row r="448" spans="1:25" ht="30.75" customHeight="1" x14ac:dyDescent="0.15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  <c r="X448" s="59"/>
      <c r="Y448" s="59"/>
    </row>
    <row r="449" spans="1:25" ht="30.75" customHeight="1" x14ac:dyDescent="0.15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  <c r="X449" s="59"/>
      <c r="Y449" s="59"/>
    </row>
    <row r="450" spans="1:25" ht="30.75" customHeight="1" x14ac:dyDescent="0.15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  <c r="X450" s="59"/>
      <c r="Y450" s="59"/>
    </row>
    <row r="451" spans="1:25" ht="30.75" customHeight="1" x14ac:dyDescent="0.15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</row>
    <row r="452" spans="1:25" ht="30.75" customHeight="1" x14ac:dyDescent="0.15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</row>
    <row r="453" spans="1:25" ht="30.75" customHeight="1" x14ac:dyDescent="0.15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</row>
    <row r="454" spans="1:25" ht="30.75" customHeight="1" x14ac:dyDescent="0.15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  <c r="X454" s="59"/>
      <c r="Y454" s="59"/>
    </row>
    <row r="455" spans="1:25" ht="30.75" customHeight="1" x14ac:dyDescent="0.15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  <c r="X455" s="59"/>
      <c r="Y455" s="59"/>
    </row>
    <row r="456" spans="1:25" ht="30.75" customHeight="1" x14ac:dyDescent="0.15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  <c r="X456" s="59"/>
      <c r="Y456" s="59"/>
    </row>
    <row r="457" spans="1:25" ht="30.75" customHeight="1" x14ac:dyDescent="0.15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  <c r="X457" s="59"/>
      <c r="Y457" s="59"/>
    </row>
    <row r="458" spans="1:25" ht="30.75" customHeight="1" x14ac:dyDescent="0.15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  <c r="Y458" s="59"/>
    </row>
    <row r="459" spans="1:25" ht="30.75" customHeight="1" x14ac:dyDescent="0.15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  <c r="X459" s="59"/>
      <c r="Y459" s="59"/>
    </row>
    <row r="460" spans="1:25" ht="30.75" customHeight="1" x14ac:dyDescent="0.15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  <c r="Y460" s="59"/>
    </row>
    <row r="461" spans="1:25" ht="30.75" customHeight="1" x14ac:dyDescent="0.15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  <c r="X461" s="59"/>
      <c r="Y461" s="59"/>
    </row>
    <row r="462" spans="1:25" ht="30.75" customHeight="1" x14ac:dyDescent="0.15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  <c r="Y462" s="59"/>
    </row>
    <row r="463" spans="1:25" ht="30.75" customHeight="1" x14ac:dyDescent="0.15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  <c r="X463" s="59"/>
      <c r="Y463" s="59"/>
    </row>
    <row r="464" spans="1:25" ht="30.75" customHeight="1" x14ac:dyDescent="0.15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</row>
    <row r="465" spans="1:25" ht="30.75" customHeight="1" x14ac:dyDescent="0.15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  <c r="X465" s="59"/>
      <c r="Y465" s="59"/>
    </row>
    <row r="466" spans="1:25" ht="30.75" customHeight="1" x14ac:dyDescent="0.15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  <c r="Y466" s="59"/>
    </row>
    <row r="467" spans="1:25" ht="30.75" customHeight="1" x14ac:dyDescent="0.15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  <c r="X467" s="59"/>
      <c r="Y467" s="59"/>
    </row>
    <row r="468" spans="1:25" ht="30.75" customHeight="1" x14ac:dyDescent="0.15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  <c r="Y468" s="59"/>
    </row>
    <row r="469" spans="1:25" ht="30.75" customHeight="1" x14ac:dyDescent="0.15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  <c r="X469" s="59"/>
      <c r="Y469" s="59"/>
    </row>
    <row r="470" spans="1:25" ht="30.75" customHeight="1" x14ac:dyDescent="0.15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</row>
    <row r="471" spans="1:25" ht="30.75" customHeight="1" x14ac:dyDescent="0.15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  <c r="X471" s="59"/>
      <c r="Y471" s="59"/>
    </row>
    <row r="472" spans="1:25" ht="30.75" customHeight="1" x14ac:dyDescent="0.15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  <c r="Y472" s="59"/>
    </row>
    <row r="473" spans="1:25" ht="30.75" customHeight="1" x14ac:dyDescent="0.15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  <c r="X473" s="59"/>
      <c r="Y473" s="59"/>
    </row>
    <row r="474" spans="1:25" ht="30.75" customHeight="1" x14ac:dyDescent="0.15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  <c r="Y474" s="59"/>
    </row>
    <row r="475" spans="1:25" ht="30.75" customHeight="1" x14ac:dyDescent="0.15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  <c r="X475" s="59"/>
      <c r="Y475" s="59"/>
    </row>
    <row r="476" spans="1:25" ht="30.75" customHeight="1" x14ac:dyDescent="0.15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  <c r="Y476" s="59"/>
    </row>
    <row r="477" spans="1:25" ht="30.75" customHeight="1" x14ac:dyDescent="0.15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  <c r="X477" s="59"/>
      <c r="Y477" s="59"/>
    </row>
    <row r="478" spans="1:25" ht="30.75" customHeight="1" x14ac:dyDescent="0.15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  <c r="Y478" s="59"/>
    </row>
    <row r="479" spans="1:25" ht="30.75" customHeight="1" x14ac:dyDescent="0.15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  <c r="X479" s="59"/>
      <c r="Y479" s="59"/>
    </row>
    <row r="480" spans="1:25" ht="30.75" customHeight="1" x14ac:dyDescent="0.15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  <c r="Y480" s="59"/>
    </row>
    <row r="481" spans="1:25" ht="30.75" customHeight="1" x14ac:dyDescent="0.15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  <c r="X481" s="59"/>
      <c r="Y481" s="59"/>
    </row>
    <row r="482" spans="1:25" ht="30.75" customHeight="1" x14ac:dyDescent="0.15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</row>
    <row r="483" spans="1:25" ht="30.75" customHeight="1" x14ac:dyDescent="0.15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  <c r="X483" s="59"/>
      <c r="Y483" s="59"/>
    </row>
    <row r="484" spans="1:25" ht="30.75" customHeight="1" x14ac:dyDescent="0.15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  <c r="Y484" s="59"/>
    </row>
    <row r="485" spans="1:25" ht="30.75" customHeight="1" x14ac:dyDescent="0.15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  <c r="X485" s="59"/>
      <c r="Y485" s="59"/>
    </row>
    <row r="486" spans="1:25" ht="30.75" customHeight="1" x14ac:dyDescent="0.15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  <c r="Y486" s="59"/>
    </row>
    <row r="487" spans="1:25" ht="30.75" customHeight="1" x14ac:dyDescent="0.15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  <c r="X487" s="59"/>
      <c r="Y487" s="59"/>
    </row>
    <row r="488" spans="1:25" ht="30.75" customHeight="1" x14ac:dyDescent="0.15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  <c r="Y488" s="59"/>
    </row>
    <row r="489" spans="1:25" ht="30.75" customHeight="1" x14ac:dyDescent="0.15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  <c r="X489" s="59"/>
      <c r="Y489" s="59"/>
    </row>
    <row r="490" spans="1:25" ht="30.75" customHeight="1" x14ac:dyDescent="0.15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  <c r="Y490" s="59"/>
    </row>
    <row r="491" spans="1:25" ht="30.75" customHeight="1" x14ac:dyDescent="0.15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  <c r="X491" s="59"/>
      <c r="Y491" s="59"/>
    </row>
    <row r="492" spans="1:25" ht="30.75" customHeight="1" x14ac:dyDescent="0.15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  <c r="Y492" s="59"/>
    </row>
    <row r="493" spans="1:25" ht="30.75" customHeight="1" x14ac:dyDescent="0.15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  <c r="X493" s="59"/>
      <c r="Y493" s="59"/>
    </row>
    <row r="494" spans="1:25" ht="30.75" customHeight="1" x14ac:dyDescent="0.15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  <c r="Y494" s="59"/>
    </row>
    <row r="495" spans="1:25" ht="30.75" customHeight="1" x14ac:dyDescent="0.15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  <c r="X495" s="59"/>
      <c r="Y495" s="59"/>
    </row>
    <row r="496" spans="1:25" ht="30.75" customHeight="1" x14ac:dyDescent="0.15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  <c r="Y496" s="59"/>
    </row>
    <row r="497" spans="1:25" ht="30.75" customHeight="1" x14ac:dyDescent="0.15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</row>
    <row r="498" spans="1:25" ht="30.75" customHeight="1" x14ac:dyDescent="0.15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  <c r="Y498" s="59"/>
    </row>
    <row r="499" spans="1:25" ht="30.75" customHeight="1" x14ac:dyDescent="0.15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  <c r="X499" s="59"/>
      <c r="Y499" s="59"/>
    </row>
    <row r="500" spans="1:25" ht="30.75" customHeight="1" x14ac:dyDescent="0.15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  <c r="Y500" s="59"/>
    </row>
    <row r="501" spans="1:25" ht="30.75" customHeight="1" x14ac:dyDescent="0.15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  <c r="X501" s="59"/>
      <c r="Y501" s="59"/>
    </row>
    <row r="502" spans="1:25" ht="30.75" customHeight="1" x14ac:dyDescent="0.15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  <c r="Y502" s="59"/>
    </row>
    <row r="503" spans="1:25" ht="30.75" customHeight="1" x14ac:dyDescent="0.15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  <c r="X503" s="59"/>
      <c r="Y503" s="59"/>
    </row>
    <row r="504" spans="1:25" ht="30.75" customHeight="1" x14ac:dyDescent="0.15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  <c r="Y504" s="59"/>
    </row>
    <row r="505" spans="1:25" ht="30.75" customHeight="1" x14ac:dyDescent="0.15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  <c r="X505" s="59"/>
      <c r="Y505" s="59"/>
    </row>
    <row r="506" spans="1:25" ht="30.75" customHeight="1" x14ac:dyDescent="0.15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  <c r="Y506" s="59"/>
    </row>
    <row r="507" spans="1:25" ht="30.75" customHeight="1" x14ac:dyDescent="0.15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  <c r="X507" s="59"/>
      <c r="Y507" s="59"/>
    </row>
    <row r="508" spans="1:25" ht="30.75" customHeight="1" x14ac:dyDescent="0.15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  <c r="Y508" s="59"/>
    </row>
    <row r="509" spans="1:25" ht="30.75" customHeight="1" x14ac:dyDescent="0.15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  <c r="X509" s="59"/>
      <c r="Y509" s="59"/>
    </row>
    <row r="510" spans="1:25" ht="30.75" customHeight="1" x14ac:dyDescent="0.15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  <c r="Y510" s="59"/>
    </row>
    <row r="511" spans="1:25" ht="30.75" customHeight="1" x14ac:dyDescent="0.15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  <c r="X511" s="59"/>
      <c r="Y511" s="59"/>
    </row>
    <row r="512" spans="1:25" ht="30.75" customHeight="1" x14ac:dyDescent="0.15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</row>
    <row r="513" spans="1:25" ht="30.75" customHeight="1" x14ac:dyDescent="0.15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  <c r="X513" s="59"/>
      <c r="Y513" s="59"/>
    </row>
    <row r="514" spans="1:25" ht="30.75" customHeight="1" x14ac:dyDescent="0.15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  <c r="Y514" s="59"/>
    </row>
    <row r="515" spans="1:25" ht="30.75" customHeight="1" x14ac:dyDescent="0.15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  <c r="X515" s="59"/>
      <c r="Y515" s="59"/>
    </row>
    <row r="516" spans="1:25" ht="30.75" customHeight="1" x14ac:dyDescent="0.15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  <c r="Y516" s="59"/>
    </row>
    <row r="517" spans="1:25" ht="30.75" customHeight="1" x14ac:dyDescent="0.15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  <c r="X517" s="59"/>
      <c r="Y517" s="59"/>
    </row>
    <row r="518" spans="1:25" ht="30.75" customHeight="1" x14ac:dyDescent="0.15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</row>
    <row r="519" spans="1:25" ht="30.75" customHeight="1" x14ac:dyDescent="0.15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  <c r="X519" s="59"/>
      <c r="Y519" s="59"/>
    </row>
    <row r="520" spans="1:25" ht="30.75" customHeight="1" x14ac:dyDescent="0.15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</row>
    <row r="521" spans="1:25" ht="30.75" customHeight="1" x14ac:dyDescent="0.15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</row>
    <row r="522" spans="1:25" ht="30.75" customHeight="1" x14ac:dyDescent="0.15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</row>
    <row r="523" spans="1:25" ht="30.75" customHeight="1" x14ac:dyDescent="0.15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  <c r="X523" s="59"/>
      <c r="Y523" s="59"/>
    </row>
    <row r="524" spans="1:25" ht="30.75" customHeight="1" x14ac:dyDescent="0.15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  <c r="Y524" s="59"/>
    </row>
    <row r="525" spans="1:25" ht="30.75" customHeight="1" x14ac:dyDescent="0.15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  <c r="X525" s="59"/>
      <c r="Y525" s="59"/>
    </row>
    <row r="526" spans="1:25" ht="30.75" customHeight="1" x14ac:dyDescent="0.15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  <c r="Y526" s="59"/>
    </row>
    <row r="527" spans="1:25" ht="30.75" customHeight="1" x14ac:dyDescent="0.15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  <c r="X527" s="59"/>
      <c r="Y527" s="59"/>
    </row>
    <row r="528" spans="1:25" ht="30.75" customHeight="1" x14ac:dyDescent="0.15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  <c r="Y528" s="59"/>
    </row>
    <row r="529" spans="1:25" ht="30.75" customHeight="1" x14ac:dyDescent="0.15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  <c r="X529" s="59"/>
      <c r="Y529" s="59"/>
    </row>
    <row r="530" spans="1:25" ht="30.75" customHeight="1" x14ac:dyDescent="0.15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  <c r="Y530" s="59"/>
    </row>
    <row r="531" spans="1:25" ht="30.75" customHeight="1" x14ac:dyDescent="0.15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  <c r="X531" s="59"/>
      <c r="Y531" s="59"/>
    </row>
    <row r="532" spans="1:25" ht="30.75" customHeight="1" x14ac:dyDescent="0.15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  <c r="Y532" s="59"/>
    </row>
    <row r="533" spans="1:25" ht="30.75" customHeight="1" x14ac:dyDescent="0.15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  <c r="X533" s="59"/>
      <c r="Y533" s="59"/>
    </row>
    <row r="534" spans="1:25" ht="30.75" customHeight="1" x14ac:dyDescent="0.15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  <c r="Y534" s="59"/>
    </row>
    <row r="535" spans="1:25" ht="30.75" customHeight="1" x14ac:dyDescent="0.15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  <c r="X535" s="59"/>
      <c r="Y535" s="59"/>
    </row>
    <row r="536" spans="1:25" ht="30.75" customHeight="1" x14ac:dyDescent="0.15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</row>
    <row r="537" spans="1:25" ht="30.75" customHeight="1" x14ac:dyDescent="0.15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  <c r="X537" s="59"/>
      <c r="Y537" s="59"/>
    </row>
    <row r="538" spans="1:25" ht="30.75" customHeight="1" x14ac:dyDescent="0.15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  <c r="Y538" s="59"/>
    </row>
    <row r="539" spans="1:25" ht="30.75" customHeight="1" x14ac:dyDescent="0.15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  <c r="X539" s="59"/>
      <c r="Y539" s="59"/>
    </row>
    <row r="540" spans="1:25" ht="30.75" customHeight="1" x14ac:dyDescent="0.15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  <c r="Y540" s="59"/>
    </row>
    <row r="541" spans="1:25" ht="30.75" customHeight="1" x14ac:dyDescent="0.15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  <c r="X541" s="59"/>
      <c r="Y541" s="59"/>
    </row>
    <row r="542" spans="1:25" ht="30.75" customHeight="1" x14ac:dyDescent="0.15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  <c r="Y542" s="59"/>
    </row>
    <row r="543" spans="1:25" ht="30.75" customHeight="1" x14ac:dyDescent="0.15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  <c r="X543" s="59"/>
      <c r="Y543" s="59"/>
    </row>
    <row r="544" spans="1:25" ht="30.75" customHeight="1" x14ac:dyDescent="0.15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  <c r="Y544" s="59"/>
    </row>
    <row r="545" spans="1:25" ht="30.75" customHeight="1" x14ac:dyDescent="0.15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  <c r="X545" s="59"/>
      <c r="Y545" s="59"/>
    </row>
    <row r="546" spans="1:25" ht="30.75" customHeight="1" x14ac:dyDescent="0.15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  <c r="Y546" s="59"/>
    </row>
    <row r="547" spans="1:25" ht="30.75" customHeight="1" x14ac:dyDescent="0.15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  <c r="X547" s="59"/>
      <c r="Y547" s="59"/>
    </row>
    <row r="548" spans="1:25" ht="30.75" customHeight="1" x14ac:dyDescent="0.15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  <c r="Y548" s="59"/>
    </row>
    <row r="549" spans="1:25" ht="30.75" customHeight="1" x14ac:dyDescent="0.15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  <c r="X549" s="59"/>
      <c r="Y549" s="59"/>
    </row>
    <row r="550" spans="1:25" ht="30.75" customHeight="1" x14ac:dyDescent="0.15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  <c r="Y550" s="59"/>
    </row>
    <row r="551" spans="1:25" ht="30.75" customHeight="1" x14ac:dyDescent="0.15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</row>
    <row r="552" spans="1:25" ht="30.75" customHeight="1" x14ac:dyDescent="0.15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</row>
    <row r="553" spans="1:25" ht="30.75" customHeight="1" x14ac:dyDescent="0.15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</row>
    <row r="554" spans="1:25" ht="30.75" customHeight="1" x14ac:dyDescent="0.15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  <c r="Y554" s="59"/>
    </row>
    <row r="555" spans="1:25" ht="30.75" customHeight="1" x14ac:dyDescent="0.15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  <c r="X555" s="59"/>
      <c r="Y555" s="59"/>
    </row>
    <row r="556" spans="1:25" ht="30.75" customHeight="1" x14ac:dyDescent="0.15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  <c r="Y556" s="59"/>
    </row>
    <row r="557" spans="1:25" ht="30.75" customHeight="1" x14ac:dyDescent="0.15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  <c r="X557" s="59"/>
      <c r="Y557" s="59"/>
    </row>
    <row r="558" spans="1:25" ht="30.75" customHeight="1" x14ac:dyDescent="0.15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  <c r="Y558" s="59"/>
    </row>
    <row r="559" spans="1:25" ht="30.75" customHeight="1" x14ac:dyDescent="0.15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  <c r="X559" s="59"/>
      <c r="Y559" s="59"/>
    </row>
    <row r="560" spans="1:25" ht="30.75" customHeight="1" x14ac:dyDescent="0.15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  <c r="Y560" s="59"/>
    </row>
    <row r="561" spans="1:25" ht="30.75" customHeight="1" x14ac:dyDescent="0.15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  <c r="X561" s="59"/>
      <c r="Y561" s="59"/>
    </row>
    <row r="562" spans="1:25" ht="30.75" customHeight="1" x14ac:dyDescent="0.15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  <c r="Y562" s="59"/>
    </row>
    <row r="563" spans="1:25" ht="30.75" customHeight="1" x14ac:dyDescent="0.15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  <c r="X563" s="59"/>
      <c r="Y563" s="59"/>
    </row>
    <row r="564" spans="1:25" ht="30.75" customHeight="1" x14ac:dyDescent="0.15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  <c r="Y564" s="59"/>
    </row>
    <row r="565" spans="1:25" ht="30.75" customHeight="1" x14ac:dyDescent="0.15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  <c r="X565" s="59"/>
      <c r="Y565" s="59"/>
    </row>
    <row r="566" spans="1:25" ht="30.75" customHeight="1" x14ac:dyDescent="0.15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  <c r="Y566" s="59"/>
    </row>
    <row r="567" spans="1:25" ht="30.75" customHeight="1" x14ac:dyDescent="0.15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  <c r="X567" s="59"/>
      <c r="Y567" s="59"/>
    </row>
    <row r="568" spans="1:25" ht="30.75" customHeight="1" x14ac:dyDescent="0.15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  <c r="Y568" s="59"/>
    </row>
    <row r="569" spans="1:25" ht="30.75" customHeight="1" x14ac:dyDescent="0.15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  <c r="X569" s="59"/>
      <c r="Y569" s="59"/>
    </row>
    <row r="570" spans="1:25" ht="30.75" customHeight="1" x14ac:dyDescent="0.15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  <c r="Y570" s="59"/>
    </row>
    <row r="571" spans="1:25" ht="30.75" customHeight="1" x14ac:dyDescent="0.15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  <c r="X571" s="59"/>
      <c r="Y571" s="59"/>
    </row>
    <row r="572" spans="1:25" ht="30.75" customHeight="1" x14ac:dyDescent="0.15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  <c r="Y572" s="59"/>
    </row>
    <row r="573" spans="1:25" ht="30.75" customHeight="1" x14ac:dyDescent="0.15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  <c r="X573" s="59"/>
      <c r="Y573" s="59"/>
    </row>
    <row r="574" spans="1:25" ht="30.75" customHeight="1" x14ac:dyDescent="0.15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  <c r="Y574" s="59"/>
    </row>
    <row r="575" spans="1:25" ht="30.75" customHeight="1" x14ac:dyDescent="0.15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  <c r="X575" s="59"/>
      <c r="Y575" s="59"/>
    </row>
    <row r="576" spans="1:25" ht="30.75" customHeight="1" x14ac:dyDescent="0.15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  <c r="Y576" s="59"/>
    </row>
    <row r="577" spans="1:25" ht="30.75" customHeight="1" x14ac:dyDescent="0.15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  <c r="X577" s="59"/>
      <c r="Y577" s="59"/>
    </row>
    <row r="578" spans="1:25" ht="30.75" customHeight="1" x14ac:dyDescent="0.15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  <c r="Y578" s="59"/>
    </row>
    <row r="579" spans="1:25" ht="30.75" customHeight="1" x14ac:dyDescent="0.15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  <c r="X579" s="59"/>
      <c r="Y579" s="59"/>
    </row>
    <row r="580" spans="1:25" ht="30.75" customHeight="1" x14ac:dyDescent="0.15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  <c r="Y580" s="59"/>
    </row>
    <row r="581" spans="1:25" ht="30.75" customHeight="1" x14ac:dyDescent="0.15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</row>
    <row r="582" spans="1:25" ht="30.75" customHeight="1" x14ac:dyDescent="0.15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  <c r="Y582" s="59"/>
    </row>
    <row r="583" spans="1:25" ht="30.75" customHeight="1" x14ac:dyDescent="0.15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  <c r="X583" s="59"/>
      <c r="Y583" s="59"/>
    </row>
    <row r="584" spans="1:25" ht="30.75" customHeight="1" x14ac:dyDescent="0.15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  <c r="Y584" s="59"/>
    </row>
    <row r="585" spans="1:25" ht="30.75" customHeight="1" x14ac:dyDescent="0.15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  <c r="X585" s="59"/>
      <c r="Y585" s="59"/>
    </row>
    <row r="586" spans="1:25" ht="30.75" customHeight="1" x14ac:dyDescent="0.15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  <c r="Y586" s="59"/>
    </row>
    <row r="587" spans="1:25" ht="30.75" customHeight="1" x14ac:dyDescent="0.15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  <c r="X587" s="59"/>
      <c r="Y587" s="59"/>
    </row>
    <row r="588" spans="1:25" ht="30.75" customHeight="1" x14ac:dyDescent="0.15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  <c r="Y588" s="59"/>
    </row>
    <row r="589" spans="1:25" ht="30.75" customHeight="1" x14ac:dyDescent="0.15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  <c r="X589" s="59"/>
      <c r="Y589" s="59"/>
    </row>
    <row r="590" spans="1:25" ht="30.75" customHeight="1" x14ac:dyDescent="0.15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  <c r="Y590" s="59"/>
    </row>
    <row r="591" spans="1:25" ht="30.75" customHeight="1" x14ac:dyDescent="0.15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  <c r="X591" s="59"/>
      <c r="Y591" s="59"/>
    </row>
    <row r="592" spans="1:25" ht="30.75" customHeight="1" x14ac:dyDescent="0.15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  <c r="Y592" s="59"/>
    </row>
    <row r="593" spans="1:25" ht="30.75" customHeight="1" x14ac:dyDescent="0.15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  <c r="X593" s="59"/>
      <c r="Y593" s="59"/>
    </row>
    <row r="594" spans="1:25" ht="30.75" customHeight="1" x14ac:dyDescent="0.15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  <c r="Y594" s="59"/>
    </row>
    <row r="595" spans="1:25" ht="30.75" customHeight="1" x14ac:dyDescent="0.15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  <c r="X595" s="59"/>
      <c r="Y595" s="59"/>
    </row>
    <row r="596" spans="1:25" ht="30.75" customHeight="1" x14ac:dyDescent="0.15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  <c r="Y596" s="59"/>
    </row>
    <row r="597" spans="1:25" ht="30.75" customHeight="1" x14ac:dyDescent="0.15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  <c r="X597" s="59"/>
      <c r="Y597" s="59"/>
    </row>
    <row r="598" spans="1:25" ht="30.75" customHeight="1" x14ac:dyDescent="0.15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  <c r="Y598" s="59"/>
    </row>
    <row r="599" spans="1:25" ht="30.75" customHeight="1" x14ac:dyDescent="0.15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  <c r="X599" s="59"/>
      <c r="Y599" s="59"/>
    </row>
    <row r="600" spans="1:25" ht="30.75" customHeight="1" x14ac:dyDescent="0.15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</row>
    <row r="601" spans="1:25" ht="30.75" customHeight="1" x14ac:dyDescent="0.15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</row>
    <row r="602" spans="1:25" ht="30.75" customHeight="1" x14ac:dyDescent="0.15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</row>
    <row r="603" spans="1:25" ht="30.75" customHeight="1" x14ac:dyDescent="0.15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  <c r="X603" s="59"/>
      <c r="Y603" s="59"/>
    </row>
    <row r="604" spans="1:25" ht="30.75" customHeight="1" x14ac:dyDescent="0.15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  <c r="Y604" s="59"/>
    </row>
    <row r="605" spans="1:25" ht="30.75" customHeight="1" x14ac:dyDescent="0.15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  <c r="X605" s="59"/>
      <c r="Y605" s="59"/>
    </row>
    <row r="606" spans="1:25" ht="30.75" customHeight="1" x14ac:dyDescent="0.15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  <c r="Y606" s="59"/>
    </row>
    <row r="607" spans="1:25" ht="30.75" customHeight="1" x14ac:dyDescent="0.15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  <c r="X607" s="59"/>
      <c r="Y607" s="59"/>
    </row>
    <row r="608" spans="1:25" ht="30.75" customHeight="1" x14ac:dyDescent="0.15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  <c r="Y608" s="59"/>
    </row>
    <row r="609" spans="1:25" ht="30.75" customHeight="1" x14ac:dyDescent="0.15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  <c r="X609" s="59"/>
      <c r="Y609" s="59"/>
    </row>
    <row r="610" spans="1:25" ht="30.75" customHeight="1" x14ac:dyDescent="0.15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</row>
    <row r="611" spans="1:25" ht="30.75" customHeight="1" x14ac:dyDescent="0.15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</row>
    <row r="612" spans="1:25" ht="30.75" customHeight="1" x14ac:dyDescent="0.15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</row>
    <row r="613" spans="1:25" ht="30.75" customHeight="1" x14ac:dyDescent="0.15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  <c r="X613" s="59"/>
      <c r="Y613" s="59"/>
    </row>
    <row r="614" spans="1:25" ht="30.75" customHeight="1" x14ac:dyDescent="0.15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  <c r="Y614" s="59"/>
    </row>
    <row r="615" spans="1:25" ht="30.75" customHeight="1" x14ac:dyDescent="0.15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  <c r="X615" s="59"/>
      <c r="Y615" s="59"/>
    </row>
    <row r="616" spans="1:25" ht="30.75" customHeight="1" x14ac:dyDescent="0.15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  <c r="Y616" s="59"/>
    </row>
    <row r="617" spans="1:25" ht="30.75" customHeight="1" x14ac:dyDescent="0.15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  <c r="X617" s="59"/>
      <c r="Y617" s="59"/>
    </row>
    <row r="618" spans="1:25" ht="30.75" customHeight="1" x14ac:dyDescent="0.15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  <c r="Y618" s="59"/>
    </row>
    <row r="619" spans="1:25" ht="30.75" customHeight="1" x14ac:dyDescent="0.15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  <c r="X619" s="59"/>
      <c r="Y619" s="59"/>
    </row>
    <row r="620" spans="1:25" ht="30.75" customHeight="1" x14ac:dyDescent="0.15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  <c r="Y620" s="59"/>
    </row>
    <row r="621" spans="1:25" ht="30.75" customHeight="1" x14ac:dyDescent="0.15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  <c r="X621" s="59"/>
      <c r="Y621" s="59"/>
    </row>
    <row r="622" spans="1:25" ht="30.75" customHeight="1" x14ac:dyDescent="0.15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  <c r="Y622" s="59"/>
    </row>
    <row r="623" spans="1:25" ht="30.75" customHeight="1" x14ac:dyDescent="0.15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  <c r="X623" s="59"/>
      <c r="Y623" s="59"/>
    </row>
    <row r="624" spans="1:25" ht="30.75" customHeight="1" x14ac:dyDescent="0.15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  <c r="Y624" s="59"/>
    </row>
    <row r="625" spans="1:25" ht="30.75" customHeight="1" x14ac:dyDescent="0.15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  <c r="X625" s="59"/>
      <c r="Y625" s="59"/>
    </row>
    <row r="626" spans="1:25" ht="30.75" customHeight="1" x14ac:dyDescent="0.15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  <c r="Y626" s="59"/>
    </row>
    <row r="627" spans="1:25" ht="30.75" customHeight="1" x14ac:dyDescent="0.15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  <c r="X627" s="59"/>
      <c r="Y627" s="59"/>
    </row>
    <row r="628" spans="1:25" ht="30.75" customHeight="1" x14ac:dyDescent="0.15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  <c r="Y628" s="59"/>
    </row>
    <row r="629" spans="1:25" ht="30.75" customHeight="1" x14ac:dyDescent="0.15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  <c r="X629" s="59"/>
      <c r="Y629" s="59"/>
    </row>
    <row r="630" spans="1:25" ht="30.75" customHeight="1" x14ac:dyDescent="0.15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  <c r="Y630" s="59"/>
    </row>
    <row r="631" spans="1:25" ht="30.75" customHeight="1" x14ac:dyDescent="0.15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</row>
    <row r="632" spans="1:25" ht="30.75" customHeight="1" x14ac:dyDescent="0.15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</row>
    <row r="633" spans="1:25" ht="30.75" customHeight="1" x14ac:dyDescent="0.15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</row>
    <row r="634" spans="1:25" ht="30.75" customHeight="1" x14ac:dyDescent="0.15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  <c r="Y634" s="59"/>
    </row>
    <row r="635" spans="1:25" ht="30.75" customHeight="1" x14ac:dyDescent="0.15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  <c r="X635" s="59"/>
      <c r="Y635" s="59"/>
    </row>
    <row r="636" spans="1:25" ht="30.75" customHeight="1" x14ac:dyDescent="0.15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  <c r="Y636" s="59"/>
    </row>
    <row r="637" spans="1:25" ht="30.75" customHeight="1" x14ac:dyDescent="0.15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  <c r="X637" s="59"/>
      <c r="Y637" s="59"/>
    </row>
    <row r="638" spans="1:25" ht="30.75" customHeight="1" x14ac:dyDescent="0.15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</row>
    <row r="639" spans="1:25" ht="30.75" customHeight="1" x14ac:dyDescent="0.15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</row>
    <row r="640" spans="1:25" ht="30.75" customHeight="1" x14ac:dyDescent="0.15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</row>
    <row r="641" spans="1:25" ht="30.75" customHeight="1" x14ac:dyDescent="0.15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</row>
    <row r="642" spans="1:25" ht="30.75" customHeight="1" x14ac:dyDescent="0.15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</row>
    <row r="643" spans="1:25" ht="30.75" customHeight="1" x14ac:dyDescent="0.15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</row>
    <row r="644" spans="1:25" ht="30.75" customHeight="1" x14ac:dyDescent="0.15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  <c r="Y644" s="59"/>
    </row>
    <row r="645" spans="1:25" ht="30.75" customHeight="1" x14ac:dyDescent="0.15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  <c r="X645" s="59"/>
      <c r="Y645" s="59"/>
    </row>
    <row r="646" spans="1:25" ht="30.75" customHeight="1" x14ac:dyDescent="0.15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  <c r="Y646" s="59"/>
    </row>
    <row r="647" spans="1:25" ht="30.75" customHeight="1" x14ac:dyDescent="0.15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  <c r="X647" s="59"/>
      <c r="Y647" s="59"/>
    </row>
    <row r="648" spans="1:25" ht="30.75" customHeight="1" x14ac:dyDescent="0.15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  <c r="Y648" s="59"/>
    </row>
    <row r="649" spans="1:25" ht="30.75" customHeight="1" x14ac:dyDescent="0.15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  <c r="X649" s="59"/>
      <c r="Y649" s="59"/>
    </row>
    <row r="650" spans="1:25" ht="30.75" customHeight="1" x14ac:dyDescent="0.15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  <c r="Y650" s="59"/>
    </row>
    <row r="651" spans="1:25" ht="30.75" customHeight="1" x14ac:dyDescent="0.15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  <c r="X651" s="59"/>
      <c r="Y651" s="59"/>
    </row>
    <row r="652" spans="1:25" ht="30.75" customHeight="1" x14ac:dyDescent="0.15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  <c r="Y652" s="59"/>
    </row>
    <row r="653" spans="1:25" ht="30.75" customHeight="1" x14ac:dyDescent="0.15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  <c r="X653" s="59"/>
      <c r="Y653" s="59"/>
    </row>
    <row r="654" spans="1:25" ht="30.75" customHeight="1" x14ac:dyDescent="0.15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  <c r="Y654" s="59"/>
    </row>
    <row r="655" spans="1:25" ht="30.75" customHeight="1" x14ac:dyDescent="0.15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  <c r="X655" s="59"/>
      <c r="Y655" s="59"/>
    </row>
    <row r="656" spans="1:25" ht="30.75" customHeight="1" x14ac:dyDescent="0.15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  <c r="Y656" s="59"/>
    </row>
    <row r="657" spans="1:25" ht="30.75" customHeight="1" x14ac:dyDescent="0.15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  <c r="X657" s="59"/>
      <c r="Y657" s="59"/>
    </row>
    <row r="658" spans="1:25" ht="30.75" customHeight="1" x14ac:dyDescent="0.15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  <c r="Y658" s="59"/>
    </row>
    <row r="659" spans="1:25" ht="30.75" customHeight="1" x14ac:dyDescent="0.15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  <c r="X659" s="59"/>
      <c r="Y659" s="59"/>
    </row>
    <row r="660" spans="1:25" ht="30.75" customHeight="1" x14ac:dyDescent="0.15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  <c r="Y660" s="59"/>
    </row>
    <row r="661" spans="1:25" ht="30.75" customHeight="1" x14ac:dyDescent="0.15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  <c r="X661" s="59"/>
      <c r="Y661" s="59"/>
    </row>
    <row r="662" spans="1:25" ht="30.75" customHeight="1" x14ac:dyDescent="0.15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</row>
    <row r="663" spans="1:25" ht="30.75" customHeight="1" x14ac:dyDescent="0.15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  <c r="X663" s="59"/>
      <c r="Y663" s="59"/>
    </row>
    <row r="664" spans="1:25" ht="30.75" customHeight="1" x14ac:dyDescent="0.15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  <c r="Y664" s="59"/>
    </row>
    <row r="665" spans="1:25" ht="30.75" customHeight="1" x14ac:dyDescent="0.15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  <c r="X665" s="59"/>
      <c r="Y665" s="59"/>
    </row>
    <row r="666" spans="1:25" ht="30.75" customHeight="1" x14ac:dyDescent="0.15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  <c r="Y666" s="59"/>
    </row>
    <row r="667" spans="1:25" ht="30.75" customHeight="1" x14ac:dyDescent="0.15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  <c r="X667" s="59"/>
      <c r="Y667" s="59"/>
    </row>
    <row r="668" spans="1:25" ht="30.75" customHeight="1" x14ac:dyDescent="0.15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  <c r="Y668" s="59"/>
    </row>
    <row r="669" spans="1:25" ht="30.75" customHeight="1" x14ac:dyDescent="0.15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</row>
    <row r="670" spans="1:25" ht="30.75" customHeight="1" x14ac:dyDescent="0.15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</row>
    <row r="671" spans="1:25" ht="30.75" customHeight="1" x14ac:dyDescent="0.15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</row>
    <row r="672" spans="1:25" ht="30.75" customHeight="1" x14ac:dyDescent="0.15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  <c r="Y672" s="59"/>
    </row>
    <row r="673" spans="1:25" ht="30.75" customHeight="1" x14ac:dyDescent="0.15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  <c r="X673" s="59"/>
      <c r="Y673" s="59"/>
    </row>
    <row r="674" spans="1:25" ht="30.75" customHeight="1" x14ac:dyDescent="0.15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  <c r="Y674" s="59"/>
    </row>
    <row r="675" spans="1:25" ht="30.75" customHeight="1" x14ac:dyDescent="0.15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  <c r="X675" s="59"/>
      <c r="Y675" s="59"/>
    </row>
    <row r="676" spans="1:25" ht="30.75" customHeight="1" x14ac:dyDescent="0.15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  <c r="Y676" s="59"/>
    </row>
    <row r="677" spans="1:25" ht="30.75" customHeight="1" x14ac:dyDescent="0.15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  <c r="X677" s="59"/>
      <c r="Y677" s="59"/>
    </row>
    <row r="678" spans="1:25" ht="30.75" customHeight="1" x14ac:dyDescent="0.15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  <c r="Y678" s="59"/>
    </row>
    <row r="679" spans="1:25" ht="30.75" customHeight="1" x14ac:dyDescent="0.15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  <c r="X679" s="59"/>
      <c r="Y679" s="59"/>
    </row>
    <row r="680" spans="1:25" ht="30.75" customHeight="1" x14ac:dyDescent="0.15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  <c r="Y680" s="59"/>
    </row>
    <row r="681" spans="1:25" ht="30.75" customHeight="1" x14ac:dyDescent="0.15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  <c r="X681" s="59"/>
      <c r="Y681" s="59"/>
    </row>
    <row r="682" spans="1:25" ht="30.75" customHeight="1" x14ac:dyDescent="0.15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  <c r="Y682" s="59"/>
    </row>
    <row r="683" spans="1:25" ht="30.75" customHeight="1" x14ac:dyDescent="0.15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  <c r="X683" s="59"/>
      <c r="Y683" s="59"/>
    </row>
    <row r="684" spans="1:25" ht="30.75" customHeight="1" x14ac:dyDescent="0.15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  <c r="Y684" s="59"/>
    </row>
    <row r="685" spans="1:25" ht="30.75" customHeight="1" x14ac:dyDescent="0.15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  <c r="X685" s="59"/>
      <c r="Y685" s="59"/>
    </row>
    <row r="686" spans="1:25" ht="30.75" customHeight="1" x14ac:dyDescent="0.15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  <c r="Y686" s="59"/>
    </row>
    <row r="687" spans="1:25" ht="30.75" customHeight="1" x14ac:dyDescent="0.15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  <c r="X687" s="59"/>
      <c r="Y687" s="59"/>
    </row>
    <row r="688" spans="1:25" ht="30.75" customHeight="1" x14ac:dyDescent="0.15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  <c r="Y688" s="59"/>
    </row>
    <row r="689" spans="1:25" ht="30.75" customHeight="1" x14ac:dyDescent="0.15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  <c r="X689" s="59"/>
      <c r="Y689" s="59"/>
    </row>
    <row r="690" spans="1:25" ht="30.75" customHeight="1" x14ac:dyDescent="0.15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  <c r="Y690" s="59"/>
    </row>
    <row r="691" spans="1:25" ht="30.75" customHeight="1" x14ac:dyDescent="0.15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  <c r="X691" s="59"/>
      <c r="Y691" s="59"/>
    </row>
    <row r="692" spans="1:25" ht="30.75" customHeight="1" x14ac:dyDescent="0.15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  <c r="Y692" s="59"/>
    </row>
    <row r="693" spans="1:25" ht="30.75" customHeight="1" x14ac:dyDescent="0.15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  <c r="X693" s="59"/>
      <c r="Y693" s="59"/>
    </row>
    <row r="694" spans="1:25" ht="30.75" customHeight="1" x14ac:dyDescent="0.15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  <c r="Y694" s="59"/>
    </row>
    <row r="695" spans="1:25" ht="30.75" customHeight="1" x14ac:dyDescent="0.15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  <c r="X695" s="59"/>
      <c r="Y695" s="59"/>
    </row>
    <row r="696" spans="1:25" ht="30.75" customHeight="1" x14ac:dyDescent="0.15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  <c r="Y696" s="59"/>
    </row>
    <row r="697" spans="1:25" ht="30.75" customHeight="1" x14ac:dyDescent="0.15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  <c r="X697" s="59"/>
      <c r="Y697" s="59"/>
    </row>
    <row r="698" spans="1:25" ht="30.75" customHeight="1" x14ac:dyDescent="0.15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  <c r="Y698" s="59"/>
    </row>
    <row r="699" spans="1:25" ht="30.75" customHeight="1" x14ac:dyDescent="0.15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</row>
    <row r="700" spans="1:25" ht="30.75" customHeight="1" x14ac:dyDescent="0.15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</row>
    <row r="701" spans="1:25" ht="30.75" customHeight="1" x14ac:dyDescent="0.15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  <c r="X701" s="59"/>
      <c r="Y701" s="59"/>
    </row>
    <row r="702" spans="1:25" ht="30.75" customHeight="1" x14ac:dyDescent="0.15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  <c r="Y702" s="59"/>
    </row>
    <row r="703" spans="1:25" ht="30.75" customHeight="1" x14ac:dyDescent="0.15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  <c r="X703" s="59"/>
      <c r="Y703" s="59"/>
    </row>
    <row r="704" spans="1:25" ht="30.75" customHeight="1" x14ac:dyDescent="0.15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  <c r="Y704" s="59"/>
    </row>
    <row r="705" spans="1:25" ht="30.75" customHeight="1" x14ac:dyDescent="0.15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  <c r="X705" s="59"/>
      <c r="Y705" s="59"/>
    </row>
    <row r="706" spans="1:25" ht="30.75" customHeight="1" x14ac:dyDescent="0.15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  <c r="Y706" s="59"/>
    </row>
    <row r="707" spans="1:25" ht="30.75" customHeight="1" x14ac:dyDescent="0.15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  <c r="X707" s="59"/>
      <c r="Y707" s="59"/>
    </row>
    <row r="708" spans="1:25" ht="30.75" customHeight="1" x14ac:dyDescent="0.15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</row>
    <row r="709" spans="1:25" ht="30.75" customHeight="1" x14ac:dyDescent="0.15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</row>
    <row r="710" spans="1:25" ht="30.75" customHeight="1" x14ac:dyDescent="0.15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</row>
    <row r="711" spans="1:25" ht="30.75" customHeight="1" x14ac:dyDescent="0.15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  <c r="X711" s="59"/>
      <c r="Y711" s="59"/>
    </row>
    <row r="712" spans="1:25" ht="30.75" customHeight="1" x14ac:dyDescent="0.15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  <c r="Y712" s="59"/>
    </row>
    <row r="713" spans="1:25" ht="30.75" customHeight="1" x14ac:dyDescent="0.15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  <c r="X713" s="59"/>
      <c r="Y713" s="59"/>
    </row>
    <row r="714" spans="1:25" ht="30.75" customHeight="1" x14ac:dyDescent="0.15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  <c r="Y714" s="59"/>
    </row>
    <row r="715" spans="1:25" ht="30.75" customHeight="1" x14ac:dyDescent="0.15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  <c r="X715" s="59"/>
      <c r="Y715" s="59"/>
    </row>
    <row r="716" spans="1:25" ht="30.75" customHeight="1" x14ac:dyDescent="0.15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  <c r="Y716" s="59"/>
    </row>
    <row r="717" spans="1:25" ht="30.75" customHeight="1" x14ac:dyDescent="0.15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  <c r="X717" s="59"/>
      <c r="Y717" s="59"/>
    </row>
    <row r="718" spans="1:25" ht="30.75" customHeight="1" x14ac:dyDescent="0.15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  <c r="Y718" s="59"/>
    </row>
    <row r="719" spans="1:25" ht="30.75" customHeight="1" x14ac:dyDescent="0.15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  <c r="X719" s="59"/>
      <c r="Y719" s="59"/>
    </row>
    <row r="720" spans="1:25" ht="30.75" customHeight="1" x14ac:dyDescent="0.15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  <c r="Y720" s="59"/>
    </row>
    <row r="721" spans="1:25" ht="30.75" customHeight="1" x14ac:dyDescent="0.15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  <c r="X721" s="59"/>
      <c r="Y721" s="59"/>
    </row>
    <row r="722" spans="1:25" ht="30.75" customHeight="1" x14ac:dyDescent="0.15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  <c r="Y722" s="59"/>
    </row>
    <row r="723" spans="1:25" ht="30.75" customHeight="1" x14ac:dyDescent="0.15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  <c r="X723" s="59"/>
      <c r="Y723" s="59"/>
    </row>
    <row r="724" spans="1:25" ht="30.75" customHeight="1" x14ac:dyDescent="0.15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  <c r="Y724" s="59"/>
    </row>
    <row r="725" spans="1:25" ht="30.75" customHeight="1" x14ac:dyDescent="0.15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  <c r="X725" s="59"/>
      <c r="Y725" s="59"/>
    </row>
    <row r="726" spans="1:25" ht="30.75" customHeight="1" x14ac:dyDescent="0.15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  <c r="Y726" s="59"/>
    </row>
    <row r="727" spans="1:25" ht="30.75" customHeight="1" x14ac:dyDescent="0.15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  <c r="X727" s="59"/>
      <c r="Y727" s="59"/>
    </row>
    <row r="728" spans="1:25" ht="30.75" customHeight="1" x14ac:dyDescent="0.15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  <c r="Y728" s="59"/>
    </row>
    <row r="729" spans="1:25" ht="30.75" customHeight="1" x14ac:dyDescent="0.15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  <c r="X729" s="59"/>
      <c r="Y729" s="59"/>
    </row>
    <row r="730" spans="1:25" ht="30.75" customHeight="1" x14ac:dyDescent="0.15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  <c r="Y730" s="59"/>
    </row>
    <row r="731" spans="1:25" ht="30.75" customHeight="1" x14ac:dyDescent="0.15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  <c r="X731" s="59"/>
      <c r="Y731" s="59"/>
    </row>
    <row r="732" spans="1:25" ht="30.75" customHeight="1" x14ac:dyDescent="0.15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  <c r="Y732" s="59"/>
    </row>
    <row r="733" spans="1:25" ht="30.75" customHeight="1" x14ac:dyDescent="0.15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  <c r="X733" s="59"/>
      <c r="Y733" s="59"/>
    </row>
    <row r="734" spans="1:25" ht="30.75" customHeight="1" x14ac:dyDescent="0.15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  <c r="Y734" s="59"/>
    </row>
    <row r="735" spans="1:25" ht="30.75" customHeight="1" x14ac:dyDescent="0.15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  <c r="X735" s="59"/>
      <c r="Y735" s="59"/>
    </row>
    <row r="736" spans="1:25" ht="30.75" customHeight="1" x14ac:dyDescent="0.15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  <c r="Y736" s="59"/>
    </row>
    <row r="737" spans="1:25" ht="30.75" customHeight="1" x14ac:dyDescent="0.15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  <c r="X737" s="59"/>
      <c r="Y737" s="59"/>
    </row>
    <row r="738" spans="1:25" ht="30.75" customHeight="1" x14ac:dyDescent="0.15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  <c r="Y738" s="59"/>
    </row>
    <row r="739" spans="1:25" ht="30.75" customHeight="1" x14ac:dyDescent="0.15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</row>
    <row r="740" spans="1:25" ht="30.75" customHeight="1" x14ac:dyDescent="0.15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</row>
    <row r="741" spans="1:25" ht="30.75" customHeight="1" x14ac:dyDescent="0.15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</row>
    <row r="742" spans="1:25" ht="30.75" customHeight="1" x14ac:dyDescent="0.15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  <c r="Y742" s="59"/>
    </row>
    <row r="743" spans="1:25" ht="30.75" customHeight="1" x14ac:dyDescent="0.15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  <c r="X743" s="59"/>
      <c r="Y743" s="59"/>
    </row>
    <row r="744" spans="1:25" ht="30.75" customHeight="1" x14ac:dyDescent="0.15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  <c r="Y744" s="59"/>
    </row>
    <row r="745" spans="1:25" ht="30.75" customHeight="1" x14ac:dyDescent="0.15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  <c r="X745" s="59"/>
      <c r="Y745" s="59"/>
    </row>
    <row r="746" spans="1:25" ht="30.75" customHeight="1" x14ac:dyDescent="0.15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  <c r="Y746" s="59"/>
    </row>
    <row r="747" spans="1:25" ht="30.75" customHeight="1" x14ac:dyDescent="0.15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  <c r="X747" s="59"/>
      <c r="Y747" s="59"/>
    </row>
    <row r="748" spans="1:25" ht="30.75" customHeight="1" x14ac:dyDescent="0.15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  <c r="Y748" s="59"/>
    </row>
    <row r="749" spans="1:25" ht="30.75" customHeight="1" x14ac:dyDescent="0.15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  <c r="X749" s="59"/>
      <c r="Y749" s="59"/>
    </row>
    <row r="750" spans="1:25" ht="30.75" customHeight="1" x14ac:dyDescent="0.15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  <c r="Y750" s="59"/>
    </row>
    <row r="751" spans="1:25" ht="30.75" customHeight="1" x14ac:dyDescent="0.15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  <c r="X751" s="59"/>
      <c r="Y751" s="59"/>
    </row>
    <row r="752" spans="1:25" ht="30.75" customHeight="1" x14ac:dyDescent="0.15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  <c r="Y752" s="59"/>
    </row>
    <row r="753" spans="1:25" ht="30.75" customHeight="1" x14ac:dyDescent="0.15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  <c r="X753" s="59"/>
      <c r="Y753" s="59"/>
    </row>
    <row r="754" spans="1:25" ht="30.75" customHeight="1" x14ac:dyDescent="0.15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  <c r="Y754" s="59"/>
    </row>
    <row r="755" spans="1:25" ht="30.75" customHeight="1" x14ac:dyDescent="0.15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  <c r="X755" s="59"/>
      <c r="Y755" s="59"/>
    </row>
    <row r="756" spans="1:25" ht="30.75" customHeight="1" x14ac:dyDescent="0.15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  <c r="Y756" s="59"/>
    </row>
    <row r="757" spans="1:25" ht="30.75" customHeight="1" x14ac:dyDescent="0.15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  <c r="X757" s="59"/>
      <c r="Y757" s="59"/>
    </row>
    <row r="758" spans="1:25" ht="30.75" customHeight="1" x14ac:dyDescent="0.15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  <c r="Y758" s="59"/>
    </row>
    <row r="759" spans="1:25" ht="30.75" customHeight="1" x14ac:dyDescent="0.15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  <c r="X759" s="59"/>
      <c r="Y759" s="59"/>
    </row>
    <row r="760" spans="1:25" ht="30.75" customHeight="1" x14ac:dyDescent="0.15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  <c r="Y760" s="59"/>
    </row>
    <row r="761" spans="1:25" ht="30.75" customHeight="1" x14ac:dyDescent="0.15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  <c r="X761" s="59"/>
      <c r="Y761" s="59"/>
    </row>
    <row r="762" spans="1:25" ht="30.75" customHeight="1" x14ac:dyDescent="0.15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  <c r="Y762" s="59"/>
    </row>
    <row r="763" spans="1:25" ht="30.75" customHeight="1" x14ac:dyDescent="0.15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  <c r="X763" s="59"/>
      <c r="Y763" s="59"/>
    </row>
    <row r="764" spans="1:25" ht="30.75" customHeight="1" x14ac:dyDescent="0.15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  <c r="Y764" s="59"/>
    </row>
    <row r="765" spans="1:25" ht="30.75" customHeight="1" x14ac:dyDescent="0.15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  <c r="X765" s="59"/>
      <c r="Y765" s="59"/>
    </row>
    <row r="766" spans="1:25" ht="30.75" customHeight="1" x14ac:dyDescent="0.15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  <c r="Y766" s="59"/>
    </row>
    <row r="767" spans="1:25" ht="30.75" customHeight="1" x14ac:dyDescent="0.15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  <c r="X767" s="59"/>
      <c r="Y767" s="59"/>
    </row>
    <row r="768" spans="1:25" ht="30.75" customHeight="1" x14ac:dyDescent="0.15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  <c r="Y768" s="59"/>
    </row>
    <row r="769" spans="1:25" ht="30.75" customHeight="1" x14ac:dyDescent="0.15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  <c r="X769" s="59"/>
      <c r="Y769" s="59"/>
    </row>
    <row r="770" spans="1:25" ht="30.75" customHeight="1" x14ac:dyDescent="0.15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  <c r="Y770" s="59"/>
    </row>
    <row r="771" spans="1:25" ht="30.75" customHeight="1" x14ac:dyDescent="0.15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  <c r="X771" s="59"/>
      <c r="Y771" s="59"/>
    </row>
    <row r="772" spans="1:25" ht="30.75" customHeight="1" x14ac:dyDescent="0.15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  <c r="Y772" s="59"/>
    </row>
    <row r="773" spans="1:25" ht="30.75" customHeight="1" x14ac:dyDescent="0.15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  <c r="X773" s="59"/>
      <c r="Y773" s="59"/>
    </row>
    <row r="774" spans="1:25" ht="30.75" customHeight="1" x14ac:dyDescent="0.15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  <c r="Y774" s="59"/>
    </row>
    <row r="775" spans="1:25" ht="30.75" customHeight="1" x14ac:dyDescent="0.15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  <c r="X775" s="59"/>
      <c r="Y775" s="59"/>
    </row>
    <row r="776" spans="1:25" ht="30.75" customHeight="1" x14ac:dyDescent="0.15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  <c r="Y776" s="59"/>
    </row>
    <row r="777" spans="1:25" ht="30.75" customHeight="1" x14ac:dyDescent="0.15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  <c r="X777" s="59"/>
      <c r="Y777" s="59"/>
    </row>
    <row r="778" spans="1:25" ht="30.75" customHeight="1" x14ac:dyDescent="0.15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  <c r="Y778" s="59"/>
    </row>
    <row r="779" spans="1:25" ht="30.75" customHeight="1" x14ac:dyDescent="0.15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  <c r="X779" s="59"/>
      <c r="Y779" s="59"/>
    </row>
    <row r="780" spans="1:25" ht="30.75" customHeight="1" x14ac:dyDescent="0.15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  <c r="Y780" s="59"/>
    </row>
    <row r="781" spans="1:25" ht="30.75" customHeight="1" x14ac:dyDescent="0.15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  <c r="X781" s="59"/>
      <c r="Y781" s="59"/>
    </row>
    <row r="782" spans="1:25" ht="30.75" customHeight="1" x14ac:dyDescent="0.15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  <c r="Y782" s="59"/>
    </row>
    <row r="783" spans="1:25" ht="30.75" customHeight="1" x14ac:dyDescent="0.15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  <c r="X783" s="59"/>
      <c r="Y783" s="59"/>
    </row>
    <row r="784" spans="1:25" ht="30.75" customHeight="1" x14ac:dyDescent="0.15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  <c r="Y784" s="59"/>
    </row>
    <row r="785" spans="1:25" ht="30.75" customHeight="1" x14ac:dyDescent="0.15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  <c r="X785" s="59"/>
      <c r="Y785" s="59"/>
    </row>
    <row r="786" spans="1:25" ht="30.75" customHeight="1" x14ac:dyDescent="0.15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  <c r="Y786" s="59"/>
    </row>
    <row r="787" spans="1:25" ht="30.75" customHeight="1" x14ac:dyDescent="0.15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  <c r="X787" s="59"/>
      <c r="Y787" s="59"/>
    </row>
    <row r="788" spans="1:25" ht="30.75" customHeight="1" x14ac:dyDescent="0.15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  <c r="Y788" s="59"/>
    </row>
    <row r="789" spans="1:25" ht="30.75" customHeight="1" x14ac:dyDescent="0.15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  <c r="X789" s="59"/>
      <c r="Y789" s="59"/>
    </row>
    <row r="790" spans="1:25" ht="30.75" customHeight="1" x14ac:dyDescent="0.15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  <c r="Y790" s="59"/>
    </row>
    <row r="791" spans="1:25" ht="30.75" customHeight="1" x14ac:dyDescent="0.15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  <c r="X791" s="59"/>
      <c r="Y791" s="59"/>
    </row>
    <row r="792" spans="1:25" ht="30.75" customHeight="1" x14ac:dyDescent="0.15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  <c r="Y792" s="59"/>
    </row>
    <row r="793" spans="1:25" ht="30.75" customHeight="1" x14ac:dyDescent="0.15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  <c r="X793" s="59"/>
      <c r="Y793" s="59"/>
    </row>
    <row r="794" spans="1:25" ht="30.75" customHeight="1" x14ac:dyDescent="0.15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  <c r="Y794" s="59"/>
    </row>
    <row r="795" spans="1:25" ht="30.75" customHeight="1" x14ac:dyDescent="0.15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  <c r="X795" s="59"/>
      <c r="Y795" s="59"/>
    </row>
    <row r="796" spans="1:25" ht="30.75" customHeight="1" x14ac:dyDescent="0.15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  <c r="Y796" s="59"/>
    </row>
    <row r="797" spans="1:25" ht="30.75" customHeight="1" x14ac:dyDescent="0.15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  <c r="X797" s="59"/>
      <c r="Y797" s="59"/>
    </row>
    <row r="798" spans="1:25" ht="30.75" customHeight="1" x14ac:dyDescent="0.15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  <c r="Y798" s="59"/>
    </row>
    <row r="799" spans="1:25" ht="30.75" customHeight="1" x14ac:dyDescent="0.15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  <c r="X799" s="59"/>
      <c r="Y799" s="59"/>
    </row>
    <row r="800" spans="1:25" ht="30.75" customHeight="1" x14ac:dyDescent="0.15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  <c r="Y800" s="59"/>
    </row>
    <row r="801" spans="1:25" ht="30.75" customHeight="1" x14ac:dyDescent="0.15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  <c r="X801" s="59"/>
      <c r="Y801" s="59"/>
    </row>
    <row r="802" spans="1:25" ht="30.75" customHeight="1" x14ac:dyDescent="0.15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  <c r="Y802" s="59"/>
    </row>
    <row r="803" spans="1:25" ht="30.75" customHeight="1" x14ac:dyDescent="0.15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  <c r="X803" s="59"/>
      <c r="Y803" s="59"/>
    </row>
    <row r="804" spans="1:25" ht="30.75" customHeight="1" x14ac:dyDescent="0.15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  <c r="Y804" s="59"/>
    </row>
    <row r="805" spans="1:25" ht="30.75" customHeight="1" x14ac:dyDescent="0.15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  <c r="X805" s="59"/>
      <c r="Y805" s="59"/>
    </row>
    <row r="806" spans="1:25" ht="30.75" customHeight="1" x14ac:dyDescent="0.15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  <c r="Y806" s="59"/>
    </row>
    <row r="807" spans="1:25" ht="30.75" customHeight="1" x14ac:dyDescent="0.15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  <c r="X807" s="59"/>
      <c r="Y807" s="59"/>
    </row>
    <row r="808" spans="1:25" ht="30.75" customHeight="1" x14ac:dyDescent="0.15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  <c r="Y808" s="59"/>
    </row>
    <row r="809" spans="1:25" ht="30.75" customHeight="1" x14ac:dyDescent="0.15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  <c r="X809" s="59"/>
      <c r="Y809" s="59"/>
    </row>
    <row r="810" spans="1:25" ht="30.75" customHeight="1" x14ac:dyDescent="0.15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  <c r="Y810" s="59"/>
    </row>
    <row r="811" spans="1:25" ht="30.75" customHeight="1" x14ac:dyDescent="0.15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  <c r="X811" s="59"/>
      <c r="Y811" s="59"/>
    </row>
    <row r="812" spans="1:25" ht="30.75" customHeight="1" x14ac:dyDescent="0.15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  <c r="Y812" s="59"/>
    </row>
    <row r="813" spans="1:25" ht="30.75" customHeight="1" x14ac:dyDescent="0.15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  <c r="X813" s="59"/>
      <c r="Y813" s="59"/>
    </row>
    <row r="814" spans="1:25" ht="30.75" customHeight="1" x14ac:dyDescent="0.15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  <c r="Y814" s="59"/>
    </row>
    <row r="815" spans="1:25" ht="30.75" customHeight="1" x14ac:dyDescent="0.15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  <c r="X815" s="59"/>
      <c r="Y815" s="59"/>
    </row>
    <row r="816" spans="1:25" ht="30.75" customHeight="1" x14ac:dyDescent="0.15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  <c r="Y816" s="59"/>
    </row>
    <row r="817" spans="1:25" ht="30.75" customHeight="1" x14ac:dyDescent="0.15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  <c r="X817" s="59"/>
      <c r="Y817" s="59"/>
    </row>
    <row r="818" spans="1:25" ht="30.75" customHeight="1" x14ac:dyDescent="0.15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  <c r="Y818" s="59"/>
    </row>
    <row r="819" spans="1:25" ht="30.75" customHeight="1" x14ac:dyDescent="0.15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  <c r="X819" s="59"/>
      <c r="Y819" s="59"/>
    </row>
    <row r="820" spans="1:25" ht="30.75" customHeight="1" x14ac:dyDescent="0.15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  <c r="X820" s="59"/>
      <c r="Y820" s="59"/>
    </row>
    <row r="821" spans="1:25" ht="30.75" customHeight="1" x14ac:dyDescent="0.15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  <c r="X821" s="59"/>
      <c r="Y821" s="59"/>
    </row>
    <row r="822" spans="1:25" ht="30.75" customHeight="1" x14ac:dyDescent="0.15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  <c r="Y822" s="59"/>
    </row>
    <row r="823" spans="1:25" ht="30.75" customHeight="1" x14ac:dyDescent="0.15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  <c r="X823" s="59"/>
      <c r="Y823" s="59"/>
    </row>
    <row r="824" spans="1:25" ht="30.75" customHeight="1" x14ac:dyDescent="0.15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  <c r="Y824" s="59"/>
    </row>
    <row r="825" spans="1:25" ht="30.75" customHeight="1" x14ac:dyDescent="0.15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  <c r="X825" s="59"/>
      <c r="Y825" s="59"/>
    </row>
    <row r="826" spans="1:25" ht="30.75" customHeight="1" x14ac:dyDescent="0.15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  <c r="Y826" s="59"/>
    </row>
    <row r="827" spans="1:25" ht="30.75" customHeight="1" x14ac:dyDescent="0.15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  <c r="X827" s="59"/>
      <c r="Y827" s="59"/>
    </row>
    <row r="828" spans="1:25" ht="30.75" customHeight="1" x14ac:dyDescent="0.15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  <c r="Y828" s="59"/>
    </row>
    <row r="829" spans="1:25" ht="30.75" customHeight="1" x14ac:dyDescent="0.15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  <c r="X829" s="59"/>
      <c r="Y829" s="59"/>
    </row>
    <row r="830" spans="1:25" ht="30.75" customHeight="1" x14ac:dyDescent="0.15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  <c r="Y830" s="59"/>
    </row>
    <row r="831" spans="1:25" ht="30.75" customHeight="1" x14ac:dyDescent="0.15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  <c r="X831" s="59"/>
      <c r="Y831" s="59"/>
    </row>
    <row r="832" spans="1:25" ht="30.75" customHeight="1" x14ac:dyDescent="0.15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  <c r="Y832" s="59"/>
    </row>
    <row r="833" spans="1:25" ht="30.75" customHeight="1" x14ac:dyDescent="0.15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  <c r="X833" s="59"/>
      <c r="Y833" s="59"/>
    </row>
    <row r="834" spans="1:25" ht="30.75" customHeight="1" x14ac:dyDescent="0.15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  <c r="X834" s="59"/>
      <c r="Y834" s="59"/>
    </row>
    <row r="835" spans="1:25" ht="30.75" customHeight="1" x14ac:dyDescent="0.15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  <c r="X835" s="59"/>
      <c r="Y835" s="59"/>
    </row>
    <row r="836" spans="1:25" ht="30.75" customHeight="1" x14ac:dyDescent="0.15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  <c r="X836" s="59"/>
      <c r="Y836" s="59"/>
    </row>
    <row r="837" spans="1:25" ht="30.75" customHeight="1" x14ac:dyDescent="0.15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  <c r="X837" s="59"/>
      <c r="Y837" s="59"/>
    </row>
    <row r="838" spans="1:25" ht="30.75" customHeight="1" x14ac:dyDescent="0.15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  <c r="X838" s="59"/>
      <c r="Y838" s="59"/>
    </row>
    <row r="839" spans="1:25" ht="30.75" customHeight="1" x14ac:dyDescent="0.15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  <c r="X839" s="59"/>
      <c r="Y839" s="59"/>
    </row>
    <row r="840" spans="1:25" ht="30.75" customHeight="1" x14ac:dyDescent="0.15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  <c r="X840" s="59"/>
      <c r="Y840" s="59"/>
    </row>
    <row r="841" spans="1:25" ht="30.75" customHeight="1" x14ac:dyDescent="0.15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  <c r="X841" s="59"/>
      <c r="Y841" s="59"/>
    </row>
    <row r="842" spans="1:25" ht="30.75" customHeight="1" x14ac:dyDescent="0.15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  <c r="X842" s="59"/>
      <c r="Y842" s="59"/>
    </row>
    <row r="843" spans="1:25" ht="30.75" customHeight="1" x14ac:dyDescent="0.15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  <c r="X843" s="59"/>
      <c r="Y843" s="59"/>
    </row>
    <row r="844" spans="1:25" ht="30.75" customHeight="1" x14ac:dyDescent="0.15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  <c r="Y844" s="59"/>
    </row>
    <row r="845" spans="1:25" ht="30.75" customHeight="1" x14ac:dyDescent="0.15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  <c r="X845" s="59"/>
      <c r="Y845" s="59"/>
    </row>
    <row r="846" spans="1:25" ht="30.75" customHeight="1" x14ac:dyDescent="0.15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  <c r="Y846" s="59"/>
    </row>
    <row r="847" spans="1:25" ht="30.75" customHeight="1" x14ac:dyDescent="0.15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  <c r="X847" s="59"/>
      <c r="Y847" s="59"/>
    </row>
    <row r="848" spans="1:25" ht="30.75" customHeight="1" x14ac:dyDescent="0.15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  <c r="X848" s="59"/>
      <c r="Y848" s="59"/>
    </row>
    <row r="849" spans="1:25" ht="30.75" customHeight="1" x14ac:dyDescent="0.15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  <c r="X849" s="59"/>
      <c r="Y849" s="59"/>
    </row>
    <row r="850" spans="1:25" ht="30.75" customHeight="1" x14ac:dyDescent="0.15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  <c r="Y850" s="59"/>
    </row>
    <row r="851" spans="1:25" ht="30.75" customHeight="1" x14ac:dyDescent="0.15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  <c r="X851" s="59"/>
      <c r="Y851" s="59"/>
    </row>
    <row r="852" spans="1:25" ht="30.75" customHeight="1" x14ac:dyDescent="0.15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  <c r="X852" s="59"/>
      <c r="Y852" s="59"/>
    </row>
    <row r="853" spans="1:25" ht="30.75" customHeight="1" x14ac:dyDescent="0.15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  <c r="X853" s="59"/>
      <c r="Y853" s="59"/>
    </row>
    <row r="854" spans="1:25" ht="30.75" customHeight="1" x14ac:dyDescent="0.15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  <c r="X854" s="59"/>
      <c r="Y854" s="59"/>
    </row>
    <row r="855" spans="1:25" ht="30.75" customHeight="1" x14ac:dyDescent="0.15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  <c r="X855" s="59"/>
      <c r="Y855" s="59"/>
    </row>
    <row r="856" spans="1:25" ht="30.75" customHeight="1" x14ac:dyDescent="0.15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  <c r="X856" s="59"/>
      <c r="Y856" s="59"/>
    </row>
    <row r="857" spans="1:25" ht="30.75" customHeight="1" x14ac:dyDescent="0.15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  <c r="X857" s="59"/>
      <c r="Y857" s="59"/>
    </row>
    <row r="858" spans="1:25" ht="30.75" customHeight="1" x14ac:dyDescent="0.15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  <c r="X858" s="59"/>
      <c r="Y858" s="59"/>
    </row>
    <row r="859" spans="1:25" ht="30.75" customHeight="1" x14ac:dyDescent="0.15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  <c r="X859" s="59"/>
      <c r="Y859" s="59"/>
    </row>
    <row r="860" spans="1:25" ht="30.75" customHeight="1" x14ac:dyDescent="0.15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  <c r="X860" s="59"/>
      <c r="Y860" s="59"/>
    </row>
    <row r="861" spans="1:25" ht="30.75" customHeight="1" x14ac:dyDescent="0.15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  <c r="X861" s="59"/>
      <c r="Y861" s="59"/>
    </row>
    <row r="862" spans="1:25" ht="30.75" customHeight="1" x14ac:dyDescent="0.15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  <c r="X862" s="59"/>
      <c r="Y862" s="59"/>
    </row>
    <row r="863" spans="1:25" ht="30.75" customHeight="1" x14ac:dyDescent="0.15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  <c r="X863" s="59"/>
      <c r="Y863" s="59"/>
    </row>
    <row r="864" spans="1:25" ht="30.75" customHeight="1" x14ac:dyDescent="0.15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  <c r="X864" s="59"/>
      <c r="Y864" s="59"/>
    </row>
    <row r="865" spans="1:25" ht="30.75" customHeight="1" x14ac:dyDescent="0.15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  <c r="X865" s="59"/>
      <c r="Y865" s="59"/>
    </row>
    <row r="866" spans="1:25" ht="30.75" customHeight="1" x14ac:dyDescent="0.15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  <c r="Y866" s="59"/>
    </row>
    <row r="867" spans="1:25" ht="30.75" customHeight="1" x14ac:dyDescent="0.15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  <c r="X867" s="59"/>
      <c r="Y867" s="59"/>
    </row>
    <row r="868" spans="1:25" ht="30.75" customHeight="1" x14ac:dyDescent="0.15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  <c r="Y868" s="59"/>
    </row>
    <row r="869" spans="1:25" ht="30.75" customHeight="1" x14ac:dyDescent="0.15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  <c r="X869" s="59"/>
      <c r="Y869" s="59"/>
    </row>
    <row r="870" spans="1:25" ht="30.75" customHeight="1" x14ac:dyDescent="0.15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  <c r="Y870" s="59"/>
    </row>
    <row r="871" spans="1:25" ht="30.75" customHeight="1" x14ac:dyDescent="0.15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  <c r="X871" s="59"/>
      <c r="Y871" s="59"/>
    </row>
    <row r="872" spans="1:25" ht="30.75" customHeight="1" x14ac:dyDescent="0.15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  <c r="X872" s="59"/>
      <c r="Y872" s="59"/>
    </row>
    <row r="873" spans="1:25" ht="30.75" customHeight="1" x14ac:dyDescent="0.15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  <c r="X873" s="59"/>
      <c r="Y873" s="59"/>
    </row>
    <row r="874" spans="1:25" ht="30.75" customHeight="1" x14ac:dyDescent="0.15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  <c r="Y874" s="59"/>
    </row>
    <row r="875" spans="1:25" ht="30.75" customHeight="1" x14ac:dyDescent="0.15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  <c r="X875" s="59"/>
      <c r="Y875" s="59"/>
    </row>
    <row r="876" spans="1:25" ht="30.75" customHeight="1" x14ac:dyDescent="0.15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  <c r="Y876" s="59"/>
    </row>
    <row r="877" spans="1:25" ht="30.75" customHeight="1" x14ac:dyDescent="0.15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  <c r="X877" s="59"/>
      <c r="Y877" s="59"/>
    </row>
    <row r="878" spans="1:25" ht="30.75" customHeight="1" x14ac:dyDescent="0.15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  <c r="Y878" s="59"/>
    </row>
    <row r="879" spans="1:25" ht="30.75" customHeight="1" x14ac:dyDescent="0.15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  <c r="X879" s="59"/>
      <c r="Y879" s="59"/>
    </row>
    <row r="880" spans="1:25" ht="30.75" customHeight="1" x14ac:dyDescent="0.15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  <c r="Y880" s="59"/>
    </row>
    <row r="881" spans="1:25" ht="30.75" customHeight="1" x14ac:dyDescent="0.15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  <c r="X881" s="59"/>
      <c r="Y881" s="59"/>
    </row>
    <row r="882" spans="1:25" ht="30.75" customHeight="1" x14ac:dyDescent="0.15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  <c r="X882" s="59"/>
      <c r="Y882" s="59"/>
    </row>
    <row r="883" spans="1:25" ht="30.75" customHeight="1" x14ac:dyDescent="0.15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  <c r="X883" s="59"/>
      <c r="Y883" s="59"/>
    </row>
    <row r="884" spans="1:25" ht="30.75" customHeight="1" x14ac:dyDescent="0.15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  <c r="X884" s="59"/>
      <c r="Y884" s="59"/>
    </row>
    <row r="885" spans="1:25" ht="30.75" customHeight="1" x14ac:dyDescent="0.15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  <c r="X885" s="59"/>
      <c r="Y885" s="59"/>
    </row>
    <row r="886" spans="1:25" ht="30.75" customHeight="1" x14ac:dyDescent="0.15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  <c r="X886" s="59"/>
      <c r="Y886" s="59"/>
    </row>
    <row r="887" spans="1:25" ht="30.75" customHeight="1" x14ac:dyDescent="0.15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  <c r="X887" s="59"/>
      <c r="Y887" s="59"/>
    </row>
    <row r="888" spans="1:25" ht="30.75" customHeight="1" x14ac:dyDescent="0.15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  <c r="X888" s="59"/>
      <c r="Y888" s="59"/>
    </row>
    <row r="889" spans="1:25" ht="30.75" customHeight="1" x14ac:dyDescent="0.15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  <c r="X889" s="59"/>
      <c r="Y889" s="59"/>
    </row>
    <row r="890" spans="1:25" ht="30.75" customHeight="1" x14ac:dyDescent="0.15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  <c r="X890" s="59"/>
      <c r="Y890" s="59"/>
    </row>
    <row r="891" spans="1:25" ht="30.75" customHeight="1" x14ac:dyDescent="0.15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  <c r="X891" s="59"/>
      <c r="Y891" s="59"/>
    </row>
    <row r="892" spans="1:25" ht="30.75" customHeight="1" x14ac:dyDescent="0.15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  <c r="X892" s="59"/>
      <c r="Y892" s="59"/>
    </row>
    <row r="893" spans="1:25" ht="30.75" customHeight="1" x14ac:dyDescent="0.15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  <c r="X893" s="59"/>
      <c r="Y893" s="59"/>
    </row>
    <row r="894" spans="1:25" ht="30.75" customHeight="1" x14ac:dyDescent="0.15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  <c r="Y894" s="59"/>
    </row>
    <row r="895" spans="1:25" ht="30.75" customHeight="1" x14ac:dyDescent="0.15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  <c r="X895" s="59"/>
      <c r="Y895" s="59"/>
    </row>
    <row r="896" spans="1:25" ht="30.75" customHeight="1" x14ac:dyDescent="0.15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  <c r="Y896" s="59"/>
    </row>
    <row r="897" spans="1:25" ht="30.75" customHeight="1" x14ac:dyDescent="0.15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  <c r="X897" s="59"/>
      <c r="Y897" s="59"/>
    </row>
    <row r="898" spans="1:25" ht="30.75" customHeight="1" x14ac:dyDescent="0.15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  <c r="Y898" s="59"/>
    </row>
    <row r="899" spans="1:25" ht="30.75" customHeight="1" x14ac:dyDescent="0.15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  <c r="X899" s="59"/>
      <c r="Y899" s="59"/>
    </row>
    <row r="900" spans="1:25" ht="30.75" customHeight="1" x14ac:dyDescent="0.15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  <c r="Y900" s="59"/>
    </row>
    <row r="901" spans="1:25" ht="30.75" customHeight="1" x14ac:dyDescent="0.15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  <c r="X901" s="59"/>
      <c r="Y901" s="59"/>
    </row>
    <row r="902" spans="1:25" ht="30.75" customHeight="1" x14ac:dyDescent="0.15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  <c r="Y902" s="59"/>
    </row>
    <row r="903" spans="1:25" ht="30.75" customHeight="1" x14ac:dyDescent="0.15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  <c r="X903" s="59"/>
      <c r="Y903" s="59"/>
    </row>
    <row r="904" spans="1:25" ht="30.75" customHeight="1" x14ac:dyDescent="0.15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  <c r="Y904" s="59"/>
    </row>
    <row r="905" spans="1:25" ht="30.75" customHeight="1" x14ac:dyDescent="0.15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  <c r="X905" s="59"/>
      <c r="Y905" s="59"/>
    </row>
    <row r="906" spans="1:25" ht="30.75" customHeight="1" x14ac:dyDescent="0.15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  <c r="Y906" s="59"/>
    </row>
    <row r="907" spans="1:25" ht="30.75" customHeight="1" x14ac:dyDescent="0.15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  <c r="X907" s="59"/>
      <c r="Y907" s="59"/>
    </row>
    <row r="908" spans="1:25" ht="30.75" customHeight="1" x14ac:dyDescent="0.15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  <c r="Y908" s="59"/>
    </row>
    <row r="909" spans="1:25" ht="30.75" customHeight="1" x14ac:dyDescent="0.15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  <c r="X909" s="59"/>
      <c r="Y909" s="59"/>
    </row>
    <row r="910" spans="1:25" ht="30.75" customHeight="1" x14ac:dyDescent="0.15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  <c r="Y910" s="59"/>
    </row>
    <row r="911" spans="1:25" ht="30.75" customHeight="1" x14ac:dyDescent="0.15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  <c r="X911" s="59"/>
      <c r="Y911" s="59"/>
    </row>
    <row r="912" spans="1:25" ht="30.75" customHeight="1" x14ac:dyDescent="0.15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  <c r="Y912" s="59"/>
    </row>
    <row r="913" spans="1:25" ht="30.75" customHeight="1" x14ac:dyDescent="0.15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  <c r="X913" s="59"/>
      <c r="Y913" s="59"/>
    </row>
    <row r="914" spans="1:25" ht="30.75" customHeight="1" x14ac:dyDescent="0.15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  <c r="Y914" s="59"/>
    </row>
    <row r="915" spans="1:25" ht="30.75" customHeight="1" x14ac:dyDescent="0.15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  <c r="X915" s="59"/>
      <c r="Y915" s="59"/>
    </row>
    <row r="916" spans="1:25" ht="30.75" customHeight="1" x14ac:dyDescent="0.15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  <c r="Y916" s="59"/>
    </row>
    <row r="917" spans="1:25" ht="30.75" customHeight="1" x14ac:dyDescent="0.15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  <c r="X917" s="59"/>
      <c r="Y917" s="59"/>
    </row>
    <row r="918" spans="1:25" ht="30.75" customHeight="1" x14ac:dyDescent="0.15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  <c r="Y918" s="59"/>
    </row>
    <row r="919" spans="1:25" ht="30.75" customHeight="1" x14ac:dyDescent="0.15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  <c r="X919" s="59"/>
      <c r="Y919" s="59"/>
    </row>
    <row r="920" spans="1:25" ht="30.75" customHeight="1" x14ac:dyDescent="0.15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  <c r="Y920" s="59"/>
    </row>
    <row r="921" spans="1:25" ht="30.75" customHeight="1" x14ac:dyDescent="0.15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  <c r="X921" s="59"/>
      <c r="Y921" s="59"/>
    </row>
    <row r="922" spans="1:25" ht="30.75" customHeight="1" x14ac:dyDescent="0.15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  <c r="Y922" s="59"/>
    </row>
    <row r="923" spans="1:25" ht="30.75" customHeight="1" x14ac:dyDescent="0.15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  <c r="X923" s="59"/>
      <c r="Y923" s="59"/>
    </row>
    <row r="924" spans="1:25" ht="30.75" customHeight="1" x14ac:dyDescent="0.15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  <c r="Y924" s="59"/>
    </row>
    <row r="925" spans="1:25" ht="30.75" customHeight="1" x14ac:dyDescent="0.15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  <c r="X925" s="59"/>
      <c r="Y925" s="59"/>
    </row>
    <row r="926" spans="1:25" ht="30.75" customHeight="1" x14ac:dyDescent="0.15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  <c r="Y926" s="59"/>
    </row>
    <row r="927" spans="1:25" ht="30.75" customHeight="1" x14ac:dyDescent="0.15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  <c r="X927" s="59"/>
      <c r="Y927" s="59"/>
    </row>
    <row r="928" spans="1:25" ht="30.75" customHeight="1" x14ac:dyDescent="0.15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  <c r="Y928" s="59"/>
    </row>
    <row r="929" spans="1:25" ht="30.75" customHeight="1" x14ac:dyDescent="0.15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  <c r="X929" s="59"/>
      <c r="Y929" s="59"/>
    </row>
    <row r="930" spans="1:25" ht="30.75" customHeight="1" x14ac:dyDescent="0.15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  <c r="Y930" s="59"/>
    </row>
    <row r="931" spans="1:25" ht="30.75" customHeight="1" x14ac:dyDescent="0.15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  <c r="X931" s="59"/>
      <c r="Y931" s="59"/>
    </row>
    <row r="932" spans="1:25" ht="30.75" customHeight="1" x14ac:dyDescent="0.15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  <c r="Y932" s="59"/>
    </row>
    <row r="933" spans="1:25" ht="30.75" customHeight="1" x14ac:dyDescent="0.15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  <c r="X933" s="59"/>
      <c r="Y933" s="59"/>
    </row>
    <row r="934" spans="1:25" ht="30.75" customHeight="1" x14ac:dyDescent="0.15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  <c r="Y934" s="59"/>
    </row>
    <row r="935" spans="1:25" ht="30.75" customHeight="1" x14ac:dyDescent="0.15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  <c r="X935" s="59"/>
      <c r="Y935" s="59"/>
    </row>
    <row r="936" spans="1:25" ht="30.75" customHeight="1" x14ac:dyDescent="0.15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  <c r="Y936" s="59"/>
    </row>
    <row r="937" spans="1:25" ht="30.75" customHeight="1" x14ac:dyDescent="0.15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  <c r="X937" s="59"/>
      <c r="Y937" s="59"/>
    </row>
    <row r="938" spans="1:25" ht="30.75" customHeight="1" x14ac:dyDescent="0.15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  <c r="Y938" s="59"/>
    </row>
    <row r="939" spans="1:25" ht="30.75" customHeight="1" x14ac:dyDescent="0.15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  <c r="X939" s="59"/>
      <c r="Y939" s="59"/>
    </row>
    <row r="940" spans="1:25" ht="30.75" customHeight="1" x14ac:dyDescent="0.15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  <c r="Y940" s="59"/>
    </row>
    <row r="941" spans="1:25" ht="30.75" customHeight="1" x14ac:dyDescent="0.15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  <c r="X941" s="59"/>
      <c r="Y941" s="59"/>
    </row>
    <row r="942" spans="1:25" ht="30.75" customHeight="1" x14ac:dyDescent="0.15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  <c r="X942" s="59"/>
      <c r="Y942" s="59"/>
    </row>
    <row r="943" spans="1:25" ht="30.75" customHeight="1" x14ac:dyDescent="0.15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  <c r="X943" s="59"/>
      <c r="Y943" s="59"/>
    </row>
    <row r="944" spans="1:25" ht="30.75" customHeight="1" x14ac:dyDescent="0.15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  <c r="X944" s="59"/>
      <c r="Y944" s="59"/>
    </row>
    <row r="945" spans="1:25" ht="30.75" customHeight="1" x14ac:dyDescent="0.15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  <c r="X945" s="59"/>
      <c r="Y945" s="59"/>
    </row>
    <row r="946" spans="1:25" ht="30.75" customHeight="1" x14ac:dyDescent="0.15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  <c r="X946" s="59"/>
      <c r="Y946" s="59"/>
    </row>
    <row r="947" spans="1:25" ht="30.75" customHeight="1" x14ac:dyDescent="0.15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  <c r="X947" s="59"/>
      <c r="Y947" s="59"/>
    </row>
    <row r="948" spans="1:25" ht="30.75" customHeight="1" x14ac:dyDescent="0.15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  <c r="X948" s="59"/>
      <c r="Y948" s="59"/>
    </row>
    <row r="949" spans="1:25" ht="30.75" customHeight="1" x14ac:dyDescent="0.15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  <c r="X949" s="59"/>
      <c r="Y949" s="59"/>
    </row>
    <row r="950" spans="1:25" ht="30.75" customHeight="1" x14ac:dyDescent="0.15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  <c r="X950" s="59"/>
      <c r="Y950" s="59"/>
    </row>
    <row r="951" spans="1:25" ht="30.75" customHeight="1" x14ac:dyDescent="0.15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  <c r="X951" s="59"/>
      <c r="Y951" s="59"/>
    </row>
    <row r="952" spans="1:25" ht="30.75" customHeight="1" x14ac:dyDescent="0.15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  <c r="Y952" s="59"/>
    </row>
    <row r="953" spans="1:25" ht="30.75" customHeight="1" x14ac:dyDescent="0.15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  <c r="X953" s="59"/>
      <c r="Y953" s="59"/>
    </row>
    <row r="954" spans="1:25" ht="30.75" customHeight="1" x14ac:dyDescent="0.15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  <c r="Y954" s="59"/>
    </row>
    <row r="955" spans="1:25" ht="30.75" customHeight="1" x14ac:dyDescent="0.15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  <c r="X955" s="59"/>
      <c r="Y955" s="59"/>
    </row>
    <row r="956" spans="1:25" ht="30.75" customHeight="1" x14ac:dyDescent="0.15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  <c r="Y956" s="59"/>
    </row>
    <row r="957" spans="1:25" ht="30.75" customHeight="1" x14ac:dyDescent="0.15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  <c r="X957" s="59"/>
      <c r="Y957" s="59"/>
    </row>
    <row r="958" spans="1:25" ht="30.75" customHeight="1" x14ac:dyDescent="0.15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  <c r="Y958" s="59"/>
    </row>
    <row r="959" spans="1:25" ht="30.75" customHeight="1" x14ac:dyDescent="0.15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  <c r="X959" s="59"/>
      <c r="Y959" s="59"/>
    </row>
    <row r="960" spans="1:25" ht="30.75" customHeight="1" x14ac:dyDescent="0.15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  <c r="Y960" s="59"/>
    </row>
    <row r="961" spans="1:25" ht="30.75" customHeight="1" x14ac:dyDescent="0.15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  <c r="X961" s="59"/>
      <c r="Y961" s="59"/>
    </row>
    <row r="962" spans="1:25" ht="30.75" customHeight="1" x14ac:dyDescent="0.15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  <c r="Y962" s="59"/>
    </row>
    <row r="963" spans="1:25" ht="30.75" customHeight="1" x14ac:dyDescent="0.15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  <c r="X963" s="59"/>
      <c r="Y963" s="59"/>
    </row>
    <row r="964" spans="1:25" ht="30.75" customHeight="1" x14ac:dyDescent="0.15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  <c r="Y964" s="59"/>
    </row>
    <row r="965" spans="1:25" ht="30.75" customHeight="1" x14ac:dyDescent="0.15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</row>
    <row r="966" spans="1:25" ht="30.75" customHeight="1" x14ac:dyDescent="0.15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</row>
    <row r="967" spans="1:25" ht="30.75" customHeight="1" x14ac:dyDescent="0.15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</row>
    <row r="968" spans="1:25" ht="30.75" customHeight="1" x14ac:dyDescent="0.15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  <c r="Y968" s="59"/>
    </row>
    <row r="969" spans="1:25" ht="30.75" customHeight="1" x14ac:dyDescent="0.15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  <c r="X969" s="59"/>
      <c r="Y969" s="59"/>
    </row>
    <row r="970" spans="1:25" ht="30.75" customHeight="1" x14ac:dyDescent="0.15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  <c r="Y970" s="59"/>
    </row>
    <row r="971" spans="1:25" ht="30.75" customHeight="1" x14ac:dyDescent="0.15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  <c r="X971" s="59"/>
      <c r="Y971" s="59"/>
    </row>
    <row r="972" spans="1:25" ht="30.75" customHeight="1" x14ac:dyDescent="0.15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  <c r="Y972" s="59"/>
    </row>
    <row r="973" spans="1:25" ht="30.75" customHeight="1" x14ac:dyDescent="0.15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  <c r="X973" s="59"/>
      <c r="Y973" s="59"/>
    </row>
    <row r="974" spans="1:25" ht="30.75" customHeight="1" x14ac:dyDescent="0.15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  <c r="Y974" s="59"/>
    </row>
    <row r="975" spans="1:25" ht="30.75" customHeight="1" x14ac:dyDescent="0.15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  <c r="X975" s="59"/>
      <c r="Y975" s="59"/>
    </row>
    <row r="976" spans="1:25" ht="30.75" customHeight="1" x14ac:dyDescent="0.15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  <c r="Y976" s="59"/>
    </row>
    <row r="977" spans="1:25" ht="30.75" customHeight="1" x14ac:dyDescent="0.15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  <c r="X977" s="59"/>
      <c r="Y977" s="59"/>
    </row>
    <row r="978" spans="1:25" ht="30.75" customHeight="1" x14ac:dyDescent="0.15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  <c r="Y978" s="59"/>
    </row>
    <row r="979" spans="1:25" ht="30.75" customHeight="1" x14ac:dyDescent="0.15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  <c r="X979" s="59"/>
      <c r="Y979" s="59"/>
    </row>
    <row r="980" spans="1:25" ht="30.75" customHeight="1" x14ac:dyDescent="0.15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  <c r="Y980" s="59"/>
    </row>
    <row r="981" spans="1:25" ht="30.75" customHeight="1" x14ac:dyDescent="0.15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  <c r="X981" s="59"/>
      <c r="Y981" s="59"/>
    </row>
    <row r="982" spans="1:25" ht="30.75" customHeight="1" x14ac:dyDescent="0.15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  <c r="Y982" s="59"/>
    </row>
    <row r="983" spans="1:25" ht="30.75" customHeight="1" x14ac:dyDescent="0.15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  <c r="X983" s="59"/>
      <c r="Y983" s="59"/>
    </row>
    <row r="984" spans="1:25" ht="30.75" customHeight="1" x14ac:dyDescent="0.15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  <c r="Y984" s="59"/>
    </row>
    <row r="985" spans="1:25" ht="30.75" customHeight="1" x14ac:dyDescent="0.15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  <c r="X985" s="59"/>
      <c r="Y985" s="59"/>
    </row>
    <row r="986" spans="1:25" ht="30.75" customHeight="1" x14ac:dyDescent="0.15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  <c r="Y986" s="59"/>
    </row>
    <row r="987" spans="1:25" ht="30.75" customHeight="1" x14ac:dyDescent="0.15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  <c r="X987" s="59"/>
      <c r="Y987" s="59"/>
    </row>
    <row r="988" spans="1:25" ht="30.75" customHeight="1" x14ac:dyDescent="0.15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  <c r="Y988" s="59"/>
    </row>
    <row r="989" spans="1:25" ht="30.75" customHeight="1" x14ac:dyDescent="0.15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  <c r="X989" s="59"/>
      <c r="Y989" s="59"/>
    </row>
    <row r="990" spans="1:25" ht="30.75" customHeight="1" x14ac:dyDescent="0.15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  <c r="Y990" s="59"/>
    </row>
    <row r="991" spans="1:25" ht="30.75" customHeight="1" x14ac:dyDescent="0.15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  <c r="X991" s="59"/>
      <c r="Y991" s="59"/>
    </row>
    <row r="992" spans="1:25" ht="30.75" customHeight="1" x14ac:dyDescent="0.15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  <c r="Y992" s="59"/>
    </row>
    <row r="993" spans="1:25" ht="30.75" customHeight="1" x14ac:dyDescent="0.15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  <c r="X993" s="59"/>
      <c r="Y993" s="59"/>
    </row>
    <row r="994" spans="1:25" ht="30.75" customHeight="1" x14ac:dyDescent="0.15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  <c r="Y994" s="59"/>
    </row>
    <row r="995" spans="1:25" ht="30.75" customHeight="1" x14ac:dyDescent="0.15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</row>
    <row r="996" spans="1:25" ht="30.75" customHeight="1" x14ac:dyDescent="0.15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996"/>
  <sheetViews>
    <sheetView workbookViewId="0"/>
  </sheetViews>
  <sheetFormatPr baseColWidth="10" defaultColWidth="12.6640625" defaultRowHeight="15.75" customHeight="1" x14ac:dyDescent="0.15"/>
  <cols>
    <col min="1" max="1" width="20.1640625" customWidth="1"/>
    <col min="2" max="2" width="11.33203125" customWidth="1"/>
    <col min="3" max="3" width="9.83203125" customWidth="1"/>
    <col min="4" max="4" width="18.5" customWidth="1"/>
    <col min="5" max="5" width="9.33203125" customWidth="1"/>
    <col min="6" max="6" width="8.6640625" customWidth="1"/>
    <col min="7" max="7" width="16.6640625" customWidth="1"/>
    <col min="8" max="8" width="16.83203125" customWidth="1"/>
    <col min="9" max="9" width="4.6640625" customWidth="1"/>
    <col min="10" max="10" width="12.6640625" customWidth="1"/>
    <col min="11" max="11" width="19.6640625" customWidth="1"/>
    <col min="12" max="12" width="4.1640625" customWidth="1"/>
    <col min="13" max="13" width="16.6640625" customWidth="1"/>
    <col min="14" max="14" width="25.6640625" customWidth="1"/>
    <col min="15" max="15" width="39.5" customWidth="1"/>
    <col min="16" max="16" width="42.33203125" customWidth="1"/>
    <col min="17" max="17" width="20.1640625" customWidth="1"/>
    <col min="18" max="18" width="15.1640625" customWidth="1"/>
    <col min="19" max="19" width="33.6640625" customWidth="1"/>
    <col min="20" max="20" width="41.1640625" customWidth="1"/>
    <col min="21" max="21" width="11.6640625" customWidth="1"/>
    <col min="22" max="22" width="15.1640625" customWidth="1"/>
    <col min="23" max="23" width="13.1640625" customWidth="1"/>
    <col min="24" max="24" width="12.6640625" customWidth="1"/>
    <col min="25" max="25" width="10.1640625" customWidth="1"/>
  </cols>
  <sheetData>
    <row r="1" spans="1:26" ht="31.5" customHeight="1" x14ac:dyDescent="0.15">
      <c r="A1" s="60" t="s">
        <v>25</v>
      </c>
      <c r="B1" s="61" t="s">
        <v>26</v>
      </c>
      <c r="C1" s="61" t="s">
        <v>27</v>
      </c>
      <c r="D1" s="60" t="s">
        <v>3875</v>
      </c>
      <c r="E1" s="62" t="s">
        <v>41</v>
      </c>
      <c r="F1" s="61" t="s">
        <v>42</v>
      </c>
      <c r="G1" s="61" t="s">
        <v>43</v>
      </c>
      <c r="H1" s="61" t="s">
        <v>33</v>
      </c>
      <c r="I1" s="61" t="s">
        <v>36</v>
      </c>
      <c r="J1" s="61" t="s">
        <v>35</v>
      </c>
      <c r="K1" s="61" t="s">
        <v>3876</v>
      </c>
      <c r="L1" s="61" t="s">
        <v>34</v>
      </c>
      <c r="M1" s="61" t="s">
        <v>3877</v>
      </c>
      <c r="N1" s="61" t="s">
        <v>3878</v>
      </c>
      <c r="O1" s="61" t="s">
        <v>46</v>
      </c>
      <c r="P1" s="61" t="s">
        <v>3879</v>
      </c>
      <c r="Q1" s="61" t="s">
        <v>48</v>
      </c>
      <c r="R1" s="61" t="s">
        <v>49</v>
      </c>
      <c r="S1" s="61" t="s">
        <v>3880</v>
      </c>
      <c r="T1" s="61" t="s">
        <v>51</v>
      </c>
      <c r="U1" s="61" t="s">
        <v>52</v>
      </c>
      <c r="V1" s="15" t="s">
        <v>24</v>
      </c>
      <c r="W1" s="14" t="s">
        <v>1</v>
      </c>
      <c r="X1" s="15" t="s">
        <v>113</v>
      </c>
      <c r="Y1" s="15" t="s">
        <v>114</v>
      </c>
      <c r="Z1" s="9"/>
    </row>
    <row r="2" spans="1:26" ht="31.5" customHeight="1" x14ac:dyDescent="0.15">
      <c r="A2" s="63" t="str">
        <f ca="1">IFERROR(__xludf.DUMMYFUNCTION("QUERY(MasterData!A1:NK11244,""select S,T,U,V,W,X,Y,Z,AA,AB,AC,AD,AE,AF,AG,AH,AI,AJ,AK,AL,AM,B,C,FL,FM where C='S2: Student Conference Publication'"",0)"),"#N/A")</f>
        <v>#N/A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31.5" customHeight="1" x14ac:dyDescent="0.1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31.5" customHeight="1" x14ac:dyDescent="0.15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31.5" customHeight="1" x14ac:dyDescent="0.1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31.5" customHeight="1" x14ac:dyDescent="0.15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31.5" customHeight="1" x14ac:dyDescent="0.15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31.5" customHeight="1" x14ac:dyDescent="0.15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1.5" customHeight="1" x14ac:dyDescent="0.15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31.5" customHeight="1" x14ac:dyDescent="0.15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31.5" customHeight="1" x14ac:dyDescent="0.15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31.5" customHeight="1" x14ac:dyDescent="0.15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31.5" customHeight="1" x14ac:dyDescent="0.15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31.5" customHeight="1" x14ac:dyDescent="0.15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31.5" customHeight="1" x14ac:dyDescent="0.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31.5" customHeight="1" x14ac:dyDescent="0.15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31.5" customHeight="1" x14ac:dyDescent="0.15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31.5" customHeight="1" x14ac:dyDescent="0.15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31.5" customHeight="1" x14ac:dyDescent="0.15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31.5" customHeight="1" x14ac:dyDescent="0.15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31.5" customHeight="1" x14ac:dyDescent="0.15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31.5" customHeight="1" x14ac:dyDescent="0.15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31.5" customHeight="1" x14ac:dyDescent="0.15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31.5" customHeight="1" x14ac:dyDescent="0.15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31.5" customHeight="1" x14ac:dyDescent="0.1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31.5" customHeight="1" x14ac:dyDescent="0.15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31.5" customHeight="1" x14ac:dyDescent="0.15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31.5" customHeight="1" x14ac:dyDescent="0.15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31.5" customHeight="1" x14ac:dyDescent="0.15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31.5" customHeight="1" x14ac:dyDescent="0.15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31.5" customHeight="1" x14ac:dyDescent="0.1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31.5" customHeight="1" x14ac:dyDescent="0.1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31.5" customHeight="1" x14ac:dyDescent="0.1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31.5" customHeight="1" x14ac:dyDescent="0.1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31.5" customHeight="1" x14ac:dyDescent="0.1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31.5" customHeight="1" x14ac:dyDescent="0.1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31.5" customHeight="1" x14ac:dyDescent="0.1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31.5" customHeight="1" x14ac:dyDescent="0.1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31.5" customHeight="1" x14ac:dyDescent="0.1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31.5" customHeight="1" x14ac:dyDescent="0.1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31.5" customHeight="1" x14ac:dyDescent="0.1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31.5" customHeight="1" x14ac:dyDescent="0.1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31.5" customHeight="1" x14ac:dyDescent="0.1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31.5" customHeight="1" x14ac:dyDescent="0.1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31.5" customHeight="1" x14ac:dyDescent="0.1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31.5" customHeight="1" x14ac:dyDescent="0.1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31.5" customHeight="1" x14ac:dyDescent="0.1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31.5" customHeight="1" x14ac:dyDescent="0.1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31.5" customHeight="1" x14ac:dyDescent="0.1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31.5" customHeight="1" x14ac:dyDescent="0.1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31.5" customHeight="1" x14ac:dyDescent="0.1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31.5" customHeight="1" x14ac:dyDescent="0.1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31.5" customHeight="1" x14ac:dyDescent="0.1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31.5" customHeight="1" x14ac:dyDescent="0.1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31.5" customHeight="1" x14ac:dyDescent="0.1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31.5" customHeight="1" x14ac:dyDescent="0.1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31.5" customHeight="1" x14ac:dyDescent="0.1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31.5" customHeight="1" x14ac:dyDescent="0.1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31.5" customHeight="1" x14ac:dyDescent="0.1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31.5" customHeight="1" x14ac:dyDescent="0.1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31.5" customHeight="1" x14ac:dyDescent="0.1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31.5" customHeight="1" x14ac:dyDescent="0.1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31.5" customHeight="1" x14ac:dyDescent="0.1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31.5" customHeight="1" x14ac:dyDescent="0.1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31.5" customHeight="1" x14ac:dyDescent="0.1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31.5" customHeight="1" x14ac:dyDescent="0.1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31.5" customHeight="1" x14ac:dyDescent="0.1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31.5" customHeight="1" x14ac:dyDescent="0.1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31.5" customHeight="1" x14ac:dyDescent="0.1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31.5" customHeight="1" x14ac:dyDescent="0.1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31.5" customHeight="1" x14ac:dyDescent="0.1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31.5" customHeight="1" x14ac:dyDescent="0.1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31.5" customHeight="1" x14ac:dyDescent="0.1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31.5" customHeight="1" x14ac:dyDescent="0.1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31.5" customHeight="1" x14ac:dyDescent="0.1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31.5" customHeight="1" x14ac:dyDescent="0.1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31.5" customHeight="1" x14ac:dyDescent="0.1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31.5" customHeight="1" x14ac:dyDescent="0.1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31.5" customHeight="1" x14ac:dyDescent="0.1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31.5" customHeight="1" x14ac:dyDescent="0.1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31.5" customHeight="1" x14ac:dyDescent="0.1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31.5" customHeight="1" x14ac:dyDescent="0.1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31.5" customHeight="1" x14ac:dyDescent="0.1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31.5" customHeight="1" x14ac:dyDescent="0.1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31.5" customHeight="1" x14ac:dyDescent="0.1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31.5" customHeight="1" x14ac:dyDescent="0.1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31.5" customHeight="1" x14ac:dyDescent="0.1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31.5" customHeight="1" x14ac:dyDescent="0.1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31.5" customHeight="1" x14ac:dyDescent="0.1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31.5" customHeight="1" x14ac:dyDescent="0.1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31.5" customHeight="1" x14ac:dyDescent="0.1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31.5" customHeight="1" x14ac:dyDescent="0.1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31.5" customHeight="1" x14ac:dyDescent="0.1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31.5" customHeight="1" x14ac:dyDescent="0.1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31.5" customHeight="1" x14ac:dyDescent="0.1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31.5" customHeight="1" x14ac:dyDescent="0.1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31.5" customHeight="1" x14ac:dyDescent="0.1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31.5" customHeight="1" x14ac:dyDescent="0.1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31.5" customHeight="1" x14ac:dyDescent="0.1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31.5" customHeight="1" x14ac:dyDescent="0.1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31.5" customHeight="1" x14ac:dyDescent="0.1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31.5" customHeight="1" x14ac:dyDescent="0.1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31.5" customHeight="1" x14ac:dyDescent="0.1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31.5" customHeight="1" x14ac:dyDescent="0.1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31.5" customHeight="1" x14ac:dyDescent="0.1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31.5" customHeight="1" x14ac:dyDescent="0.1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31.5" customHeight="1" x14ac:dyDescent="0.1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31.5" customHeight="1" x14ac:dyDescent="0.1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31.5" customHeight="1" x14ac:dyDescent="0.1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31.5" customHeight="1" x14ac:dyDescent="0.1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31.5" customHeight="1" x14ac:dyDescent="0.1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31.5" customHeight="1" x14ac:dyDescent="0.1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31.5" customHeight="1" x14ac:dyDescent="0.1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31.5" customHeight="1" x14ac:dyDescent="0.1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31.5" customHeight="1" x14ac:dyDescent="0.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31.5" customHeight="1" x14ac:dyDescent="0.1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31.5" customHeight="1" x14ac:dyDescent="0.1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31.5" customHeight="1" x14ac:dyDescent="0.1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31.5" customHeight="1" x14ac:dyDescent="0.1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31.5" customHeight="1" x14ac:dyDescent="0.1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31.5" customHeight="1" x14ac:dyDescent="0.1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31.5" customHeight="1" x14ac:dyDescent="0.1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31.5" customHeight="1" x14ac:dyDescent="0.1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31.5" customHeight="1" x14ac:dyDescent="0.1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31.5" customHeight="1" x14ac:dyDescent="0.1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31.5" customHeight="1" x14ac:dyDescent="0.1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31.5" customHeight="1" x14ac:dyDescent="0.1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31.5" customHeight="1" x14ac:dyDescent="0.1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31.5" customHeight="1" x14ac:dyDescent="0.1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31.5" customHeight="1" x14ac:dyDescent="0.1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31.5" customHeight="1" x14ac:dyDescent="0.1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31.5" customHeight="1" x14ac:dyDescent="0.1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31.5" customHeight="1" x14ac:dyDescent="0.1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31.5" customHeight="1" x14ac:dyDescent="0.1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31.5" customHeight="1" x14ac:dyDescent="0.1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31.5" customHeight="1" x14ac:dyDescent="0.1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31.5" customHeight="1" x14ac:dyDescent="0.1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31.5" customHeight="1" x14ac:dyDescent="0.1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31.5" customHeight="1" x14ac:dyDescent="0.1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31.5" customHeight="1" x14ac:dyDescent="0.1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31.5" customHeight="1" x14ac:dyDescent="0.1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31.5" customHeight="1" x14ac:dyDescent="0.1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31.5" customHeight="1" x14ac:dyDescent="0.1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31.5" customHeight="1" x14ac:dyDescent="0.1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31.5" customHeight="1" x14ac:dyDescent="0.1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31.5" customHeight="1" x14ac:dyDescent="0.1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31.5" customHeight="1" x14ac:dyDescent="0.1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31.5" customHeight="1" x14ac:dyDescent="0.1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31.5" customHeight="1" x14ac:dyDescent="0.1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31.5" customHeight="1" x14ac:dyDescent="0.1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31.5" customHeight="1" x14ac:dyDescent="0.1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31.5" customHeight="1" x14ac:dyDescent="0.1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31.5" customHeight="1" x14ac:dyDescent="0.1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31.5" customHeight="1" x14ac:dyDescent="0.1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31.5" customHeight="1" x14ac:dyDescent="0.1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31.5" customHeight="1" x14ac:dyDescent="0.1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31.5" customHeight="1" x14ac:dyDescent="0.1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31.5" customHeight="1" x14ac:dyDescent="0.1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31.5" customHeight="1" x14ac:dyDescent="0.1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31.5" customHeight="1" x14ac:dyDescent="0.1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31.5" customHeight="1" x14ac:dyDescent="0.1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31.5" customHeight="1" x14ac:dyDescent="0.1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31.5" customHeight="1" x14ac:dyDescent="0.1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31.5" customHeight="1" x14ac:dyDescent="0.1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31.5" customHeight="1" x14ac:dyDescent="0.1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31.5" customHeight="1" x14ac:dyDescent="0.1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31.5" customHeight="1" x14ac:dyDescent="0.1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31.5" customHeight="1" x14ac:dyDescent="0.1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31.5" customHeight="1" x14ac:dyDescent="0.1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31.5" customHeight="1" x14ac:dyDescent="0.1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31.5" customHeight="1" x14ac:dyDescent="0.1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31.5" customHeight="1" x14ac:dyDescent="0.1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31.5" customHeight="1" x14ac:dyDescent="0.1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31.5" customHeight="1" x14ac:dyDescent="0.1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31.5" customHeight="1" x14ac:dyDescent="0.1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31.5" customHeight="1" x14ac:dyDescent="0.1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31.5" customHeight="1" x14ac:dyDescent="0.1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31.5" customHeight="1" x14ac:dyDescent="0.1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31.5" customHeight="1" x14ac:dyDescent="0.1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31.5" customHeight="1" x14ac:dyDescent="0.1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31.5" customHeight="1" x14ac:dyDescent="0.1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31.5" customHeight="1" x14ac:dyDescent="0.1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31.5" customHeight="1" x14ac:dyDescent="0.1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31.5" customHeight="1" x14ac:dyDescent="0.1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31.5" customHeight="1" x14ac:dyDescent="0.1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31.5" customHeight="1" x14ac:dyDescent="0.1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31.5" customHeight="1" x14ac:dyDescent="0.1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31.5" customHeight="1" x14ac:dyDescent="0.1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31.5" customHeight="1" x14ac:dyDescent="0.1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31.5" customHeight="1" x14ac:dyDescent="0.1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31.5" customHeight="1" x14ac:dyDescent="0.1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31.5" customHeight="1" x14ac:dyDescent="0.1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31.5" customHeight="1" x14ac:dyDescent="0.1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31.5" customHeight="1" x14ac:dyDescent="0.1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31.5" customHeight="1" x14ac:dyDescent="0.1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31.5" customHeight="1" x14ac:dyDescent="0.1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31.5" customHeight="1" x14ac:dyDescent="0.1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31.5" customHeight="1" x14ac:dyDescent="0.1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31.5" customHeight="1" x14ac:dyDescent="0.1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31.5" customHeight="1" x14ac:dyDescent="0.1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31.5" customHeight="1" x14ac:dyDescent="0.1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31.5" customHeight="1" x14ac:dyDescent="0.1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31.5" customHeight="1" x14ac:dyDescent="0.1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31.5" customHeight="1" x14ac:dyDescent="0.1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31.5" customHeight="1" x14ac:dyDescent="0.1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31.5" customHeight="1" x14ac:dyDescent="0.1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31.5" customHeight="1" x14ac:dyDescent="0.1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31.5" customHeight="1" x14ac:dyDescent="0.1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31.5" customHeight="1" x14ac:dyDescent="0.1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31.5" customHeight="1" x14ac:dyDescent="0.1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31.5" customHeight="1" x14ac:dyDescent="0.1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31.5" customHeight="1" x14ac:dyDescent="0.1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31.5" customHeight="1" x14ac:dyDescent="0.1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31.5" customHeight="1" x14ac:dyDescent="0.1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31.5" customHeight="1" x14ac:dyDescent="0.1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31.5" customHeight="1" x14ac:dyDescent="0.1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31.5" customHeight="1" x14ac:dyDescent="0.1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31.5" customHeight="1" x14ac:dyDescent="0.1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31.5" customHeight="1" x14ac:dyDescent="0.1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31.5" customHeight="1" x14ac:dyDescent="0.1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31.5" customHeight="1" x14ac:dyDescent="0.1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31.5" customHeight="1" x14ac:dyDescent="0.1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31.5" customHeight="1" x14ac:dyDescent="0.1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31.5" customHeight="1" x14ac:dyDescent="0.1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31.5" customHeight="1" x14ac:dyDescent="0.1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31.5" customHeight="1" x14ac:dyDescent="0.1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31.5" customHeight="1" x14ac:dyDescent="0.1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31.5" customHeight="1" x14ac:dyDescent="0.1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31.5" customHeight="1" x14ac:dyDescent="0.1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31.5" customHeight="1" x14ac:dyDescent="0.1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31.5" customHeight="1" x14ac:dyDescent="0.1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31.5" customHeight="1" x14ac:dyDescent="0.1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31.5" customHeight="1" x14ac:dyDescent="0.1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31.5" customHeight="1" x14ac:dyDescent="0.1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31.5" customHeight="1" x14ac:dyDescent="0.1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31.5" customHeight="1" x14ac:dyDescent="0.1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31.5" customHeight="1" x14ac:dyDescent="0.1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31.5" customHeight="1" x14ac:dyDescent="0.1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31.5" customHeight="1" x14ac:dyDescent="0.1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31.5" customHeight="1" x14ac:dyDescent="0.1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31.5" customHeight="1" x14ac:dyDescent="0.1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31.5" customHeight="1" x14ac:dyDescent="0.1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31.5" customHeight="1" x14ac:dyDescent="0.1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31.5" customHeight="1" x14ac:dyDescent="0.1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31.5" customHeight="1" x14ac:dyDescent="0.1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31.5" customHeight="1" x14ac:dyDescent="0.1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31.5" customHeight="1" x14ac:dyDescent="0.1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31.5" customHeight="1" x14ac:dyDescent="0.1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31.5" customHeight="1" x14ac:dyDescent="0.1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31.5" customHeight="1" x14ac:dyDescent="0.1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31.5" customHeight="1" x14ac:dyDescent="0.1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31.5" customHeight="1" x14ac:dyDescent="0.1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31.5" customHeight="1" x14ac:dyDescent="0.1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31.5" customHeight="1" x14ac:dyDescent="0.1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31.5" customHeight="1" x14ac:dyDescent="0.1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31.5" customHeight="1" x14ac:dyDescent="0.1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31.5" customHeight="1" x14ac:dyDescent="0.1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31.5" customHeight="1" x14ac:dyDescent="0.1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31.5" customHeight="1" x14ac:dyDescent="0.1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31.5" customHeight="1" x14ac:dyDescent="0.1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31.5" customHeight="1" x14ac:dyDescent="0.1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31.5" customHeight="1" x14ac:dyDescent="0.1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31.5" customHeight="1" x14ac:dyDescent="0.1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31.5" customHeight="1" x14ac:dyDescent="0.1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31.5" customHeight="1" x14ac:dyDescent="0.1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31.5" customHeight="1" x14ac:dyDescent="0.1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31.5" customHeight="1" x14ac:dyDescent="0.1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31.5" customHeight="1" x14ac:dyDescent="0.1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31.5" customHeight="1" x14ac:dyDescent="0.1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31.5" customHeight="1" x14ac:dyDescent="0.1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31.5" customHeight="1" x14ac:dyDescent="0.1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31.5" customHeight="1" x14ac:dyDescent="0.1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31.5" customHeight="1" x14ac:dyDescent="0.1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31.5" customHeight="1" x14ac:dyDescent="0.1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31.5" customHeight="1" x14ac:dyDescent="0.1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31.5" customHeight="1" x14ac:dyDescent="0.1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31.5" customHeight="1" x14ac:dyDescent="0.1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31.5" customHeight="1" x14ac:dyDescent="0.1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31.5" customHeight="1" x14ac:dyDescent="0.1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31.5" customHeight="1" x14ac:dyDescent="0.1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31.5" customHeight="1" x14ac:dyDescent="0.1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31.5" customHeight="1" x14ac:dyDescent="0.1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31.5" customHeight="1" x14ac:dyDescent="0.1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31.5" customHeight="1" x14ac:dyDescent="0.1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31.5" customHeight="1" x14ac:dyDescent="0.1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31.5" customHeight="1" x14ac:dyDescent="0.1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31.5" customHeight="1" x14ac:dyDescent="0.1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31.5" customHeight="1" x14ac:dyDescent="0.1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31.5" customHeight="1" x14ac:dyDescent="0.1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31.5" customHeight="1" x14ac:dyDescent="0.1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31.5" customHeight="1" x14ac:dyDescent="0.1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31.5" customHeight="1" x14ac:dyDescent="0.1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31.5" customHeight="1" x14ac:dyDescent="0.1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31.5" customHeight="1" x14ac:dyDescent="0.1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31.5" customHeight="1" x14ac:dyDescent="0.1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31.5" customHeight="1" x14ac:dyDescent="0.1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31.5" customHeight="1" x14ac:dyDescent="0.1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31.5" customHeight="1" x14ac:dyDescent="0.1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31.5" customHeight="1" x14ac:dyDescent="0.1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31.5" customHeight="1" x14ac:dyDescent="0.1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31.5" customHeight="1" x14ac:dyDescent="0.1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31.5" customHeight="1" x14ac:dyDescent="0.1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31.5" customHeight="1" x14ac:dyDescent="0.1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31.5" customHeight="1" x14ac:dyDescent="0.1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31.5" customHeight="1" x14ac:dyDescent="0.1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31.5" customHeight="1" x14ac:dyDescent="0.1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31.5" customHeight="1" x14ac:dyDescent="0.1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31.5" customHeight="1" x14ac:dyDescent="0.1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31.5" customHeight="1" x14ac:dyDescent="0.1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31.5" customHeight="1" x14ac:dyDescent="0.1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31.5" customHeight="1" x14ac:dyDescent="0.1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31.5" customHeight="1" x14ac:dyDescent="0.1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31.5" customHeight="1" x14ac:dyDescent="0.1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31.5" customHeight="1" x14ac:dyDescent="0.1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31.5" customHeight="1" x14ac:dyDescent="0.1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31.5" customHeight="1" x14ac:dyDescent="0.1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31.5" customHeight="1" x14ac:dyDescent="0.1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31.5" customHeight="1" x14ac:dyDescent="0.1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31.5" customHeight="1" x14ac:dyDescent="0.1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31.5" customHeight="1" x14ac:dyDescent="0.1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31.5" customHeight="1" x14ac:dyDescent="0.1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31.5" customHeight="1" x14ac:dyDescent="0.1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31.5" customHeight="1" x14ac:dyDescent="0.1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31.5" customHeight="1" x14ac:dyDescent="0.1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31.5" customHeight="1" x14ac:dyDescent="0.1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31.5" customHeight="1" x14ac:dyDescent="0.1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31.5" customHeight="1" x14ac:dyDescent="0.1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31.5" customHeight="1" x14ac:dyDescent="0.1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31.5" customHeight="1" x14ac:dyDescent="0.1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31.5" customHeight="1" x14ac:dyDescent="0.1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31.5" customHeight="1" x14ac:dyDescent="0.1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31.5" customHeight="1" x14ac:dyDescent="0.1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31.5" customHeight="1" x14ac:dyDescent="0.1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31.5" customHeight="1" x14ac:dyDescent="0.1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31.5" customHeight="1" x14ac:dyDescent="0.1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31.5" customHeight="1" x14ac:dyDescent="0.1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31.5" customHeight="1" x14ac:dyDescent="0.1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31.5" customHeight="1" x14ac:dyDescent="0.1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31.5" customHeight="1" x14ac:dyDescent="0.1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31.5" customHeight="1" x14ac:dyDescent="0.1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31.5" customHeight="1" x14ac:dyDescent="0.1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31.5" customHeight="1" x14ac:dyDescent="0.1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31.5" customHeight="1" x14ac:dyDescent="0.1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31.5" customHeight="1" x14ac:dyDescent="0.1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31.5" customHeight="1" x14ac:dyDescent="0.1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31.5" customHeight="1" x14ac:dyDescent="0.1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31.5" customHeight="1" x14ac:dyDescent="0.1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31.5" customHeight="1" x14ac:dyDescent="0.1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31.5" customHeight="1" x14ac:dyDescent="0.1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31.5" customHeight="1" x14ac:dyDescent="0.1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31.5" customHeight="1" x14ac:dyDescent="0.1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31.5" customHeight="1" x14ac:dyDescent="0.1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31.5" customHeight="1" x14ac:dyDescent="0.1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31.5" customHeight="1" x14ac:dyDescent="0.1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31.5" customHeight="1" x14ac:dyDescent="0.1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31.5" customHeight="1" x14ac:dyDescent="0.1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31.5" customHeight="1" x14ac:dyDescent="0.1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31.5" customHeight="1" x14ac:dyDescent="0.1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31.5" customHeight="1" x14ac:dyDescent="0.1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31.5" customHeight="1" x14ac:dyDescent="0.1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31.5" customHeight="1" x14ac:dyDescent="0.1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31.5" customHeight="1" x14ac:dyDescent="0.1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31.5" customHeight="1" x14ac:dyDescent="0.1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31.5" customHeight="1" x14ac:dyDescent="0.1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31.5" customHeight="1" x14ac:dyDescent="0.1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31.5" customHeight="1" x14ac:dyDescent="0.1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31.5" customHeight="1" x14ac:dyDescent="0.1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31.5" customHeight="1" x14ac:dyDescent="0.1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31.5" customHeight="1" x14ac:dyDescent="0.1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31.5" customHeight="1" x14ac:dyDescent="0.1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31.5" customHeight="1" x14ac:dyDescent="0.1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31.5" customHeight="1" x14ac:dyDescent="0.1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31.5" customHeight="1" x14ac:dyDescent="0.1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31.5" customHeight="1" x14ac:dyDescent="0.1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31.5" customHeight="1" x14ac:dyDescent="0.1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31.5" customHeight="1" x14ac:dyDescent="0.1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31.5" customHeight="1" x14ac:dyDescent="0.1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31.5" customHeight="1" x14ac:dyDescent="0.1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31.5" customHeight="1" x14ac:dyDescent="0.1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31.5" customHeight="1" x14ac:dyDescent="0.1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31.5" customHeight="1" x14ac:dyDescent="0.1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31.5" customHeight="1" x14ac:dyDescent="0.1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31.5" customHeight="1" x14ac:dyDescent="0.1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31.5" customHeight="1" x14ac:dyDescent="0.1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31.5" customHeight="1" x14ac:dyDescent="0.1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31.5" customHeight="1" x14ac:dyDescent="0.1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31.5" customHeight="1" x14ac:dyDescent="0.1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31.5" customHeight="1" x14ac:dyDescent="0.1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31.5" customHeight="1" x14ac:dyDescent="0.1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31.5" customHeight="1" x14ac:dyDescent="0.1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31.5" customHeight="1" x14ac:dyDescent="0.1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31.5" customHeight="1" x14ac:dyDescent="0.1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31.5" customHeight="1" x14ac:dyDescent="0.1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31.5" customHeight="1" x14ac:dyDescent="0.1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31.5" customHeight="1" x14ac:dyDescent="0.1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31.5" customHeight="1" x14ac:dyDescent="0.1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31.5" customHeight="1" x14ac:dyDescent="0.1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31.5" customHeight="1" x14ac:dyDescent="0.1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31.5" customHeight="1" x14ac:dyDescent="0.1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31.5" customHeight="1" x14ac:dyDescent="0.1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31.5" customHeight="1" x14ac:dyDescent="0.1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31.5" customHeight="1" x14ac:dyDescent="0.1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31.5" customHeight="1" x14ac:dyDescent="0.1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31.5" customHeight="1" x14ac:dyDescent="0.1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31.5" customHeight="1" x14ac:dyDescent="0.1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31.5" customHeight="1" x14ac:dyDescent="0.1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31.5" customHeight="1" x14ac:dyDescent="0.1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31.5" customHeight="1" x14ac:dyDescent="0.1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31.5" customHeight="1" x14ac:dyDescent="0.1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31.5" customHeight="1" x14ac:dyDescent="0.1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31.5" customHeight="1" x14ac:dyDescent="0.1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31.5" customHeight="1" x14ac:dyDescent="0.1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31.5" customHeight="1" x14ac:dyDescent="0.1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31.5" customHeight="1" x14ac:dyDescent="0.1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31.5" customHeight="1" x14ac:dyDescent="0.1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31.5" customHeight="1" x14ac:dyDescent="0.1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31.5" customHeight="1" x14ac:dyDescent="0.1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31.5" customHeight="1" x14ac:dyDescent="0.1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31.5" customHeight="1" x14ac:dyDescent="0.1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31.5" customHeight="1" x14ac:dyDescent="0.1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31.5" customHeight="1" x14ac:dyDescent="0.1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31.5" customHeight="1" x14ac:dyDescent="0.1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31.5" customHeight="1" x14ac:dyDescent="0.1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31.5" customHeight="1" x14ac:dyDescent="0.1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31.5" customHeight="1" x14ac:dyDescent="0.1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31.5" customHeight="1" x14ac:dyDescent="0.1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31.5" customHeight="1" x14ac:dyDescent="0.1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31.5" customHeight="1" x14ac:dyDescent="0.1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31.5" customHeight="1" x14ac:dyDescent="0.1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31.5" customHeight="1" x14ac:dyDescent="0.1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31.5" customHeight="1" x14ac:dyDescent="0.1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31.5" customHeight="1" x14ac:dyDescent="0.1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31.5" customHeight="1" x14ac:dyDescent="0.1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31.5" customHeight="1" x14ac:dyDescent="0.1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31.5" customHeight="1" x14ac:dyDescent="0.1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31.5" customHeight="1" x14ac:dyDescent="0.1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31.5" customHeight="1" x14ac:dyDescent="0.1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31.5" customHeight="1" x14ac:dyDescent="0.1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31.5" customHeight="1" x14ac:dyDescent="0.1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31.5" customHeight="1" x14ac:dyDescent="0.1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31.5" customHeight="1" x14ac:dyDescent="0.1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31.5" customHeight="1" x14ac:dyDescent="0.1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31.5" customHeight="1" x14ac:dyDescent="0.1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31.5" customHeight="1" x14ac:dyDescent="0.1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31.5" customHeight="1" x14ac:dyDescent="0.1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31.5" customHeight="1" x14ac:dyDescent="0.1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31.5" customHeight="1" x14ac:dyDescent="0.1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31.5" customHeight="1" x14ac:dyDescent="0.1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31.5" customHeight="1" x14ac:dyDescent="0.1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31.5" customHeight="1" x14ac:dyDescent="0.1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31.5" customHeight="1" x14ac:dyDescent="0.1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31.5" customHeight="1" x14ac:dyDescent="0.1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31.5" customHeight="1" x14ac:dyDescent="0.1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31.5" customHeight="1" x14ac:dyDescent="0.1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31.5" customHeight="1" x14ac:dyDescent="0.1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31.5" customHeight="1" x14ac:dyDescent="0.1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31.5" customHeight="1" x14ac:dyDescent="0.1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31.5" customHeight="1" x14ac:dyDescent="0.1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31.5" customHeight="1" x14ac:dyDescent="0.1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31.5" customHeight="1" x14ac:dyDescent="0.1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31.5" customHeight="1" x14ac:dyDescent="0.1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31.5" customHeight="1" x14ac:dyDescent="0.1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31.5" customHeight="1" x14ac:dyDescent="0.1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31.5" customHeight="1" x14ac:dyDescent="0.1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31.5" customHeight="1" x14ac:dyDescent="0.1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31.5" customHeight="1" x14ac:dyDescent="0.1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31.5" customHeight="1" x14ac:dyDescent="0.1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31.5" customHeight="1" x14ac:dyDescent="0.1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31.5" customHeight="1" x14ac:dyDescent="0.1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31.5" customHeight="1" x14ac:dyDescent="0.1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31.5" customHeight="1" x14ac:dyDescent="0.1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31.5" customHeight="1" x14ac:dyDescent="0.1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31.5" customHeight="1" x14ac:dyDescent="0.1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31.5" customHeight="1" x14ac:dyDescent="0.1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31.5" customHeight="1" x14ac:dyDescent="0.1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31.5" customHeight="1" x14ac:dyDescent="0.1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31.5" customHeight="1" x14ac:dyDescent="0.1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31.5" customHeight="1" x14ac:dyDescent="0.1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31.5" customHeight="1" x14ac:dyDescent="0.1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31.5" customHeight="1" x14ac:dyDescent="0.1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31.5" customHeight="1" x14ac:dyDescent="0.1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31.5" customHeight="1" x14ac:dyDescent="0.1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31.5" customHeight="1" x14ac:dyDescent="0.1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31.5" customHeight="1" x14ac:dyDescent="0.1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31.5" customHeight="1" x14ac:dyDescent="0.1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31.5" customHeight="1" x14ac:dyDescent="0.1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31.5" customHeight="1" x14ac:dyDescent="0.1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31.5" customHeight="1" x14ac:dyDescent="0.1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31.5" customHeight="1" x14ac:dyDescent="0.1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31.5" customHeight="1" x14ac:dyDescent="0.1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31.5" customHeight="1" x14ac:dyDescent="0.1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31.5" customHeight="1" x14ac:dyDescent="0.1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31.5" customHeight="1" x14ac:dyDescent="0.1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31.5" customHeight="1" x14ac:dyDescent="0.1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31.5" customHeight="1" x14ac:dyDescent="0.1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31.5" customHeight="1" x14ac:dyDescent="0.1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31.5" customHeight="1" x14ac:dyDescent="0.1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31.5" customHeight="1" x14ac:dyDescent="0.1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31.5" customHeight="1" x14ac:dyDescent="0.1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31.5" customHeight="1" x14ac:dyDescent="0.1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31.5" customHeight="1" x14ac:dyDescent="0.1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31.5" customHeight="1" x14ac:dyDescent="0.1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31.5" customHeight="1" x14ac:dyDescent="0.1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31.5" customHeight="1" x14ac:dyDescent="0.1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31.5" customHeight="1" x14ac:dyDescent="0.1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31.5" customHeight="1" x14ac:dyDescent="0.1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31.5" customHeight="1" x14ac:dyDescent="0.1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31.5" customHeight="1" x14ac:dyDescent="0.1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31.5" customHeight="1" x14ac:dyDescent="0.1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31.5" customHeight="1" x14ac:dyDescent="0.1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31.5" customHeight="1" x14ac:dyDescent="0.1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31.5" customHeight="1" x14ac:dyDescent="0.1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31.5" customHeight="1" x14ac:dyDescent="0.1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31.5" customHeight="1" x14ac:dyDescent="0.1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31.5" customHeight="1" x14ac:dyDescent="0.1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31.5" customHeight="1" x14ac:dyDescent="0.1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31.5" customHeight="1" x14ac:dyDescent="0.1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31.5" customHeight="1" x14ac:dyDescent="0.1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31.5" customHeight="1" x14ac:dyDescent="0.1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31.5" customHeight="1" x14ac:dyDescent="0.1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31.5" customHeight="1" x14ac:dyDescent="0.1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31.5" customHeight="1" x14ac:dyDescent="0.1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31.5" customHeight="1" x14ac:dyDescent="0.1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31.5" customHeight="1" x14ac:dyDescent="0.1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31.5" customHeight="1" x14ac:dyDescent="0.1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31.5" customHeight="1" x14ac:dyDescent="0.1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31.5" customHeight="1" x14ac:dyDescent="0.1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31.5" customHeight="1" x14ac:dyDescent="0.1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31.5" customHeight="1" x14ac:dyDescent="0.1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31.5" customHeight="1" x14ac:dyDescent="0.1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31.5" customHeight="1" x14ac:dyDescent="0.1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31.5" customHeight="1" x14ac:dyDescent="0.1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31.5" customHeight="1" x14ac:dyDescent="0.1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31.5" customHeight="1" x14ac:dyDescent="0.1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31.5" customHeight="1" x14ac:dyDescent="0.1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31.5" customHeight="1" x14ac:dyDescent="0.1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31.5" customHeight="1" x14ac:dyDescent="0.1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31.5" customHeight="1" x14ac:dyDescent="0.1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31.5" customHeight="1" x14ac:dyDescent="0.1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31.5" customHeight="1" x14ac:dyDescent="0.1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31.5" customHeight="1" x14ac:dyDescent="0.1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31.5" customHeight="1" x14ac:dyDescent="0.1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31.5" customHeight="1" x14ac:dyDescent="0.1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31.5" customHeight="1" x14ac:dyDescent="0.1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31.5" customHeight="1" x14ac:dyDescent="0.1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31.5" customHeight="1" x14ac:dyDescent="0.1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31.5" customHeight="1" x14ac:dyDescent="0.1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31.5" customHeight="1" x14ac:dyDescent="0.1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31.5" customHeight="1" x14ac:dyDescent="0.1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31.5" customHeight="1" x14ac:dyDescent="0.1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31.5" customHeight="1" x14ac:dyDescent="0.1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31.5" customHeight="1" x14ac:dyDescent="0.1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31.5" customHeight="1" x14ac:dyDescent="0.1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31.5" customHeight="1" x14ac:dyDescent="0.1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31.5" customHeight="1" x14ac:dyDescent="0.1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31.5" customHeight="1" x14ac:dyDescent="0.1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31.5" customHeight="1" x14ac:dyDescent="0.1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31.5" customHeight="1" x14ac:dyDescent="0.1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31.5" customHeight="1" x14ac:dyDescent="0.1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31.5" customHeight="1" x14ac:dyDescent="0.1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31.5" customHeight="1" x14ac:dyDescent="0.1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31.5" customHeight="1" x14ac:dyDescent="0.1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31.5" customHeight="1" x14ac:dyDescent="0.1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31.5" customHeight="1" x14ac:dyDescent="0.1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31.5" customHeight="1" x14ac:dyDescent="0.1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31.5" customHeight="1" x14ac:dyDescent="0.1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31.5" customHeight="1" x14ac:dyDescent="0.1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31.5" customHeight="1" x14ac:dyDescent="0.1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31.5" customHeight="1" x14ac:dyDescent="0.1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31.5" customHeight="1" x14ac:dyDescent="0.1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31.5" customHeight="1" x14ac:dyDescent="0.1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31.5" customHeight="1" x14ac:dyDescent="0.1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31.5" customHeight="1" x14ac:dyDescent="0.1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31.5" customHeight="1" x14ac:dyDescent="0.1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31.5" customHeight="1" x14ac:dyDescent="0.1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31.5" customHeight="1" x14ac:dyDescent="0.1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31.5" customHeight="1" x14ac:dyDescent="0.1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31.5" customHeight="1" x14ac:dyDescent="0.1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31.5" customHeight="1" x14ac:dyDescent="0.1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31.5" customHeight="1" x14ac:dyDescent="0.1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31.5" customHeight="1" x14ac:dyDescent="0.1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31.5" customHeight="1" x14ac:dyDescent="0.1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31.5" customHeight="1" x14ac:dyDescent="0.1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31.5" customHeight="1" x14ac:dyDescent="0.1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31.5" customHeight="1" x14ac:dyDescent="0.1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31.5" customHeight="1" x14ac:dyDescent="0.1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31.5" customHeight="1" x14ac:dyDescent="0.1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31.5" customHeight="1" x14ac:dyDescent="0.1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31.5" customHeight="1" x14ac:dyDescent="0.1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31.5" customHeight="1" x14ac:dyDescent="0.1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31.5" customHeight="1" x14ac:dyDescent="0.1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31.5" customHeight="1" x14ac:dyDescent="0.1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31.5" customHeight="1" x14ac:dyDescent="0.1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31.5" customHeight="1" x14ac:dyDescent="0.1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31.5" customHeight="1" x14ac:dyDescent="0.1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31.5" customHeight="1" x14ac:dyDescent="0.1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31.5" customHeight="1" x14ac:dyDescent="0.1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31.5" customHeight="1" x14ac:dyDescent="0.1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31.5" customHeight="1" x14ac:dyDescent="0.1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31.5" customHeight="1" x14ac:dyDescent="0.1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31.5" customHeight="1" x14ac:dyDescent="0.1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31.5" customHeight="1" x14ac:dyDescent="0.1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31.5" customHeight="1" x14ac:dyDescent="0.1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31.5" customHeight="1" x14ac:dyDescent="0.1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31.5" customHeight="1" x14ac:dyDescent="0.1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31.5" customHeight="1" x14ac:dyDescent="0.1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31.5" customHeight="1" x14ac:dyDescent="0.1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31.5" customHeight="1" x14ac:dyDescent="0.1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31.5" customHeight="1" x14ac:dyDescent="0.1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31.5" customHeight="1" x14ac:dyDescent="0.1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31.5" customHeight="1" x14ac:dyDescent="0.1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31.5" customHeight="1" x14ac:dyDescent="0.1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31.5" customHeight="1" x14ac:dyDescent="0.1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31.5" customHeight="1" x14ac:dyDescent="0.1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31.5" customHeight="1" x14ac:dyDescent="0.1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31.5" customHeight="1" x14ac:dyDescent="0.1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31.5" customHeight="1" x14ac:dyDescent="0.1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31.5" customHeight="1" x14ac:dyDescent="0.1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31.5" customHeight="1" x14ac:dyDescent="0.1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31.5" customHeight="1" x14ac:dyDescent="0.1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31.5" customHeight="1" x14ac:dyDescent="0.1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31.5" customHeight="1" x14ac:dyDescent="0.1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31.5" customHeight="1" x14ac:dyDescent="0.1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31.5" customHeight="1" x14ac:dyDescent="0.1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31.5" customHeight="1" x14ac:dyDescent="0.1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31.5" customHeight="1" x14ac:dyDescent="0.1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31.5" customHeight="1" x14ac:dyDescent="0.1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31.5" customHeight="1" x14ac:dyDescent="0.1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31.5" customHeight="1" x14ac:dyDescent="0.1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31.5" customHeight="1" x14ac:dyDescent="0.1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31.5" customHeight="1" x14ac:dyDescent="0.1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31.5" customHeight="1" x14ac:dyDescent="0.1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31.5" customHeight="1" x14ac:dyDescent="0.1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31.5" customHeight="1" x14ac:dyDescent="0.1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31.5" customHeight="1" x14ac:dyDescent="0.1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31.5" customHeight="1" x14ac:dyDescent="0.1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31.5" customHeight="1" x14ac:dyDescent="0.1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31.5" customHeight="1" x14ac:dyDescent="0.1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31.5" customHeight="1" x14ac:dyDescent="0.1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31.5" customHeight="1" x14ac:dyDescent="0.1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31.5" customHeight="1" x14ac:dyDescent="0.1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31.5" customHeight="1" x14ac:dyDescent="0.1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31.5" customHeight="1" x14ac:dyDescent="0.1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31.5" customHeight="1" x14ac:dyDescent="0.1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31.5" customHeight="1" x14ac:dyDescent="0.1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31.5" customHeight="1" x14ac:dyDescent="0.1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31.5" customHeight="1" x14ac:dyDescent="0.1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31.5" customHeight="1" x14ac:dyDescent="0.1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31.5" customHeight="1" x14ac:dyDescent="0.1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31.5" customHeight="1" x14ac:dyDescent="0.1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31.5" customHeight="1" x14ac:dyDescent="0.1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31.5" customHeight="1" x14ac:dyDescent="0.1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31.5" customHeight="1" x14ac:dyDescent="0.1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31.5" customHeight="1" x14ac:dyDescent="0.1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31.5" customHeight="1" x14ac:dyDescent="0.1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31.5" customHeight="1" x14ac:dyDescent="0.1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31.5" customHeight="1" x14ac:dyDescent="0.1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31.5" customHeight="1" x14ac:dyDescent="0.1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31.5" customHeight="1" x14ac:dyDescent="0.1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31.5" customHeight="1" x14ac:dyDescent="0.1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31.5" customHeight="1" x14ac:dyDescent="0.1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31.5" customHeight="1" x14ac:dyDescent="0.1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31.5" customHeight="1" x14ac:dyDescent="0.1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31.5" customHeight="1" x14ac:dyDescent="0.1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31.5" customHeight="1" x14ac:dyDescent="0.1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31.5" customHeight="1" x14ac:dyDescent="0.1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31.5" customHeight="1" x14ac:dyDescent="0.1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31.5" customHeight="1" x14ac:dyDescent="0.1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31.5" customHeight="1" x14ac:dyDescent="0.1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31.5" customHeight="1" x14ac:dyDescent="0.1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31.5" customHeight="1" x14ac:dyDescent="0.1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31.5" customHeight="1" x14ac:dyDescent="0.1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31.5" customHeight="1" x14ac:dyDescent="0.1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31.5" customHeight="1" x14ac:dyDescent="0.1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31.5" customHeight="1" x14ac:dyDescent="0.1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31.5" customHeight="1" x14ac:dyDescent="0.1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31.5" customHeight="1" x14ac:dyDescent="0.1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31.5" customHeight="1" x14ac:dyDescent="0.1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31.5" customHeight="1" x14ac:dyDescent="0.1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31.5" customHeight="1" x14ac:dyDescent="0.1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31.5" customHeight="1" x14ac:dyDescent="0.1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31.5" customHeight="1" x14ac:dyDescent="0.1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31.5" customHeight="1" x14ac:dyDescent="0.1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31.5" customHeight="1" x14ac:dyDescent="0.1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31.5" customHeight="1" x14ac:dyDescent="0.1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31.5" customHeight="1" x14ac:dyDescent="0.1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31.5" customHeight="1" x14ac:dyDescent="0.1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31.5" customHeight="1" x14ac:dyDescent="0.1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31.5" customHeight="1" x14ac:dyDescent="0.1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31.5" customHeight="1" x14ac:dyDescent="0.1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31.5" customHeight="1" x14ac:dyDescent="0.1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31.5" customHeight="1" x14ac:dyDescent="0.1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31.5" customHeight="1" x14ac:dyDescent="0.1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31.5" customHeight="1" x14ac:dyDescent="0.1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31.5" customHeight="1" x14ac:dyDescent="0.1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31.5" customHeight="1" x14ac:dyDescent="0.1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31.5" customHeight="1" x14ac:dyDescent="0.1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31.5" customHeight="1" x14ac:dyDescent="0.1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31.5" customHeight="1" x14ac:dyDescent="0.1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31.5" customHeight="1" x14ac:dyDescent="0.1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31.5" customHeight="1" x14ac:dyDescent="0.1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31.5" customHeight="1" x14ac:dyDescent="0.1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31.5" customHeight="1" x14ac:dyDescent="0.1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31.5" customHeight="1" x14ac:dyDescent="0.1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31.5" customHeight="1" x14ac:dyDescent="0.1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31.5" customHeight="1" x14ac:dyDescent="0.1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31.5" customHeight="1" x14ac:dyDescent="0.1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31.5" customHeight="1" x14ac:dyDescent="0.1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31.5" customHeight="1" x14ac:dyDescent="0.1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31.5" customHeight="1" x14ac:dyDescent="0.1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31.5" customHeight="1" x14ac:dyDescent="0.1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31.5" customHeight="1" x14ac:dyDescent="0.1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31.5" customHeight="1" x14ac:dyDescent="0.1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31.5" customHeight="1" x14ac:dyDescent="0.1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31.5" customHeight="1" x14ac:dyDescent="0.1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31.5" customHeight="1" x14ac:dyDescent="0.1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31.5" customHeight="1" x14ac:dyDescent="0.1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31.5" customHeight="1" x14ac:dyDescent="0.1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31.5" customHeight="1" x14ac:dyDescent="0.1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31.5" customHeight="1" x14ac:dyDescent="0.1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31.5" customHeight="1" x14ac:dyDescent="0.1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31.5" customHeight="1" x14ac:dyDescent="0.1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31.5" customHeight="1" x14ac:dyDescent="0.1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31.5" customHeight="1" x14ac:dyDescent="0.1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31.5" customHeight="1" x14ac:dyDescent="0.1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31.5" customHeight="1" x14ac:dyDescent="0.1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31.5" customHeight="1" x14ac:dyDescent="0.1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31.5" customHeight="1" x14ac:dyDescent="0.1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31.5" customHeight="1" x14ac:dyDescent="0.1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31.5" customHeight="1" x14ac:dyDescent="0.1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31.5" customHeight="1" x14ac:dyDescent="0.1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31.5" customHeight="1" x14ac:dyDescent="0.1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31.5" customHeight="1" x14ac:dyDescent="0.1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31.5" customHeight="1" x14ac:dyDescent="0.1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31.5" customHeight="1" x14ac:dyDescent="0.1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31.5" customHeight="1" x14ac:dyDescent="0.1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31.5" customHeight="1" x14ac:dyDescent="0.1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31.5" customHeight="1" x14ac:dyDescent="0.1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31.5" customHeight="1" x14ac:dyDescent="0.1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31.5" customHeight="1" x14ac:dyDescent="0.1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31.5" customHeight="1" x14ac:dyDescent="0.1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31.5" customHeight="1" x14ac:dyDescent="0.1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31.5" customHeight="1" x14ac:dyDescent="0.1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31.5" customHeight="1" x14ac:dyDescent="0.1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31.5" customHeight="1" x14ac:dyDescent="0.1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31.5" customHeight="1" x14ac:dyDescent="0.1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31.5" customHeight="1" x14ac:dyDescent="0.1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31.5" customHeight="1" x14ac:dyDescent="0.1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31.5" customHeight="1" x14ac:dyDescent="0.1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31.5" customHeight="1" x14ac:dyDescent="0.1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31.5" customHeight="1" x14ac:dyDescent="0.1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31.5" customHeight="1" x14ac:dyDescent="0.1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31.5" customHeight="1" x14ac:dyDescent="0.1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31.5" customHeight="1" x14ac:dyDescent="0.1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31.5" customHeight="1" x14ac:dyDescent="0.1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31.5" customHeight="1" x14ac:dyDescent="0.1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31.5" customHeight="1" x14ac:dyDescent="0.1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31.5" customHeight="1" x14ac:dyDescent="0.1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31.5" customHeight="1" x14ac:dyDescent="0.1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31.5" customHeight="1" x14ac:dyDescent="0.1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31.5" customHeight="1" x14ac:dyDescent="0.1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31.5" customHeight="1" x14ac:dyDescent="0.1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31.5" customHeight="1" x14ac:dyDescent="0.1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31.5" customHeight="1" x14ac:dyDescent="0.1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31.5" customHeight="1" x14ac:dyDescent="0.1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31.5" customHeight="1" x14ac:dyDescent="0.1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31.5" customHeight="1" x14ac:dyDescent="0.1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31.5" customHeight="1" x14ac:dyDescent="0.1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31.5" customHeight="1" x14ac:dyDescent="0.1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31.5" customHeight="1" x14ac:dyDescent="0.1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31.5" customHeight="1" x14ac:dyDescent="0.1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31.5" customHeight="1" x14ac:dyDescent="0.1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31.5" customHeight="1" x14ac:dyDescent="0.1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31.5" customHeight="1" x14ac:dyDescent="0.1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31.5" customHeight="1" x14ac:dyDescent="0.1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31.5" customHeight="1" x14ac:dyDescent="0.1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31.5" customHeight="1" x14ac:dyDescent="0.1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31.5" customHeight="1" x14ac:dyDescent="0.1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31.5" customHeight="1" x14ac:dyDescent="0.1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31.5" customHeight="1" x14ac:dyDescent="0.1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31.5" customHeight="1" x14ac:dyDescent="0.1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31.5" customHeight="1" x14ac:dyDescent="0.1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31.5" customHeight="1" x14ac:dyDescent="0.1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31.5" customHeight="1" x14ac:dyDescent="0.1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31.5" customHeight="1" x14ac:dyDescent="0.1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31.5" customHeight="1" x14ac:dyDescent="0.1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31.5" customHeight="1" x14ac:dyDescent="0.1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31.5" customHeight="1" x14ac:dyDescent="0.1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31.5" customHeight="1" x14ac:dyDescent="0.1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31.5" customHeight="1" x14ac:dyDescent="0.1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31.5" customHeight="1" x14ac:dyDescent="0.1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31.5" customHeight="1" x14ac:dyDescent="0.1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31.5" customHeight="1" x14ac:dyDescent="0.1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31.5" customHeight="1" x14ac:dyDescent="0.1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31.5" customHeight="1" x14ac:dyDescent="0.1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31.5" customHeight="1" x14ac:dyDescent="0.1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31.5" customHeight="1" x14ac:dyDescent="0.1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31.5" customHeight="1" x14ac:dyDescent="0.1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31.5" customHeight="1" x14ac:dyDescent="0.1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31.5" customHeight="1" x14ac:dyDescent="0.1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31.5" customHeight="1" x14ac:dyDescent="0.1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31.5" customHeight="1" x14ac:dyDescent="0.1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31.5" customHeight="1" x14ac:dyDescent="0.1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31.5" customHeight="1" x14ac:dyDescent="0.1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31.5" customHeight="1" x14ac:dyDescent="0.1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31.5" customHeight="1" x14ac:dyDescent="0.1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31.5" customHeight="1" x14ac:dyDescent="0.1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31.5" customHeight="1" x14ac:dyDescent="0.1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31.5" customHeight="1" x14ac:dyDescent="0.1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31.5" customHeight="1" x14ac:dyDescent="0.1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31.5" customHeight="1" x14ac:dyDescent="0.1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31.5" customHeight="1" x14ac:dyDescent="0.1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31.5" customHeight="1" x14ac:dyDescent="0.1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31.5" customHeight="1" x14ac:dyDescent="0.1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31.5" customHeight="1" x14ac:dyDescent="0.1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31.5" customHeight="1" x14ac:dyDescent="0.1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31.5" customHeight="1" x14ac:dyDescent="0.1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31.5" customHeight="1" x14ac:dyDescent="0.1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31.5" customHeight="1" x14ac:dyDescent="0.1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31.5" customHeight="1" x14ac:dyDescent="0.1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31.5" customHeight="1" x14ac:dyDescent="0.1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31.5" customHeight="1" x14ac:dyDescent="0.1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31.5" customHeight="1" x14ac:dyDescent="0.1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31.5" customHeight="1" x14ac:dyDescent="0.1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31.5" customHeight="1" x14ac:dyDescent="0.1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31.5" customHeight="1" x14ac:dyDescent="0.1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31.5" customHeight="1" x14ac:dyDescent="0.1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31.5" customHeight="1" x14ac:dyDescent="0.1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31.5" customHeight="1" x14ac:dyDescent="0.1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31.5" customHeight="1" x14ac:dyDescent="0.1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31.5" customHeight="1" x14ac:dyDescent="0.1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31.5" customHeight="1" x14ac:dyDescent="0.1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31.5" customHeight="1" x14ac:dyDescent="0.1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31.5" customHeight="1" x14ac:dyDescent="0.1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31.5" customHeight="1" x14ac:dyDescent="0.1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31.5" customHeight="1" x14ac:dyDescent="0.1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31.5" customHeight="1" x14ac:dyDescent="0.1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31.5" customHeight="1" x14ac:dyDescent="0.1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31.5" customHeight="1" x14ac:dyDescent="0.1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31.5" customHeight="1" x14ac:dyDescent="0.1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31.5" customHeight="1" x14ac:dyDescent="0.1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31.5" customHeight="1" x14ac:dyDescent="0.1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31.5" customHeight="1" x14ac:dyDescent="0.1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31.5" customHeight="1" x14ac:dyDescent="0.1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31.5" customHeight="1" x14ac:dyDescent="0.1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31.5" customHeight="1" x14ac:dyDescent="0.1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31.5" customHeight="1" x14ac:dyDescent="0.1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31.5" customHeight="1" x14ac:dyDescent="0.1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31.5" customHeight="1" x14ac:dyDescent="0.1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31.5" customHeight="1" x14ac:dyDescent="0.1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31.5" customHeight="1" x14ac:dyDescent="0.1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31.5" customHeight="1" x14ac:dyDescent="0.1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31.5" customHeight="1" x14ac:dyDescent="0.1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31.5" customHeight="1" x14ac:dyDescent="0.1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31.5" customHeight="1" x14ac:dyDescent="0.1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31.5" customHeight="1" x14ac:dyDescent="0.1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31.5" customHeight="1" x14ac:dyDescent="0.1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31.5" customHeight="1" x14ac:dyDescent="0.1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31.5" customHeight="1" x14ac:dyDescent="0.1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31.5" customHeight="1" x14ac:dyDescent="0.1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31.5" customHeight="1" x14ac:dyDescent="0.1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31.5" customHeight="1" x14ac:dyDescent="0.1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31.5" customHeight="1" x14ac:dyDescent="0.1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31.5" customHeight="1" x14ac:dyDescent="0.1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31.5" customHeight="1" x14ac:dyDescent="0.1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31.5" customHeight="1" x14ac:dyDescent="0.1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31.5" customHeight="1" x14ac:dyDescent="0.1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31.5" customHeight="1" x14ac:dyDescent="0.1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31.5" customHeight="1" x14ac:dyDescent="0.1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31.5" customHeight="1" x14ac:dyDescent="0.1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31.5" customHeight="1" x14ac:dyDescent="0.1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31.5" customHeight="1" x14ac:dyDescent="0.1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31.5" customHeight="1" x14ac:dyDescent="0.1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31.5" customHeight="1" x14ac:dyDescent="0.1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31.5" customHeight="1" x14ac:dyDescent="0.1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31.5" customHeight="1" x14ac:dyDescent="0.1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31.5" customHeight="1" x14ac:dyDescent="0.1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31.5" customHeight="1" x14ac:dyDescent="0.1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31.5" customHeight="1" x14ac:dyDescent="0.1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31.5" customHeight="1" x14ac:dyDescent="0.1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31.5" customHeight="1" x14ac:dyDescent="0.1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31.5" customHeight="1" x14ac:dyDescent="0.1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31.5" customHeight="1" x14ac:dyDescent="0.1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31.5" customHeight="1" x14ac:dyDescent="0.1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31.5" customHeight="1" x14ac:dyDescent="0.1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31.5" customHeight="1" x14ac:dyDescent="0.1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31.5" customHeight="1" x14ac:dyDescent="0.1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31.5" customHeight="1" x14ac:dyDescent="0.1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31.5" customHeight="1" x14ac:dyDescent="0.1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31.5" customHeight="1" x14ac:dyDescent="0.1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31.5" customHeight="1" x14ac:dyDescent="0.1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31.5" customHeight="1" x14ac:dyDescent="0.1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31.5" customHeight="1" x14ac:dyDescent="0.1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31.5" customHeight="1" x14ac:dyDescent="0.1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31.5" customHeight="1" x14ac:dyDescent="0.1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31.5" customHeight="1" x14ac:dyDescent="0.1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31.5" customHeight="1" x14ac:dyDescent="0.1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31.5" customHeight="1" x14ac:dyDescent="0.1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31.5" customHeight="1" x14ac:dyDescent="0.1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31.5" customHeight="1" x14ac:dyDescent="0.1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31.5" customHeight="1" x14ac:dyDescent="0.1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31.5" customHeight="1" x14ac:dyDescent="0.1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31.5" customHeight="1" x14ac:dyDescent="0.1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31.5" customHeight="1" x14ac:dyDescent="0.1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31.5" customHeight="1" x14ac:dyDescent="0.1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31.5" customHeight="1" x14ac:dyDescent="0.1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31.5" customHeight="1" x14ac:dyDescent="0.1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31.5" customHeight="1" x14ac:dyDescent="0.1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31.5" customHeight="1" x14ac:dyDescent="0.1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31.5" customHeight="1" x14ac:dyDescent="0.1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31.5" customHeight="1" x14ac:dyDescent="0.1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31.5" customHeight="1" x14ac:dyDescent="0.1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31.5" customHeight="1" x14ac:dyDescent="0.1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31.5" customHeight="1" x14ac:dyDescent="0.1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31.5" customHeight="1" x14ac:dyDescent="0.1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31.5" customHeight="1" x14ac:dyDescent="0.1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31.5" customHeight="1" x14ac:dyDescent="0.1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31.5" customHeight="1" x14ac:dyDescent="0.1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31.5" customHeight="1" x14ac:dyDescent="0.1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31.5" customHeight="1" x14ac:dyDescent="0.1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31.5" customHeight="1" x14ac:dyDescent="0.1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31.5" customHeight="1" x14ac:dyDescent="0.1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31.5" customHeight="1" x14ac:dyDescent="0.1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31.5" customHeight="1" x14ac:dyDescent="0.1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31.5" customHeight="1" x14ac:dyDescent="0.1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31.5" customHeight="1" x14ac:dyDescent="0.1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31.5" customHeight="1" x14ac:dyDescent="0.1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31.5" customHeight="1" x14ac:dyDescent="0.1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31.5" customHeight="1" x14ac:dyDescent="0.1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31.5" customHeight="1" x14ac:dyDescent="0.1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31.5" customHeight="1" x14ac:dyDescent="0.1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31.5" customHeight="1" x14ac:dyDescent="0.1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31.5" customHeight="1" x14ac:dyDescent="0.1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31.5" customHeight="1" x14ac:dyDescent="0.1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31.5" customHeight="1" x14ac:dyDescent="0.1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31.5" customHeight="1" x14ac:dyDescent="0.1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31.5" customHeight="1" x14ac:dyDescent="0.1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31.5" customHeight="1" x14ac:dyDescent="0.1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31.5" customHeight="1" x14ac:dyDescent="0.1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31.5" customHeight="1" x14ac:dyDescent="0.1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31.5" customHeight="1" x14ac:dyDescent="0.1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31.5" customHeight="1" x14ac:dyDescent="0.1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31.5" customHeight="1" x14ac:dyDescent="0.1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31.5" customHeight="1" x14ac:dyDescent="0.1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31.5" customHeight="1" x14ac:dyDescent="0.1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31.5" customHeight="1" x14ac:dyDescent="0.1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31.5" customHeight="1" x14ac:dyDescent="0.1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31.5" customHeight="1" x14ac:dyDescent="0.1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31.5" customHeight="1" x14ac:dyDescent="0.1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31.5" customHeight="1" x14ac:dyDescent="0.1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31.5" customHeight="1" x14ac:dyDescent="0.1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31.5" customHeight="1" x14ac:dyDescent="0.1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31.5" customHeight="1" x14ac:dyDescent="0.1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31.5" customHeight="1" x14ac:dyDescent="0.1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31.5" customHeight="1" x14ac:dyDescent="0.1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31.5" customHeight="1" x14ac:dyDescent="0.1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31.5" customHeight="1" x14ac:dyDescent="0.1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31.5" customHeight="1" x14ac:dyDescent="0.1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31.5" customHeight="1" x14ac:dyDescent="0.1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31.5" customHeight="1" x14ac:dyDescent="0.1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31.5" customHeight="1" x14ac:dyDescent="0.1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31.5" customHeight="1" x14ac:dyDescent="0.1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31.5" customHeight="1" x14ac:dyDescent="0.1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31.5" customHeight="1" x14ac:dyDescent="0.1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31.5" customHeight="1" x14ac:dyDescent="0.1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31.5" customHeight="1" x14ac:dyDescent="0.1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31.5" customHeight="1" x14ac:dyDescent="0.1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31.5" customHeight="1" x14ac:dyDescent="0.1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31.5" customHeight="1" x14ac:dyDescent="0.1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31.5" customHeight="1" x14ac:dyDescent="0.1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31.5" customHeight="1" x14ac:dyDescent="0.1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31.5" customHeight="1" x14ac:dyDescent="0.1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31.5" customHeight="1" x14ac:dyDescent="0.1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31.5" customHeight="1" x14ac:dyDescent="0.1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31.5" customHeight="1" x14ac:dyDescent="0.1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31.5" customHeight="1" x14ac:dyDescent="0.1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31.5" customHeight="1" x14ac:dyDescent="0.1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31.5" customHeight="1" x14ac:dyDescent="0.1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31.5" customHeight="1" x14ac:dyDescent="0.1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31.5" customHeight="1" x14ac:dyDescent="0.1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31.5" customHeight="1" x14ac:dyDescent="0.1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31.5" customHeight="1" x14ac:dyDescent="0.1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31.5" customHeight="1" x14ac:dyDescent="0.1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31.5" customHeight="1" x14ac:dyDescent="0.1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31.5" customHeight="1" x14ac:dyDescent="0.1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31.5" customHeight="1" x14ac:dyDescent="0.1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31.5" customHeight="1" x14ac:dyDescent="0.1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31.5" customHeight="1" x14ac:dyDescent="0.1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31.5" customHeight="1" x14ac:dyDescent="0.1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31.5" customHeight="1" x14ac:dyDescent="0.1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31.5" customHeight="1" x14ac:dyDescent="0.1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31.5" customHeight="1" x14ac:dyDescent="0.1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31.5" customHeight="1" x14ac:dyDescent="0.1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31.5" customHeight="1" x14ac:dyDescent="0.1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31.5" customHeight="1" x14ac:dyDescent="0.1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31.5" customHeight="1" x14ac:dyDescent="0.1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X995"/>
  <sheetViews>
    <sheetView tabSelected="1" topLeftCell="C1" workbookViewId="0">
      <selection activeCell="J14" sqref="J14"/>
    </sheetView>
  </sheetViews>
  <sheetFormatPr baseColWidth="10" defaultColWidth="12.6640625" defaultRowHeight="15.75" customHeight="1" x14ac:dyDescent="0.15"/>
  <cols>
    <col min="1" max="1" width="24.1640625" customWidth="1"/>
    <col min="2" max="2" width="11.33203125" customWidth="1"/>
    <col min="3" max="3" width="23.83203125" customWidth="1"/>
    <col min="4" max="4" width="19.33203125" customWidth="1"/>
    <col min="5" max="6" width="9.33203125" customWidth="1"/>
    <col min="7" max="7" width="35.5" customWidth="1"/>
    <col min="8" max="8" width="46.83203125" customWidth="1"/>
    <col min="9" max="9" width="15.83203125" customWidth="1"/>
    <col min="10" max="10" width="65.5" customWidth="1"/>
    <col min="11" max="11" width="15.1640625" customWidth="1"/>
    <col min="12" max="12" width="19.6640625" customWidth="1"/>
    <col min="13" max="13" width="31.6640625" customWidth="1"/>
    <col min="14" max="14" width="10.1640625" customWidth="1"/>
  </cols>
  <sheetData>
    <row r="1" spans="1:24" ht="33" customHeight="1" x14ac:dyDescent="0.15">
      <c r="A1" s="64" t="s">
        <v>25</v>
      </c>
      <c r="B1" s="64" t="s">
        <v>26</v>
      </c>
      <c r="C1" s="64" t="s">
        <v>53</v>
      </c>
      <c r="D1" s="64" t="s">
        <v>54</v>
      </c>
      <c r="E1" s="64" t="s">
        <v>55</v>
      </c>
      <c r="F1" s="64" t="s">
        <v>56</v>
      </c>
      <c r="G1" s="64" t="s">
        <v>3881</v>
      </c>
      <c r="H1" s="64" t="s">
        <v>58</v>
      </c>
      <c r="I1" s="64" t="s">
        <v>59</v>
      </c>
      <c r="J1" s="64" t="s">
        <v>60</v>
      </c>
      <c r="K1" s="65" t="s">
        <v>24</v>
      </c>
      <c r="L1" s="56" t="s">
        <v>1</v>
      </c>
      <c r="M1" s="65" t="s">
        <v>113</v>
      </c>
      <c r="N1" s="65" t="s">
        <v>114</v>
      </c>
      <c r="O1" s="9"/>
      <c r="P1" s="9"/>
      <c r="Q1" s="9"/>
      <c r="R1" s="9"/>
      <c r="S1" s="9"/>
      <c r="T1" s="9"/>
      <c r="U1" s="9"/>
      <c r="V1" s="9"/>
      <c r="W1" s="9"/>
      <c r="X1" s="9"/>
    </row>
    <row r="2" spans="1:24" ht="33" customHeight="1" x14ac:dyDescent="0.15">
      <c r="A2" s="66" t="str">
        <f ca="1">IFERROR(__xludf.DUMMYFUNCTION("QUERY(MasterData!A1:NK11244,""select AN,AO,AP,AQ,AR,AS,AT,AU,AV,AW,B,C,FL,FM where C='S3: Student Internships'"",0)"),"LATCHUBUKTHA SUTESH")</f>
        <v>LATCHUBUKTHA SUTESH</v>
      </c>
      <c r="B2" s="66" t="str">
        <f ca="1">IFERROR(__xludf.DUMMYFUNCTION("""COMPUTED_VALUE"""),"18331A0588")</f>
        <v>18331A0588</v>
      </c>
      <c r="C2" s="66" t="str">
        <f ca="1">IFERROR(__xludf.DUMMYFUNCTION("""COMPUTED_VALUE"""),"Capgemini")</f>
        <v>Capgemini</v>
      </c>
      <c r="D2" s="66" t="str">
        <f ca="1">IFERROR(__xludf.DUMMYFUNCTION("""COMPUTED_VALUE"""),"82 days")</f>
        <v>82 days</v>
      </c>
      <c r="E2" s="67">
        <f ca="1">IFERROR(__xludf.DUMMYFUNCTION("""COMPUTED_VALUE"""),44621)</f>
        <v>44621</v>
      </c>
      <c r="F2" s="67">
        <f ca="1">IFERROR(__xludf.DUMMYFUNCTION("""COMPUTED_VALUE"""),44701)</f>
        <v>44701</v>
      </c>
      <c r="G2" s="66" t="str">
        <f ca="1">IFERROR(__xludf.DUMMYFUNCTION("""COMPUTED_VALUE"""),"Yes")</f>
        <v>Yes</v>
      </c>
      <c r="H2" s="66" t="str">
        <f ca="1">IFERROR(__xludf.DUMMYFUNCTION("""COMPUTED_VALUE"""),"No")</f>
        <v>No</v>
      </c>
      <c r="I2" s="66">
        <f ca="1">IFERROR(__xludf.DUMMYFUNCTION("""COMPUTED_VALUE"""),0)</f>
        <v>0</v>
      </c>
      <c r="J2" s="68" t="str">
        <f ca="1">IFERROR(__xludf.DUMMYFUNCTION("""COMPUTED_VALUE"""),"https://drive.google.com/open?id=18tBNcfZaqHL51fcmdpFuOp4AHku-Sq8d")</f>
        <v>https://drive.google.com/open?id=18tBNcfZaqHL51fcmdpFuOp4AHku-Sq8d</v>
      </c>
      <c r="K2" s="66" t="str">
        <f ca="1">IFERROR(__xludf.DUMMYFUNCTION("""COMPUTED_VALUE"""),"2018-2022")</f>
        <v>2018-2022</v>
      </c>
      <c r="L2" s="66" t="str">
        <f ca="1">IFERROR(__xludf.DUMMYFUNCTION("""COMPUTED_VALUE"""),"S3: Student Internships")</f>
        <v>S3: Student Internships</v>
      </c>
      <c r="M2" s="66" t="str">
        <f ca="1">IFERROR(__xludf.DUMMYFUNCTION("""COMPUTED_VALUE"""),"latchubukthasutesh9@gmail.com")</f>
        <v>latchubukthasutesh9@gmail.com</v>
      </c>
      <c r="N2" s="66" t="str">
        <f ca="1">IFERROR(__xludf.DUMMYFUNCTION("""COMPUTED_VALUE"""),"SEM-8")</f>
        <v>SEM-8</v>
      </c>
      <c r="O2" s="69"/>
      <c r="P2" s="69"/>
      <c r="Q2" s="69"/>
      <c r="R2" s="69"/>
      <c r="S2" s="69"/>
      <c r="T2" s="69"/>
      <c r="U2" s="69"/>
      <c r="V2" s="69"/>
      <c r="W2" s="69"/>
      <c r="X2" s="69"/>
    </row>
    <row r="3" spans="1:24" ht="33" customHeight="1" x14ac:dyDescent="0.15">
      <c r="A3" s="66" t="str">
        <f ca="1">IFERROR(__xludf.DUMMYFUNCTION("""COMPUTED_VALUE"""),"Pooja Madhurima Salapu")</f>
        <v>Pooja Madhurima Salapu</v>
      </c>
      <c r="B3" s="66" t="str">
        <f ca="1">IFERROR(__xludf.DUMMYFUNCTION("""COMPUTED_VALUE"""),"18331A05D5")</f>
        <v>18331A05D5</v>
      </c>
      <c r="C3" s="66" t="str">
        <f ca="1">IFERROR(__xludf.DUMMYFUNCTION("""COMPUTED_VALUE"""),"Nineleaps")</f>
        <v>Nineleaps</v>
      </c>
      <c r="D3" s="66" t="str">
        <f ca="1">IFERROR(__xludf.DUMMYFUNCTION("""COMPUTED_VALUE"""),"6 months")</f>
        <v>6 months</v>
      </c>
      <c r="E3" s="67">
        <f ca="1">IFERROR(__xludf.DUMMYFUNCTION("""COMPUTED_VALUE"""),44578)</f>
        <v>44578</v>
      </c>
      <c r="F3" s="67">
        <f ca="1">IFERROR(__xludf.DUMMYFUNCTION("""COMPUTED_VALUE"""),44759)</f>
        <v>44759</v>
      </c>
      <c r="G3" s="66" t="str">
        <f ca="1">IFERROR(__xludf.DUMMYFUNCTION("""COMPUTED_VALUE"""),"Yes")</f>
        <v>Yes</v>
      </c>
      <c r="H3" s="66" t="str">
        <f ca="1">IFERROR(__xludf.DUMMYFUNCTION("""COMPUTED_VALUE"""),"No")</f>
        <v>No</v>
      </c>
      <c r="I3" s="66">
        <f ca="1">IFERROR(__xludf.DUMMYFUNCTION("""COMPUTED_VALUE"""),0)</f>
        <v>0</v>
      </c>
      <c r="J3" s="68" t="str">
        <f ca="1">IFERROR(__xludf.DUMMYFUNCTION("""COMPUTED_VALUE"""),"https://drive.google.com/open?id=1KMcNy8oz1aK5J5G9aU2Se0gUADC6l5Ra")</f>
        <v>https://drive.google.com/open?id=1KMcNy8oz1aK5J5G9aU2Se0gUADC6l5Ra</v>
      </c>
      <c r="K3" s="66" t="str">
        <f ca="1">IFERROR(__xludf.DUMMYFUNCTION("""COMPUTED_VALUE"""),"2018-2022")</f>
        <v>2018-2022</v>
      </c>
      <c r="L3" s="66" t="str">
        <f ca="1">IFERROR(__xludf.DUMMYFUNCTION("""COMPUTED_VALUE"""),"S3: Student Internships")</f>
        <v>S3: Student Internships</v>
      </c>
      <c r="M3" s="66" t="str">
        <f ca="1">IFERROR(__xludf.DUMMYFUNCTION("""COMPUTED_VALUE"""),"poojasalapu@gmail.com")</f>
        <v>poojasalapu@gmail.com</v>
      </c>
      <c r="N3" s="66" t="str">
        <f ca="1">IFERROR(__xludf.DUMMYFUNCTION("""COMPUTED_VALUE"""),"SEM-8")</f>
        <v>SEM-8</v>
      </c>
      <c r="O3" s="69"/>
      <c r="P3" s="69"/>
      <c r="Q3" s="69"/>
      <c r="R3" s="69"/>
      <c r="S3" s="69"/>
      <c r="T3" s="69"/>
      <c r="U3" s="69"/>
      <c r="V3" s="69"/>
      <c r="W3" s="69"/>
      <c r="X3" s="69"/>
    </row>
    <row r="4" spans="1:24" ht="33" customHeight="1" x14ac:dyDescent="0.15">
      <c r="A4" s="66" t="str">
        <f ca="1">IFERROR(__xludf.DUMMYFUNCTION("""COMPUTED_VALUE"""),"Kondeti Chandrika ")</f>
        <v xml:space="preserve">Kondeti Chandrika </v>
      </c>
      <c r="B4" s="66" t="str">
        <f ca="1">IFERROR(__xludf.DUMMYFUNCTION("""COMPUTED_VALUE"""),"18331A0580")</f>
        <v>18331A0580</v>
      </c>
      <c r="C4" s="66" t="str">
        <f ca="1">IFERROR(__xludf.DUMMYFUNCTION("""COMPUTED_VALUE"""),"TCS")</f>
        <v>TCS</v>
      </c>
      <c r="D4" s="66" t="str">
        <f ca="1">IFERROR(__xludf.DUMMYFUNCTION("""COMPUTED_VALUE"""),"4")</f>
        <v>4</v>
      </c>
      <c r="E4" s="67">
        <f ca="1">IFERROR(__xludf.DUMMYFUNCTION("""COMPUTED_VALUE"""),44628)</f>
        <v>44628</v>
      </c>
      <c r="F4" s="67">
        <f ca="1">IFERROR(__xludf.DUMMYFUNCTION("""COMPUTED_VALUE"""),44740)</f>
        <v>44740</v>
      </c>
      <c r="G4" s="66" t="str">
        <f ca="1">IFERROR(__xludf.DUMMYFUNCTION("""COMPUTED_VALUE"""),"No")</f>
        <v>No</v>
      </c>
      <c r="H4" s="66" t="str">
        <f ca="1">IFERROR(__xludf.DUMMYFUNCTION("""COMPUTED_VALUE"""),"No")</f>
        <v>No</v>
      </c>
      <c r="I4" s="66">
        <f ca="1">IFERROR(__xludf.DUMMYFUNCTION("""COMPUTED_VALUE"""),0)</f>
        <v>0</v>
      </c>
      <c r="J4" s="68" t="str">
        <f ca="1">IFERROR(__xludf.DUMMYFUNCTION("""COMPUTED_VALUE"""),"https://drive.google.com/open?id=1QPnvEQXm9CbOANLie0JsDZIWVPyOyVKW")</f>
        <v>https://drive.google.com/open?id=1QPnvEQXm9CbOANLie0JsDZIWVPyOyVKW</v>
      </c>
      <c r="K4" s="66" t="str">
        <f ca="1">IFERROR(__xludf.DUMMYFUNCTION("""COMPUTED_VALUE"""),"2018-2022")</f>
        <v>2018-2022</v>
      </c>
      <c r="L4" s="66" t="str">
        <f ca="1">IFERROR(__xludf.DUMMYFUNCTION("""COMPUTED_VALUE"""),"S3: Student Internships")</f>
        <v>S3: Student Internships</v>
      </c>
      <c r="M4" s="66" t="str">
        <f ca="1">IFERROR(__xludf.DUMMYFUNCTION("""COMPUTED_VALUE"""),"chandrika9229@gmail.com")</f>
        <v>chandrika9229@gmail.com</v>
      </c>
      <c r="N4" s="66" t="str">
        <f ca="1">IFERROR(__xludf.DUMMYFUNCTION("""COMPUTED_VALUE"""),"SEM-8")</f>
        <v>SEM-8</v>
      </c>
      <c r="O4" s="69"/>
      <c r="P4" s="69"/>
      <c r="Q4" s="69"/>
      <c r="R4" s="69"/>
      <c r="S4" s="69"/>
      <c r="T4" s="69"/>
      <c r="U4" s="69"/>
      <c r="V4" s="69"/>
      <c r="W4" s="69"/>
      <c r="X4" s="69"/>
    </row>
    <row r="5" spans="1:24" ht="33" customHeight="1" x14ac:dyDescent="0.15">
      <c r="A5" s="66" t="str">
        <f ca="1">IFERROR(__xludf.DUMMYFUNCTION("""COMPUTED_VALUE"""),"Boddapati Rajesh")</f>
        <v>Boddapati Rajesh</v>
      </c>
      <c r="B5" s="66" t="str">
        <f ca="1">IFERROR(__xludf.DUMMYFUNCTION("""COMPUTED_VALUE"""),"18331A0515")</f>
        <v>18331A0515</v>
      </c>
      <c r="C5" s="66" t="str">
        <f ca="1">IFERROR(__xludf.DUMMYFUNCTION("""COMPUTED_VALUE"""),"Amazon Web services (AWS)")</f>
        <v>Amazon Web services (AWS)</v>
      </c>
      <c r="D5" s="66" t="str">
        <f ca="1">IFERROR(__xludf.DUMMYFUNCTION("""COMPUTED_VALUE"""),"10 weeks")</f>
        <v>10 weeks</v>
      </c>
      <c r="E5" s="67">
        <f ca="1">IFERROR(__xludf.DUMMYFUNCTION("""COMPUTED_VALUE"""),44489)</f>
        <v>44489</v>
      </c>
      <c r="F5" s="67">
        <f ca="1">IFERROR(__xludf.DUMMYFUNCTION("""COMPUTED_VALUE"""),44561)</f>
        <v>44561</v>
      </c>
      <c r="G5" s="66" t="str">
        <f ca="1">IFERROR(__xludf.DUMMYFUNCTION("""COMPUTED_VALUE"""),"No")</f>
        <v>No</v>
      </c>
      <c r="H5" s="66" t="str">
        <f ca="1">IFERROR(__xludf.DUMMYFUNCTION("""COMPUTED_VALUE"""),"No")</f>
        <v>No</v>
      </c>
      <c r="I5" s="66">
        <f ca="1">IFERROR(__xludf.DUMMYFUNCTION("""COMPUTED_VALUE"""),0)</f>
        <v>0</v>
      </c>
      <c r="J5" s="68" t="str">
        <f ca="1">IFERROR(__xludf.DUMMYFUNCTION("""COMPUTED_VALUE"""),"https://drive.google.com/open?id=1v0PJfUgzklpFem93YovVNEesCalXmLlk")</f>
        <v>https://drive.google.com/open?id=1v0PJfUgzklpFem93YovVNEesCalXmLlk</v>
      </c>
      <c r="K5" s="66" t="str">
        <f ca="1">IFERROR(__xludf.DUMMYFUNCTION("""COMPUTED_VALUE"""),"2018-2022")</f>
        <v>2018-2022</v>
      </c>
      <c r="L5" s="66" t="str">
        <f ca="1">IFERROR(__xludf.DUMMYFUNCTION("""COMPUTED_VALUE"""),"S3: Student Internships")</f>
        <v>S3: Student Internships</v>
      </c>
      <c r="M5" s="66" t="str">
        <f ca="1">IFERROR(__xludf.DUMMYFUNCTION("""COMPUTED_VALUE"""),"rajeshboddapati37@gmail.com")</f>
        <v>rajeshboddapati37@gmail.com</v>
      </c>
      <c r="N5" s="66" t="str">
        <f ca="1">IFERROR(__xludf.DUMMYFUNCTION("""COMPUTED_VALUE"""),"SEM-7")</f>
        <v>SEM-7</v>
      </c>
      <c r="O5" s="69"/>
      <c r="P5" s="69"/>
      <c r="Q5" s="69"/>
      <c r="R5" s="69"/>
      <c r="S5" s="69"/>
      <c r="T5" s="69"/>
      <c r="U5" s="69"/>
      <c r="V5" s="69"/>
      <c r="W5" s="69"/>
      <c r="X5" s="69"/>
    </row>
    <row r="6" spans="1:24" ht="33" customHeight="1" x14ac:dyDescent="0.15">
      <c r="A6" s="59" t="str">
        <f ca="1">IFERROR(__xludf.DUMMYFUNCTION("""COMPUTED_VALUE"""),"Boddapati Rajesh")</f>
        <v>Boddapati Rajesh</v>
      </c>
      <c r="B6" s="59" t="str">
        <f ca="1">IFERROR(__xludf.DUMMYFUNCTION("""COMPUTED_VALUE"""),"18331A0515")</f>
        <v>18331A0515</v>
      </c>
      <c r="C6" s="59" t="str">
        <f ca="1">IFERROR(__xludf.DUMMYFUNCTION("""COMPUTED_VALUE"""),"Red hat")</f>
        <v>Red hat</v>
      </c>
      <c r="D6" s="59" t="str">
        <f ca="1">IFERROR(__xludf.DUMMYFUNCTION("""COMPUTED_VALUE"""),"Indefinite")</f>
        <v>Indefinite</v>
      </c>
      <c r="E6" s="70">
        <f ca="1">IFERROR(__xludf.DUMMYFUNCTION("""COMPUTED_VALUE"""),44677)</f>
        <v>44677</v>
      </c>
      <c r="F6" s="70">
        <f ca="1">IFERROR(__xludf.DUMMYFUNCTION("""COMPUTED_VALUE"""),44681)</f>
        <v>44681</v>
      </c>
      <c r="G6" s="59" t="str">
        <f ca="1">IFERROR(__xludf.DUMMYFUNCTION("""COMPUTED_VALUE"""),"No")</f>
        <v>No</v>
      </c>
      <c r="H6" s="59" t="str">
        <f ca="1">IFERROR(__xludf.DUMMYFUNCTION("""COMPUTED_VALUE"""),"No")</f>
        <v>No</v>
      </c>
      <c r="I6" s="59">
        <f ca="1">IFERROR(__xludf.DUMMYFUNCTION("""COMPUTED_VALUE"""),0)</f>
        <v>0</v>
      </c>
      <c r="J6" s="71" t="str">
        <f ca="1">IFERROR(__xludf.DUMMYFUNCTION("""COMPUTED_VALUE"""),"https://drive.google.com/open?id=1mgQJ7PVKKoZmV-qGrfd_y3l9_VsLB2Xd")</f>
        <v>https://drive.google.com/open?id=1mgQJ7PVKKoZmV-qGrfd_y3l9_VsLB2Xd</v>
      </c>
      <c r="K6" s="59" t="str">
        <f ca="1">IFERROR(__xludf.DUMMYFUNCTION("""COMPUTED_VALUE"""),"2018-2022")</f>
        <v>2018-2022</v>
      </c>
      <c r="L6" s="59" t="str">
        <f ca="1">IFERROR(__xludf.DUMMYFUNCTION("""COMPUTED_VALUE"""),"S3: Student Internships")</f>
        <v>S3: Student Internships</v>
      </c>
      <c r="M6" s="59" t="str">
        <f ca="1">IFERROR(__xludf.DUMMYFUNCTION("""COMPUTED_VALUE"""),"rajeshboddapati37@gmail.com")</f>
        <v>rajeshboddapati37@gmail.com</v>
      </c>
      <c r="N6" s="59" t="str">
        <f ca="1">IFERROR(__xludf.DUMMYFUNCTION("""COMPUTED_VALUE"""),"SEM-8")</f>
        <v>SEM-8</v>
      </c>
      <c r="O6" s="9"/>
      <c r="P6" s="9"/>
      <c r="Q6" s="9"/>
      <c r="R6" s="9"/>
      <c r="S6" s="9"/>
      <c r="T6" s="9"/>
      <c r="U6" s="9"/>
      <c r="V6" s="9"/>
      <c r="W6" s="9"/>
      <c r="X6" s="9"/>
    </row>
    <row r="7" spans="1:24" ht="33" customHeight="1" x14ac:dyDescent="0.15">
      <c r="A7" s="66" t="str">
        <f ca="1">IFERROR(__xludf.DUMMYFUNCTION("""COMPUTED_VALUE"""),"BUKA PRUDHVI RAJ")</f>
        <v>BUKA PRUDHVI RAJ</v>
      </c>
      <c r="B7" s="66" t="str">
        <f ca="1">IFERROR(__xludf.DUMMYFUNCTION("""COMPUTED_VALUE"""),"19335A0503")</f>
        <v>19335A0503</v>
      </c>
      <c r="C7" s="66" t="str">
        <f ca="1">IFERROR(__xludf.DUMMYFUNCTION("""COMPUTED_VALUE"""),"AICTE")</f>
        <v>AICTE</v>
      </c>
      <c r="D7" s="66" t="str">
        <f ca="1">IFERROR(__xludf.DUMMYFUNCTION("""COMPUTED_VALUE"""),"2 months")</f>
        <v>2 months</v>
      </c>
      <c r="E7" s="67">
        <f ca="1">IFERROR(__xludf.DUMMYFUNCTION("""COMPUTED_VALUE"""),44480)</f>
        <v>44480</v>
      </c>
      <c r="F7" s="67">
        <f ca="1">IFERROR(__xludf.DUMMYFUNCTION("""COMPUTED_VALUE"""),44544)</f>
        <v>44544</v>
      </c>
      <c r="G7" s="66" t="str">
        <f ca="1">IFERROR(__xludf.DUMMYFUNCTION("""COMPUTED_VALUE"""),"No")</f>
        <v>No</v>
      </c>
      <c r="H7" s="66" t="str">
        <f ca="1">IFERROR(__xludf.DUMMYFUNCTION("""COMPUTED_VALUE"""),"No")</f>
        <v>No</v>
      </c>
      <c r="I7" s="66">
        <f ca="1">IFERROR(__xludf.DUMMYFUNCTION("""COMPUTED_VALUE"""),0)</f>
        <v>0</v>
      </c>
      <c r="J7" s="68" t="str">
        <f ca="1">IFERROR(__xludf.DUMMYFUNCTION("""COMPUTED_VALUE"""),"https://drive.google.com/open?id=1MvkXMoGjwziiWPG0OmXyCZDmkQEV6b6_")</f>
        <v>https://drive.google.com/open?id=1MvkXMoGjwziiWPG0OmXyCZDmkQEV6b6_</v>
      </c>
      <c r="K7" s="66" t="str">
        <f ca="1">IFERROR(__xludf.DUMMYFUNCTION("""COMPUTED_VALUE"""),"2018-2022")</f>
        <v>2018-2022</v>
      </c>
      <c r="L7" s="66" t="str">
        <f ca="1">IFERROR(__xludf.DUMMYFUNCTION("""COMPUTED_VALUE"""),"S3: Student Internships")</f>
        <v>S3: Student Internships</v>
      </c>
      <c r="M7" s="66" t="str">
        <f ca="1">IFERROR(__xludf.DUMMYFUNCTION("""COMPUTED_VALUE"""),"prudhviraj.buka99@gmail.com")</f>
        <v>prudhviraj.buka99@gmail.com</v>
      </c>
      <c r="N7" s="66" t="str">
        <f ca="1">IFERROR(__xludf.DUMMYFUNCTION("""COMPUTED_VALUE"""),"SEM-7")</f>
        <v>SEM-7</v>
      </c>
      <c r="O7" s="69"/>
      <c r="P7" s="69"/>
      <c r="Q7" s="69"/>
      <c r="R7" s="69"/>
      <c r="S7" s="69"/>
      <c r="T7" s="69"/>
      <c r="U7" s="69"/>
      <c r="V7" s="69"/>
      <c r="W7" s="69"/>
      <c r="X7" s="69"/>
    </row>
    <row r="8" spans="1:24" ht="33" customHeight="1" x14ac:dyDescent="0.15">
      <c r="A8" s="66" t="str">
        <f ca="1">IFERROR(__xludf.DUMMYFUNCTION("""COMPUTED_VALUE"""),"Joshini Sabbavarapu")</f>
        <v>Joshini Sabbavarapu</v>
      </c>
      <c r="B8" s="66" t="str">
        <f ca="1">IFERROR(__xludf.DUMMYFUNCTION("""COMPUTED_VALUE"""),"19335A0515")</f>
        <v>19335A0515</v>
      </c>
      <c r="C8" s="66" t="str">
        <f ca="1">IFERROR(__xludf.DUMMYFUNCTION("""COMPUTED_VALUE"""),"AICTE")</f>
        <v>AICTE</v>
      </c>
      <c r="D8" s="66" t="str">
        <f ca="1">IFERROR(__xludf.DUMMYFUNCTION("""COMPUTED_VALUE"""),"2 Months")</f>
        <v>2 Months</v>
      </c>
      <c r="E8" s="67">
        <f ca="1">IFERROR(__xludf.DUMMYFUNCTION("""COMPUTED_VALUE"""),44480)</f>
        <v>44480</v>
      </c>
      <c r="F8" s="67">
        <f ca="1">IFERROR(__xludf.DUMMYFUNCTION("""COMPUTED_VALUE"""),44544)</f>
        <v>44544</v>
      </c>
      <c r="G8" s="66" t="str">
        <f ca="1">IFERROR(__xludf.DUMMYFUNCTION("""COMPUTED_VALUE"""),"No")</f>
        <v>No</v>
      </c>
      <c r="H8" s="66" t="str">
        <f ca="1">IFERROR(__xludf.DUMMYFUNCTION("""COMPUTED_VALUE"""),"No")</f>
        <v>No</v>
      </c>
      <c r="I8" s="66">
        <f ca="1">IFERROR(__xludf.DUMMYFUNCTION("""COMPUTED_VALUE"""),0)</f>
        <v>0</v>
      </c>
      <c r="J8" s="68" t="str">
        <f ca="1">IFERROR(__xludf.DUMMYFUNCTION("""COMPUTED_VALUE"""),"https://drive.google.com/open?id=1VnotBEkB8oNas5leG5dtem61RtWiI3Ml")</f>
        <v>https://drive.google.com/open?id=1VnotBEkB8oNas5leG5dtem61RtWiI3Ml</v>
      </c>
      <c r="K8" s="66" t="str">
        <f ca="1">IFERROR(__xludf.DUMMYFUNCTION("""COMPUTED_VALUE"""),"2018-2022")</f>
        <v>2018-2022</v>
      </c>
      <c r="L8" s="66" t="str">
        <f ca="1">IFERROR(__xludf.DUMMYFUNCTION("""COMPUTED_VALUE"""),"S3: Student Internships")</f>
        <v>S3: Student Internships</v>
      </c>
      <c r="M8" s="66" t="str">
        <f ca="1">IFERROR(__xludf.DUMMYFUNCTION("""COMPUTED_VALUE"""),"joshini747@gmail.com")</f>
        <v>joshini747@gmail.com</v>
      </c>
      <c r="N8" s="66" t="str">
        <f ca="1">IFERROR(__xludf.DUMMYFUNCTION("""COMPUTED_VALUE"""),"SEM-4")</f>
        <v>SEM-4</v>
      </c>
      <c r="O8" s="69"/>
      <c r="P8" s="69"/>
      <c r="Q8" s="69"/>
      <c r="R8" s="69"/>
      <c r="S8" s="69"/>
      <c r="T8" s="69"/>
      <c r="U8" s="69"/>
      <c r="V8" s="69"/>
      <c r="W8" s="69"/>
      <c r="X8" s="69"/>
    </row>
    <row r="9" spans="1:24" ht="33" customHeight="1" x14ac:dyDescent="0.15">
      <c r="A9" s="66" t="str">
        <f ca="1">IFERROR(__xludf.DUMMYFUNCTION("""COMPUTED_VALUE"""),"yashwanth boggarapu")</f>
        <v>yashwanth boggarapu</v>
      </c>
      <c r="B9" s="66" t="str">
        <f ca="1">IFERROR(__xludf.DUMMYFUNCTION("""COMPUTED_VALUE"""),"18331A0517")</f>
        <v>18331A0517</v>
      </c>
      <c r="C9" s="66" t="str">
        <f ca="1">IFERROR(__xludf.DUMMYFUNCTION("""COMPUTED_VALUE"""),"AICTE")</f>
        <v>AICTE</v>
      </c>
      <c r="D9" s="66" t="str">
        <f ca="1">IFERROR(__xludf.DUMMYFUNCTION("""COMPUTED_VALUE"""),"10 Weeks")</f>
        <v>10 Weeks</v>
      </c>
      <c r="E9" s="67">
        <f ca="1">IFERROR(__xludf.DUMMYFUNCTION("""COMPUTED_VALUE"""),44489)</f>
        <v>44489</v>
      </c>
      <c r="F9" s="67">
        <f ca="1">IFERROR(__xludf.DUMMYFUNCTION("""COMPUTED_VALUE"""),44561)</f>
        <v>44561</v>
      </c>
      <c r="G9" s="66" t="str">
        <f ca="1">IFERROR(__xludf.DUMMYFUNCTION("""COMPUTED_VALUE"""),"No")</f>
        <v>No</v>
      </c>
      <c r="H9" s="66" t="str">
        <f ca="1">IFERROR(__xludf.DUMMYFUNCTION("""COMPUTED_VALUE"""),"No")</f>
        <v>No</v>
      </c>
      <c r="I9" s="66">
        <f ca="1">IFERROR(__xludf.DUMMYFUNCTION("""COMPUTED_VALUE"""),0)</f>
        <v>0</v>
      </c>
      <c r="J9" s="68" t="str">
        <f ca="1">IFERROR(__xludf.DUMMYFUNCTION("""COMPUTED_VALUE"""),"https://drive.google.com/open?id=12y2JfnPITi1EgRwDeBbP2weo5du5Dfw_")</f>
        <v>https://drive.google.com/open?id=12y2JfnPITi1EgRwDeBbP2weo5du5Dfw_</v>
      </c>
      <c r="K9" s="66" t="str">
        <f ca="1">IFERROR(__xludf.DUMMYFUNCTION("""COMPUTED_VALUE"""),"2018-2022")</f>
        <v>2018-2022</v>
      </c>
      <c r="L9" s="66" t="str">
        <f ca="1">IFERROR(__xludf.DUMMYFUNCTION("""COMPUTED_VALUE"""),"S3: Student Internships")</f>
        <v>S3: Student Internships</v>
      </c>
      <c r="M9" s="66" t="str">
        <f ca="1">IFERROR(__xludf.DUMMYFUNCTION("""COMPUTED_VALUE"""),"yashwanthboggarapu2000@gmail.com")</f>
        <v>yashwanthboggarapu2000@gmail.com</v>
      </c>
      <c r="N9" s="66" t="str">
        <f ca="1">IFERROR(__xludf.DUMMYFUNCTION("""COMPUTED_VALUE"""),"SEM-7")</f>
        <v>SEM-7</v>
      </c>
      <c r="O9" s="69"/>
      <c r="P9" s="69"/>
      <c r="Q9" s="69"/>
      <c r="R9" s="69"/>
      <c r="S9" s="69"/>
      <c r="T9" s="69"/>
      <c r="U9" s="69"/>
      <c r="V9" s="69"/>
      <c r="W9" s="69"/>
      <c r="X9" s="69"/>
    </row>
    <row r="10" spans="1:24" ht="33" customHeight="1" x14ac:dyDescent="0.15">
      <c r="A10" s="66" t="str">
        <f ca="1">IFERROR(__xludf.DUMMYFUNCTION("""COMPUTED_VALUE"""),"GANTA MOUNIKA")</f>
        <v>GANTA MOUNIKA</v>
      </c>
      <c r="B10" s="66" t="str">
        <f ca="1">IFERROR(__xludf.DUMMYFUNCTION("""COMPUTED_VALUE"""),"18331A0543")</f>
        <v>18331A0543</v>
      </c>
      <c r="C10" s="66" t="str">
        <f ca="1">IFERROR(__xludf.DUMMYFUNCTION("""COMPUTED_VALUE"""),"AICTE")</f>
        <v>AICTE</v>
      </c>
      <c r="D10" s="66" t="str">
        <f ca="1">IFERROR(__xludf.DUMMYFUNCTION("""COMPUTED_VALUE"""),"2 months")</f>
        <v>2 months</v>
      </c>
      <c r="E10" s="67">
        <f ca="1">IFERROR(__xludf.DUMMYFUNCTION("""COMPUTED_VALUE"""),44489)</f>
        <v>44489</v>
      </c>
      <c r="F10" s="67">
        <f ca="1">IFERROR(__xludf.DUMMYFUNCTION("""COMPUTED_VALUE"""),44561)</f>
        <v>44561</v>
      </c>
      <c r="G10" s="66" t="str">
        <f ca="1">IFERROR(__xludf.DUMMYFUNCTION("""COMPUTED_VALUE"""),"No")</f>
        <v>No</v>
      </c>
      <c r="H10" s="66" t="str">
        <f ca="1">IFERROR(__xludf.DUMMYFUNCTION("""COMPUTED_VALUE"""),"No")</f>
        <v>No</v>
      </c>
      <c r="I10" s="66">
        <f ca="1">IFERROR(__xludf.DUMMYFUNCTION("""COMPUTED_VALUE"""),0)</f>
        <v>0</v>
      </c>
      <c r="J10" s="68" t="str">
        <f ca="1">IFERROR(__xludf.DUMMYFUNCTION("""COMPUTED_VALUE"""),"https://drive.google.com/open?id=19o5Qm4OqpYUbu8u3Ot2KY7B0CHQfQKNe")</f>
        <v>https://drive.google.com/open?id=19o5Qm4OqpYUbu8u3Ot2KY7B0CHQfQKNe</v>
      </c>
      <c r="K10" s="66" t="str">
        <f ca="1">IFERROR(__xludf.DUMMYFUNCTION("""COMPUTED_VALUE"""),"2018-2022")</f>
        <v>2018-2022</v>
      </c>
      <c r="L10" s="66" t="str">
        <f ca="1">IFERROR(__xludf.DUMMYFUNCTION("""COMPUTED_VALUE"""),"S3: Student Internships")</f>
        <v>S3: Student Internships</v>
      </c>
      <c r="M10" s="66" t="str">
        <f ca="1">IFERROR(__xludf.DUMMYFUNCTION("""COMPUTED_VALUE"""),"mounikaganta2001@gmail.com")</f>
        <v>mounikaganta2001@gmail.com</v>
      </c>
      <c r="N10" s="66" t="str">
        <f ca="1">IFERROR(__xludf.DUMMYFUNCTION("""COMPUTED_VALUE"""),"SEM-8")</f>
        <v>SEM-8</v>
      </c>
      <c r="O10" s="69"/>
      <c r="P10" s="69"/>
      <c r="Q10" s="69"/>
      <c r="R10" s="69"/>
      <c r="S10" s="69"/>
      <c r="T10" s="69"/>
      <c r="U10" s="69"/>
      <c r="V10" s="69"/>
      <c r="W10" s="69"/>
      <c r="X10" s="69"/>
    </row>
    <row r="11" spans="1:24" ht="33" customHeight="1" x14ac:dyDescent="0.15">
      <c r="A11" s="66" t="str">
        <f ca="1">IFERROR(__xludf.DUMMYFUNCTION("""COMPUTED_VALUE"""),"ganta manoj kumar")</f>
        <v>ganta manoj kumar</v>
      </c>
      <c r="B11" s="66" t="str">
        <f ca="1">IFERROR(__xludf.DUMMYFUNCTION("""COMPUTED_VALUE"""),"18331A0542")</f>
        <v>18331A0542</v>
      </c>
      <c r="C11" s="66" t="str">
        <f ca="1">IFERROR(__xludf.DUMMYFUNCTION("""COMPUTED_VALUE"""),"amazon")</f>
        <v>amazon</v>
      </c>
      <c r="D11" s="66" t="str">
        <f ca="1">IFERROR(__xludf.DUMMYFUNCTION("""COMPUTED_VALUE"""),"3months")</f>
        <v>3months</v>
      </c>
      <c r="E11" s="67">
        <f ca="1">IFERROR(__xludf.DUMMYFUNCTION("""COMPUTED_VALUE"""),44475)</f>
        <v>44475</v>
      </c>
      <c r="F11" s="67">
        <f ca="1">IFERROR(__xludf.DUMMYFUNCTION("""COMPUTED_VALUE"""),44560)</f>
        <v>44560</v>
      </c>
      <c r="G11" s="66" t="str">
        <f ca="1">IFERROR(__xludf.DUMMYFUNCTION("""COMPUTED_VALUE"""),"No")</f>
        <v>No</v>
      </c>
      <c r="H11" s="66" t="str">
        <f ca="1">IFERROR(__xludf.DUMMYFUNCTION("""COMPUTED_VALUE"""),"No")</f>
        <v>No</v>
      </c>
      <c r="I11" s="66">
        <f ca="1">IFERROR(__xludf.DUMMYFUNCTION("""COMPUTED_VALUE"""),0)</f>
        <v>0</v>
      </c>
      <c r="J11" s="68" t="str">
        <f ca="1">IFERROR(__xludf.DUMMYFUNCTION("""COMPUTED_VALUE"""),"https://drive.google.com/open?id=18-E87WQWNLxgSe6O5CdCHwihnb5pegwi")</f>
        <v>https://drive.google.com/open?id=18-E87WQWNLxgSe6O5CdCHwihnb5pegwi</v>
      </c>
      <c r="K11" s="66" t="str">
        <f ca="1">IFERROR(__xludf.DUMMYFUNCTION("""COMPUTED_VALUE"""),"2018-2022")</f>
        <v>2018-2022</v>
      </c>
      <c r="L11" s="66" t="str">
        <f ca="1">IFERROR(__xludf.DUMMYFUNCTION("""COMPUTED_VALUE"""),"S3: Student Internships")</f>
        <v>S3: Student Internships</v>
      </c>
      <c r="M11" s="66" t="str">
        <f ca="1">IFERROR(__xludf.DUMMYFUNCTION("""COMPUTED_VALUE"""),"gmanoj2k08@gmail.com")</f>
        <v>gmanoj2k08@gmail.com</v>
      </c>
      <c r="N11" s="66" t="str">
        <f ca="1">IFERROR(__xludf.DUMMYFUNCTION("""COMPUTED_VALUE"""),"SEM-7")</f>
        <v>SEM-7</v>
      </c>
      <c r="O11" s="69"/>
      <c r="P11" s="69"/>
      <c r="Q11" s="69"/>
      <c r="R11" s="69"/>
      <c r="S11" s="69"/>
      <c r="T11" s="69"/>
      <c r="U11" s="69"/>
      <c r="V11" s="69"/>
      <c r="W11" s="69"/>
      <c r="X11" s="69"/>
    </row>
    <row r="12" spans="1:24" ht="33" customHeight="1" x14ac:dyDescent="0.15">
      <c r="A12" s="66" t="str">
        <f ca="1">IFERROR(__xludf.DUMMYFUNCTION("""COMPUTED_VALUE"""),"Bogapurapu Rahul")</f>
        <v>Bogapurapu Rahul</v>
      </c>
      <c r="B12" s="66" t="str">
        <f ca="1">IFERROR(__xludf.DUMMYFUNCTION("""COMPUTED_VALUE"""),"18331A0516")</f>
        <v>18331A0516</v>
      </c>
      <c r="C12" s="66" t="str">
        <f ca="1">IFERROR(__xludf.DUMMYFUNCTION("""COMPUTED_VALUE"""),"AICTE")</f>
        <v>AICTE</v>
      </c>
      <c r="D12" s="66" t="str">
        <f ca="1">IFERROR(__xludf.DUMMYFUNCTION("""COMPUTED_VALUE"""),"10 Weeks")</f>
        <v>10 Weeks</v>
      </c>
      <c r="E12" s="67">
        <f ca="1">IFERROR(__xludf.DUMMYFUNCTION("""COMPUTED_VALUE"""),44476)</f>
        <v>44476</v>
      </c>
      <c r="F12" s="67">
        <f ca="1">IFERROR(__xludf.DUMMYFUNCTION("""COMPUTED_VALUE"""),44537)</f>
        <v>44537</v>
      </c>
      <c r="G12" s="66" t="str">
        <f ca="1">IFERROR(__xludf.DUMMYFUNCTION("""COMPUTED_VALUE"""),"No")</f>
        <v>No</v>
      </c>
      <c r="H12" s="66" t="str">
        <f ca="1">IFERROR(__xludf.DUMMYFUNCTION("""COMPUTED_VALUE"""),"No")</f>
        <v>No</v>
      </c>
      <c r="I12" s="66">
        <f ca="1">IFERROR(__xludf.DUMMYFUNCTION("""COMPUTED_VALUE"""),0)</f>
        <v>0</v>
      </c>
      <c r="J12" s="68" t="str">
        <f ca="1">IFERROR(__xludf.DUMMYFUNCTION("""COMPUTED_VALUE"""),"https://drive.google.com/open?id=1rz9AnQm86uagR_pAMig6v7gRhPmsjPD5")</f>
        <v>https://drive.google.com/open?id=1rz9AnQm86uagR_pAMig6v7gRhPmsjPD5</v>
      </c>
      <c r="K12" s="66" t="str">
        <f ca="1">IFERROR(__xludf.DUMMYFUNCTION("""COMPUTED_VALUE"""),"2018-2022")</f>
        <v>2018-2022</v>
      </c>
      <c r="L12" s="66" t="str">
        <f ca="1">IFERROR(__xludf.DUMMYFUNCTION("""COMPUTED_VALUE"""),"S3: Student Internships")</f>
        <v>S3: Student Internships</v>
      </c>
      <c r="M12" s="66" t="str">
        <f ca="1">IFERROR(__xludf.DUMMYFUNCTION("""COMPUTED_VALUE"""),"rrahul94772@gmail.com")</f>
        <v>rrahul94772@gmail.com</v>
      </c>
      <c r="N12" s="66" t="str">
        <f ca="1">IFERROR(__xludf.DUMMYFUNCTION("""COMPUTED_VALUE"""),"SEM-8")</f>
        <v>SEM-8</v>
      </c>
      <c r="O12" s="69"/>
      <c r="P12" s="69"/>
      <c r="Q12" s="69"/>
      <c r="R12" s="69"/>
      <c r="S12" s="69"/>
      <c r="T12" s="69"/>
      <c r="U12" s="69"/>
      <c r="V12" s="69"/>
      <c r="W12" s="69"/>
      <c r="X12" s="69"/>
    </row>
    <row r="13" spans="1:24" ht="33" customHeight="1" x14ac:dyDescent="0.15">
      <c r="A13" s="59" t="str">
        <f ca="1">IFERROR(__xludf.DUMMYFUNCTION("""COMPUTED_VALUE"""),"L.Kavya")</f>
        <v>L.Kavya</v>
      </c>
      <c r="B13" s="59" t="str">
        <f ca="1">IFERROR(__xludf.DUMMYFUNCTION("""COMPUTED_VALUE"""),"18331A0585")</f>
        <v>18331A0585</v>
      </c>
      <c r="C13" s="59" t="str">
        <f ca="1">IFERROR(__xludf.DUMMYFUNCTION("""COMPUTED_VALUE"""),"TIP Community ")</f>
        <v xml:space="preserve">TIP Community </v>
      </c>
      <c r="D13" s="59" t="str">
        <f ca="1">IFERROR(__xludf.DUMMYFUNCTION("""COMPUTED_VALUE"""),"1 month")</f>
        <v>1 month</v>
      </c>
      <c r="E13" s="70">
        <f ca="1">IFERROR(__xludf.DUMMYFUNCTION("""COMPUTED_VALUE"""),44505)</f>
        <v>44505</v>
      </c>
      <c r="F13" s="70">
        <f ca="1">IFERROR(__xludf.DUMMYFUNCTION("""COMPUTED_VALUE"""),44537)</f>
        <v>44537</v>
      </c>
      <c r="G13" s="59" t="str">
        <f ca="1">IFERROR(__xludf.DUMMYFUNCTION("""COMPUTED_VALUE"""),"No")</f>
        <v>No</v>
      </c>
      <c r="H13" s="59" t="str">
        <f ca="1">IFERROR(__xludf.DUMMYFUNCTION("""COMPUTED_VALUE"""),"No")</f>
        <v>No</v>
      </c>
      <c r="I13" s="59">
        <f ca="1">IFERROR(__xludf.DUMMYFUNCTION("""COMPUTED_VALUE"""),0)</f>
        <v>0</v>
      </c>
      <c r="J13" s="71" t="str">
        <f ca="1">IFERROR(__xludf.DUMMYFUNCTION("""COMPUTED_VALUE"""),"https://drive.google.com/open?id=1hifjuFihTXKbIiF-5nCra9V0PPc36URt")</f>
        <v>https://drive.google.com/open?id=1hifjuFihTXKbIiF-5nCra9V0PPc36URt</v>
      </c>
      <c r="K13" s="59" t="str">
        <f ca="1">IFERROR(__xludf.DUMMYFUNCTION("""COMPUTED_VALUE"""),"2018-2022")</f>
        <v>2018-2022</v>
      </c>
      <c r="L13" s="59" t="str">
        <f ca="1">IFERROR(__xludf.DUMMYFUNCTION("""COMPUTED_VALUE"""),"S3: Student Internships")</f>
        <v>S3: Student Internships</v>
      </c>
      <c r="M13" s="59" t="str">
        <f ca="1">IFERROR(__xludf.DUMMYFUNCTION("""COMPUTED_VALUE"""),"lakhanapuramkavya@gmail.com")</f>
        <v>lakhanapuramkavya@gmail.com</v>
      </c>
      <c r="N13" s="59" t="str">
        <f ca="1">IFERROR(__xludf.DUMMYFUNCTION("""COMPUTED_VALUE"""),"SEM-8")</f>
        <v>SEM-8</v>
      </c>
      <c r="O13" s="9"/>
      <c r="P13" s="9"/>
      <c r="Q13" s="9"/>
      <c r="R13" s="9"/>
      <c r="S13" s="9"/>
      <c r="T13" s="9"/>
      <c r="U13" s="9"/>
      <c r="V13" s="9"/>
      <c r="W13" s="9"/>
      <c r="X13" s="9"/>
    </row>
    <row r="14" spans="1:24" ht="33" customHeight="1" x14ac:dyDescent="0.15">
      <c r="A14" s="66" t="str">
        <f ca="1">IFERROR(__xludf.DUMMYFUNCTION("""COMPUTED_VALUE"""),"Alluri Vishnu Vardhan Varma ")</f>
        <v xml:space="preserve">Alluri Vishnu Vardhan Varma </v>
      </c>
      <c r="B14" s="66" t="str">
        <f ca="1">IFERROR(__xludf.DUMMYFUNCTION("""COMPUTED_VALUE"""),"18331A0504")</f>
        <v>18331A0504</v>
      </c>
      <c r="C14" s="66" t="str">
        <f ca="1">IFERROR(__xludf.DUMMYFUNCTION("""COMPUTED_VALUE"""),"Capgemini ")</f>
        <v xml:space="preserve">Capgemini </v>
      </c>
      <c r="D14" s="66" t="str">
        <f ca="1">IFERROR(__xludf.DUMMYFUNCTION("""COMPUTED_VALUE"""),"3 months")</f>
        <v>3 months</v>
      </c>
      <c r="E14" s="67">
        <f ca="1">IFERROR(__xludf.DUMMYFUNCTION("""COMPUTED_VALUE"""),44620)</f>
        <v>44620</v>
      </c>
      <c r="F14" s="67">
        <f ca="1">IFERROR(__xludf.DUMMYFUNCTION("""COMPUTED_VALUE"""),44701)</f>
        <v>44701</v>
      </c>
      <c r="G14" s="66" t="str">
        <f ca="1">IFERROR(__xludf.DUMMYFUNCTION("""COMPUTED_VALUE"""),"Yes")</f>
        <v>Yes</v>
      </c>
      <c r="H14" s="66" t="str">
        <f ca="1">IFERROR(__xludf.DUMMYFUNCTION("""COMPUTED_VALUE"""),"No")</f>
        <v>No</v>
      </c>
      <c r="I14" s="66">
        <f ca="1">IFERROR(__xludf.DUMMYFUNCTION("""COMPUTED_VALUE"""),220001)</f>
        <v>220001</v>
      </c>
      <c r="J14" s="68" t="str">
        <f ca="1">IFERROR(__xludf.DUMMYFUNCTION("""COMPUTED_VALUE"""),"https://drive.google.com/open?id=1CeOQ59qmlzNyT1Esv4h5TV6_GBYNxX3G")</f>
        <v>https://drive.google.com/open?id=1CeOQ59qmlzNyT1Esv4h5TV6_GBYNxX3G</v>
      </c>
      <c r="K14" s="66" t="str">
        <f ca="1">IFERROR(__xludf.DUMMYFUNCTION("""COMPUTED_VALUE"""),"2018-2022")</f>
        <v>2018-2022</v>
      </c>
      <c r="L14" s="66" t="str">
        <f ca="1">IFERROR(__xludf.DUMMYFUNCTION("""COMPUTED_VALUE"""),"S3: Student Internships")</f>
        <v>S3: Student Internships</v>
      </c>
      <c r="M14" s="66" t="str">
        <f ca="1">IFERROR(__xludf.DUMMYFUNCTION("""COMPUTED_VALUE"""),"vvvarma2001@gmail.com")</f>
        <v>vvvarma2001@gmail.com</v>
      </c>
      <c r="N14" s="66" t="str">
        <f ca="1">IFERROR(__xludf.DUMMYFUNCTION("""COMPUTED_VALUE"""),"SEM-8")</f>
        <v>SEM-8</v>
      </c>
      <c r="O14" s="69"/>
      <c r="P14" s="69"/>
      <c r="Q14" s="69"/>
      <c r="R14" s="69"/>
      <c r="S14" s="69"/>
      <c r="T14" s="69"/>
      <c r="U14" s="69"/>
      <c r="V14" s="69"/>
      <c r="W14" s="69"/>
      <c r="X14" s="69"/>
    </row>
    <row r="15" spans="1:24" ht="33" customHeight="1" x14ac:dyDescent="0.15">
      <c r="A15" s="66" t="str">
        <f ca="1">IFERROR(__xludf.DUMMYFUNCTION("""COMPUTED_VALUE"""),"Gorle Jayasri ")</f>
        <v xml:space="preserve">Gorle Jayasri </v>
      </c>
      <c r="B15" s="66" t="str">
        <f ca="1">IFERROR(__xludf.DUMMYFUNCTION("""COMPUTED_VALUE"""),"19335A0505")</f>
        <v>19335A0505</v>
      </c>
      <c r="C15" s="66" t="str">
        <f ca="1">IFERROR(__xludf.DUMMYFUNCTION("""COMPUTED_VALUE"""),"AICTE")</f>
        <v>AICTE</v>
      </c>
      <c r="D15" s="66" t="str">
        <f ca="1">IFERROR(__xludf.DUMMYFUNCTION("""COMPUTED_VALUE"""),"2 months")</f>
        <v>2 months</v>
      </c>
      <c r="E15" s="67">
        <f ca="1">IFERROR(__xludf.DUMMYFUNCTION("""COMPUTED_VALUE"""),44470)</f>
        <v>44470</v>
      </c>
      <c r="F15" s="67">
        <f ca="1">IFERROR(__xludf.DUMMYFUNCTION("""COMPUTED_VALUE"""),44537)</f>
        <v>44537</v>
      </c>
      <c r="G15" s="66" t="str">
        <f ca="1">IFERROR(__xludf.DUMMYFUNCTION("""COMPUTED_VALUE"""),"No")</f>
        <v>No</v>
      </c>
      <c r="H15" s="66" t="str">
        <f ca="1">IFERROR(__xludf.DUMMYFUNCTION("""COMPUTED_VALUE"""),"No")</f>
        <v>No</v>
      </c>
      <c r="I15" s="66">
        <f ca="1">IFERROR(__xludf.DUMMYFUNCTION("""COMPUTED_VALUE"""),0)</f>
        <v>0</v>
      </c>
      <c r="J15" s="68" t="str">
        <f ca="1">IFERROR(__xludf.DUMMYFUNCTION("""COMPUTED_VALUE"""),"https://drive.google.com/open?id=1iHQ_OzGdGwvuj_6h5n4_UoHjYIdeFruP")</f>
        <v>https://drive.google.com/open?id=1iHQ_OzGdGwvuj_6h5n4_UoHjYIdeFruP</v>
      </c>
      <c r="K15" s="66" t="str">
        <f ca="1">IFERROR(__xludf.DUMMYFUNCTION("""COMPUTED_VALUE"""),"2018-2022")</f>
        <v>2018-2022</v>
      </c>
      <c r="L15" s="66" t="str">
        <f ca="1">IFERROR(__xludf.DUMMYFUNCTION("""COMPUTED_VALUE"""),"S3: Student Internships")</f>
        <v>S3: Student Internships</v>
      </c>
      <c r="M15" s="66" t="str">
        <f ca="1">IFERROR(__xludf.DUMMYFUNCTION("""COMPUTED_VALUE"""),"gorlejayasri99@gmail.com")</f>
        <v>gorlejayasri99@gmail.com</v>
      </c>
      <c r="N15" s="66" t="str">
        <f ca="1">IFERROR(__xludf.DUMMYFUNCTION("""COMPUTED_VALUE"""),"SEM-7")</f>
        <v>SEM-7</v>
      </c>
      <c r="O15" s="69"/>
      <c r="P15" s="69"/>
      <c r="Q15" s="69"/>
      <c r="R15" s="69"/>
      <c r="S15" s="69"/>
      <c r="T15" s="69"/>
      <c r="U15" s="69"/>
      <c r="V15" s="69"/>
      <c r="W15" s="69"/>
      <c r="X15" s="69"/>
    </row>
    <row r="16" spans="1:24" ht="33" customHeight="1" x14ac:dyDescent="0.15">
      <c r="A16" s="66" t="str">
        <f ca="1">IFERROR(__xludf.DUMMYFUNCTION("""COMPUTED_VALUE"""),"Alluri Vishnu Vardhan Varma ")</f>
        <v xml:space="preserve">Alluri Vishnu Vardhan Varma </v>
      </c>
      <c r="B16" s="66" t="str">
        <f ca="1">IFERROR(__xludf.DUMMYFUNCTION("""COMPUTED_VALUE"""),"18331A0504")</f>
        <v>18331A0504</v>
      </c>
      <c r="C16" s="66" t="str">
        <f ca="1">IFERROR(__xludf.DUMMYFUNCTION("""COMPUTED_VALUE"""),"AWS academy")</f>
        <v>AWS academy</v>
      </c>
      <c r="D16" s="66" t="str">
        <f ca="1">IFERROR(__xludf.DUMMYFUNCTION("""COMPUTED_VALUE"""),"3 months")</f>
        <v>3 months</v>
      </c>
      <c r="E16" s="67">
        <f ca="1">IFERROR(__xludf.DUMMYFUNCTION("""COMPUTED_VALUE"""),44474)</f>
        <v>44474</v>
      </c>
      <c r="F16" s="67">
        <f ca="1">IFERROR(__xludf.DUMMYFUNCTION("""COMPUTED_VALUE"""),44555)</f>
        <v>44555</v>
      </c>
      <c r="G16" s="66" t="str">
        <f ca="1">IFERROR(__xludf.DUMMYFUNCTION("""COMPUTED_VALUE"""),"No")</f>
        <v>No</v>
      </c>
      <c r="H16" s="66" t="str">
        <f ca="1">IFERROR(__xludf.DUMMYFUNCTION("""COMPUTED_VALUE"""),"No")</f>
        <v>No</v>
      </c>
      <c r="I16" s="66">
        <f ca="1">IFERROR(__xludf.DUMMYFUNCTION("""COMPUTED_VALUE"""),0)</f>
        <v>0</v>
      </c>
      <c r="J16" s="68" t="str">
        <f ca="1">IFERROR(__xludf.DUMMYFUNCTION("""COMPUTED_VALUE"""),"https://drive.google.com/open?id=1ziKEhcb8WGR6GcExGyLs1lCuko-zHEY-")</f>
        <v>https://drive.google.com/open?id=1ziKEhcb8WGR6GcExGyLs1lCuko-zHEY-</v>
      </c>
      <c r="K16" s="66" t="str">
        <f ca="1">IFERROR(__xludf.DUMMYFUNCTION("""COMPUTED_VALUE"""),"2018-2022")</f>
        <v>2018-2022</v>
      </c>
      <c r="L16" s="66" t="str">
        <f ca="1">IFERROR(__xludf.DUMMYFUNCTION("""COMPUTED_VALUE"""),"S3: Student Internships")</f>
        <v>S3: Student Internships</v>
      </c>
      <c r="M16" s="66" t="str">
        <f ca="1">IFERROR(__xludf.DUMMYFUNCTION("""COMPUTED_VALUE"""),"vvvarma2001@gmail.com")</f>
        <v>vvvarma2001@gmail.com</v>
      </c>
      <c r="N16" s="66" t="str">
        <f ca="1">IFERROR(__xludf.DUMMYFUNCTION("""COMPUTED_VALUE"""),"SEM-8")</f>
        <v>SEM-8</v>
      </c>
      <c r="O16" s="69"/>
      <c r="P16" s="69"/>
      <c r="Q16" s="69"/>
      <c r="R16" s="69"/>
      <c r="S16" s="69"/>
      <c r="T16" s="69"/>
      <c r="U16" s="69"/>
      <c r="V16" s="69"/>
      <c r="W16" s="69"/>
      <c r="X16" s="69"/>
    </row>
    <row r="17" spans="1:24" ht="33" customHeight="1" x14ac:dyDescent="0.15">
      <c r="A17" s="66" t="str">
        <f ca="1">IFERROR(__xludf.DUMMYFUNCTION("""COMPUTED_VALUE"""),"LATCHUBUKTHA SUTESH")</f>
        <v>LATCHUBUKTHA SUTESH</v>
      </c>
      <c r="B17" s="66" t="str">
        <f ca="1">IFERROR(__xludf.DUMMYFUNCTION("""COMPUTED_VALUE"""),"18331A0588")</f>
        <v>18331A0588</v>
      </c>
      <c r="C17" s="66" t="str">
        <f ca="1">IFERROR(__xludf.DUMMYFUNCTION("""COMPUTED_VALUE"""),"AICTE")</f>
        <v>AICTE</v>
      </c>
      <c r="D17" s="66" t="str">
        <f ca="1">IFERROR(__xludf.DUMMYFUNCTION("""COMPUTED_VALUE"""),"10 weeks")</f>
        <v>10 weeks</v>
      </c>
      <c r="E17" s="67">
        <f ca="1">IFERROR(__xludf.DUMMYFUNCTION("""COMPUTED_VALUE"""),44489)</f>
        <v>44489</v>
      </c>
      <c r="F17" s="67">
        <f ca="1">IFERROR(__xludf.DUMMYFUNCTION("""COMPUTED_VALUE"""),44561)</f>
        <v>44561</v>
      </c>
      <c r="G17" s="66" t="str">
        <f ca="1">IFERROR(__xludf.DUMMYFUNCTION("""COMPUTED_VALUE"""),"No")</f>
        <v>No</v>
      </c>
      <c r="H17" s="66" t="str">
        <f ca="1">IFERROR(__xludf.DUMMYFUNCTION("""COMPUTED_VALUE"""),"No")</f>
        <v>No</v>
      </c>
      <c r="I17" s="66">
        <f ca="1">IFERROR(__xludf.DUMMYFUNCTION("""COMPUTED_VALUE"""),0)</f>
        <v>0</v>
      </c>
      <c r="J17" s="68" t="str">
        <f ca="1">IFERROR(__xludf.DUMMYFUNCTION("""COMPUTED_VALUE"""),"https://drive.google.com/open?id=12iVb3sqWGWkU7FaU42aPFyT_SieeG7QH")</f>
        <v>https://drive.google.com/open?id=12iVb3sqWGWkU7FaU42aPFyT_SieeG7QH</v>
      </c>
      <c r="K17" s="66" t="str">
        <f ca="1">IFERROR(__xludf.DUMMYFUNCTION("""COMPUTED_VALUE"""),"2018-2022")</f>
        <v>2018-2022</v>
      </c>
      <c r="L17" s="66" t="str">
        <f ca="1">IFERROR(__xludf.DUMMYFUNCTION("""COMPUTED_VALUE"""),"S3: Student Internships")</f>
        <v>S3: Student Internships</v>
      </c>
      <c r="M17" s="66" t="str">
        <f ca="1">IFERROR(__xludf.DUMMYFUNCTION("""COMPUTED_VALUE"""),"latchubukthasutesh9@gmail.com")</f>
        <v>latchubukthasutesh9@gmail.com</v>
      </c>
      <c r="N17" s="66" t="str">
        <f ca="1">IFERROR(__xludf.DUMMYFUNCTION("""COMPUTED_VALUE"""),"SEM-7")</f>
        <v>SEM-7</v>
      </c>
      <c r="O17" s="69"/>
      <c r="P17" s="69"/>
      <c r="Q17" s="69"/>
      <c r="R17" s="69"/>
      <c r="S17" s="69"/>
      <c r="T17" s="69"/>
      <c r="U17" s="69"/>
      <c r="V17" s="69"/>
      <c r="W17" s="69"/>
      <c r="X17" s="69"/>
    </row>
    <row r="18" spans="1:24" ht="33" customHeight="1" x14ac:dyDescent="0.15">
      <c r="A18" s="66" t="str">
        <f ca="1">IFERROR(__xludf.DUMMYFUNCTION("""COMPUTED_VALUE"""),"Pooja Madhurima Salapu")</f>
        <v>Pooja Madhurima Salapu</v>
      </c>
      <c r="B18" s="66" t="str">
        <f ca="1">IFERROR(__xludf.DUMMYFUNCTION("""COMPUTED_VALUE"""),"18331A05D5")</f>
        <v>18331A05D5</v>
      </c>
      <c r="C18" s="66" t="str">
        <f ca="1">IFERROR(__xludf.DUMMYFUNCTION("""COMPUTED_VALUE"""),"Swecha AP")</f>
        <v>Swecha AP</v>
      </c>
      <c r="D18" s="66" t="str">
        <f ca="1">IFERROR(__xludf.DUMMYFUNCTION("""COMPUTED_VALUE"""),"1 month")</f>
        <v>1 month</v>
      </c>
      <c r="E18" s="67">
        <f ca="1">IFERROR(__xludf.DUMMYFUNCTION("""COMPUTED_VALUE"""),44338)</f>
        <v>44338</v>
      </c>
      <c r="F18" s="67">
        <f ca="1">IFERROR(__xludf.DUMMYFUNCTION("""COMPUTED_VALUE"""),44732)</f>
        <v>44732</v>
      </c>
      <c r="G18" s="66" t="str">
        <f ca="1">IFERROR(__xludf.DUMMYFUNCTION("""COMPUTED_VALUE"""),"No")</f>
        <v>No</v>
      </c>
      <c r="H18" s="66" t="str">
        <f ca="1">IFERROR(__xludf.DUMMYFUNCTION("""COMPUTED_VALUE"""),"No")</f>
        <v>No</v>
      </c>
      <c r="I18" s="66">
        <f ca="1">IFERROR(__xludf.DUMMYFUNCTION("""COMPUTED_VALUE"""),0)</f>
        <v>0</v>
      </c>
      <c r="J18" s="68" t="str">
        <f ca="1">IFERROR(__xludf.DUMMYFUNCTION("""COMPUTED_VALUE"""),"https://drive.google.com/open?id=1rf12jICt3hys1pme1JN7hTvyeY64jQ6o")</f>
        <v>https://drive.google.com/open?id=1rf12jICt3hys1pme1JN7hTvyeY64jQ6o</v>
      </c>
      <c r="K18" s="66" t="str">
        <f ca="1">IFERROR(__xludf.DUMMYFUNCTION("""COMPUTED_VALUE"""),"2018-2022")</f>
        <v>2018-2022</v>
      </c>
      <c r="L18" s="66" t="str">
        <f ca="1">IFERROR(__xludf.DUMMYFUNCTION("""COMPUTED_VALUE"""),"S3: Student Internships")</f>
        <v>S3: Student Internships</v>
      </c>
      <c r="M18" s="66" t="str">
        <f ca="1">IFERROR(__xludf.DUMMYFUNCTION("""COMPUTED_VALUE"""),"18331a05d5@mvgrce.edu.in")</f>
        <v>18331a05d5@mvgrce.edu.in</v>
      </c>
      <c r="N18" s="66" t="str">
        <f ca="1">IFERROR(__xludf.DUMMYFUNCTION("""COMPUTED_VALUE"""),"SEM-8")</f>
        <v>SEM-8</v>
      </c>
      <c r="O18" s="69"/>
      <c r="P18" s="69"/>
      <c r="Q18" s="69"/>
      <c r="R18" s="69"/>
      <c r="S18" s="69"/>
      <c r="T18" s="69"/>
      <c r="U18" s="69"/>
      <c r="V18" s="69"/>
      <c r="W18" s="69"/>
      <c r="X18" s="69"/>
    </row>
    <row r="19" spans="1:24" ht="33" customHeight="1" x14ac:dyDescent="0.15">
      <c r="A19" s="66" t="str">
        <f ca="1">IFERROR(__xludf.DUMMYFUNCTION("""COMPUTED_VALUE"""),"Pooja Madhurima Salapu")</f>
        <v>Pooja Madhurima Salapu</v>
      </c>
      <c r="B19" s="66" t="str">
        <f ca="1">IFERROR(__xludf.DUMMYFUNCTION("""COMPUTED_VALUE"""),"18331A05D5")</f>
        <v>18331A05D5</v>
      </c>
      <c r="C19" s="66" t="str">
        <f ca="1">IFERROR(__xludf.DUMMYFUNCTION("""COMPUTED_VALUE"""),"Swecha AP")</f>
        <v>Swecha AP</v>
      </c>
      <c r="D19" s="66" t="str">
        <f ca="1">IFERROR(__xludf.DUMMYFUNCTION("""COMPUTED_VALUE"""),"1 month")</f>
        <v>1 month</v>
      </c>
      <c r="E19" s="67">
        <f ca="1">IFERROR(__xludf.DUMMYFUNCTION("""COMPUTED_VALUE"""),44338)</f>
        <v>44338</v>
      </c>
      <c r="F19" s="67">
        <f ca="1">IFERROR(__xludf.DUMMYFUNCTION("""COMPUTED_VALUE"""),44367)</f>
        <v>44367</v>
      </c>
      <c r="G19" s="66" t="str">
        <f ca="1">IFERROR(__xludf.DUMMYFUNCTION("""COMPUTED_VALUE"""),"No")</f>
        <v>No</v>
      </c>
      <c r="H19" s="66" t="str">
        <f ca="1">IFERROR(__xludf.DUMMYFUNCTION("""COMPUTED_VALUE"""),"No")</f>
        <v>No</v>
      </c>
      <c r="I19" s="66">
        <f ca="1">IFERROR(__xludf.DUMMYFUNCTION("""COMPUTED_VALUE"""),0)</f>
        <v>0</v>
      </c>
      <c r="J19" s="68" t="str">
        <f ca="1">IFERROR(__xludf.DUMMYFUNCTION("""COMPUTED_VALUE"""),"https://drive.google.com/open?id=1e6ubDzw6OCuboHa_eyBRGvgpGre_nTHs")</f>
        <v>https://drive.google.com/open?id=1e6ubDzw6OCuboHa_eyBRGvgpGre_nTHs</v>
      </c>
      <c r="K19" s="66" t="str">
        <f ca="1">IFERROR(__xludf.DUMMYFUNCTION("""COMPUTED_VALUE"""),"2018-2022")</f>
        <v>2018-2022</v>
      </c>
      <c r="L19" s="66" t="str">
        <f ca="1">IFERROR(__xludf.DUMMYFUNCTION("""COMPUTED_VALUE"""),"S3: Student Internships")</f>
        <v>S3: Student Internships</v>
      </c>
      <c r="M19" s="66" t="str">
        <f ca="1">IFERROR(__xludf.DUMMYFUNCTION("""COMPUTED_VALUE"""),"poojasalapu@gmail.com")</f>
        <v>poojasalapu@gmail.com</v>
      </c>
      <c r="N19" s="66" t="str">
        <f ca="1">IFERROR(__xludf.DUMMYFUNCTION("""COMPUTED_VALUE"""),"SEM-8")</f>
        <v>SEM-8</v>
      </c>
      <c r="O19" s="69"/>
      <c r="P19" s="69"/>
      <c r="Q19" s="69"/>
      <c r="R19" s="69"/>
      <c r="S19" s="69"/>
      <c r="T19" s="69"/>
      <c r="U19" s="69"/>
      <c r="V19" s="69"/>
      <c r="W19" s="69"/>
      <c r="X19" s="69"/>
    </row>
    <row r="20" spans="1:24" ht="33" customHeight="1" x14ac:dyDescent="0.15">
      <c r="A20" s="66" t="str">
        <f ca="1">IFERROR(__xludf.DUMMYFUNCTION("""COMPUTED_VALUE"""),"Pooja Madhurima Salapu")</f>
        <v>Pooja Madhurima Salapu</v>
      </c>
      <c r="B20" s="66" t="str">
        <f ca="1">IFERROR(__xludf.DUMMYFUNCTION("""COMPUTED_VALUE"""),"18331A05D5")</f>
        <v>18331A05D5</v>
      </c>
      <c r="C20" s="66" t="str">
        <f ca="1">IFERROR(__xludf.DUMMYFUNCTION("""COMPUTED_VALUE"""),"Swecha AP ")</f>
        <v xml:space="preserve">Swecha AP </v>
      </c>
      <c r="D20" s="66" t="str">
        <f ca="1">IFERROR(__xludf.DUMMYFUNCTION("""COMPUTED_VALUE"""),"1 month")</f>
        <v>1 month</v>
      </c>
      <c r="E20" s="67">
        <f ca="1">IFERROR(__xludf.DUMMYFUNCTION("""COMPUTED_VALUE"""),44338)</f>
        <v>44338</v>
      </c>
      <c r="F20" s="67">
        <f ca="1">IFERROR(__xludf.DUMMYFUNCTION("""COMPUTED_VALUE"""),44367)</f>
        <v>44367</v>
      </c>
      <c r="G20" s="66" t="str">
        <f ca="1">IFERROR(__xludf.DUMMYFUNCTION("""COMPUTED_VALUE"""),"No")</f>
        <v>No</v>
      </c>
      <c r="H20" s="66" t="str">
        <f ca="1">IFERROR(__xludf.DUMMYFUNCTION("""COMPUTED_VALUE"""),"No")</f>
        <v>No</v>
      </c>
      <c r="I20" s="66">
        <f ca="1">IFERROR(__xludf.DUMMYFUNCTION("""COMPUTED_VALUE"""),0)</f>
        <v>0</v>
      </c>
      <c r="J20" s="68" t="str">
        <f ca="1">IFERROR(__xludf.DUMMYFUNCTION("""COMPUTED_VALUE"""),"https://drive.google.com/open?id=1nEPbTa1t2UWNNR8RZde4eRKLEX8WqBpZ")</f>
        <v>https://drive.google.com/open?id=1nEPbTa1t2UWNNR8RZde4eRKLEX8WqBpZ</v>
      </c>
      <c r="K20" s="66" t="str">
        <f ca="1">IFERROR(__xludf.DUMMYFUNCTION("""COMPUTED_VALUE"""),"2018-2022")</f>
        <v>2018-2022</v>
      </c>
      <c r="L20" s="66" t="str">
        <f ca="1">IFERROR(__xludf.DUMMYFUNCTION("""COMPUTED_VALUE"""),"S3: Student Internships")</f>
        <v>S3: Student Internships</v>
      </c>
      <c r="M20" s="66" t="str">
        <f ca="1">IFERROR(__xludf.DUMMYFUNCTION("""COMPUTED_VALUE"""),"poojasalapu@gmail.com")</f>
        <v>poojasalapu@gmail.com</v>
      </c>
      <c r="N20" s="66" t="str">
        <f ca="1">IFERROR(__xludf.DUMMYFUNCTION("""COMPUTED_VALUE"""),"SEM-6")</f>
        <v>SEM-6</v>
      </c>
      <c r="O20" s="69"/>
      <c r="P20" s="69"/>
      <c r="Q20" s="69"/>
      <c r="R20" s="69"/>
      <c r="S20" s="69"/>
      <c r="T20" s="69"/>
      <c r="U20" s="69"/>
      <c r="V20" s="69"/>
      <c r="W20" s="69"/>
      <c r="X20" s="69"/>
    </row>
    <row r="21" spans="1:24" ht="33" customHeight="1" x14ac:dyDescent="0.15">
      <c r="A21" s="66" t="str">
        <f ca="1">IFERROR(__xludf.DUMMYFUNCTION("""COMPUTED_VALUE"""),"Pooja Madhurima Salapu")</f>
        <v>Pooja Madhurima Salapu</v>
      </c>
      <c r="B21" s="66" t="str">
        <f ca="1">IFERROR(__xludf.DUMMYFUNCTION("""COMPUTED_VALUE"""),"18331A05D5")</f>
        <v>18331A05D5</v>
      </c>
      <c r="C21" s="66" t="str">
        <f ca="1">IFERROR(__xludf.DUMMYFUNCTION("""COMPUTED_VALUE"""),"Nineleaps")</f>
        <v>Nineleaps</v>
      </c>
      <c r="D21" s="66" t="str">
        <f ca="1">IFERROR(__xludf.DUMMYFUNCTION("""COMPUTED_VALUE"""),"6 months")</f>
        <v>6 months</v>
      </c>
      <c r="E21" s="67">
        <f ca="1">IFERROR(__xludf.DUMMYFUNCTION("""COMPUTED_VALUE"""),44578)</f>
        <v>44578</v>
      </c>
      <c r="F21" s="67">
        <f ca="1">IFERROR(__xludf.DUMMYFUNCTION("""COMPUTED_VALUE"""),44729)</f>
        <v>44729</v>
      </c>
      <c r="G21" s="66" t="str">
        <f ca="1">IFERROR(__xludf.DUMMYFUNCTION("""COMPUTED_VALUE"""),"Yes")</f>
        <v>Yes</v>
      </c>
      <c r="H21" s="66" t="str">
        <f ca="1">IFERROR(__xludf.DUMMYFUNCTION("""COMPUTED_VALUE"""),"No")</f>
        <v>No</v>
      </c>
      <c r="I21" s="66">
        <f ca="1">IFERROR(__xludf.DUMMYFUNCTION("""COMPUTED_VALUE"""),0)</f>
        <v>0</v>
      </c>
      <c r="J21" s="68" t="str">
        <f ca="1">IFERROR(__xludf.DUMMYFUNCTION("""COMPUTED_VALUE"""),"https://drive.google.com/open?id=1hYqGjr9QMT_lw_DWcv9xguMH_Dqhm_0P")</f>
        <v>https://drive.google.com/open?id=1hYqGjr9QMT_lw_DWcv9xguMH_Dqhm_0P</v>
      </c>
      <c r="K21" s="66" t="str">
        <f ca="1">IFERROR(__xludf.DUMMYFUNCTION("""COMPUTED_VALUE"""),"2018-2022")</f>
        <v>2018-2022</v>
      </c>
      <c r="L21" s="66" t="str">
        <f ca="1">IFERROR(__xludf.DUMMYFUNCTION("""COMPUTED_VALUE"""),"S3: Student Internships")</f>
        <v>S3: Student Internships</v>
      </c>
      <c r="M21" s="66" t="str">
        <f ca="1">IFERROR(__xludf.DUMMYFUNCTION("""COMPUTED_VALUE"""),"poojasalapu@gmail.com")</f>
        <v>poojasalapu@gmail.com</v>
      </c>
      <c r="N21" s="66" t="str">
        <f ca="1">IFERROR(__xludf.DUMMYFUNCTION("""COMPUTED_VALUE"""),"SEM-8")</f>
        <v>SEM-8</v>
      </c>
      <c r="O21" s="69"/>
      <c r="P21" s="69"/>
      <c r="Q21" s="69"/>
      <c r="R21" s="69"/>
      <c r="S21" s="69"/>
      <c r="T21" s="69"/>
      <c r="U21" s="69"/>
      <c r="V21" s="69"/>
      <c r="W21" s="69"/>
      <c r="X21" s="69"/>
    </row>
    <row r="22" spans="1:24" ht="33" customHeight="1" x14ac:dyDescent="0.15">
      <c r="A22" s="66" t="str">
        <f ca="1">IFERROR(__xludf.DUMMYFUNCTION("""COMPUTED_VALUE"""),"Pooja Madhurima Salapu")</f>
        <v>Pooja Madhurima Salapu</v>
      </c>
      <c r="B22" s="66" t="str">
        <f ca="1">IFERROR(__xludf.DUMMYFUNCTION("""COMPUTED_VALUE"""),"18331A05D5")</f>
        <v>18331A05D5</v>
      </c>
      <c r="C22" s="66" t="str">
        <f ca="1">IFERROR(__xludf.DUMMYFUNCTION("""COMPUTED_VALUE"""),"AICTE ")</f>
        <v xml:space="preserve">AICTE </v>
      </c>
      <c r="D22" s="66" t="str">
        <f ca="1">IFERROR(__xludf.DUMMYFUNCTION("""COMPUTED_VALUE"""),"1 month")</f>
        <v>1 month</v>
      </c>
      <c r="E22" s="67">
        <f ca="1">IFERROR(__xludf.DUMMYFUNCTION("""COMPUTED_VALUE"""),44470)</f>
        <v>44470</v>
      </c>
      <c r="F22" s="67">
        <f ca="1">IFERROR(__xludf.DUMMYFUNCTION("""COMPUTED_VALUE"""),44531)</f>
        <v>44531</v>
      </c>
      <c r="G22" s="66" t="str">
        <f ca="1">IFERROR(__xludf.DUMMYFUNCTION("""COMPUTED_VALUE"""),"No")</f>
        <v>No</v>
      </c>
      <c r="H22" s="66" t="str">
        <f ca="1">IFERROR(__xludf.DUMMYFUNCTION("""COMPUTED_VALUE"""),"No")</f>
        <v>No</v>
      </c>
      <c r="I22" s="66">
        <f ca="1">IFERROR(__xludf.DUMMYFUNCTION("""COMPUTED_VALUE"""),0)</f>
        <v>0</v>
      </c>
      <c r="J22" s="68" t="str">
        <f ca="1">IFERROR(__xludf.DUMMYFUNCTION("""COMPUTED_VALUE"""),"https://drive.google.com/open?id=1TAH1SbQQA-KZ2zRXCfxGzvrNvcAAWpPd")</f>
        <v>https://drive.google.com/open?id=1TAH1SbQQA-KZ2zRXCfxGzvrNvcAAWpPd</v>
      </c>
      <c r="K22" s="66" t="str">
        <f ca="1">IFERROR(__xludf.DUMMYFUNCTION("""COMPUTED_VALUE"""),"2018-2022")</f>
        <v>2018-2022</v>
      </c>
      <c r="L22" s="66" t="str">
        <f ca="1">IFERROR(__xludf.DUMMYFUNCTION("""COMPUTED_VALUE"""),"S3: Student Internships")</f>
        <v>S3: Student Internships</v>
      </c>
      <c r="M22" s="66" t="str">
        <f ca="1">IFERROR(__xludf.DUMMYFUNCTION("""COMPUTED_VALUE"""),"poojasalapu@gmail.com")</f>
        <v>poojasalapu@gmail.com</v>
      </c>
      <c r="N22" s="66" t="str">
        <f ca="1">IFERROR(__xludf.DUMMYFUNCTION("""COMPUTED_VALUE"""),"SEM-6")</f>
        <v>SEM-6</v>
      </c>
      <c r="O22" s="69"/>
      <c r="P22" s="69"/>
      <c r="Q22" s="69"/>
      <c r="R22" s="69"/>
      <c r="S22" s="69"/>
      <c r="T22" s="69"/>
      <c r="U22" s="69"/>
      <c r="V22" s="69"/>
      <c r="W22" s="69"/>
      <c r="X22" s="69"/>
    </row>
    <row r="23" spans="1:24" ht="33" customHeight="1" x14ac:dyDescent="0.15">
      <c r="A23" s="66" t="str">
        <f ca="1">IFERROR(__xludf.DUMMYFUNCTION("""COMPUTED_VALUE"""),"Datla Vasanth Gopal Raju ")</f>
        <v xml:space="preserve">Datla Vasanth Gopal Raju </v>
      </c>
      <c r="B23" s="66" t="str">
        <f ca="1">IFERROR(__xludf.DUMMYFUNCTION("""COMPUTED_VALUE"""),"18331A05H5")</f>
        <v>18331A05H5</v>
      </c>
      <c r="C23" s="66" t="str">
        <f ca="1">IFERROR(__xludf.DUMMYFUNCTION("""COMPUTED_VALUE"""),"Capgemini ")</f>
        <v xml:space="preserve">Capgemini </v>
      </c>
      <c r="D23" s="66" t="str">
        <f ca="1">IFERROR(__xludf.DUMMYFUNCTION("""COMPUTED_VALUE"""),"82 days")</f>
        <v>82 days</v>
      </c>
      <c r="E23" s="67">
        <f ca="1">IFERROR(__xludf.DUMMYFUNCTION("""COMPUTED_VALUE"""),44621)</f>
        <v>44621</v>
      </c>
      <c r="F23" s="67">
        <f ca="1">IFERROR(__xludf.DUMMYFUNCTION("""COMPUTED_VALUE"""),44687)</f>
        <v>44687</v>
      </c>
      <c r="G23" s="66" t="str">
        <f ca="1">IFERROR(__xludf.DUMMYFUNCTION("""COMPUTED_VALUE"""),"Yes")</f>
        <v>Yes</v>
      </c>
      <c r="H23" s="66" t="str">
        <f ca="1">IFERROR(__xludf.DUMMYFUNCTION("""COMPUTED_VALUE"""),"No")</f>
        <v>No</v>
      </c>
      <c r="I23" s="66">
        <f ca="1">IFERROR(__xludf.DUMMYFUNCTION("""COMPUTED_VALUE"""),0)</f>
        <v>0</v>
      </c>
      <c r="J23" s="68" t="str">
        <f ca="1">IFERROR(__xludf.DUMMYFUNCTION("""COMPUTED_VALUE"""),"https://drive.google.com/open?id=1LuMxZ-WwCiFoEhTdZYsi4aKvomUYNSG1")</f>
        <v>https://drive.google.com/open?id=1LuMxZ-WwCiFoEhTdZYsi4aKvomUYNSG1</v>
      </c>
      <c r="K23" s="66" t="str">
        <f ca="1">IFERROR(__xludf.DUMMYFUNCTION("""COMPUTED_VALUE"""),"2018-2022")</f>
        <v>2018-2022</v>
      </c>
      <c r="L23" s="66" t="str">
        <f ca="1">IFERROR(__xludf.DUMMYFUNCTION("""COMPUTED_VALUE"""),"S3: Student Internships")</f>
        <v>S3: Student Internships</v>
      </c>
      <c r="M23" s="66" t="str">
        <f ca="1">IFERROR(__xludf.DUMMYFUNCTION("""COMPUTED_VALUE"""),"vasanthdatla@gmail.com")</f>
        <v>vasanthdatla@gmail.com</v>
      </c>
      <c r="N23" s="66" t="str">
        <f ca="1">IFERROR(__xludf.DUMMYFUNCTION("""COMPUTED_VALUE"""),"SEM-8")</f>
        <v>SEM-8</v>
      </c>
      <c r="O23" s="69"/>
      <c r="P23" s="69"/>
      <c r="Q23" s="69"/>
      <c r="R23" s="69"/>
      <c r="S23" s="69"/>
      <c r="T23" s="69"/>
      <c r="U23" s="69"/>
      <c r="V23" s="69"/>
      <c r="W23" s="69"/>
      <c r="X23" s="69"/>
    </row>
    <row r="24" spans="1:24" ht="33" customHeight="1" x14ac:dyDescent="0.15">
      <c r="A24" s="66" t="str">
        <f ca="1">IFERROR(__xludf.DUMMYFUNCTION("""COMPUTED_VALUE"""),"Venkata Jaswanth Potnuru")</f>
        <v>Venkata Jaswanth Potnuru</v>
      </c>
      <c r="B24" s="66" t="str">
        <f ca="1">IFERROR(__xludf.DUMMYFUNCTION("""COMPUTED_VALUE"""),"19335A0513")</f>
        <v>19335A0513</v>
      </c>
      <c r="C24" s="66" t="str">
        <f ca="1">IFERROR(__xludf.DUMMYFUNCTION("""COMPUTED_VALUE"""),"TechnoGen")</f>
        <v>TechnoGen</v>
      </c>
      <c r="D24" s="66" t="str">
        <f ca="1">IFERROR(__xludf.DUMMYFUNCTION("""COMPUTED_VALUE"""),"34 Days")</f>
        <v>34 Days</v>
      </c>
      <c r="E24" s="67">
        <f ca="1">IFERROR(__xludf.DUMMYFUNCTION("""COMPUTED_VALUE"""),44467)</f>
        <v>44467</v>
      </c>
      <c r="F24" s="67">
        <f ca="1">IFERROR(__xludf.DUMMYFUNCTION("""COMPUTED_VALUE"""),44501)</f>
        <v>44501</v>
      </c>
      <c r="G24" s="66" t="str">
        <f ca="1">IFERROR(__xludf.DUMMYFUNCTION("""COMPUTED_VALUE"""),"No")</f>
        <v>No</v>
      </c>
      <c r="H24" s="66" t="str">
        <f ca="1">IFERROR(__xludf.DUMMYFUNCTION("""COMPUTED_VALUE"""),"No")</f>
        <v>No</v>
      </c>
      <c r="I24" s="66">
        <f ca="1">IFERROR(__xludf.DUMMYFUNCTION("""COMPUTED_VALUE"""),0)</f>
        <v>0</v>
      </c>
      <c r="J24" s="68" t="str">
        <f ca="1">IFERROR(__xludf.DUMMYFUNCTION("""COMPUTED_VALUE"""),"https://drive.google.com/open?id=1Ypb6w_HDPXntjJUJ4tTBW_VXaSaaBTlB")</f>
        <v>https://drive.google.com/open?id=1Ypb6w_HDPXntjJUJ4tTBW_VXaSaaBTlB</v>
      </c>
      <c r="K24" s="66" t="str">
        <f ca="1">IFERROR(__xludf.DUMMYFUNCTION("""COMPUTED_VALUE"""),"2018-2022")</f>
        <v>2018-2022</v>
      </c>
      <c r="L24" s="66" t="str">
        <f ca="1">IFERROR(__xludf.DUMMYFUNCTION("""COMPUTED_VALUE"""),"S3: Student Internships")</f>
        <v>S3: Student Internships</v>
      </c>
      <c r="M24" s="66" t="str">
        <f ca="1">IFERROR(__xludf.DUMMYFUNCTION("""COMPUTED_VALUE"""),"venkatajaswanth10@gmail.com")</f>
        <v>venkatajaswanth10@gmail.com</v>
      </c>
      <c r="N24" s="66" t="str">
        <f ca="1">IFERROR(__xludf.DUMMYFUNCTION("""COMPUTED_VALUE"""),"SEM-7")</f>
        <v>SEM-7</v>
      </c>
      <c r="O24" s="69"/>
      <c r="P24" s="69"/>
      <c r="Q24" s="69"/>
      <c r="R24" s="69"/>
      <c r="S24" s="69"/>
      <c r="T24" s="69"/>
      <c r="U24" s="69"/>
      <c r="V24" s="69"/>
      <c r="W24" s="69"/>
      <c r="X24" s="69"/>
    </row>
    <row r="25" spans="1:24" ht="33" customHeight="1" x14ac:dyDescent="0.15">
      <c r="A25" s="66" t="str">
        <f ca="1">IFERROR(__xludf.DUMMYFUNCTION("""COMPUTED_VALUE"""),"Sai Sakthi Vamsi Kolli")</f>
        <v>Sai Sakthi Vamsi Kolli</v>
      </c>
      <c r="B25" s="66" t="str">
        <f ca="1">IFERROR(__xludf.DUMMYFUNCTION("""COMPUTED_VALUE"""),"18331A05D1")</f>
        <v>18331A05D1</v>
      </c>
      <c r="C25" s="66" t="str">
        <f ca="1">IFERROR(__xludf.DUMMYFUNCTION("""COMPUTED_VALUE"""),"Wipro")</f>
        <v>Wipro</v>
      </c>
      <c r="D25" s="66" t="str">
        <f ca="1">IFERROR(__xludf.DUMMYFUNCTION("""COMPUTED_VALUE"""),"10 Weeks")</f>
        <v>10 Weeks</v>
      </c>
      <c r="E25" s="67">
        <f ca="1">IFERROR(__xludf.DUMMYFUNCTION("""COMPUTED_VALUE"""),44630)</f>
        <v>44630</v>
      </c>
      <c r="F25" s="67">
        <f ca="1">IFERROR(__xludf.DUMMYFUNCTION("""COMPUTED_VALUE"""),44707)</f>
        <v>44707</v>
      </c>
      <c r="G25" s="66" t="str">
        <f ca="1">IFERROR(__xludf.DUMMYFUNCTION("""COMPUTED_VALUE"""),"No")</f>
        <v>No</v>
      </c>
      <c r="H25" s="66" t="str">
        <f ca="1">IFERROR(__xludf.DUMMYFUNCTION("""COMPUTED_VALUE"""),"No")</f>
        <v>No</v>
      </c>
      <c r="I25" s="66">
        <f ca="1">IFERROR(__xludf.DUMMYFUNCTION("""COMPUTED_VALUE"""),0)</f>
        <v>0</v>
      </c>
      <c r="J25" s="68" t="str">
        <f ca="1">IFERROR(__xludf.DUMMYFUNCTION("""COMPUTED_VALUE"""),"https://drive.google.com/open?id=1_o4CsmjyYrEXDlK98Mo745yDuPAPbOyo")</f>
        <v>https://drive.google.com/open?id=1_o4CsmjyYrEXDlK98Mo745yDuPAPbOyo</v>
      </c>
      <c r="K25" s="66" t="str">
        <f ca="1">IFERROR(__xludf.DUMMYFUNCTION("""COMPUTED_VALUE"""),"2018-2022")</f>
        <v>2018-2022</v>
      </c>
      <c r="L25" s="66" t="str">
        <f ca="1">IFERROR(__xludf.DUMMYFUNCTION("""COMPUTED_VALUE"""),"S3: Student Internships")</f>
        <v>S3: Student Internships</v>
      </c>
      <c r="M25" s="66" t="str">
        <f ca="1">IFERROR(__xludf.DUMMYFUNCTION("""COMPUTED_VALUE"""),"saishaktikolli@gmail.com")</f>
        <v>saishaktikolli@gmail.com</v>
      </c>
      <c r="N25" s="66" t="str">
        <f ca="1">IFERROR(__xludf.DUMMYFUNCTION("""COMPUTED_VALUE"""),"SEM-8")</f>
        <v>SEM-8</v>
      </c>
      <c r="O25" s="69"/>
      <c r="P25" s="69"/>
      <c r="Q25" s="69"/>
      <c r="R25" s="69"/>
      <c r="S25" s="69"/>
      <c r="T25" s="69"/>
      <c r="U25" s="69"/>
      <c r="V25" s="69"/>
      <c r="W25" s="69"/>
      <c r="X25" s="69"/>
    </row>
    <row r="26" spans="1:24" ht="33" customHeight="1" x14ac:dyDescent="0.15">
      <c r="A26" s="66" t="str">
        <f ca="1">IFERROR(__xludf.DUMMYFUNCTION("""COMPUTED_VALUE"""),"Sai Sakthi Vamsi Kolli")</f>
        <v>Sai Sakthi Vamsi Kolli</v>
      </c>
      <c r="B26" s="66" t="str">
        <f ca="1">IFERROR(__xludf.DUMMYFUNCTION("""COMPUTED_VALUE"""),"18331A05D1")</f>
        <v>18331A05D1</v>
      </c>
      <c r="C26" s="66" t="str">
        <f ca="1">IFERROR(__xludf.DUMMYFUNCTION("""COMPUTED_VALUE"""),"Wipro")</f>
        <v>Wipro</v>
      </c>
      <c r="D26" s="66" t="str">
        <f ca="1">IFERROR(__xludf.DUMMYFUNCTION("""COMPUTED_VALUE"""),"10 Weeks")</f>
        <v>10 Weeks</v>
      </c>
      <c r="E26" s="67">
        <f ca="1">IFERROR(__xludf.DUMMYFUNCTION("""COMPUTED_VALUE"""),44630)</f>
        <v>44630</v>
      </c>
      <c r="F26" s="67">
        <f ca="1">IFERROR(__xludf.DUMMYFUNCTION("""COMPUTED_VALUE"""),44707)</f>
        <v>44707</v>
      </c>
      <c r="G26" s="66" t="str">
        <f ca="1">IFERROR(__xludf.DUMMYFUNCTION("""COMPUTED_VALUE"""),"No")</f>
        <v>No</v>
      </c>
      <c r="H26" s="66" t="str">
        <f ca="1">IFERROR(__xludf.DUMMYFUNCTION("""COMPUTED_VALUE"""),"No")</f>
        <v>No</v>
      </c>
      <c r="I26" s="66">
        <f ca="1">IFERROR(__xludf.DUMMYFUNCTION("""COMPUTED_VALUE"""),0)</f>
        <v>0</v>
      </c>
      <c r="J26" s="68" t="str">
        <f ca="1">IFERROR(__xludf.DUMMYFUNCTION("""COMPUTED_VALUE"""),"https://drive.google.com/open?id=1GDwNFQwwbcvfERxsS__5FKPalkASwhN9")</f>
        <v>https://drive.google.com/open?id=1GDwNFQwwbcvfERxsS__5FKPalkASwhN9</v>
      </c>
      <c r="K26" s="66" t="str">
        <f ca="1">IFERROR(__xludf.DUMMYFUNCTION("""COMPUTED_VALUE"""),"2018-2022")</f>
        <v>2018-2022</v>
      </c>
      <c r="L26" s="66" t="str">
        <f ca="1">IFERROR(__xludf.DUMMYFUNCTION("""COMPUTED_VALUE"""),"S3: Student Internships")</f>
        <v>S3: Student Internships</v>
      </c>
      <c r="M26" s="66" t="str">
        <f ca="1">IFERROR(__xludf.DUMMYFUNCTION("""COMPUTED_VALUE"""),"saishaktikolli@gmail.com")</f>
        <v>saishaktikolli@gmail.com</v>
      </c>
      <c r="N26" s="66" t="str">
        <f ca="1">IFERROR(__xludf.DUMMYFUNCTION("""COMPUTED_VALUE"""),"SEM-8")</f>
        <v>SEM-8</v>
      </c>
      <c r="O26" s="69"/>
      <c r="P26" s="69"/>
      <c r="Q26" s="69"/>
      <c r="R26" s="69"/>
      <c r="S26" s="69"/>
      <c r="T26" s="69"/>
      <c r="U26" s="69"/>
      <c r="V26" s="69"/>
      <c r="W26" s="69"/>
      <c r="X26" s="69"/>
    </row>
    <row r="27" spans="1:24" ht="33" customHeight="1" x14ac:dyDescent="0.15">
      <c r="A27" s="66" t="str">
        <f ca="1">IFERROR(__xludf.DUMMYFUNCTION("""COMPUTED_VALUE"""),"chandra mohan ganivada")</f>
        <v>chandra mohan ganivada</v>
      </c>
      <c r="B27" s="66" t="str">
        <f ca="1">IFERROR(__xludf.DUMMYFUNCTION("""COMPUTED_VALUE"""),"18331A0540")</f>
        <v>18331A0540</v>
      </c>
      <c r="C27" s="66" t="str">
        <f ca="1">IFERROR(__xludf.DUMMYFUNCTION("""COMPUTED_VALUE"""),"AICTE")</f>
        <v>AICTE</v>
      </c>
      <c r="D27" s="66" t="str">
        <f ca="1">IFERROR(__xludf.DUMMYFUNCTION("""COMPUTED_VALUE"""),"2 MONTHS")</f>
        <v>2 MONTHS</v>
      </c>
      <c r="E27" s="67">
        <f ca="1">IFERROR(__xludf.DUMMYFUNCTION("""COMPUTED_VALUE"""),44470)</f>
        <v>44470</v>
      </c>
      <c r="F27" s="67">
        <f ca="1">IFERROR(__xludf.DUMMYFUNCTION("""COMPUTED_VALUE"""),44561)</f>
        <v>44561</v>
      </c>
      <c r="G27" s="66" t="str">
        <f ca="1">IFERROR(__xludf.DUMMYFUNCTION("""COMPUTED_VALUE"""),"No")</f>
        <v>No</v>
      </c>
      <c r="H27" s="66" t="str">
        <f ca="1">IFERROR(__xludf.DUMMYFUNCTION("""COMPUTED_VALUE"""),"No")</f>
        <v>No</v>
      </c>
      <c r="I27" s="66"/>
      <c r="J27" s="68" t="str">
        <f ca="1">IFERROR(__xludf.DUMMYFUNCTION("""COMPUTED_VALUE"""),"https://drive.google.com/open?id=1Nr448mqqr1NBrnVWdEOvPsyTfKkRoX6E")</f>
        <v>https://drive.google.com/open?id=1Nr448mqqr1NBrnVWdEOvPsyTfKkRoX6E</v>
      </c>
      <c r="K27" s="66" t="str">
        <f ca="1">IFERROR(__xludf.DUMMYFUNCTION("""COMPUTED_VALUE"""),"2018-2022")</f>
        <v>2018-2022</v>
      </c>
      <c r="L27" s="66" t="str">
        <f ca="1">IFERROR(__xludf.DUMMYFUNCTION("""COMPUTED_VALUE"""),"S3: Student Internships")</f>
        <v>S3: Student Internships</v>
      </c>
      <c r="M27" s="66" t="str">
        <f ca="1">IFERROR(__xludf.DUMMYFUNCTION("""COMPUTED_VALUE"""),"ganivasniz20852@gmail.com")</f>
        <v>ganivasniz20852@gmail.com</v>
      </c>
      <c r="N27" s="66" t="str">
        <f ca="1">IFERROR(__xludf.DUMMYFUNCTION("""COMPUTED_VALUE"""),"SEM-8")</f>
        <v>SEM-8</v>
      </c>
      <c r="O27" s="69"/>
      <c r="P27" s="69"/>
      <c r="Q27" s="69"/>
      <c r="R27" s="69"/>
      <c r="S27" s="69"/>
      <c r="T27" s="69"/>
      <c r="U27" s="69"/>
      <c r="V27" s="69"/>
      <c r="W27" s="69"/>
      <c r="X27" s="69"/>
    </row>
    <row r="28" spans="1:24" ht="33" customHeight="1" x14ac:dyDescent="0.15">
      <c r="A28" s="66" t="str">
        <f ca="1">IFERROR(__xludf.DUMMYFUNCTION("""COMPUTED_VALUE"""),"V Sowdamini")</f>
        <v>V Sowdamini</v>
      </c>
      <c r="B28" s="66" t="str">
        <f ca="1">IFERROR(__xludf.DUMMYFUNCTION("""COMPUTED_VALUE"""),"19335A0517")</f>
        <v>19335A0517</v>
      </c>
      <c r="C28" s="66" t="str">
        <f ca="1">IFERROR(__xludf.DUMMYFUNCTION("""COMPUTED_VALUE"""),"Amazo ")</f>
        <v xml:space="preserve">Amazo </v>
      </c>
      <c r="D28" s="66" t="str">
        <f ca="1">IFERROR(__xludf.DUMMYFUNCTION("""COMPUTED_VALUE"""),"3months")</f>
        <v>3months</v>
      </c>
      <c r="E28" s="67">
        <f ca="1">IFERROR(__xludf.DUMMYFUNCTION("""COMPUTED_VALUE"""),44477)</f>
        <v>44477</v>
      </c>
      <c r="F28" s="67">
        <f ca="1">IFERROR(__xludf.DUMMYFUNCTION("""COMPUTED_VALUE"""),44561)</f>
        <v>44561</v>
      </c>
      <c r="G28" s="66" t="str">
        <f ca="1">IFERROR(__xludf.DUMMYFUNCTION("""COMPUTED_VALUE"""),"No")</f>
        <v>No</v>
      </c>
      <c r="H28" s="66" t="str">
        <f ca="1">IFERROR(__xludf.DUMMYFUNCTION("""COMPUTED_VALUE"""),"No")</f>
        <v>No</v>
      </c>
      <c r="I28" s="66">
        <f ca="1">IFERROR(__xludf.DUMMYFUNCTION("""COMPUTED_VALUE"""),0)</f>
        <v>0</v>
      </c>
      <c r="J28" s="68" t="str">
        <f ca="1">IFERROR(__xludf.DUMMYFUNCTION("""COMPUTED_VALUE"""),"https://drive.google.com/open?id=1wt9s597GXQ644bd2PXLfHEfaSSeztFVo")</f>
        <v>https://drive.google.com/open?id=1wt9s597GXQ644bd2PXLfHEfaSSeztFVo</v>
      </c>
      <c r="K28" s="66" t="str">
        <f ca="1">IFERROR(__xludf.DUMMYFUNCTION("""COMPUTED_VALUE"""),"2018-2022")</f>
        <v>2018-2022</v>
      </c>
      <c r="L28" s="66" t="str">
        <f ca="1">IFERROR(__xludf.DUMMYFUNCTION("""COMPUTED_VALUE"""),"S3: Student Internships")</f>
        <v>S3: Student Internships</v>
      </c>
      <c r="M28" s="66" t="str">
        <f ca="1">IFERROR(__xludf.DUMMYFUNCTION("""COMPUTED_VALUE"""),"sowdaminivanamali5931@gmail.com")</f>
        <v>sowdaminivanamali5931@gmail.com</v>
      </c>
      <c r="N28" s="66" t="str">
        <f ca="1">IFERROR(__xludf.DUMMYFUNCTION("""COMPUTED_VALUE"""),"SEM-7")</f>
        <v>SEM-7</v>
      </c>
      <c r="O28" s="69"/>
      <c r="P28" s="69"/>
      <c r="Q28" s="69"/>
      <c r="R28" s="69"/>
      <c r="S28" s="69"/>
      <c r="T28" s="69"/>
      <c r="U28" s="69"/>
      <c r="V28" s="69"/>
      <c r="W28" s="69"/>
      <c r="X28" s="69"/>
    </row>
    <row r="29" spans="1:24" ht="33" customHeight="1" x14ac:dyDescent="0.15">
      <c r="A29" s="66" t="str">
        <f ca="1">IFERROR(__xludf.DUMMYFUNCTION("""COMPUTED_VALUE"""),"syed ali zulfekar")</f>
        <v>syed ali zulfekar</v>
      </c>
      <c r="B29" s="66" t="str">
        <f ca="1">IFERROR(__xludf.DUMMYFUNCTION("""COMPUTED_VALUE"""),"18331A05E9")</f>
        <v>18331A05E9</v>
      </c>
      <c r="C29" s="66" t="str">
        <f ca="1">IFERROR(__xludf.DUMMYFUNCTION("""COMPUTED_VALUE"""),"aicte")</f>
        <v>aicte</v>
      </c>
      <c r="D29" s="66" t="str">
        <f ca="1">IFERROR(__xludf.DUMMYFUNCTION("""COMPUTED_VALUE"""),"2 months")</f>
        <v>2 months</v>
      </c>
      <c r="E29" s="67">
        <f ca="1">IFERROR(__xludf.DUMMYFUNCTION("""COMPUTED_VALUE"""),44490)</f>
        <v>44490</v>
      </c>
      <c r="F29" s="67">
        <f ca="1">IFERROR(__xludf.DUMMYFUNCTION("""COMPUTED_VALUE"""),44551)</f>
        <v>44551</v>
      </c>
      <c r="G29" s="66" t="str">
        <f ca="1">IFERROR(__xludf.DUMMYFUNCTION("""COMPUTED_VALUE"""),"No")</f>
        <v>No</v>
      </c>
      <c r="H29" s="66" t="str">
        <f ca="1">IFERROR(__xludf.DUMMYFUNCTION("""COMPUTED_VALUE"""),"No")</f>
        <v>No</v>
      </c>
      <c r="I29" s="66">
        <f ca="1">IFERROR(__xludf.DUMMYFUNCTION("""COMPUTED_VALUE"""),0)</f>
        <v>0</v>
      </c>
      <c r="J29" s="68" t="str">
        <f ca="1">IFERROR(__xludf.DUMMYFUNCTION("""COMPUTED_VALUE"""),"https://drive.google.com/open?id=1f0LvrIQaf3gHFF_9bh-qodDIZzGE6k5J")</f>
        <v>https://drive.google.com/open?id=1f0LvrIQaf3gHFF_9bh-qodDIZzGE6k5J</v>
      </c>
      <c r="K29" s="66" t="str">
        <f ca="1">IFERROR(__xludf.DUMMYFUNCTION("""COMPUTED_VALUE"""),"2018-2022")</f>
        <v>2018-2022</v>
      </c>
      <c r="L29" s="66" t="str">
        <f ca="1">IFERROR(__xludf.DUMMYFUNCTION("""COMPUTED_VALUE"""),"S3: Student Internships")</f>
        <v>S3: Student Internships</v>
      </c>
      <c r="M29" s="66" t="str">
        <f ca="1">IFERROR(__xludf.DUMMYFUNCTION("""COMPUTED_VALUE"""),"tillu812@gmail.com")</f>
        <v>tillu812@gmail.com</v>
      </c>
      <c r="N29" s="66" t="str">
        <f ca="1">IFERROR(__xludf.DUMMYFUNCTION("""COMPUTED_VALUE"""),"SEM-8")</f>
        <v>SEM-8</v>
      </c>
      <c r="O29" s="69"/>
      <c r="P29" s="69"/>
      <c r="Q29" s="69"/>
      <c r="R29" s="69"/>
      <c r="S29" s="69"/>
      <c r="T29" s="69"/>
      <c r="U29" s="69"/>
      <c r="V29" s="69"/>
      <c r="W29" s="69"/>
      <c r="X29" s="69"/>
    </row>
    <row r="30" spans="1:24" ht="33" customHeight="1" x14ac:dyDescent="0.15">
      <c r="A30" s="66" t="str">
        <f ca="1">IFERROR(__xludf.DUMMYFUNCTION("""COMPUTED_VALUE"""),"Yasaswi Dendukuri ")</f>
        <v xml:space="preserve">Yasaswi Dendukuri </v>
      </c>
      <c r="B30" s="66" t="str">
        <f ca="1">IFERROR(__xludf.DUMMYFUNCTION("""COMPUTED_VALUE"""),"18331A0531")</f>
        <v>18331A0531</v>
      </c>
      <c r="C30" s="66" t="str">
        <f ca="1">IFERROR(__xludf.DUMMYFUNCTION("""COMPUTED_VALUE"""),"AWS academy ")</f>
        <v xml:space="preserve">AWS academy </v>
      </c>
      <c r="D30" s="66" t="str">
        <f ca="1">IFERROR(__xludf.DUMMYFUNCTION("""COMPUTED_VALUE"""),"10 weeks")</f>
        <v>10 weeks</v>
      </c>
      <c r="E30" s="67">
        <f ca="1">IFERROR(__xludf.DUMMYFUNCTION("""COMPUTED_VALUE"""),44484)</f>
        <v>44484</v>
      </c>
      <c r="F30" s="67">
        <f ca="1">IFERROR(__xludf.DUMMYFUNCTION("""COMPUTED_VALUE"""),44554)</f>
        <v>44554</v>
      </c>
      <c r="G30" s="66" t="str">
        <f ca="1">IFERROR(__xludf.DUMMYFUNCTION("""COMPUTED_VALUE"""),"No")</f>
        <v>No</v>
      </c>
      <c r="H30" s="66" t="str">
        <f ca="1">IFERROR(__xludf.DUMMYFUNCTION("""COMPUTED_VALUE"""),"No")</f>
        <v>No</v>
      </c>
      <c r="I30" s="66">
        <f ca="1">IFERROR(__xludf.DUMMYFUNCTION("""COMPUTED_VALUE"""),0)</f>
        <v>0</v>
      </c>
      <c r="J30" s="68" t="str">
        <f ca="1">IFERROR(__xludf.DUMMYFUNCTION("""COMPUTED_VALUE"""),"https://drive.google.com/open?id=1KSJLjeKsDdThgf6G9SNIh-_WIZEN-1Be")</f>
        <v>https://drive.google.com/open?id=1KSJLjeKsDdThgf6G9SNIh-_WIZEN-1Be</v>
      </c>
      <c r="K30" s="66" t="str">
        <f ca="1">IFERROR(__xludf.DUMMYFUNCTION("""COMPUTED_VALUE"""),"2018-2022")</f>
        <v>2018-2022</v>
      </c>
      <c r="L30" s="66" t="str">
        <f ca="1">IFERROR(__xludf.DUMMYFUNCTION("""COMPUTED_VALUE"""),"S3: Student Internships")</f>
        <v>S3: Student Internships</v>
      </c>
      <c r="M30" s="66" t="str">
        <f ca="1">IFERROR(__xludf.DUMMYFUNCTION("""COMPUTED_VALUE"""),"dendukuri.16@gmail.com")</f>
        <v>dendukuri.16@gmail.com</v>
      </c>
      <c r="N30" s="66" t="str">
        <f ca="1">IFERROR(__xludf.DUMMYFUNCTION("""COMPUTED_VALUE"""),"SEM-8")</f>
        <v>SEM-8</v>
      </c>
      <c r="O30" s="69"/>
      <c r="P30" s="69"/>
      <c r="Q30" s="69"/>
      <c r="R30" s="69"/>
      <c r="S30" s="69"/>
      <c r="T30" s="69"/>
      <c r="U30" s="69"/>
      <c r="V30" s="69"/>
      <c r="W30" s="69"/>
      <c r="X30" s="69"/>
    </row>
    <row r="31" spans="1:24" ht="33" customHeight="1" x14ac:dyDescent="0.15">
      <c r="A31" s="66" t="str">
        <f ca="1">IFERROR(__xludf.DUMMYFUNCTION("""COMPUTED_VALUE"""),"sruthi")</f>
        <v>sruthi</v>
      </c>
      <c r="B31" s="66" t="str">
        <f ca="1">IFERROR(__xludf.DUMMYFUNCTION("""COMPUTED_VALUE"""),"18331A05C5")</f>
        <v>18331A05C5</v>
      </c>
      <c r="C31" s="66" t="str">
        <f ca="1">IFERROR(__xludf.DUMMYFUNCTION("""COMPUTED_VALUE"""),"AWS")</f>
        <v>AWS</v>
      </c>
      <c r="D31" s="66" t="str">
        <f ca="1">IFERROR(__xludf.DUMMYFUNCTION("""COMPUTED_VALUE"""),"10WEEKS")</f>
        <v>10WEEKS</v>
      </c>
      <c r="E31" s="67">
        <f ca="1">IFERROR(__xludf.DUMMYFUNCTION("""COMPUTED_VALUE"""),44481)</f>
        <v>44481</v>
      </c>
      <c r="F31" s="67">
        <f ca="1">IFERROR(__xludf.DUMMYFUNCTION("""COMPUTED_VALUE"""),44542)</f>
        <v>44542</v>
      </c>
      <c r="G31" s="66" t="str">
        <f ca="1">IFERROR(__xludf.DUMMYFUNCTION("""COMPUTED_VALUE"""),"No")</f>
        <v>No</v>
      </c>
      <c r="H31" s="66" t="str">
        <f ca="1">IFERROR(__xludf.DUMMYFUNCTION("""COMPUTED_VALUE"""),"No")</f>
        <v>No</v>
      </c>
      <c r="I31" s="66">
        <f ca="1">IFERROR(__xludf.DUMMYFUNCTION("""COMPUTED_VALUE"""),0)</f>
        <v>0</v>
      </c>
      <c r="J31" s="68" t="str">
        <f ca="1">IFERROR(__xludf.DUMMYFUNCTION("""COMPUTED_VALUE"""),"https://drive.google.com/open?id=1kghyJdNeldS3J2SiTzRELjTjV3CbYhOw")</f>
        <v>https://drive.google.com/open?id=1kghyJdNeldS3J2SiTzRELjTjV3CbYhOw</v>
      </c>
      <c r="K31" s="66" t="str">
        <f ca="1">IFERROR(__xludf.DUMMYFUNCTION("""COMPUTED_VALUE"""),"2018-2022")</f>
        <v>2018-2022</v>
      </c>
      <c r="L31" s="66" t="str">
        <f ca="1">IFERROR(__xludf.DUMMYFUNCTION("""COMPUTED_VALUE"""),"S3: Student Internships")</f>
        <v>S3: Student Internships</v>
      </c>
      <c r="M31" s="66" t="str">
        <f ca="1">IFERROR(__xludf.DUMMYFUNCTION("""COMPUTED_VALUE"""),"sruthirokalla369@gmail.com")</f>
        <v>sruthirokalla369@gmail.com</v>
      </c>
      <c r="N31" s="66" t="str">
        <f ca="1">IFERROR(__xludf.DUMMYFUNCTION("""COMPUTED_VALUE"""),"SEM-8")</f>
        <v>SEM-8</v>
      </c>
      <c r="O31" s="69"/>
      <c r="P31" s="69"/>
      <c r="Q31" s="69"/>
      <c r="R31" s="69"/>
      <c r="S31" s="69"/>
      <c r="T31" s="69"/>
      <c r="U31" s="69"/>
      <c r="V31" s="69"/>
      <c r="W31" s="69"/>
      <c r="X31" s="69"/>
    </row>
    <row r="32" spans="1:24" ht="33" customHeight="1" x14ac:dyDescent="0.15">
      <c r="A32" s="66" t="str">
        <f ca="1">IFERROR(__xludf.DUMMYFUNCTION("""COMPUTED_VALUE"""),"MUKHEE JYOTHSNA")</f>
        <v>MUKHEE JYOTHSNA</v>
      </c>
      <c r="B32" s="66" t="str">
        <f ca="1">IFERROR(__xludf.DUMMYFUNCTION("""COMPUTED_VALUE"""),"18331A05A2")</f>
        <v>18331A05A2</v>
      </c>
      <c r="C32" s="66" t="str">
        <f ca="1">IFERROR(__xludf.DUMMYFUNCTION("""COMPUTED_VALUE"""),"AWS AICTE")</f>
        <v>AWS AICTE</v>
      </c>
      <c r="D32" s="66" t="str">
        <f ca="1">IFERROR(__xludf.DUMMYFUNCTION("""COMPUTED_VALUE"""),"2 months")</f>
        <v>2 months</v>
      </c>
      <c r="E32" s="67">
        <f ca="1">IFERROR(__xludf.DUMMYFUNCTION("""COMPUTED_VALUE"""),44477)</f>
        <v>44477</v>
      </c>
      <c r="F32" s="67">
        <f ca="1">IFERROR(__xludf.DUMMYFUNCTION("""COMPUTED_VALUE"""),44544)</f>
        <v>44544</v>
      </c>
      <c r="G32" s="66" t="str">
        <f ca="1">IFERROR(__xludf.DUMMYFUNCTION("""COMPUTED_VALUE"""),"No")</f>
        <v>No</v>
      </c>
      <c r="H32" s="66" t="str">
        <f ca="1">IFERROR(__xludf.DUMMYFUNCTION("""COMPUTED_VALUE"""),"No")</f>
        <v>No</v>
      </c>
      <c r="I32" s="66">
        <f ca="1">IFERROR(__xludf.DUMMYFUNCTION("""COMPUTED_VALUE"""),0)</f>
        <v>0</v>
      </c>
      <c r="J32" s="68" t="str">
        <f ca="1">IFERROR(__xludf.DUMMYFUNCTION("""COMPUTED_VALUE"""),"https://drive.google.com/open?id=1rH9_Xv4bqvDtpQ9t64MpU_vTDvA5hrFu")</f>
        <v>https://drive.google.com/open?id=1rH9_Xv4bqvDtpQ9t64MpU_vTDvA5hrFu</v>
      </c>
      <c r="K32" s="66" t="str">
        <f ca="1">IFERROR(__xludf.DUMMYFUNCTION("""COMPUTED_VALUE"""),"2018-2022")</f>
        <v>2018-2022</v>
      </c>
      <c r="L32" s="66" t="str">
        <f ca="1">IFERROR(__xludf.DUMMYFUNCTION("""COMPUTED_VALUE"""),"S3: Student Internships")</f>
        <v>S3: Student Internships</v>
      </c>
      <c r="M32" s="66" t="str">
        <f ca="1">IFERROR(__xludf.DUMMYFUNCTION("""COMPUTED_VALUE"""),"jyothsnamukhee03@gmail.com")</f>
        <v>jyothsnamukhee03@gmail.com</v>
      </c>
      <c r="N32" s="66" t="str">
        <f ca="1">IFERROR(__xludf.DUMMYFUNCTION("""COMPUTED_VALUE"""),"SEM-8")</f>
        <v>SEM-8</v>
      </c>
      <c r="O32" s="69"/>
      <c r="P32" s="69"/>
      <c r="Q32" s="69"/>
      <c r="R32" s="69"/>
      <c r="S32" s="69"/>
      <c r="T32" s="69"/>
      <c r="U32" s="69"/>
      <c r="V32" s="69"/>
      <c r="W32" s="69"/>
      <c r="X32" s="69"/>
    </row>
    <row r="33" spans="1:24" ht="33" customHeight="1" x14ac:dyDescent="0.15">
      <c r="A33" s="66" t="str">
        <f ca="1">IFERROR(__xludf.DUMMYFUNCTION("""COMPUTED_VALUE"""),"Venkata Jaswanth Potnuru")</f>
        <v>Venkata Jaswanth Potnuru</v>
      </c>
      <c r="B33" s="66" t="str">
        <f ca="1">IFERROR(__xludf.DUMMYFUNCTION("""COMPUTED_VALUE"""),"19335A0513")</f>
        <v>19335A0513</v>
      </c>
      <c r="C33" s="66" t="str">
        <f ca="1">IFERROR(__xludf.DUMMYFUNCTION("""COMPUTED_VALUE"""),"AWS AICTE")</f>
        <v>AWS AICTE</v>
      </c>
      <c r="D33" s="66" t="str">
        <f ca="1">IFERROR(__xludf.DUMMYFUNCTION("""COMPUTED_VALUE"""),"2 Months")</f>
        <v>2 Months</v>
      </c>
      <c r="E33" s="67">
        <f ca="1">IFERROR(__xludf.DUMMYFUNCTION("""COMPUTED_VALUE"""),44477)</f>
        <v>44477</v>
      </c>
      <c r="F33" s="67">
        <f ca="1">IFERROR(__xludf.DUMMYFUNCTION("""COMPUTED_VALUE"""),44544)</f>
        <v>44544</v>
      </c>
      <c r="G33" s="66" t="str">
        <f ca="1">IFERROR(__xludf.DUMMYFUNCTION("""COMPUTED_VALUE"""),"No")</f>
        <v>No</v>
      </c>
      <c r="H33" s="66" t="str">
        <f ca="1">IFERROR(__xludf.DUMMYFUNCTION("""COMPUTED_VALUE"""),"No")</f>
        <v>No</v>
      </c>
      <c r="I33" s="66">
        <f ca="1">IFERROR(__xludf.DUMMYFUNCTION("""COMPUTED_VALUE"""),0)</f>
        <v>0</v>
      </c>
      <c r="J33" s="68" t="str">
        <f ca="1">IFERROR(__xludf.DUMMYFUNCTION("""COMPUTED_VALUE"""),"https://drive.google.com/open?id=1Q2FKudakYyie6V-kEbVzxtvuNVTgPpRj")</f>
        <v>https://drive.google.com/open?id=1Q2FKudakYyie6V-kEbVzxtvuNVTgPpRj</v>
      </c>
      <c r="K33" s="66" t="str">
        <f ca="1">IFERROR(__xludf.DUMMYFUNCTION("""COMPUTED_VALUE"""),"2018-2022")</f>
        <v>2018-2022</v>
      </c>
      <c r="L33" s="66" t="str">
        <f ca="1">IFERROR(__xludf.DUMMYFUNCTION("""COMPUTED_VALUE"""),"S3: Student Internships")</f>
        <v>S3: Student Internships</v>
      </c>
      <c r="M33" s="66" t="str">
        <f ca="1">IFERROR(__xludf.DUMMYFUNCTION("""COMPUTED_VALUE"""),"venkatajaswanth10@gmail.com")</f>
        <v>venkatajaswanth10@gmail.com</v>
      </c>
      <c r="N33" s="66" t="str">
        <f ca="1">IFERROR(__xludf.DUMMYFUNCTION("""COMPUTED_VALUE"""),"SEM-7")</f>
        <v>SEM-7</v>
      </c>
      <c r="O33" s="69"/>
      <c r="P33" s="69"/>
      <c r="Q33" s="69"/>
      <c r="R33" s="69"/>
      <c r="S33" s="69"/>
      <c r="T33" s="69"/>
      <c r="U33" s="69"/>
      <c r="V33" s="69"/>
      <c r="W33" s="69"/>
      <c r="X33" s="69"/>
    </row>
    <row r="34" spans="1:24" ht="33" customHeight="1" x14ac:dyDescent="0.15">
      <c r="A34" s="66" t="str">
        <f ca="1">IFERROR(__xludf.DUMMYFUNCTION("""COMPUTED_VALUE"""),"sruthi ")</f>
        <v xml:space="preserve">sruthi </v>
      </c>
      <c r="B34" s="66" t="str">
        <f ca="1">IFERROR(__xludf.DUMMYFUNCTION("""COMPUTED_VALUE"""),"18331A05C5")</f>
        <v>18331A05C5</v>
      </c>
      <c r="C34" s="66" t="str">
        <f ca="1">IFERROR(__xludf.DUMMYFUNCTION("""COMPUTED_VALUE"""),"KOSMOS")</f>
        <v>KOSMOS</v>
      </c>
      <c r="D34" s="66" t="str">
        <f ca="1">IFERROR(__xludf.DUMMYFUNCTION("""COMPUTED_VALUE"""),"3MONTHS")</f>
        <v>3MONTHS</v>
      </c>
      <c r="E34" s="67">
        <f ca="1">IFERROR(__xludf.DUMMYFUNCTION("""COMPUTED_VALUE"""),44112)</f>
        <v>44112</v>
      </c>
      <c r="F34" s="67">
        <f ca="1">IFERROR(__xludf.DUMMYFUNCTION("""COMPUTED_VALUE"""),44170)</f>
        <v>44170</v>
      </c>
      <c r="G34" s="66" t="str">
        <f ca="1">IFERROR(__xludf.DUMMYFUNCTION("""COMPUTED_VALUE"""),"No")</f>
        <v>No</v>
      </c>
      <c r="H34" s="66" t="str">
        <f ca="1">IFERROR(__xludf.DUMMYFUNCTION("""COMPUTED_VALUE"""),"No")</f>
        <v>No</v>
      </c>
      <c r="I34" s="66">
        <f ca="1">IFERROR(__xludf.DUMMYFUNCTION("""COMPUTED_VALUE"""),0)</f>
        <v>0</v>
      </c>
      <c r="J34" s="68" t="str">
        <f ca="1">IFERROR(__xludf.DUMMYFUNCTION("""COMPUTED_VALUE"""),"https://drive.google.com/open?id=1o80YrSS6nw-p4ji1xpt0DwyY0GaDNIcM")</f>
        <v>https://drive.google.com/open?id=1o80YrSS6nw-p4ji1xpt0DwyY0GaDNIcM</v>
      </c>
      <c r="K34" s="66" t="str">
        <f ca="1">IFERROR(__xludf.DUMMYFUNCTION("""COMPUTED_VALUE"""),"2018-2022")</f>
        <v>2018-2022</v>
      </c>
      <c r="L34" s="66" t="str">
        <f ca="1">IFERROR(__xludf.DUMMYFUNCTION("""COMPUTED_VALUE"""),"S3: Student Internships")</f>
        <v>S3: Student Internships</v>
      </c>
      <c r="M34" s="66" t="str">
        <f ca="1">IFERROR(__xludf.DUMMYFUNCTION("""COMPUTED_VALUE"""),"sruthirokalla369@gmail.com")</f>
        <v>sruthirokalla369@gmail.com</v>
      </c>
      <c r="N34" s="66" t="str">
        <f ca="1">IFERROR(__xludf.DUMMYFUNCTION("""COMPUTED_VALUE"""),"SEM-8")</f>
        <v>SEM-8</v>
      </c>
      <c r="O34" s="69"/>
      <c r="P34" s="69"/>
      <c r="Q34" s="69"/>
      <c r="R34" s="69"/>
      <c r="S34" s="69"/>
      <c r="T34" s="69"/>
      <c r="U34" s="69"/>
      <c r="V34" s="69"/>
      <c r="W34" s="69"/>
      <c r="X34" s="69"/>
    </row>
    <row r="35" spans="1:24" ht="33" customHeight="1" x14ac:dyDescent="0.15">
      <c r="A35" s="66" t="str">
        <f ca="1">IFERROR(__xludf.DUMMYFUNCTION("""COMPUTED_VALUE"""),"VUGGINA VEERA VENKATA SATYA VARAHA AYYAPPA")</f>
        <v>VUGGINA VEERA VENKATA SATYA VARAHA AYYAPPA</v>
      </c>
      <c r="B35" s="66" t="str">
        <f ca="1">IFERROR(__xludf.DUMMYFUNCTION("""COMPUTED_VALUE"""),"19335A0518")</f>
        <v>19335A0518</v>
      </c>
      <c r="C35" s="66" t="str">
        <f ca="1">IFERROR(__xludf.DUMMYFUNCTION("""COMPUTED_VALUE"""),"AICTE ")</f>
        <v xml:space="preserve">AICTE </v>
      </c>
      <c r="D35" s="66" t="str">
        <f ca="1">IFERROR(__xludf.DUMMYFUNCTION("""COMPUTED_VALUE"""),"2 monthS")</f>
        <v>2 monthS</v>
      </c>
      <c r="E35" s="67">
        <f ca="1">IFERROR(__xludf.DUMMYFUNCTION("""COMPUTED_VALUE"""),44470)</f>
        <v>44470</v>
      </c>
      <c r="F35" s="67">
        <f ca="1">IFERROR(__xludf.DUMMYFUNCTION("""COMPUTED_VALUE"""),44560)</f>
        <v>44560</v>
      </c>
      <c r="G35" s="66" t="str">
        <f ca="1">IFERROR(__xludf.DUMMYFUNCTION("""COMPUTED_VALUE"""),"No")</f>
        <v>No</v>
      </c>
      <c r="H35" s="66" t="str">
        <f ca="1">IFERROR(__xludf.DUMMYFUNCTION("""COMPUTED_VALUE"""),"No")</f>
        <v>No</v>
      </c>
      <c r="I35" s="66">
        <f ca="1">IFERROR(__xludf.DUMMYFUNCTION("""COMPUTED_VALUE"""),0)</f>
        <v>0</v>
      </c>
      <c r="J35" s="68" t="str">
        <f ca="1">IFERROR(__xludf.DUMMYFUNCTION("""COMPUTED_VALUE"""),"https://drive.google.com/open?id=1sBRIOvnXlhUEOwhmWjBi2OIKVVyG4RDh")</f>
        <v>https://drive.google.com/open?id=1sBRIOvnXlhUEOwhmWjBi2OIKVVyG4RDh</v>
      </c>
      <c r="K35" s="66" t="str">
        <f ca="1">IFERROR(__xludf.DUMMYFUNCTION("""COMPUTED_VALUE"""),"2018-2022")</f>
        <v>2018-2022</v>
      </c>
      <c r="L35" s="66" t="str">
        <f ca="1">IFERROR(__xludf.DUMMYFUNCTION("""COMPUTED_VALUE"""),"S3: Student Internships")</f>
        <v>S3: Student Internships</v>
      </c>
      <c r="M35" s="66" t="str">
        <f ca="1">IFERROR(__xludf.DUMMYFUNCTION("""COMPUTED_VALUE"""),"ayyappa.vuggina001@gmail.com")</f>
        <v>ayyappa.vuggina001@gmail.com</v>
      </c>
      <c r="N35" s="66" t="str">
        <f ca="1">IFERROR(__xludf.DUMMYFUNCTION("""COMPUTED_VALUE"""),"SEM-7")</f>
        <v>SEM-7</v>
      </c>
      <c r="O35" s="69"/>
      <c r="P35" s="69"/>
      <c r="Q35" s="69"/>
      <c r="R35" s="69"/>
      <c r="S35" s="69"/>
      <c r="T35" s="69"/>
      <c r="U35" s="69"/>
      <c r="V35" s="69"/>
      <c r="W35" s="69"/>
      <c r="X35" s="69"/>
    </row>
    <row r="36" spans="1:24" ht="33" customHeight="1" x14ac:dyDescent="0.15">
      <c r="A36" s="66" t="str">
        <f ca="1">IFERROR(__xludf.DUMMYFUNCTION("""COMPUTED_VALUE"""),"Manukonda Royal Frederick ")</f>
        <v xml:space="preserve">Manukonda Royal Frederick </v>
      </c>
      <c r="B36" s="66" t="str">
        <f ca="1">IFERROR(__xludf.DUMMYFUNCTION("""COMPUTED_VALUE"""),"18331A0595")</f>
        <v>18331A0595</v>
      </c>
      <c r="C36" s="66" t="str">
        <f ca="1">IFERROR(__xludf.DUMMYFUNCTION("""COMPUTED_VALUE"""),"AWS Cloud Foundation ")</f>
        <v xml:space="preserve">AWS Cloud Foundation </v>
      </c>
      <c r="D36" s="66" t="str">
        <f ca="1">IFERROR(__xludf.DUMMYFUNCTION("""COMPUTED_VALUE"""),"10weeks")</f>
        <v>10weeks</v>
      </c>
      <c r="E36" s="67">
        <f ca="1">IFERROR(__xludf.DUMMYFUNCTION("""COMPUTED_VALUE"""),44470)</f>
        <v>44470</v>
      </c>
      <c r="F36" s="67">
        <f ca="1">IFERROR(__xludf.DUMMYFUNCTION("""COMPUTED_VALUE"""),44531)</f>
        <v>44531</v>
      </c>
      <c r="G36" s="66" t="str">
        <f ca="1">IFERROR(__xludf.DUMMYFUNCTION("""COMPUTED_VALUE"""),"No")</f>
        <v>No</v>
      </c>
      <c r="H36" s="66" t="str">
        <f ca="1">IFERROR(__xludf.DUMMYFUNCTION("""COMPUTED_VALUE"""),"No")</f>
        <v>No</v>
      </c>
      <c r="I36" s="66">
        <f ca="1">IFERROR(__xludf.DUMMYFUNCTION("""COMPUTED_VALUE"""),0)</f>
        <v>0</v>
      </c>
      <c r="J36" s="68" t="str">
        <f ca="1">IFERROR(__xludf.DUMMYFUNCTION("""COMPUTED_VALUE"""),"https://drive.google.com/open?id=13oDkQ5eszOIASYc_IZHqIC-kEbAMo6TT")</f>
        <v>https://drive.google.com/open?id=13oDkQ5eszOIASYc_IZHqIC-kEbAMo6TT</v>
      </c>
      <c r="K36" s="66" t="str">
        <f ca="1">IFERROR(__xludf.DUMMYFUNCTION("""COMPUTED_VALUE"""),"2018-2022")</f>
        <v>2018-2022</v>
      </c>
      <c r="L36" s="66" t="str">
        <f ca="1">IFERROR(__xludf.DUMMYFUNCTION("""COMPUTED_VALUE"""),"S3: Student Internships")</f>
        <v>S3: Student Internships</v>
      </c>
      <c r="M36" s="66" t="str">
        <f ca="1">IFERROR(__xludf.DUMMYFUNCTION("""COMPUTED_VALUE"""),"royalfrederickmanukonda@gmail.com")</f>
        <v>royalfrederickmanukonda@gmail.com</v>
      </c>
      <c r="N36" s="66" t="str">
        <f ca="1">IFERROR(__xludf.DUMMYFUNCTION("""COMPUTED_VALUE"""),"SEM-8")</f>
        <v>SEM-8</v>
      </c>
      <c r="O36" s="69"/>
      <c r="P36" s="69"/>
      <c r="Q36" s="69"/>
      <c r="R36" s="69"/>
      <c r="S36" s="69"/>
      <c r="T36" s="69"/>
      <c r="U36" s="69"/>
      <c r="V36" s="69"/>
      <c r="W36" s="69"/>
      <c r="X36" s="69"/>
    </row>
    <row r="37" spans="1:24" ht="33" customHeight="1" x14ac:dyDescent="0.15">
      <c r="A37" s="66" t="str">
        <f ca="1">IFERROR(__xludf.DUMMYFUNCTION("""COMPUTED_VALUE"""),"Kusuma Patnaik Murahari")</f>
        <v>Kusuma Patnaik Murahari</v>
      </c>
      <c r="B37" s="66" t="str">
        <f ca="1">IFERROR(__xludf.DUMMYFUNCTION("""COMPUTED_VALUE"""),"18331A0584")</f>
        <v>18331A0584</v>
      </c>
      <c r="C37" s="66" t="str">
        <f ca="1">IFERROR(__xludf.DUMMYFUNCTION("""COMPUTED_VALUE"""),"AICTE AWS Cloud Virtual Internship")</f>
        <v>AICTE AWS Cloud Virtual Internship</v>
      </c>
      <c r="D37" s="66" t="str">
        <f ca="1">IFERROR(__xludf.DUMMYFUNCTION("""COMPUTED_VALUE"""),"2 months")</f>
        <v>2 months</v>
      </c>
      <c r="E37" s="67">
        <f ca="1">IFERROR(__xludf.DUMMYFUNCTION("""COMPUTED_VALUE"""),44470)</f>
        <v>44470</v>
      </c>
      <c r="F37" s="67">
        <f ca="1">IFERROR(__xludf.DUMMYFUNCTION("""COMPUTED_VALUE"""),44561)</f>
        <v>44561</v>
      </c>
      <c r="G37" s="66" t="str">
        <f ca="1">IFERROR(__xludf.DUMMYFUNCTION("""COMPUTED_VALUE"""),"No")</f>
        <v>No</v>
      </c>
      <c r="H37" s="66" t="str">
        <f ca="1">IFERROR(__xludf.DUMMYFUNCTION("""COMPUTED_VALUE"""),"No")</f>
        <v>No</v>
      </c>
      <c r="I37" s="66">
        <f ca="1">IFERROR(__xludf.DUMMYFUNCTION("""COMPUTED_VALUE"""),0)</f>
        <v>0</v>
      </c>
      <c r="J37" s="68" t="str">
        <f ca="1">IFERROR(__xludf.DUMMYFUNCTION("""COMPUTED_VALUE"""),"https://drive.google.com/open?id=1gXlcLwDfPm-ZNDcW9x18d9Dv5fS8zPdT")</f>
        <v>https://drive.google.com/open?id=1gXlcLwDfPm-ZNDcW9x18d9Dv5fS8zPdT</v>
      </c>
      <c r="K37" s="66" t="str">
        <f ca="1">IFERROR(__xludf.DUMMYFUNCTION("""COMPUTED_VALUE"""),"2018-2022")</f>
        <v>2018-2022</v>
      </c>
      <c r="L37" s="66" t="str">
        <f ca="1">IFERROR(__xludf.DUMMYFUNCTION("""COMPUTED_VALUE"""),"S3: Student Internships")</f>
        <v>S3: Student Internships</v>
      </c>
      <c r="M37" s="66" t="str">
        <f ca="1">IFERROR(__xludf.DUMMYFUNCTION("""COMPUTED_VALUE"""),"muraharikusum2000@gmail.com")</f>
        <v>muraharikusum2000@gmail.com</v>
      </c>
      <c r="N37" s="66" t="str">
        <f ca="1">IFERROR(__xludf.DUMMYFUNCTION("""COMPUTED_VALUE"""),"SEM-8")</f>
        <v>SEM-8</v>
      </c>
      <c r="O37" s="69"/>
      <c r="P37" s="69"/>
      <c r="Q37" s="69"/>
      <c r="R37" s="69"/>
      <c r="S37" s="69"/>
      <c r="T37" s="69"/>
      <c r="U37" s="69"/>
      <c r="V37" s="69"/>
      <c r="W37" s="69"/>
      <c r="X37" s="69"/>
    </row>
    <row r="38" spans="1:24" ht="33" customHeight="1" x14ac:dyDescent="0.15">
      <c r="A38" s="66" t="str">
        <f ca="1">IFERROR(__xludf.DUMMYFUNCTION("""COMPUTED_VALUE"""),"POTNURU VENKATA NARASIMHA RAJU")</f>
        <v>POTNURU VENKATA NARASIMHA RAJU</v>
      </c>
      <c r="B38" s="66" t="str">
        <f ca="1">IFERROR(__xludf.DUMMYFUNCTION("""COMPUTED_VALUE"""),"19331A05D4")</f>
        <v>19331A05D4</v>
      </c>
      <c r="C38" s="66" t="str">
        <f ca="1">IFERROR(__xludf.DUMMYFUNCTION("""COMPUTED_VALUE"""),"AICTE")</f>
        <v>AICTE</v>
      </c>
      <c r="D38" s="66" t="str">
        <f ca="1">IFERROR(__xludf.DUMMYFUNCTION("""COMPUTED_VALUE"""),"10 weeks")</f>
        <v>10 weeks</v>
      </c>
      <c r="E38" s="67">
        <f ca="1">IFERROR(__xludf.DUMMYFUNCTION("""COMPUTED_VALUE"""),44479)</f>
        <v>44479</v>
      </c>
      <c r="F38" s="67">
        <f ca="1">IFERROR(__xludf.DUMMYFUNCTION("""COMPUTED_VALUE"""),44540)</f>
        <v>44540</v>
      </c>
      <c r="G38" s="66" t="str">
        <f ca="1">IFERROR(__xludf.DUMMYFUNCTION("""COMPUTED_VALUE"""),"No")</f>
        <v>No</v>
      </c>
      <c r="H38" s="66" t="str">
        <f ca="1">IFERROR(__xludf.DUMMYFUNCTION("""COMPUTED_VALUE"""),"No")</f>
        <v>No</v>
      </c>
      <c r="I38" s="66">
        <f ca="1">IFERROR(__xludf.DUMMYFUNCTION("""COMPUTED_VALUE"""),0)</f>
        <v>0</v>
      </c>
      <c r="J38" s="68" t="str">
        <f ca="1">IFERROR(__xludf.DUMMYFUNCTION("""COMPUTED_VALUE"""),"https://drive.google.com/open?id=1VuTH7Tgo0Pk_ScTpkx1b4YGJX5R6P5Zn")</f>
        <v>https://drive.google.com/open?id=1VuTH7Tgo0Pk_ScTpkx1b4YGJX5R6P5Zn</v>
      </c>
      <c r="K38" s="66" t="str">
        <f ca="1">IFERROR(__xludf.DUMMYFUNCTION("""COMPUTED_VALUE"""),"2019-2023")</f>
        <v>2019-2023</v>
      </c>
      <c r="L38" s="66" t="str">
        <f ca="1">IFERROR(__xludf.DUMMYFUNCTION("""COMPUTED_VALUE"""),"S3: Student Internships")</f>
        <v>S3: Student Internships</v>
      </c>
      <c r="M38" s="66" t="str">
        <f ca="1">IFERROR(__xludf.DUMMYFUNCTION("""COMPUTED_VALUE"""),"pvenkatanarasimharaju2214@gmail.com")</f>
        <v>pvenkatanarasimharaju2214@gmail.com</v>
      </c>
      <c r="N38" s="66" t="str">
        <f ca="1">IFERROR(__xludf.DUMMYFUNCTION("""COMPUTED_VALUE"""),"SEM-6")</f>
        <v>SEM-6</v>
      </c>
      <c r="O38" s="69"/>
      <c r="P38" s="69"/>
      <c r="Q38" s="69"/>
      <c r="R38" s="69"/>
      <c r="S38" s="69"/>
      <c r="T38" s="69"/>
      <c r="U38" s="69"/>
      <c r="V38" s="69"/>
      <c r="W38" s="69"/>
      <c r="X38" s="69"/>
    </row>
    <row r="39" spans="1:24" ht="33" customHeight="1" x14ac:dyDescent="0.15">
      <c r="A39" s="66" t="str">
        <f ca="1">IFERROR(__xludf.DUMMYFUNCTION("""COMPUTED_VALUE"""),"Yuvaraj Chowdary Ratnala")</f>
        <v>Yuvaraj Chowdary Ratnala</v>
      </c>
      <c r="B39" s="66" t="str">
        <f ca="1">IFERROR(__xludf.DUMMYFUNCTION("""COMPUTED_VALUE"""),"18331A05C3")</f>
        <v>18331A05C3</v>
      </c>
      <c r="C39" s="66" t="str">
        <f ca="1">IFERROR(__xludf.DUMMYFUNCTION("""COMPUTED_VALUE"""),"AICTE in collaboration with NEAT, Eduskills")</f>
        <v>AICTE in collaboration with NEAT, Eduskills</v>
      </c>
      <c r="D39" s="66" t="str">
        <f ca="1">IFERROR(__xludf.DUMMYFUNCTION("""COMPUTED_VALUE"""),"3 months")</f>
        <v>3 months</v>
      </c>
      <c r="E39" s="67">
        <f ca="1">IFERROR(__xludf.DUMMYFUNCTION("""COMPUTED_VALUE"""),44470)</f>
        <v>44470</v>
      </c>
      <c r="F39" s="67">
        <f ca="1">IFERROR(__xludf.DUMMYFUNCTION("""COMPUTED_VALUE"""),44561)</f>
        <v>44561</v>
      </c>
      <c r="G39" s="66" t="str">
        <f ca="1">IFERROR(__xludf.DUMMYFUNCTION("""COMPUTED_VALUE"""),"No")</f>
        <v>No</v>
      </c>
      <c r="H39" s="66" t="str">
        <f ca="1">IFERROR(__xludf.DUMMYFUNCTION("""COMPUTED_VALUE"""),"No")</f>
        <v>No</v>
      </c>
      <c r="I39" s="66">
        <f ca="1">IFERROR(__xludf.DUMMYFUNCTION("""COMPUTED_VALUE"""),0)</f>
        <v>0</v>
      </c>
      <c r="J39" s="68" t="str">
        <f ca="1">IFERROR(__xludf.DUMMYFUNCTION("""COMPUTED_VALUE"""),"https://drive.google.com/open?id=1nbfLYFI3vQYDxQ8JKspWb0auP9vnyZst")</f>
        <v>https://drive.google.com/open?id=1nbfLYFI3vQYDxQ8JKspWb0auP9vnyZst</v>
      </c>
      <c r="K39" s="66" t="str">
        <f ca="1">IFERROR(__xludf.DUMMYFUNCTION("""COMPUTED_VALUE"""),"2018-2022")</f>
        <v>2018-2022</v>
      </c>
      <c r="L39" s="66" t="str">
        <f ca="1">IFERROR(__xludf.DUMMYFUNCTION("""COMPUTED_VALUE"""),"S3: Student Internships")</f>
        <v>S3: Student Internships</v>
      </c>
      <c r="M39" s="66" t="str">
        <f ca="1">IFERROR(__xludf.DUMMYFUNCTION("""COMPUTED_VALUE"""),"18331A05C3@mvgrce.edu.in")</f>
        <v>18331A05C3@mvgrce.edu.in</v>
      </c>
      <c r="N39" s="66" t="str">
        <f ca="1">IFERROR(__xludf.DUMMYFUNCTION("""COMPUTED_VALUE"""),"SEM-8")</f>
        <v>SEM-8</v>
      </c>
      <c r="O39" s="69"/>
      <c r="P39" s="69"/>
      <c r="Q39" s="69"/>
      <c r="R39" s="69"/>
      <c r="S39" s="69"/>
      <c r="T39" s="69"/>
      <c r="U39" s="69"/>
      <c r="V39" s="69"/>
      <c r="W39" s="69"/>
      <c r="X39" s="69"/>
    </row>
    <row r="40" spans="1:24" ht="33" customHeight="1" x14ac:dyDescent="0.15">
      <c r="A40" s="66" t="str">
        <f ca="1">IFERROR(__xludf.DUMMYFUNCTION("""COMPUTED_VALUE"""),"KARUMURI SRI RAJ ARYAN")</f>
        <v>KARUMURI SRI RAJ ARYAN</v>
      </c>
      <c r="B40" s="66" t="str">
        <f ca="1">IFERROR(__xludf.DUMMYFUNCTION("""COMPUTED_VALUE"""),"18331A0571")</f>
        <v>18331A0571</v>
      </c>
      <c r="C40" s="66" t="str">
        <f ca="1">IFERROR(__xludf.DUMMYFUNCTION("""COMPUTED_VALUE"""),"TechLearn")</f>
        <v>TechLearn</v>
      </c>
      <c r="D40" s="66" t="str">
        <f ca="1">IFERROR(__xludf.DUMMYFUNCTION("""COMPUTED_VALUE"""),"1 month")</f>
        <v>1 month</v>
      </c>
      <c r="E40" s="67">
        <f ca="1">IFERROR(__xludf.DUMMYFUNCTION("""COMPUTED_VALUE"""),44561)</f>
        <v>44561</v>
      </c>
      <c r="F40" s="67">
        <f ca="1">IFERROR(__xludf.DUMMYFUNCTION("""COMPUTED_VALUE"""),44592)</f>
        <v>44592</v>
      </c>
      <c r="G40" s="66" t="str">
        <f ca="1">IFERROR(__xludf.DUMMYFUNCTION("""COMPUTED_VALUE"""),"Yes")</f>
        <v>Yes</v>
      </c>
      <c r="H40" s="66" t="str">
        <f ca="1">IFERROR(__xludf.DUMMYFUNCTION("""COMPUTED_VALUE"""),"No")</f>
        <v>No</v>
      </c>
      <c r="I40" s="66">
        <f ca="1">IFERROR(__xludf.DUMMYFUNCTION("""COMPUTED_VALUE"""),250)</f>
        <v>250</v>
      </c>
      <c r="J40" s="68" t="str">
        <f ca="1">IFERROR(__xludf.DUMMYFUNCTION("""COMPUTED_VALUE"""),"https://drive.google.com/open?id=1L8QvenQSbBbS_qby0dpkOU-60lBMdQqT")</f>
        <v>https://drive.google.com/open?id=1L8QvenQSbBbS_qby0dpkOU-60lBMdQqT</v>
      </c>
      <c r="K40" s="66" t="str">
        <f ca="1">IFERROR(__xludf.DUMMYFUNCTION("""COMPUTED_VALUE"""),"2018-2022")</f>
        <v>2018-2022</v>
      </c>
      <c r="L40" s="66" t="str">
        <f ca="1">IFERROR(__xludf.DUMMYFUNCTION("""COMPUTED_VALUE"""),"S3: Student Internships")</f>
        <v>S3: Student Internships</v>
      </c>
      <c r="M40" s="66" t="str">
        <f ca="1">IFERROR(__xludf.DUMMYFUNCTION("""COMPUTED_VALUE"""),"aryankarumuri@gmail.com")</f>
        <v>aryankarumuri@gmail.com</v>
      </c>
      <c r="N40" s="66" t="str">
        <f ca="1">IFERROR(__xludf.DUMMYFUNCTION("""COMPUTED_VALUE"""),"SEM-8")</f>
        <v>SEM-8</v>
      </c>
      <c r="O40" s="69"/>
      <c r="P40" s="69"/>
      <c r="Q40" s="69"/>
      <c r="R40" s="69"/>
      <c r="S40" s="69"/>
      <c r="T40" s="69"/>
      <c r="U40" s="69"/>
      <c r="V40" s="69"/>
      <c r="W40" s="69"/>
      <c r="X40" s="69"/>
    </row>
    <row r="41" spans="1:24" ht="33" customHeight="1" x14ac:dyDescent="0.15">
      <c r="A41" s="59" t="str">
        <f ca="1">IFERROR(__xludf.DUMMYFUNCTION("""COMPUTED_VALUE"""),"METTA VAMSI PRANAV")</f>
        <v>METTA VAMSI PRANAV</v>
      </c>
      <c r="B41" s="59" t="str">
        <f ca="1">IFERROR(__xludf.DUMMYFUNCTION("""COMPUTED_VALUE"""),"18331A0598")</f>
        <v>18331A0598</v>
      </c>
      <c r="C41" s="59" t="str">
        <f ca="1">IFERROR(__xludf.DUMMYFUNCTION("""COMPUTED_VALUE"""),"Red Hat")</f>
        <v>Red Hat</v>
      </c>
      <c r="D41" s="59" t="str">
        <f ca="1">IFERROR(__xludf.DUMMYFUNCTION("""COMPUTED_VALUE"""),"1 month")</f>
        <v>1 month</v>
      </c>
      <c r="E41" s="70">
        <f ca="1">IFERROR(__xludf.DUMMYFUNCTION("""COMPUTED_VALUE"""),44645)</f>
        <v>44645</v>
      </c>
      <c r="F41" s="70">
        <f ca="1">IFERROR(__xludf.DUMMYFUNCTION("""COMPUTED_VALUE"""),44676)</f>
        <v>44676</v>
      </c>
      <c r="G41" s="59" t="str">
        <f ca="1">IFERROR(__xludf.DUMMYFUNCTION("""COMPUTED_VALUE"""),"No")</f>
        <v>No</v>
      </c>
      <c r="H41" s="59" t="str">
        <f ca="1">IFERROR(__xludf.DUMMYFUNCTION("""COMPUTED_VALUE"""),"No")</f>
        <v>No</v>
      </c>
      <c r="I41" s="59">
        <f ca="1">IFERROR(__xludf.DUMMYFUNCTION("""COMPUTED_VALUE"""),0)</f>
        <v>0</v>
      </c>
      <c r="J41" s="71" t="str">
        <f ca="1">IFERROR(__xludf.DUMMYFUNCTION("""COMPUTED_VALUE"""),"https://drive.google.com/open?id=19ICyEx7TvltSMYYTihknjAb2kVuwFTJ0")</f>
        <v>https://drive.google.com/open?id=19ICyEx7TvltSMYYTihknjAb2kVuwFTJ0</v>
      </c>
      <c r="K41" s="59" t="str">
        <f ca="1">IFERROR(__xludf.DUMMYFUNCTION("""COMPUTED_VALUE"""),"2018-2022")</f>
        <v>2018-2022</v>
      </c>
      <c r="L41" s="59" t="str">
        <f ca="1">IFERROR(__xludf.DUMMYFUNCTION("""COMPUTED_VALUE"""),"S3: Student Internships")</f>
        <v>S3: Student Internships</v>
      </c>
      <c r="M41" s="59" t="str">
        <f ca="1">IFERROR(__xludf.DUMMYFUNCTION("""COMPUTED_VALUE"""),"vamsipranav9948@gmail.com")</f>
        <v>vamsipranav9948@gmail.com</v>
      </c>
      <c r="N41" s="59" t="str">
        <f ca="1">IFERROR(__xludf.DUMMYFUNCTION("""COMPUTED_VALUE"""),"SEM-8")</f>
        <v>SEM-8</v>
      </c>
      <c r="O41" s="9"/>
      <c r="P41" s="9"/>
      <c r="Q41" s="9"/>
      <c r="R41" s="9"/>
      <c r="S41" s="9"/>
      <c r="T41" s="9"/>
      <c r="U41" s="9"/>
      <c r="V41" s="9"/>
      <c r="W41" s="9"/>
      <c r="X41" s="9"/>
    </row>
    <row r="42" spans="1:24" ht="33" customHeight="1" x14ac:dyDescent="0.15">
      <c r="A42" s="66" t="str">
        <f ca="1">IFERROR(__xludf.DUMMYFUNCTION("""COMPUTED_VALUE"""),"KARUMURI SRI RAJ ARYAN")</f>
        <v>KARUMURI SRI RAJ ARYAN</v>
      </c>
      <c r="B42" s="66" t="str">
        <f ca="1">IFERROR(__xludf.DUMMYFUNCTION("""COMPUTED_VALUE"""),"18331A0571")</f>
        <v>18331A0571</v>
      </c>
      <c r="C42" s="66" t="str">
        <f ca="1">IFERROR(__xludf.DUMMYFUNCTION("""COMPUTED_VALUE"""),"AICTE")</f>
        <v>AICTE</v>
      </c>
      <c r="D42" s="66" t="str">
        <f ca="1">IFERROR(__xludf.DUMMYFUNCTION("""COMPUTED_VALUE"""),"2 MONTHS")</f>
        <v>2 MONTHS</v>
      </c>
      <c r="E42" s="67">
        <f ca="1">IFERROR(__xludf.DUMMYFUNCTION("""COMPUTED_VALUE"""),44489)</f>
        <v>44489</v>
      </c>
      <c r="F42" s="67">
        <f ca="1">IFERROR(__xludf.DUMMYFUNCTION("""COMPUTED_VALUE"""),44561)</f>
        <v>44561</v>
      </c>
      <c r="G42" s="66" t="str">
        <f ca="1">IFERROR(__xludf.DUMMYFUNCTION("""COMPUTED_VALUE"""),"No")</f>
        <v>No</v>
      </c>
      <c r="H42" s="66" t="str">
        <f ca="1">IFERROR(__xludf.DUMMYFUNCTION("""COMPUTED_VALUE"""),"No")</f>
        <v>No</v>
      </c>
      <c r="I42" s="66">
        <f ca="1">IFERROR(__xludf.DUMMYFUNCTION("""COMPUTED_VALUE"""),0)</f>
        <v>0</v>
      </c>
      <c r="J42" s="68" t="str">
        <f ca="1">IFERROR(__xludf.DUMMYFUNCTION("""COMPUTED_VALUE"""),"https://drive.google.com/open?id=1xXaz0acVeXLlZtQK5bAkaIcj6gP9tmUW")</f>
        <v>https://drive.google.com/open?id=1xXaz0acVeXLlZtQK5bAkaIcj6gP9tmUW</v>
      </c>
      <c r="K42" s="66" t="str">
        <f ca="1">IFERROR(__xludf.DUMMYFUNCTION("""COMPUTED_VALUE"""),"2018-2022")</f>
        <v>2018-2022</v>
      </c>
      <c r="L42" s="66" t="str">
        <f ca="1">IFERROR(__xludf.DUMMYFUNCTION("""COMPUTED_VALUE"""),"S3: Student Internships")</f>
        <v>S3: Student Internships</v>
      </c>
      <c r="M42" s="66" t="str">
        <f ca="1">IFERROR(__xludf.DUMMYFUNCTION("""COMPUTED_VALUE"""),"aryankarumuri@gmail.com")</f>
        <v>aryankarumuri@gmail.com</v>
      </c>
      <c r="N42" s="66" t="str">
        <f ca="1">IFERROR(__xludf.DUMMYFUNCTION("""COMPUTED_VALUE"""),"SEM-8")</f>
        <v>SEM-8</v>
      </c>
      <c r="O42" s="69"/>
      <c r="P42" s="69"/>
      <c r="Q42" s="69"/>
      <c r="R42" s="69"/>
      <c r="S42" s="69"/>
      <c r="T42" s="69"/>
      <c r="U42" s="69"/>
      <c r="V42" s="69"/>
      <c r="W42" s="69"/>
      <c r="X42" s="69"/>
    </row>
    <row r="43" spans="1:24" ht="33" customHeight="1" x14ac:dyDescent="0.15">
      <c r="A43" s="66" t="str">
        <f ca="1">IFERROR(__xludf.DUMMYFUNCTION("""COMPUTED_VALUE"""),"KARUMURI SRI RAJ ARYAN")</f>
        <v>KARUMURI SRI RAJ ARYAN</v>
      </c>
      <c r="B43" s="66" t="str">
        <f ca="1">IFERROR(__xludf.DUMMYFUNCTION("""COMPUTED_VALUE"""),"18331A0571")</f>
        <v>18331A0571</v>
      </c>
      <c r="C43" s="66" t="str">
        <f ca="1">IFERROR(__xludf.DUMMYFUNCTION("""COMPUTED_VALUE"""),"JP MORGAN CHASE &amp; Co.")</f>
        <v>JP MORGAN CHASE &amp; Co.</v>
      </c>
      <c r="D43" s="66" t="str">
        <f ca="1">IFERROR(__xludf.DUMMYFUNCTION("""COMPUTED_VALUE"""),"1 Month")</f>
        <v>1 Month</v>
      </c>
      <c r="E43" s="67">
        <f ca="1">IFERROR(__xludf.DUMMYFUNCTION("""COMPUTED_VALUE"""),44532)</f>
        <v>44532</v>
      </c>
      <c r="F43" s="67">
        <f ca="1">IFERROR(__xludf.DUMMYFUNCTION("""COMPUTED_VALUE"""),44563)</f>
        <v>44563</v>
      </c>
      <c r="G43" s="66" t="str">
        <f ca="1">IFERROR(__xludf.DUMMYFUNCTION("""COMPUTED_VALUE"""),"No")</f>
        <v>No</v>
      </c>
      <c r="H43" s="66" t="str">
        <f ca="1">IFERROR(__xludf.DUMMYFUNCTION("""COMPUTED_VALUE"""),"No")</f>
        <v>No</v>
      </c>
      <c r="I43" s="66">
        <f ca="1">IFERROR(__xludf.DUMMYFUNCTION("""COMPUTED_VALUE"""),0)</f>
        <v>0</v>
      </c>
      <c r="J43" s="68" t="str">
        <f ca="1">IFERROR(__xludf.DUMMYFUNCTION("""COMPUTED_VALUE"""),"https://drive.google.com/open?id=1yhkjwAcobRnGlwhZoJOOSTwHDCLEjMxE")</f>
        <v>https://drive.google.com/open?id=1yhkjwAcobRnGlwhZoJOOSTwHDCLEjMxE</v>
      </c>
      <c r="K43" s="66" t="str">
        <f ca="1">IFERROR(__xludf.DUMMYFUNCTION("""COMPUTED_VALUE"""),"2018-2022")</f>
        <v>2018-2022</v>
      </c>
      <c r="L43" s="66" t="str">
        <f ca="1">IFERROR(__xludf.DUMMYFUNCTION("""COMPUTED_VALUE"""),"S3: Student Internships")</f>
        <v>S3: Student Internships</v>
      </c>
      <c r="M43" s="66" t="str">
        <f ca="1">IFERROR(__xludf.DUMMYFUNCTION("""COMPUTED_VALUE"""),"aryankarumuri@gmail.com")</f>
        <v>aryankarumuri@gmail.com</v>
      </c>
      <c r="N43" s="66" t="str">
        <f ca="1">IFERROR(__xludf.DUMMYFUNCTION("""COMPUTED_VALUE"""),"SEM-8")</f>
        <v>SEM-8</v>
      </c>
      <c r="O43" s="69"/>
      <c r="P43" s="69"/>
      <c r="Q43" s="69"/>
      <c r="R43" s="69"/>
      <c r="S43" s="69"/>
      <c r="T43" s="69"/>
      <c r="U43" s="69"/>
      <c r="V43" s="69"/>
      <c r="W43" s="69"/>
      <c r="X43" s="69"/>
    </row>
    <row r="44" spans="1:24" ht="33" customHeight="1" x14ac:dyDescent="0.15">
      <c r="A44" s="59" t="str">
        <f ca="1">IFERROR(__xludf.DUMMYFUNCTION("""COMPUTED_VALUE"""),"KARUMURI SRI RAJ ARYAN")</f>
        <v>KARUMURI SRI RAJ ARYAN</v>
      </c>
      <c r="B44" s="59" t="str">
        <f ca="1">IFERROR(__xludf.DUMMYFUNCTION("""COMPUTED_VALUE"""),"18331A0571")</f>
        <v>18331A0571</v>
      </c>
      <c r="C44" s="59" t="str">
        <f ca="1">IFERROR(__xludf.DUMMYFUNCTION("""COMPUTED_VALUE"""),"PrepInsta")</f>
        <v>PrepInsta</v>
      </c>
      <c r="D44" s="59" t="str">
        <f ca="1">IFERROR(__xludf.DUMMYFUNCTION("""COMPUTED_VALUE"""),"2 Months")</f>
        <v>2 Months</v>
      </c>
      <c r="E44" s="70">
        <f ca="1">IFERROR(__xludf.DUMMYFUNCTION("""COMPUTED_VALUE"""),44620)</f>
        <v>44620</v>
      </c>
      <c r="F44" s="70">
        <f ca="1">IFERROR(__xludf.DUMMYFUNCTION("""COMPUTED_VALUE"""),44681)</f>
        <v>44681</v>
      </c>
      <c r="G44" s="59" t="str">
        <f ca="1">IFERROR(__xludf.DUMMYFUNCTION("""COMPUTED_VALUE"""),"Yes")</f>
        <v>Yes</v>
      </c>
      <c r="H44" s="59" t="str">
        <f ca="1">IFERROR(__xludf.DUMMYFUNCTION("""COMPUTED_VALUE"""),"No")</f>
        <v>No</v>
      </c>
      <c r="I44" s="59">
        <f ca="1">IFERROR(__xludf.DUMMYFUNCTION("""COMPUTED_VALUE"""),0)</f>
        <v>0</v>
      </c>
      <c r="J44" s="71" t="str">
        <f ca="1">IFERROR(__xludf.DUMMYFUNCTION("""COMPUTED_VALUE"""),"https://drive.google.com/open?id=1ng0Lk9SymFgR_16TJjdbejLvtYazcoUx")</f>
        <v>https://drive.google.com/open?id=1ng0Lk9SymFgR_16TJjdbejLvtYazcoUx</v>
      </c>
      <c r="K44" s="59" t="str">
        <f ca="1">IFERROR(__xludf.DUMMYFUNCTION("""COMPUTED_VALUE"""),"2018-2022")</f>
        <v>2018-2022</v>
      </c>
      <c r="L44" s="59" t="str">
        <f ca="1">IFERROR(__xludf.DUMMYFUNCTION("""COMPUTED_VALUE"""),"S3: Student Internships")</f>
        <v>S3: Student Internships</v>
      </c>
      <c r="M44" s="59" t="str">
        <f ca="1">IFERROR(__xludf.DUMMYFUNCTION("""COMPUTED_VALUE"""),"aryankarumuri@gmail.com")</f>
        <v>aryankarumuri@gmail.com</v>
      </c>
      <c r="N44" s="59" t="str">
        <f ca="1">IFERROR(__xludf.DUMMYFUNCTION("""COMPUTED_VALUE"""),"SEM-8")</f>
        <v>SEM-8</v>
      </c>
      <c r="O44" s="9"/>
      <c r="P44" s="9"/>
      <c r="Q44" s="9"/>
      <c r="R44" s="9"/>
      <c r="S44" s="9"/>
      <c r="T44" s="9"/>
      <c r="U44" s="9"/>
      <c r="V44" s="9"/>
      <c r="W44" s="9"/>
      <c r="X44" s="9"/>
    </row>
    <row r="45" spans="1:24" ht="33" customHeight="1" x14ac:dyDescent="0.15">
      <c r="A45" s="66" t="str">
        <f ca="1">IFERROR(__xludf.DUMMYFUNCTION("""COMPUTED_VALUE"""),"METTA VAMSI PRANAV")</f>
        <v>METTA VAMSI PRANAV</v>
      </c>
      <c r="B45" s="66" t="str">
        <f ca="1">IFERROR(__xludf.DUMMYFUNCTION("""COMPUTED_VALUE"""),"18331A0598")</f>
        <v>18331A0598</v>
      </c>
      <c r="C45" s="66" t="str">
        <f ca="1">IFERROR(__xludf.DUMMYFUNCTION("""COMPUTED_VALUE"""),"AICTE")</f>
        <v>AICTE</v>
      </c>
      <c r="D45" s="66" t="str">
        <f ca="1">IFERROR(__xludf.DUMMYFUNCTION("""COMPUTED_VALUE"""),"2 Months")</f>
        <v>2 Months</v>
      </c>
      <c r="E45" s="67">
        <f ca="1">IFERROR(__xludf.DUMMYFUNCTION("""COMPUTED_VALUE"""),44479)</f>
        <v>44479</v>
      </c>
      <c r="F45" s="67">
        <f ca="1">IFERROR(__xludf.DUMMYFUNCTION("""COMPUTED_VALUE"""),44560)</f>
        <v>44560</v>
      </c>
      <c r="G45" s="66" t="str">
        <f ca="1">IFERROR(__xludf.DUMMYFUNCTION("""COMPUTED_VALUE"""),"No")</f>
        <v>No</v>
      </c>
      <c r="H45" s="66" t="str">
        <f ca="1">IFERROR(__xludf.DUMMYFUNCTION("""COMPUTED_VALUE"""),"No")</f>
        <v>No</v>
      </c>
      <c r="I45" s="66">
        <f ca="1">IFERROR(__xludf.DUMMYFUNCTION("""COMPUTED_VALUE"""),0)</f>
        <v>0</v>
      </c>
      <c r="J45" s="68" t="str">
        <f ca="1">IFERROR(__xludf.DUMMYFUNCTION("""COMPUTED_VALUE"""),"https://drive.google.com/open?id=1BGZMlDUnSEgkcWuFeTdo9Q6hmkRpWqxk")</f>
        <v>https://drive.google.com/open?id=1BGZMlDUnSEgkcWuFeTdo9Q6hmkRpWqxk</v>
      </c>
      <c r="K45" s="66" t="str">
        <f ca="1">IFERROR(__xludf.DUMMYFUNCTION("""COMPUTED_VALUE"""),"2018-2022")</f>
        <v>2018-2022</v>
      </c>
      <c r="L45" s="66" t="str">
        <f ca="1">IFERROR(__xludf.DUMMYFUNCTION("""COMPUTED_VALUE"""),"S3: Student Internships")</f>
        <v>S3: Student Internships</v>
      </c>
      <c r="M45" s="66" t="str">
        <f ca="1">IFERROR(__xludf.DUMMYFUNCTION("""COMPUTED_VALUE"""),"vamsipranav9948@gmail.com")</f>
        <v>vamsipranav9948@gmail.com</v>
      </c>
      <c r="N45" s="66" t="str">
        <f ca="1">IFERROR(__xludf.DUMMYFUNCTION("""COMPUTED_VALUE"""),"SEM-7")</f>
        <v>SEM-7</v>
      </c>
      <c r="O45" s="69"/>
      <c r="P45" s="69"/>
      <c r="Q45" s="69"/>
      <c r="R45" s="69"/>
      <c r="S45" s="69"/>
      <c r="T45" s="69"/>
      <c r="U45" s="69"/>
      <c r="V45" s="69"/>
      <c r="W45" s="69"/>
      <c r="X45" s="69"/>
    </row>
    <row r="46" spans="1:24" ht="33" customHeight="1" x14ac:dyDescent="0.15">
      <c r="A46" s="66" t="str">
        <f ca="1">IFERROR(__xludf.DUMMYFUNCTION("""COMPUTED_VALUE"""),"SUBHASH VADLANA")</f>
        <v>SUBHASH VADLANA</v>
      </c>
      <c r="B46" s="66" t="str">
        <f ca="1">IFERROR(__xludf.DUMMYFUNCTION("""COMPUTED_VALUE"""),"18331A05G3")</f>
        <v>18331A05G3</v>
      </c>
      <c r="C46" s="66" t="str">
        <f ca="1">IFERROR(__xludf.DUMMYFUNCTION("""COMPUTED_VALUE"""),"Virtusa Consulting Services Pvt Ltd, India")</f>
        <v>Virtusa Consulting Services Pvt Ltd, India</v>
      </c>
      <c r="D46" s="66" t="str">
        <f ca="1">IFERROR(__xludf.DUMMYFUNCTION("""COMPUTED_VALUE"""),"3 months")</f>
        <v>3 months</v>
      </c>
      <c r="E46" s="67">
        <f ca="1">IFERROR(__xludf.DUMMYFUNCTION("""COMPUTED_VALUE"""),44547)</f>
        <v>44547</v>
      </c>
      <c r="F46" s="67">
        <f ca="1">IFERROR(__xludf.DUMMYFUNCTION("""COMPUTED_VALUE"""),44316)</f>
        <v>44316</v>
      </c>
      <c r="G46" s="66" t="str">
        <f ca="1">IFERROR(__xludf.DUMMYFUNCTION("""COMPUTED_VALUE"""),"Yes")</f>
        <v>Yes</v>
      </c>
      <c r="H46" s="66" t="str">
        <f ca="1">IFERROR(__xludf.DUMMYFUNCTION("""COMPUTED_VALUE"""),"No")</f>
        <v>No</v>
      </c>
      <c r="I46" s="66">
        <f ca="1">IFERROR(__xludf.DUMMYFUNCTION("""COMPUTED_VALUE"""),0)</f>
        <v>0</v>
      </c>
      <c r="J46" s="68" t="str">
        <f ca="1">IFERROR(__xludf.DUMMYFUNCTION("""COMPUTED_VALUE"""),"https://drive.google.com/open?id=1uKBfJz5WRxQys5M72Brb5OK10qcss7FK")</f>
        <v>https://drive.google.com/open?id=1uKBfJz5WRxQys5M72Brb5OK10qcss7FK</v>
      </c>
      <c r="K46" s="66" t="str">
        <f ca="1">IFERROR(__xludf.DUMMYFUNCTION("""COMPUTED_VALUE"""),"2018-2022")</f>
        <v>2018-2022</v>
      </c>
      <c r="L46" s="66" t="str">
        <f ca="1">IFERROR(__xludf.DUMMYFUNCTION("""COMPUTED_VALUE"""),"S3: Student Internships")</f>
        <v>S3: Student Internships</v>
      </c>
      <c r="M46" s="66" t="str">
        <f ca="1">IFERROR(__xludf.DUMMYFUNCTION("""COMPUTED_VALUE"""),"subhash12345696@gmail.com")</f>
        <v>subhash12345696@gmail.com</v>
      </c>
      <c r="N46" s="66" t="str">
        <f ca="1">IFERROR(__xludf.DUMMYFUNCTION("""COMPUTED_VALUE"""),"SEM-8")</f>
        <v>SEM-8</v>
      </c>
      <c r="O46" s="69"/>
      <c r="P46" s="69"/>
      <c r="Q46" s="69"/>
      <c r="R46" s="69"/>
      <c r="S46" s="69"/>
      <c r="T46" s="69"/>
      <c r="U46" s="69"/>
      <c r="V46" s="69"/>
      <c r="W46" s="69"/>
      <c r="X46" s="69"/>
    </row>
    <row r="47" spans="1:24" ht="33" customHeight="1" x14ac:dyDescent="0.15">
      <c r="A47" s="66" t="str">
        <f ca="1">IFERROR(__xludf.DUMMYFUNCTION("""COMPUTED_VALUE"""),"UMANANDAN SAGAR CHUKKA")</f>
        <v>UMANANDAN SAGAR CHUKKA</v>
      </c>
      <c r="B47" s="66" t="str">
        <f ca="1">IFERROR(__xludf.DUMMYFUNCTION("""COMPUTED_VALUE"""),"18331A05G1")</f>
        <v>18331A05G1</v>
      </c>
      <c r="C47" s="66" t="str">
        <f ca="1">IFERROR(__xludf.DUMMYFUNCTION("""COMPUTED_VALUE"""),"AICTE")</f>
        <v>AICTE</v>
      </c>
      <c r="D47" s="66" t="str">
        <f ca="1">IFERROR(__xludf.DUMMYFUNCTION("""COMPUTED_VALUE"""),"10 weeks")</f>
        <v>10 weeks</v>
      </c>
      <c r="E47" s="67">
        <f ca="1">IFERROR(__xludf.DUMMYFUNCTION("""COMPUTED_VALUE"""),44484)</f>
        <v>44484</v>
      </c>
      <c r="F47" s="67">
        <f ca="1">IFERROR(__xludf.DUMMYFUNCTION("""COMPUTED_VALUE"""),44920)</f>
        <v>44920</v>
      </c>
      <c r="G47" s="66" t="str">
        <f ca="1">IFERROR(__xludf.DUMMYFUNCTION("""COMPUTED_VALUE"""),"No")</f>
        <v>No</v>
      </c>
      <c r="H47" s="66" t="str">
        <f ca="1">IFERROR(__xludf.DUMMYFUNCTION("""COMPUTED_VALUE"""),"No")</f>
        <v>No</v>
      </c>
      <c r="I47" s="66">
        <f ca="1">IFERROR(__xludf.DUMMYFUNCTION("""COMPUTED_VALUE"""),0)</f>
        <v>0</v>
      </c>
      <c r="J47" s="68" t="str">
        <f ca="1">IFERROR(__xludf.DUMMYFUNCTION("""COMPUTED_VALUE"""),"https://drive.google.com/open?id=1cOOeFbzfVa259sAWKf5ChvDZd0ox5haj")</f>
        <v>https://drive.google.com/open?id=1cOOeFbzfVa259sAWKf5ChvDZd0ox5haj</v>
      </c>
      <c r="K47" s="66" t="str">
        <f ca="1">IFERROR(__xludf.DUMMYFUNCTION("""COMPUTED_VALUE"""),"2018-2022")</f>
        <v>2018-2022</v>
      </c>
      <c r="L47" s="66" t="str">
        <f ca="1">IFERROR(__xludf.DUMMYFUNCTION("""COMPUTED_VALUE"""),"S3: Student Internships")</f>
        <v>S3: Student Internships</v>
      </c>
      <c r="M47" s="66" t="str">
        <f ca="1">IFERROR(__xludf.DUMMYFUNCTION("""COMPUTED_VALUE"""),"cusagar@gmail.com")</f>
        <v>cusagar@gmail.com</v>
      </c>
      <c r="N47" s="66" t="str">
        <f ca="1">IFERROR(__xludf.DUMMYFUNCTION("""COMPUTED_VALUE"""),"SEM-8")</f>
        <v>SEM-8</v>
      </c>
      <c r="O47" s="69"/>
      <c r="P47" s="69"/>
      <c r="Q47" s="69"/>
      <c r="R47" s="69"/>
      <c r="S47" s="69"/>
      <c r="T47" s="69"/>
      <c r="U47" s="69"/>
      <c r="V47" s="69"/>
      <c r="W47" s="69"/>
      <c r="X47" s="69"/>
    </row>
    <row r="48" spans="1:24" ht="33" customHeight="1" x14ac:dyDescent="0.15">
      <c r="A48" s="66" t="str">
        <f ca="1">IFERROR(__xludf.DUMMYFUNCTION("""COMPUTED_VALUE"""),"dabbiru haneesh")</f>
        <v>dabbiru haneesh</v>
      </c>
      <c r="B48" s="66" t="str">
        <f ca="1">IFERROR(__xludf.DUMMYFUNCTION("""COMPUTED_VALUE"""),"18331A0528")</f>
        <v>18331A0528</v>
      </c>
      <c r="C48" s="66" t="str">
        <f ca="1">IFERROR(__xludf.DUMMYFUNCTION("""COMPUTED_VALUE"""),"Suvidha foundation")</f>
        <v>Suvidha foundation</v>
      </c>
      <c r="D48" s="66" t="str">
        <f ca="1">IFERROR(__xludf.DUMMYFUNCTION("""COMPUTED_VALUE"""),"2")</f>
        <v>2</v>
      </c>
      <c r="E48" s="67">
        <f ca="1">IFERROR(__xludf.DUMMYFUNCTION("""COMPUTED_VALUE"""),44348)</f>
        <v>44348</v>
      </c>
      <c r="F48" s="67">
        <f ca="1">IFERROR(__xludf.DUMMYFUNCTION("""COMPUTED_VALUE"""),44409)</f>
        <v>44409</v>
      </c>
      <c r="G48" s="66" t="str">
        <f ca="1">IFERROR(__xludf.DUMMYFUNCTION("""COMPUTED_VALUE"""),"No")</f>
        <v>No</v>
      </c>
      <c r="H48" s="66" t="str">
        <f ca="1">IFERROR(__xludf.DUMMYFUNCTION("""COMPUTED_VALUE"""),"No")</f>
        <v>No</v>
      </c>
      <c r="I48" s="66">
        <f ca="1">IFERROR(__xludf.DUMMYFUNCTION("""COMPUTED_VALUE"""),0)</f>
        <v>0</v>
      </c>
      <c r="J48" s="68" t="str">
        <f ca="1">IFERROR(__xludf.DUMMYFUNCTION("""COMPUTED_VALUE"""),"https://drive.google.com/open?id=1GJg-pY3JFa2WpVzh2cHEFtzk64MkRwv4")</f>
        <v>https://drive.google.com/open?id=1GJg-pY3JFa2WpVzh2cHEFtzk64MkRwv4</v>
      </c>
      <c r="K48" s="66" t="str">
        <f ca="1">IFERROR(__xludf.DUMMYFUNCTION("""COMPUTED_VALUE"""),"2018-2022")</f>
        <v>2018-2022</v>
      </c>
      <c r="L48" s="66" t="str">
        <f ca="1">IFERROR(__xludf.DUMMYFUNCTION("""COMPUTED_VALUE"""),"S3: Student Internships")</f>
        <v>S3: Student Internships</v>
      </c>
      <c r="M48" s="66" t="str">
        <f ca="1">IFERROR(__xludf.DUMMYFUNCTION("""COMPUTED_VALUE"""),"dabbiruhaneesh@gmail.com")</f>
        <v>dabbiruhaneesh@gmail.com</v>
      </c>
      <c r="N48" s="66" t="str">
        <f ca="1">IFERROR(__xludf.DUMMYFUNCTION("""COMPUTED_VALUE"""),"SEM-6")</f>
        <v>SEM-6</v>
      </c>
      <c r="O48" s="69"/>
      <c r="P48" s="69"/>
      <c r="Q48" s="69"/>
      <c r="R48" s="69"/>
      <c r="S48" s="69"/>
      <c r="T48" s="69"/>
      <c r="U48" s="69"/>
      <c r="V48" s="69"/>
      <c r="W48" s="69"/>
      <c r="X48" s="69"/>
    </row>
    <row r="49" spans="1:24" ht="33" customHeight="1" x14ac:dyDescent="0.15">
      <c r="A49" s="66" t="str">
        <f ca="1">IFERROR(__xludf.DUMMYFUNCTION("""COMPUTED_VALUE"""),"Dabbiru haneesh")</f>
        <v>Dabbiru haneesh</v>
      </c>
      <c r="B49" s="66" t="str">
        <f ca="1">IFERROR(__xludf.DUMMYFUNCTION("""COMPUTED_VALUE"""),"18331A0528")</f>
        <v>18331A0528</v>
      </c>
      <c r="C49" s="66" t="str">
        <f ca="1">IFERROR(__xludf.DUMMYFUNCTION("""COMPUTED_VALUE"""),"SPARKS FOUNDATION")</f>
        <v>SPARKS FOUNDATION</v>
      </c>
      <c r="D49" s="66" t="str">
        <f ca="1">IFERROR(__xludf.DUMMYFUNCTION("""COMPUTED_VALUE"""),"1")</f>
        <v>1</v>
      </c>
      <c r="E49" s="67">
        <f ca="1">IFERROR(__xludf.DUMMYFUNCTION("""COMPUTED_VALUE"""),44348)</f>
        <v>44348</v>
      </c>
      <c r="F49" s="67">
        <f ca="1">IFERROR(__xludf.DUMMYFUNCTION("""COMPUTED_VALUE"""),44378)</f>
        <v>44378</v>
      </c>
      <c r="G49" s="66" t="str">
        <f ca="1">IFERROR(__xludf.DUMMYFUNCTION("""COMPUTED_VALUE"""),"No")</f>
        <v>No</v>
      </c>
      <c r="H49" s="66" t="str">
        <f ca="1">IFERROR(__xludf.DUMMYFUNCTION("""COMPUTED_VALUE"""),"No")</f>
        <v>No</v>
      </c>
      <c r="I49" s="66">
        <f ca="1">IFERROR(__xludf.DUMMYFUNCTION("""COMPUTED_VALUE"""),0)</f>
        <v>0</v>
      </c>
      <c r="J49" s="68" t="str">
        <f ca="1">IFERROR(__xludf.DUMMYFUNCTION("""COMPUTED_VALUE"""),"https://drive.google.com/open?id=1ZdqbZz3jeUF3M_MYrqnTTtzHJAcp2G98")</f>
        <v>https://drive.google.com/open?id=1ZdqbZz3jeUF3M_MYrqnTTtzHJAcp2G98</v>
      </c>
      <c r="K49" s="66" t="str">
        <f ca="1">IFERROR(__xludf.DUMMYFUNCTION("""COMPUTED_VALUE"""),"2018-2022")</f>
        <v>2018-2022</v>
      </c>
      <c r="L49" s="66" t="str">
        <f ca="1">IFERROR(__xludf.DUMMYFUNCTION("""COMPUTED_VALUE"""),"S3: Student Internships")</f>
        <v>S3: Student Internships</v>
      </c>
      <c r="M49" s="66" t="str">
        <f ca="1">IFERROR(__xludf.DUMMYFUNCTION("""COMPUTED_VALUE"""),"dabbiruhaneesh@gmail.com")</f>
        <v>dabbiruhaneesh@gmail.com</v>
      </c>
      <c r="N49" s="66" t="str">
        <f ca="1">IFERROR(__xludf.DUMMYFUNCTION("""COMPUTED_VALUE"""),"SEM-6")</f>
        <v>SEM-6</v>
      </c>
      <c r="O49" s="69"/>
      <c r="P49" s="69"/>
      <c r="Q49" s="69"/>
      <c r="R49" s="69"/>
      <c r="S49" s="69"/>
      <c r="T49" s="69"/>
      <c r="U49" s="69"/>
      <c r="V49" s="69"/>
      <c r="W49" s="69"/>
      <c r="X49" s="69"/>
    </row>
    <row r="50" spans="1:24" ht="33" customHeight="1" x14ac:dyDescent="0.15">
      <c r="A50" s="66" t="str">
        <f ca="1">IFERROR(__xludf.DUMMYFUNCTION("""COMPUTED_VALUE"""),"ASHOK KUMAR KORNU")</f>
        <v>ASHOK KUMAR KORNU</v>
      </c>
      <c r="B50" s="66" t="str">
        <f ca="1">IFERROR(__xludf.DUMMYFUNCTION("""COMPUTED_VALUE"""),"19335A0509")</f>
        <v>19335A0509</v>
      </c>
      <c r="C50" s="66" t="str">
        <f ca="1">IFERROR(__xludf.DUMMYFUNCTION("""COMPUTED_VALUE"""),"AWS AICTE")</f>
        <v>AWS AICTE</v>
      </c>
      <c r="D50" s="66" t="str">
        <f ca="1">IFERROR(__xludf.DUMMYFUNCTION("""COMPUTED_VALUE"""),"2 Months")</f>
        <v>2 Months</v>
      </c>
      <c r="E50" s="67">
        <f ca="1">IFERROR(__xludf.DUMMYFUNCTION("""COMPUTED_VALUE"""),44477)</f>
        <v>44477</v>
      </c>
      <c r="F50" s="67">
        <f ca="1">IFERROR(__xludf.DUMMYFUNCTION("""COMPUTED_VALUE"""),44544)</f>
        <v>44544</v>
      </c>
      <c r="G50" s="66" t="str">
        <f ca="1">IFERROR(__xludf.DUMMYFUNCTION("""COMPUTED_VALUE"""),"No")</f>
        <v>No</v>
      </c>
      <c r="H50" s="66" t="str">
        <f ca="1">IFERROR(__xludf.DUMMYFUNCTION("""COMPUTED_VALUE"""),"No")</f>
        <v>No</v>
      </c>
      <c r="I50" s="66">
        <f ca="1">IFERROR(__xludf.DUMMYFUNCTION("""COMPUTED_VALUE"""),0)</f>
        <v>0</v>
      </c>
      <c r="J50" s="68" t="str">
        <f ca="1">IFERROR(__xludf.DUMMYFUNCTION("""COMPUTED_VALUE"""),"https://drive.google.com/open?id=1JlXIlbw3LU4pvglwII582towmfSEFhKP")</f>
        <v>https://drive.google.com/open?id=1JlXIlbw3LU4pvglwII582towmfSEFhKP</v>
      </c>
      <c r="K50" s="66" t="str">
        <f ca="1">IFERROR(__xludf.DUMMYFUNCTION("""COMPUTED_VALUE"""),"2018-2022")</f>
        <v>2018-2022</v>
      </c>
      <c r="L50" s="66" t="str">
        <f ca="1">IFERROR(__xludf.DUMMYFUNCTION("""COMPUTED_VALUE"""),"S3: Student Internships")</f>
        <v>S3: Student Internships</v>
      </c>
      <c r="M50" s="66" t="str">
        <f ca="1">IFERROR(__xludf.DUMMYFUNCTION("""COMPUTED_VALUE"""),"ashokkumarkornu2000@gmail.com")</f>
        <v>ashokkumarkornu2000@gmail.com</v>
      </c>
      <c r="N50" s="66" t="str">
        <f ca="1">IFERROR(__xludf.DUMMYFUNCTION("""COMPUTED_VALUE"""),"SEM-7")</f>
        <v>SEM-7</v>
      </c>
      <c r="O50" s="69"/>
      <c r="P50" s="69"/>
      <c r="Q50" s="69"/>
      <c r="R50" s="69"/>
      <c r="S50" s="69"/>
      <c r="T50" s="69"/>
      <c r="U50" s="69"/>
      <c r="V50" s="69"/>
      <c r="W50" s="69"/>
      <c r="X50" s="69"/>
    </row>
    <row r="51" spans="1:24" ht="33" customHeight="1" x14ac:dyDescent="0.15">
      <c r="A51" s="66" t="str">
        <f ca="1">IFERROR(__xludf.DUMMYFUNCTION("""COMPUTED_VALUE"""),"Yegireddi sharmila")</f>
        <v>Yegireddi sharmila</v>
      </c>
      <c r="B51" s="66" t="str">
        <f ca="1">IFERROR(__xludf.DUMMYFUNCTION("""COMPUTED_VALUE"""),"19335A0519")</f>
        <v>19335A0519</v>
      </c>
      <c r="C51" s="66" t="str">
        <f ca="1">IFERROR(__xludf.DUMMYFUNCTION("""COMPUTED_VALUE"""),"Amazon aws acadamy")</f>
        <v>Amazon aws acadamy</v>
      </c>
      <c r="D51" s="66" t="str">
        <f ca="1">IFERROR(__xludf.DUMMYFUNCTION("""COMPUTED_VALUE"""),"2months")</f>
        <v>2months</v>
      </c>
      <c r="E51" s="67">
        <f ca="1">IFERROR(__xludf.DUMMYFUNCTION("""COMPUTED_VALUE"""),44490)</f>
        <v>44490</v>
      </c>
      <c r="F51" s="67">
        <f ca="1">IFERROR(__xludf.DUMMYFUNCTION("""COMPUTED_VALUE"""),44551)</f>
        <v>44551</v>
      </c>
      <c r="G51" s="66" t="str">
        <f ca="1">IFERROR(__xludf.DUMMYFUNCTION("""COMPUTED_VALUE"""),"No")</f>
        <v>No</v>
      </c>
      <c r="H51" s="66" t="str">
        <f ca="1">IFERROR(__xludf.DUMMYFUNCTION("""COMPUTED_VALUE"""),"No")</f>
        <v>No</v>
      </c>
      <c r="I51" s="66">
        <f ca="1">IFERROR(__xludf.DUMMYFUNCTION("""COMPUTED_VALUE"""),0)</f>
        <v>0</v>
      </c>
      <c r="J51" s="68" t="str">
        <f ca="1">IFERROR(__xludf.DUMMYFUNCTION("""COMPUTED_VALUE"""),"https://drive.google.com/open?id=1lEpwiKvCdwRIeNr-XYFINLTXzsZygfTe")</f>
        <v>https://drive.google.com/open?id=1lEpwiKvCdwRIeNr-XYFINLTXzsZygfTe</v>
      </c>
      <c r="K51" s="66" t="str">
        <f ca="1">IFERROR(__xludf.DUMMYFUNCTION("""COMPUTED_VALUE"""),"2018-2022")</f>
        <v>2018-2022</v>
      </c>
      <c r="L51" s="66" t="str">
        <f ca="1">IFERROR(__xludf.DUMMYFUNCTION("""COMPUTED_VALUE"""),"S3: Student Internships")</f>
        <v>S3: Student Internships</v>
      </c>
      <c r="M51" s="66" t="str">
        <f ca="1">IFERROR(__xludf.DUMMYFUNCTION("""COMPUTED_VALUE"""),"sharmilayegireddi@gmail.com")</f>
        <v>sharmilayegireddi@gmail.com</v>
      </c>
      <c r="N51" s="66" t="str">
        <f ca="1">IFERROR(__xludf.DUMMYFUNCTION("""COMPUTED_VALUE"""),"SEM-8")</f>
        <v>SEM-8</v>
      </c>
      <c r="O51" s="69"/>
      <c r="P51" s="69"/>
      <c r="Q51" s="69"/>
      <c r="R51" s="69"/>
      <c r="S51" s="69"/>
      <c r="T51" s="69"/>
      <c r="U51" s="69"/>
      <c r="V51" s="69"/>
      <c r="W51" s="69"/>
      <c r="X51" s="69"/>
    </row>
    <row r="52" spans="1:24" ht="33" customHeight="1" x14ac:dyDescent="0.15">
      <c r="A52" s="66" t="str">
        <f ca="1">IFERROR(__xludf.DUMMYFUNCTION("""COMPUTED_VALUE"""),"Gummaluri A V L Sri Lekha")</f>
        <v>Gummaluri A V L Sri Lekha</v>
      </c>
      <c r="B52" s="66" t="str">
        <f ca="1">IFERROR(__xludf.DUMMYFUNCTION("""COMPUTED_VALUE"""),"18331A0555")</f>
        <v>18331A0555</v>
      </c>
      <c r="C52" s="66" t="str">
        <f ca="1">IFERROR(__xludf.DUMMYFUNCTION("""COMPUTED_VALUE"""),"Stumagz")</f>
        <v>Stumagz</v>
      </c>
      <c r="D52" s="66" t="str">
        <f ca="1">IFERROR(__xludf.DUMMYFUNCTION("""COMPUTED_VALUE"""),"50days")</f>
        <v>50days</v>
      </c>
      <c r="E52" s="67">
        <f ca="1">IFERROR(__xludf.DUMMYFUNCTION("""COMPUTED_VALUE"""),43992)</f>
        <v>43992</v>
      </c>
      <c r="F52" s="67">
        <f ca="1">IFERROR(__xludf.DUMMYFUNCTION("""COMPUTED_VALUE"""),44042)</f>
        <v>44042</v>
      </c>
      <c r="G52" s="66" t="str">
        <f ca="1">IFERROR(__xludf.DUMMYFUNCTION("""COMPUTED_VALUE"""),"No")</f>
        <v>No</v>
      </c>
      <c r="H52" s="66" t="str">
        <f ca="1">IFERROR(__xludf.DUMMYFUNCTION("""COMPUTED_VALUE"""),"No")</f>
        <v>No</v>
      </c>
      <c r="I52" s="66">
        <f ca="1">IFERROR(__xludf.DUMMYFUNCTION("""COMPUTED_VALUE"""),0)</f>
        <v>0</v>
      </c>
      <c r="J52" s="68" t="str">
        <f ca="1">IFERROR(__xludf.DUMMYFUNCTION("""COMPUTED_VALUE"""),"https://drive.google.com/open?id=17IrdOrM5riUDlK7k5Np6O4fQSFI_YiLU")</f>
        <v>https://drive.google.com/open?id=17IrdOrM5riUDlK7k5Np6O4fQSFI_YiLU</v>
      </c>
      <c r="K52" s="66" t="str">
        <f ca="1">IFERROR(__xludf.DUMMYFUNCTION("""COMPUTED_VALUE"""),"2018-2022")</f>
        <v>2018-2022</v>
      </c>
      <c r="L52" s="66" t="str">
        <f ca="1">IFERROR(__xludf.DUMMYFUNCTION("""COMPUTED_VALUE"""),"S3: Student Internships")</f>
        <v>S3: Student Internships</v>
      </c>
      <c r="M52" s="66" t="str">
        <f ca="1">IFERROR(__xludf.DUMMYFUNCTION("""COMPUTED_VALUE"""),"lekhasree1430@gmail.com")</f>
        <v>lekhasree1430@gmail.com</v>
      </c>
      <c r="N52" s="66" t="str">
        <f ca="1">IFERROR(__xludf.DUMMYFUNCTION("""COMPUTED_VALUE"""),"SEM-8")</f>
        <v>SEM-8</v>
      </c>
      <c r="O52" s="69"/>
      <c r="P52" s="69"/>
      <c r="Q52" s="69"/>
      <c r="R52" s="69"/>
      <c r="S52" s="69"/>
      <c r="T52" s="69"/>
      <c r="U52" s="69"/>
      <c r="V52" s="69"/>
      <c r="W52" s="69"/>
      <c r="X52" s="69"/>
    </row>
    <row r="53" spans="1:24" ht="33" customHeight="1" x14ac:dyDescent="0.15">
      <c r="A53" s="59" t="str">
        <f ca="1">IFERROR(__xludf.DUMMYFUNCTION("""COMPUTED_VALUE"""),"Chitikana Spandana ")</f>
        <v xml:space="preserve">Chitikana Spandana </v>
      </c>
      <c r="B53" s="59" t="str">
        <f ca="1">IFERROR(__xludf.DUMMYFUNCTION("""COMPUTED_VALUE"""),"18331A0527")</f>
        <v>18331A0527</v>
      </c>
      <c r="C53" s="59" t="str">
        <f ca="1">IFERROR(__xludf.DUMMYFUNCTION("""COMPUTED_VALUE"""),"Virtusa")</f>
        <v>Virtusa</v>
      </c>
      <c r="D53" s="59" t="str">
        <f ca="1">IFERROR(__xludf.DUMMYFUNCTION("""COMPUTED_VALUE"""),"3months")</f>
        <v>3months</v>
      </c>
      <c r="E53" s="70">
        <f ca="1">IFERROR(__xludf.DUMMYFUNCTION("""COMPUTED_VALUE"""),44547)</f>
        <v>44547</v>
      </c>
      <c r="F53" s="70">
        <f ca="1">IFERROR(__xludf.DUMMYFUNCTION("""COMPUTED_VALUE"""),44651)</f>
        <v>44651</v>
      </c>
      <c r="G53" s="59" t="str">
        <f ca="1">IFERROR(__xludf.DUMMYFUNCTION("""COMPUTED_VALUE"""),"Yes")</f>
        <v>Yes</v>
      </c>
      <c r="H53" s="59" t="str">
        <f ca="1">IFERROR(__xludf.DUMMYFUNCTION("""COMPUTED_VALUE"""),"No")</f>
        <v>No</v>
      </c>
      <c r="I53" s="59">
        <f ca="1">IFERROR(__xludf.DUMMYFUNCTION("""COMPUTED_VALUE"""),0)</f>
        <v>0</v>
      </c>
      <c r="J53" s="71" t="str">
        <f ca="1">IFERROR(__xludf.DUMMYFUNCTION("""COMPUTED_VALUE"""),"https://drive.google.com/open?id=1wwqvYj7G8Hq9WXoUmmD6Idk6NYqHxAoX")</f>
        <v>https://drive.google.com/open?id=1wwqvYj7G8Hq9WXoUmmD6Idk6NYqHxAoX</v>
      </c>
      <c r="K53" s="59" t="str">
        <f ca="1">IFERROR(__xludf.DUMMYFUNCTION("""COMPUTED_VALUE"""),"2018-2022")</f>
        <v>2018-2022</v>
      </c>
      <c r="L53" s="59" t="str">
        <f ca="1">IFERROR(__xludf.DUMMYFUNCTION("""COMPUTED_VALUE"""),"S3: Student Internships")</f>
        <v>S3: Student Internships</v>
      </c>
      <c r="M53" s="59" t="str">
        <f ca="1">IFERROR(__xludf.DUMMYFUNCTION("""COMPUTED_VALUE"""),"spandana1009@gmail.com")</f>
        <v>spandana1009@gmail.com</v>
      </c>
      <c r="N53" s="59" t="str">
        <f ca="1">IFERROR(__xludf.DUMMYFUNCTION("""COMPUTED_VALUE"""),"SEM-8")</f>
        <v>SEM-8</v>
      </c>
      <c r="O53" s="9"/>
      <c r="P53" s="9"/>
      <c r="Q53" s="9"/>
      <c r="R53" s="9"/>
      <c r="S53" s="9"/>
      <c r="T53" s="9"/>
      <c r="U53" s="9"/>
      <c r="V53" s="9"/>
      <c r="W53" s="9"/>
      <c r="X53" s="9"/>
    </row>
    <row r="54" spans="1:24" ht="33" customHeight="1" x14ac:dyDescent="0.15">
      <c r="A54" s="66" t="str">
        <f ca="1">IFERROR(__xludf.DUMMYFUNCTION("""COMPUTED_VALUE"""),"GANTA MOUNIKA")</f>
        <v>GANTA MOUNIKA</v>
      </c>
      <c r="B54" s="66" t="str">
        <f ca="1">IFERROR(__xludf.DUMMYFUNCTION("""COMPUTED_VALUE"""),"183331A0543")</f>
        <v>183331A0543</v>
      </c>
      <c r="C54" s="66" t="str">
        <f ca="1">IFERROR(__xludf.DUMMYFUNCTION("""COMPUTED_VALUE"""),"GoalStreet")</f>
        <v>GoalStreet</v>
      </c>
      <c r="D54" s="66" t="str">
        <f ca="1">IFERROR(__xludf.DUMMYFUNCTION("""COMPUTED_VALUE"""),"2 months")</f>
        <v>2 months</v>
      </c>
      <c r="E54" s="67">
        <f ca="1">IFERROR(__xludf.DUMMYFUNCTION("""COMPUTED_VALUE"""),44068)</f>
        <v>44068</v>
      </c>
      <c r="F54" s="67">
        <f ca="1">IFERROR(__xludf.DUMMYFUNCTION("""COMPUTED_VALUE"""),44129)</f>
        <v>44129</v>
      </c>
      <c r="G54" s="66" t="str">
        <f ca="1">IFERROR(__xludf.DUMMYFUNCTION("""COMPUTED_VALUE"""),"No")</f>
        <v>No</v>
      </c>
      <c r="H54" s="66" t="str">
        <f ca="1">IFERROR(__xludf.DUMMYFUNCTION("""COMPUTED_VALUE"""),"Yes")</f>
        <v>Yes</v>
      </c>
      <c r="I54" s="66">
        <f ca="1">IFERROR(__xludf.DUMMYFUNCTION("""COMPUTED_VALUE"""),2000)</f>
        <v>2000</v>
      </c>
      <c r="J54" s="68" t="str">
        <f ca="1">IFERROR(__xludf.DUMMYFUNCTION("""COMPUTED_VALUE"""),"https://drive.google.com/open?id=1ZeIF1osrfps_pQKFLERPH1SofXyLhKVp")</f>
        <v>https://drive.google.com/open?id=1ZeIF1osrfps_pQKFLERPH1SofXyLhKVp</v>
      </c>
      <c r="K54" s="66" t="str">
        <f ca="1">IFERROR(__xludf.DUMMYFUNCTION("""COMPUTED_VALUE"""),"2018-2022")</f>
        <v>2018-2022</v>
      </c>
      <c r="L54" s="66" t="str">
        <f ca="1">IFERROR(__xludf.DUMMYFUNCTION("""COMPUTED_VALUE"""),"S3: Student Internships")</f>
        <v>S3: Student Internships</v>
      </c>
      <c r="M54" s="66" t="str">
        <f ca="1">IFERROR(__xludf.DUMMYFUNCTION("""COMPUTED_VALUE"""),"mounikaganta2001@gmail.com")</f>
        <v>mounikaganta2001@gmail.com</v>
      </c>
      <c r="N54" s="66" t="str">
        <f ca="1">IFERROR(__xludf.DUMMYFUNCTION("""COMPUTED_VALUE"""),"SEM-8")</f>
        <v>SEM-8</v>
      </c>
      <c r="O54" s="69"/>
      <c r="P54" s="69"/>
      <c r="Q54" s="69"/>
      <c r="R54" s="69"/>
      <c r="S54" s="69"/>
      <c r="T54" s="69"/>
      <c r="U54" s="69"/>
      <c r="V54" s="69"/>
      <c r="W54" s="69"/>
      <c r="X54" s="69"/>
    </row>
    <row r="55" spans="1:24" ht="33" customHeight="1" x14ac:dyDescent="0.15">
      <c r="A55" s="66" t="str">
        <f ca="1">IFERROR(__xludf.DUMMYFUNCTION("""COMPUTED_VALUE"""),"Sathwick Sadanala ")</f>
        <v xml:space="preserve">Sathwick Sadanala </v>
      </c>
      <c r="B55" s="66" t="str">
        <f ca="1">IFERROR(__xludf.DUMMYFUNCTION("""COMPUTED_VALUE"""),"18331A05C6 ")</f>
        <v xml:space="preserve">18331A05C6 </v>
      </c>
      <c r="C55" s="66" t="str">
        <f ca="1">IFERROR(__xludf.DUMMYFUNCTION("""COMPUTED_VALUE"""),"AWS(Amazon)")</f>
        <v>AWS(Amazon)</v>
      </c>
      <c r="D55" s="66" t="str">
        <f ca="1">IFERROR(__xludf.DUMMYFUNCTION("""COMPUTED_VALUE"""),"10weeks")</f>
        <v>10weeks</v>
      </c>
      <c r="E55" s="67">
        <f ca="1">IFERROR(__xludf.DUMMYFUNCTION("""COMPUTED_VALUE"""),44470)</f>
        <v>44470</v>
      </c>
      <c r="F55" s="67">
        <f ca="1">IFERROR(__xludf.DUMMYFUNCTION("""COMPUTED_VALUE"""),44561)</f>
        <v>44561</v>
      </c>
      <c r="G55" s="66" t="str">
        <f ca="1">IFERROR(__xludf.DUMMYFUNCTION("""COMPUTED_VALUE"""),"No")</f>
        <v>No</v>
      </c>
      <c r="H55" s="66" t="str">
        <f ca="1">IFERROR(__xludf.DUMMYFUNCTION("""COMPUTED_VALUE"""),"No")</f>
        <v>No</v>
      </c>
      <c r="I55" s="66">
        <f ca="1">IFERROR(__xludf.DUMMYFUNCTION("""COMPUTED_VALUE"""),0)</f>
        <v>0</v>
      </c>
      <c r="J55" s="68" t="str">
        <f ca="1">IFERROR(__xludf.DUMMYFUNCTION("""COMPUTED_VALUE"""),"https://drive.google.com/open?id=1XYSKZ49HqIeghBbtItkh5MlLKQtpA4P9")</f>
        <v>https://drive.google.com/open?id=1XYSKZ49HqIeghBbtItkh5MlLKQtpA4P9</v>
      </c>
      <c r="K55" s="66" t="str">
        <f ca="1">IFERROR(__xludf.DUMMYFUNCTION("""COMPUTED_VALUE"""),"2018-2022")</f>
        <v>2018-2022</v>
      </c>
      <c r="L55" s="66" t="str">
        <f ca="1">IFERROR(__xludf.DUMMYFUNCTION("""COMPUTED_VALUE"""),"S3: Student Internships")</f>
        <v>S3: Student Internships</v>
      </c>
      <c r="M55" s="66" t="str">
        <f ca="1">IFERROR(__xludf.DUMMYFUNCTION("""COMPUTED_VALUE"""),"sadanalasathwick@gmail.com")</f>
        <v>sadanalasathwick@gmail.com</v>
      </c>
      <c r="N55" s="66" t="str">
        <f ca="1">IFERROR(__xludf.DUMMYFUNCTION("""COMPUTED_VALUE"""),"SEM-6")</f>
        <v>SEM-6</v>
      </c>
      <c r="O55" s="69"/>
      <c r="P55" s="69"/>
      <c r="Q55" s="69"/>
      <c r="R55" s="69"/>
      <c r="S55" s="69"/>
      <c r="T55" s="69"/>
      <c r="U55" s="69"/>
      <c r="V55" s="69"/>
      <c r="W55" s="69"/>
      <c r="X55" s="69"/>
    </row>
    <row r="56" spans="1:24" ht="33" customHeight="1" x14ac:dyDescent="0.15">
      <c r="A56" s="66" t="str">
        <f ca="1">IFERROR(__xludf.DUMMYFUNCTION("""COMPUTED_VALUE"""),"AKASAPU HEMANTH KUMAR ")</f>
        <v xml:space="preserve">AKASAPU HEMANTH KUMAR </v>
      </c>
      <c r="B56" s="66" t="str">
        <f ca="1">IFERROR(__xludf.DUMMYFUNCTION("""COMPUTED_VALUE"""),"18331A0502 ")</f>
        <v xml:space="preserve">18331A0502 </v>
      </c>
      <c r="C56" s="66" t="str">
        <f ca="1">IFERROR(__xludf.DUMMYFUNCTION("""COMPUTED_VALUE"""),"AICTE")</f>
        <v>AICTE</v>
      </c>
      <c r="D56" s="66" t="str">
        <f ca="1">IFERROR(__xludf.DUMMYFUNCTION("""COMPUTED_VALUE"""),"10 weeks")</f>
        <v>10 weeks</v>
      </c>
      <c r="E56" s="67">
        <f ca="1">IFERROR(__xludf.DUMMYFUNCTION("""COMPUTED_VALUE"""),44470)</f>
        <v>44470</v>
      </c>
      <c r="F56" s="67">
        <f ca="1">IFERROR(__xludf.DUMMYFUNCTION("""COMPUTED_VALUE"""),44561)</f>
        <v>44561</v>
      </c>
      <c r="G56" s="66" t="str">
        <f ca="1">IFERROR(__xludf.DUMMYFUNCTION("""COMPUTED_VALUE"""),"No")</f>
        <v>No</v>
      </c>
      <c r="H56" s="66" t="str">
        <f ca="1">IFERROR(__xludf.DUMMYFUNCTION("""COMPUTED_VALUE"""),"No")</f>
        <v>No</v>
      </c>
      <c r="I56" s="66">
        <f ca="1">IFERROR(__xludf.DUMMYFUNCTION("""COMPUTED_VALUE"""),0)</f>
        <v>0</v>
      </c>
      <c r="J56" s="68" t="str">
        <f ca="1">IFERROR(__xludf.DUMMYFUNCTION("""COMPUTED_VALUE"""),"https://drive.google.com/open?id=1EmvpTa5j_6na-7NvTE7ZmRtnvUJ1ecxS")</f>
        <v>https://drive.google.com/open?id=1EmvpTa5j_6na-7NvTE7ZmRtnvUJ1ecxS</v>
      </c>
      <c r="K56" s="66" t="str">
        <f ca="1">IFERROR(__xludf.DUMMYFUNCTION("""COMPUTED_VALUE"""),"2018-2022")</f>
        <v>2018-2022</v>
      </c>
      <c r="L56" s="66" t="str">
        <f ca="1">IFERROR(__xludf.DUMMYFUNCTION("""COMPUTED_VALUE"""),"S3: Student Internships")</f>
        <v>S3: Student Internships</v>
      </c>
      <c r="M56" s="66" t="str">
        <f ca="1">IFERROR(__xludf.DUMMYFUNCTION("""COMPUTED_VALUE"""),"akasapuhemanthkumar@gmail.com")</f>
        <v>akasapuhemanthkumar@gmail.com</v>
      </c>
      <c r="N56" s="66" t="str">
        <f ca="1">IFERROR(__xludf.DUMMYFUNCTION("""COMPUTED_VALUE"""),"SEM-7")</f>
        <v>SEM-7</v>
      </c>
      <c r="O56" s="69"/>
      <c r="P56" s="69"/>
      <c r="Q56" s="69"/>
      <c r="R56" s="69"/>
      <c r="S56" s="69"/>
      <c r="T56" s="69"/>
      <c r="U56" s="69"/>
      <c r="V56" s="69"/>
      <c r="W56" s="69"/>
      <c r="X56" s="69"/>
    </row>
    <row r="57" spans="1:24" ht="33" customHeight="1" x14ac:dyDescent="0.15">
      <c r="A57" s="66" t="str">
        <f ca="1">IFERROR(__xludf.DUMMYFUNCTION("""COMPUTED_VALUE"""),"Srihita Gottimukkala")</f>
        <v>Srihita Gottimukkala</v>
      </c>
      <c r="B57" s="66" t="str">
        <f ca="1">IFERROR(__xludf.DUMMYFUNCTION("""COMPUTED_VALUE"""),"18331A0551")</f>
        <v>18331A0551</v>
      </c>
      <c r="C57" s="66" t="str">
        <f ca="1">IFERROR(__xludf.DUMMYFUNCTION("""COMPUTED_VALUE"""),"AWS Cloud virtual internship -AICTE")</f>
        <v>AWS Cloud virtual internship -AICTE</v>
      </c>
      <c r="D57" s="66" t="str">
        <f ca="1">IFERROR(__xludf.DUMMYFUNCTION("""COMPUTED_VALUE"""),"2 months")</f>
        <v>2 months</v>
      </c>
      <c r="E57" s="67">
        <f ca="1">IFERROR(__xludf.DUMMYFUNCTION("""COMPUTED_VALUE"""),44470)</f>
        <v>44470</v>
      </c>
      <c r="F57" s="67">
        <f ca="1">IFERROR(__xludf.DUMMYFUNCTION("""COMPUTED_VALUE"""),44531)</f>
        <v>44531</v>
      </c>
      <c r="G57" s="66" t="str">
        <f ca="1">IFERROR(__xludf.DUMMYFUNCTION("""COMPUTED_VALUE"""),"No")</f>
        <v>No</v>
      </c>
      <c r="H57" s="66" t="str">
        <f ca="1">IFERROR(__xludf.DUMMYFUNCTION("""COMPUTED_VALUE"""),"No")</f>
        <v>No</v>
      </c>
      <c r="I57" s="66">
        <f ca="1">IFERROR(__xludf.DUMMYFUNCTION("""COMPUTED_VALUE"""),0)</f>
        <v>0</v>
      </c>
      <c r="J57" s="68" t="str">
        <f ca="1">IFERROR(__xludf.DUMMYFUNCTION("""COMPUTED_VALUE"""),"https://drive.google.com/open?id=1MlxCiiHa-jCKLhW0mp25BWHjk-pxLFWX")</f>
        <v>https://drive.google.com/open?id=1MlxCiiHa-jCKLhW0mp25BWHjk-pxLFWX</v>
      </c>
      <c r="K57" s="66" t="str">
        <f ca="1">IFERROR(__xludf.DUMMYFUNCTION("""COMPUTED_VALUE"""),"2018-2022")</f>
        <v>2018-2022</v>
      </c>
      <c r="L57" s="66" t="str">
        <f ca="1">IFERROR(__xludf.DUMMYFUNCTION("""COMPUTED_VALUE"""),"S3: Student Internships")</f>
        <v>S3: Student Internships</v>
      </c>
      <c r="M57" s="66" t="str">
        <f ca="1">IFERROR(__xludf.DUMMYFUNCTION("""COMPUTED_VALUE"""),"shrivarma29@gmail.com")</f>
        <v>shrivarma29@gmail.com</v>
      </c>
      <c r="N57" s="66" t="str">
        <f ca="1">IFERROR(__xludf.DUMMYFUNCTION("""COMPUTED_VALUE"""),"SEM-8")</f>
        <v>SEM-8</v>
      </c>
      <c r="O57" s="69"/>
      <c r="P57" s="69"/>
      <c r="Q57" s="69"/>
      <c r="R57" s="69"/>
      <c r="S57" s="69"/>
      <c r="T57" s="69"/>
      <c r="U57" s="69"/>
      <c r="V57" s="69"/>
      <c r="W57" s="69"/>
      <c r="X57" s="69"/>
    </row>
    <row r="58" spans="1:24" ht="33" customHeight="1" x14ac:dyDescent="0.15">
      <c r="A58" s="66" t="str">
        <f ca="1">IFERROR(__xludf.DUMMYFUNCTION("""COMPUTED_VALUE"""),"AKASAPU HEMANTH KUMAR")</f>
        <v>AKASAPU HEMANTH KUMAR</v>
      </c>
      <c r="B58" s="66" t="str">
        <f ca="1">IFERROR(__xludf.DUMMYFUNCTION("""COMPUTED_VALUE"""),"18331A0502 ")</f>
        <v xml:space="preserve">18331A0502 </v>
      </c>
      <c r="C58" s="66" t="str">
        <f ca="1">IFERROR(__xludf.DUMMYFUNCTION("""COMPUTED_VALUE"""),"Mindtree")</f>
        <v>Mindtree</v>
      </c>
      <c r="D58" s="66" t="str">
        <f ca="1">IFERROR(__xludf.DUMMYFUNCTION("""COMPUTED_VALUE"""),"3 months")</f>
        <v>3 months</v>
      </c>
      <c r="E58" s="67">
        <f ca="1">IFERROR(__xludf.DUMMYFUNCTION("""COMPUTED_VALUE"""),44621)</f>
        <v>44621</v>
      </c>
      <c r="F58" s="67">
        <f ca="1">IFERROR(__xludf.DUMMYFUNCTION("""COMPUTED_VALUE"""),44696)</f>
        <v>44696</v>
      </c>
      <c r="G58" s="66" t="str">
        <f ca="1">IFERROR(__xludf.DUMMYFUNCTION("""COMPUTED_VALUE"""),"Yes")</f>
        <v>Yes</v>
      </c>
      <c r="H58" s="66" t="str">
        <f ca="1">IFERROR(__xludf.DUMMYFUNCTION("""COMPUTED_VALUE"""),"No")</f>
        <v>No</v>
      </c>
      <c r="I58" s="66">
        <f ca="1">IFERROR(__xludf.DUMMYFUNCTION("""COMPUTED_VALUE"""),0)</f>
        <v>0</v>
      </c>
      <c r="J58" s="68" t="str">
        <f ca="1">IFERROR(__xludf.DUMMYFUNCTION("""COMPUTED_VALUE"""),"https://drive.google.com/open?id=1Qkly311R7TArLslRUrk4QxzeuF6u8THT")</f>
        <v>https://drive.google.com/open?id=1Qkly311R7TArLslRUrk4QxzeuF6u8THT</v>
      </c>
      <c r="K58" s="66" t="str">
        <f ca="1">IFERROR(__xludf.DUMMYFUNCTION("""COMPUTED_VALUE"""),"2018-2022")</f>
        <v>2018-2022</v>
      </c>
      <c r="L58" s="66" t="str">
        <f ca="1">IFERROR(__xludf.DUMMYFUNCTION("""COMPUTED_VALUE"""),"S3: Student Internships")</f>
        <v>S3: Student Internships</v>
      </c>
      <c r="M58" s="66" t="str">
        <f ca="1">IFERROR(__xludf.DUMMYFUNCTION("""COMPUTED_VALUE"""),"akasapuhemanthkumar@gmail.com")</f>
        <v>akasapuhemanthkumar@gmail.com</v>
      </c>
      <c r="N58" s="66" t="str">
        <f ca="1">IFERROR(__xludf.DUMMYFUNCTION("""COMPUTED_VALUE"""),"SEM-8")</f>
        <v>SEM-8</v>
      </c>
      <c r="O58" s="69"/>
      <c r="P58" s="69"/>
      <c r="Q58" s="69"/>
      <c r="R58" s="69"/>
      <c r="S58" s="69"/>
      <c r="T58" s="69"/>
      <c r="U58" s="69"/>
      <c r="V58" s="69"/>
      <c r="W58" s="69"/>
      <c r="X58" s="69"/>
    </row>
    <row r="59" spans="1:24" ht="33" customHeight="1" x14ac:dyDescent="0.15">
      <c r="A59" s="66" t="str">
        <f ca="1">IFERROR(__xludf.DUMMYFUNCTION("""COMPUTED_VALUE"""),"Sathwick Sadanala ")</f>
        <v xml:space="preserve">Sathwick Sadanala </v>
      </c>
      <c r="B59" s="66" t="str">
        <f ca="1">IFERROR(__xludf.DUMMYFUNCTION("""COMPUTED_VALUE"""),"18331A05C6 ")</f>
        <v xml:space="preserve">18331A05C6 </v>
      </c>
      <c r="C59" s="66" t="str">
        <f ca="1">IFERROR(__xludf.DUMMYFUNCTION("""COMPUTED_VALUE"""),"Capgemini")</f>
        <v>Capgemini</v>
      </c>
      <c r="D59" s="66" t="str">
        <f ca="1">IFERROR(__xludf.DUMMYFUNCTION("""COMPUTED_VALUE"""),"3months")</f>
        <v>3months</v>
      </c>
      <c r="E59" s="67">
        <f ca="1">IFERROR(__xludf.DUMMYFUNCTION("""COMPUTED_VALUE"""),44622)</f>
        <v>44622</v>
      </c>
      <c r="F59" s="67">
        <f ca="1">IFERROR(__xludf.DUMMYFUNCTION("""COMPUTED_VALUE"""),44721)</f>
        <v>44721</v>
      </c>
      <c r="G59" s="66" t="str">
        <f ca="1">IFERROR(__xludf.DUMMYFUNCTION("""COMPUTED_VALUE"""),"No")</f>
        <v>No</v>
      </c>
      <c r="H59" s="66" t="str">
        <f ca="1">IFERROR(__xludf.DUMMYFUNCTION("""COMPUTED_VALUE"""),"No")</f>
        <v>No</v>
      </c>
      <c r="I59" s="66">
        <f ca="1">IFERROR(__xludf.DUMMYFUNCTION("""COMPUTED_VALUE"""),0)</f>
        <v>0</v>
      </c>
      <c r="J59" s="68" t="str">
        <f ca="1">IFERROR(__xludf.DUMMYFUNCTION("""COMPUTED_VALUE"""),"https://drive.google.com/open?id=1OtmRwww0kHx5VNyzxRZUw9VdnrJnpqf0")</f>
        <v>https://drive.google.com/open?id=1OtmRwww0kHx5VNyzxRZUw9VdnrJnpqf0</v>
      </c>
      <c r="K59" s="66" t="str">
        <f ca="1">IFERROR(__xludf.DUMMYFUNCTION("""COMPUTED_VALUE"""),"2018-2022")</f>
        <v>2018-2022</v>
      </c>
      <c r="L59" s="66" t="str">
        <f ca="1">IFERROR(__xludf.DUMMYFUNCTION("""COMPUTED_VALUE"""),"S3: Student Internships")</f>
        <v>S3: Student Internships</v>
      </c>
      <c r="M59" s="66" t="str">
        <f ca="1">IFERROR(__xludf.DUMMYFUNCTION("""COMPUTED_VALUE"""),"sadanalasathwick@gmail.com")</f>
        <v>sadanalasathwick@gmail.com</v>
      </c>
      <c r="N59" s="66" t="str">
        <f ca="1">IFERROR(__xludf.DUMMYFUNCTION("""COMPUTED_VALUE"""),"SEM-8")</f>
        <v>SEM-8</v>
      </c>
      <c r="O59" s="69"/>
      <c r="P59" s="69"/>
      <c r="Q59" s="69"/>
      <c r="R59" s="69"/>
      <c r="S59" s="69"/>
      <c r="T59" s="69"/>
      <c r="U59" s="69"/>
      <c r="V59" s="69"/>
      <c r="W59" s="69"/>
      <c r="X59" s="69"/>
    </row>
    <row r="60" spans="1:24" ht="33" customHeight="1" x14ac:dyDescent="0.15">
      <c r="A60" s="59" t="str">
        <f ca="1">IFERROR(__xludf.DUMMYFUNCTION("""COMPUTED_VALUE"""),"MEESALA UPENDRA VENKATA AKHIL ")</f>
        <v xml:space="preserve">MEESALA UPENDRA VENKATA AKHIL </v>
      </c>
      <c r="B60" s="59" t="str">
        <f ca="1">IFERROR(__xludf.DUMMYFUNCTION("""COMPUTED_VALUE"""),"18331A0597")</f>
        <v>18331A0597</v>
      </c>
      <c r="C60" s="59" t="str">
        <f ca="1">IFERROR(__xludf.DUMMYFUNCTION("""COMPUTED_VALUE"""),"Aws AICTE")</f>
        <v>Aws AICTE</v>
      </c>
      <c r="D60" s="59" t="str">
        <f ca="1">IFERROR(__xludf.DUMMYFUNCTION("""COMPUTED_VALUE"""),"10 weeks ")</f>
        <v xml:space="preserve">10 weeks </v>
      </c>
      <c r="E60" s="70">
        <f ca="1">IFERROR(__xludf.DUMMYFUNCTION("""COMPUTED_VALUE"""),44418)</f>
        <v>44418</v>
      </c>
      <c r="F60" s="70">
        <f ca="1">IFERROR(__xludf.DUMMYFUNCTION("""COMPUTED_VALUE"""),44544)</f>
        <v>44544</v>
      </c>
      <c r="G60" s="59" t="str">
        <f ca="1">IFERROR(__xludf.DUMMYFUNCTION("""COMPUTED_VALUE"""),"No")</f>
        <v>No</v>
      </c>
      <c r="H60" s="59" t="str">
        <f ca="1">IFERROR(__xludf.DUMMYFUNCTION("""COMPUTED_VALUE"""),"No")</f>
        <v>No</v>
      </c>
      <c r="I60" s="59">
        <f ca="1">IFERROR(__xludf.DUMMYFUNCTION("""COMPUTED_VALUE"""),0)</f>
        <v>0</v>
      </c>
      <c r="J60" s="71" t="str">
        <f ca="1">IFERROR(__xludf.DUMMYFUNCTION("""COMPUTED_VALUE"""),"https://drive.google.com/open?id=1C_pOOqVb4BweyXOmoWqjvKoBG_jRZya9")</f>
        <v>https://drive.google.com/open?id=1C_pOOqVb4BweyXOmoWqjvKoBG_jRZya9</v>
      </c>
      <c r="K60" s="59" t="str">
        <f ca="1">IFERROR(__xludf.DUMMYFUNCTION("""COMPUTED_VALUE"""),"2018-2022")</f>
        <v>2018-2022</v>
      </c>
      <c r="L60" s="59" t="str">
        <f ca="1">IFERROR(__xludf.DUMMYFUNCTION("""COMPUTED_VALUE"""),"S3: Student Internships")</f>
        <v>S3: Student Internships</v>
      </c>
      <c r="M60" s="59" t="str">
        <f ca="1">IFERROR(__xludf.DUMMYFUNCTION("""COMPUTED_VALUE"""),"meesalaakhil2000@gmail.com")</f>
        <v>meesalaakhil2000@gmail.com</v>
      </c>
      <c r="N60" s="59" t="str">
        <f ca="1">IFERROR(__xludf.DUMMYFUNCTION("""COMPUTED_VALUE"""),"SEM-7")</f>
        <v>SEM-7</v>
      </c>
      <c r="O60" s="9"/>
      <c r="P60" s="9"/>
      <c r="Q60" s="9"/>
      <c r="R60" s="9"/>
      <c r="S60" s="9"/>
      <c r="T60" s="9"/>
      <c r="U60" s="9"/>
      <c r="V60" s="9"/>
      <c r="W60" s="9"/>
      <c r="X60" s="9"/>
    </row>
    <row r="61" spans="1:24" ht="33" customHeight="1" x14ac:dyDescent="0.15">
      <c r="A61" s="59" t="str">
        <f ca="1">IFERROR(__xludf.DUMMYFUNCTION("""COMPUTED_VALUE"""),"Alluri Vishnu Vardhan Varma ")</f>
        <v xml:space="preserve">Alluri Vishnu Vardhan Varma </v>
      </c>
      <c r="B61" s="59" t="str">
        <f ca="1">IFERROR(__xludf.DUMMYFUNCTION("""COMPUTED_VALUE"""),"18331A0504")</f>
        <v>18331A0504</v>
      </c>
      <c r="C61" s="59" t="str">
        <f ca="1">IFERROR(__xludf.DUMMYFUNCTION("""COMPUTED_VALUE"""),"Verzeo")</f>
        <v>Verzeo</v>
      </c>
      <c r="D61" s="59" t="str">
        <f ca="1">IFERROR(__xludf.DUMMYFUNCTION("""COMPUTED_VALUE"""),"3 months")</f>
        <v>3 months</v>
      </c>
      <c r="E61" s="70">
        <f ca="1">IFERROR(__xludf.DUMMYFUNCTION("""COMPUTED_VALUE"""),44075)</f>
        <v>44075</v>
      </c>
      <c r="F61" s="70">
        <f ca="1">IFERROR(__xludf.DUMMYFUNCTION("""COMPUTED_VALUE"""),44136)</f>
        <v>44136</v>
      </c>
      <c r="G61" s="59" t="str">
        <f ca="1">IFERROR(__xludf.DUMMYFUNCTION("""COMPUTED_VALUE"""),"No")</f>
        <v>No</v>
      </c>
      <c r="H61" s="59" t="str">
        <f ca="1">IFERROR(__xludf.DUMMYFUNCTION("""COMPUTED_VALUE"""),"Yes")</f>
        <v>Yes</v>
      </c>
      <c r="I61" s="59">
        <f ca="1">IFERROR(__xludf.DUMMYFUNCTION("""COMPUTED_VALUE"""),5000)</f>
        <v>5000</v>
      </c>
      <c r="J61" s="71" t="str">
        <f ca="1">IFERROR(__xludf.DUMMYFUNCTION("""COMPUTED_VALUE"""),"https://drive.google.com/open?id=1jMO4xex9aLpQ4Gd4CThhIclPonr9dDQn")</f>
        <v>https://drive.google.com/open?id=1jMO4xex9aLpQ4Gd4CThhIclPonr9dDQn</v>
      </c>
      <c r="K61" s="59" t="str">
        <f ca="1">IFERROR(__xludf.DUMMYFUNCTION("""COMPUTED_VALUE"""),"2018-2022")</f>
        <v>2018-2022</v>
      </c>
      <c r="L61" s="59" t="str">
        <f ca="1">IFERROR(__xludf.DUMMYFUNCTION("""COMPUTED_VALUE"""),"S3: Student Internships")</f>
        <v>S3: Student Internships</v>
      </c>
      <c r="M61" s="59" t="str">
        <f ca="1">IFERROR(__xludf.DUMMYFUNCTION("""COMPUTED_VALUE"""),"vvvarma2001@gmail.com")</f>
        <v>vvvarma2001@gmail.com</v>
      </c>
      <c r="N61" s="59" t="str">
        <f ca="1">IFERROR(__xludf.DUMMYFUNCTION("""COMPUTED_VALUE"""),"SEM-8")</f>
        <v>SEM-8</v>
      </c>
      <c r="O61" s="9"/>
      <c r="P61" s="9"/>
      <c r="Q61" s="9"/>
      <c r="R61" s="9"/>
      <c r="S61" s="9"/>
      <c r="T61" s="9"/>
      <c r="U61" s="9"/>
      <c r="V61" s="9"/>
      <c r="W61" s="9"/>
      <c r="X61" s="9"/>
    </row>
    <row r="62" spans="1:24" ht="33" customHeight="1" x14ac:dyDescent="0.15">
      <c r="A62" s="66" t="str">
        <f ca="1">IFERROR(__xludf.DUMMYFUNCTION("""COMPUTED_VALUE"""),"VADLAPUDI DHEERAJ KUMAR ")</f>
        <v xml:space="preserve">VADLAPUDI DHEERAJ KUMAR </v>
      </c>
      <c r="B62" s="66" t="str">
        <f ca="1">IFERROR(__xludf.DUMMYFUNCTION("""COMPUTED_VALUE"""),"18331A05G4")</f>
        <v>18331A05G4</v>
      </c>
      <c r="C62" s="66" t="str">
        <f ca="1">IFERROR(__xludf.DUMMYFUNCTION("""COMPUTED_VALUE"""),"AMAZON")</f>
        <v>AMAZON</v>
      </c>
      <c r="D62" s="66" t="str">
        <f ca="1">IFERROR(__xludf.DUMMYFUNCTION("""COMPUTED_VALUE"""),"10 weeks")</f>
        <v>10 weeks</v>
      </c>
      <c r="E62" s="67">
        <f ca="1">IFERROR(__xludf.DUMMYFUNCTION("""COMPUTED_VALUE"""),44473)</f>
        <v>44473</v>
      </c>
      <c r="F62" s="67">
        <f ca="1">IFERROR(__xludf.DUMMYFUNCTION("""COMPUTED_VALUE"""),44561)</f>
        <v>44561</v>
      </c>
      <c r="G62" s="66" t="str">
        <f ca="1">IFERROR(__xludf.DUMMYFUNCTION("""COMPUTED_VALUE"""),"No")</f>
        <v>No</v>
      </c>
      <c r="H62" s="66" t="str">
        <f ca="1">IFERROR(__xludf.DUMMYFUNCTION("""COMPUTED_VALUE"""),"No")</f>
        <v>No</v>
      </c>
      <c r="I62" s="66">
        <f ca="1">IFERROR(__xludf.DUMMYFUNCTION("""COMPUTED_VALUE"""),0)</f>
        <v>0</v>
      </c>
      <c r="J62" s="68" t="str">
        <f ca="1">IFERROR(__xludf.DUMMYFUNCTION("""COMPUTED_VALUE"""),"https://drive.google.com/open?id=1JaMGYAXjB8A_wX0xWqvSLF4SkKfTv8wQ")</f>
        <v>https://drive.google.com/open?id=1JaMGYAXjB8A_wX0xWqvSLF4SkKfTv8wQ</v>
      </c>
      <c r="K62" s="66" t="str">
        <f ca="1">IFERROR(__xludf.DUMMYFUNCTION("""COMPUTED_VALUE"""),"2018-2022")</f>
        <v>2018-2022</v>
      </c>
      <c r="L62" s="66" t="str">
        <f ca="1">IFERROR(__xludf.DUMMYFUNCTION("""COMPUTED_VALUE"""),"S3: Student Internships")</f>
        <v>S3: Student Internships</v>
      </c>
      <c r="M62" s="66" t="str">
        <f ca="1">IFERROR(__xludf.DUMMYFUNCTION("""COMPUTED_VALUE"""),"vdkumar1200@gmail.com")</f>
        <v>vdkumar1200@gmail.com</v>
      </c>
      <c r="N62" s="66" t="str">
        <f ca="1">IFERROR(__xludf.DUMMYFUNCTION("""COMPUTED_VALUE"""),"SEM-8")</f>
        <v>SEM-8</v>
      </c>
      <c r="O62" s="69"/>
      <c r="P62" s="69"/>
      <c r="Q62" s="69"/>
      <c r="R62" s="69"/>
      <c r="S62" s="69"/>
      <c r="T62" s="69"/>
      <c r="U62" s="69"/>
      <c r="V62" s="69"/>
      <c r="W62" s="69"/>
      <c r="X62" s="69"/>
    </row>
    <row r="63" spans="1:24" ht="33" customHeight="1" x14ac:dyDescent="0.15">
      <c r="A63" s="66" t="str">
        <f ca="1">IFERROR(__xludf.DUMMYFUNCTION("""COMPUTED_VALUE"""),"Jakkula Praseeda")</f>
        <v>Jakkula Praseeda</v>
      </c>
      <c r="B63" s="66" t="str">
        <f ca="1">IFERROR(__xludf.DUMMYFUNCTION("""COMPUTED_VALUE"""),"18331A0559 ")</f>
        <v xml:space="preserve">18331A0559 </v>
      </c>
      <c r="C63" s="66" t="str">
        <f ca="1">IFERROR(__xludf.DUMMYFUNCTION("""COMPUTED_VALUE"""),"Tcs")</f>
        <v>Tcs</v>
      </c>
      <c r="D63" s="66" t="str">
        <f ca="1">IFERROR(__xludf.DUMMYFUNCTION("""COMPUTED_VALUE"""),"2months")</f>
        <v>2months</v>
      </c>
      <c r="E63" s="67">
        <f ca="1">IFERROR(__xludf.DUMMYFUNCTION("""COMPUTED_VALUE"""),44615)</f>
        <v>44615</v>
      </c>
      <c r="F63" s="67">
        <f ca="1">IFERROR(__xludf.DUMMYFUNCTION("""COMPUTED_VALUE"""),44680)</f>
        <v>44680</v>
      </c>
      <c r="G63" s="66" t="str">
        <f ca="1">IFERROR(__xludf.DUMMYFUNCTION("""COMPUTED_VALUE"""),"No")</f>
        <v>No</v>
      </c>
      <c r="H63" s="66" t="str">
        <f ca="1">IFERROR(__xludf.DUMMYFUNCTION("""COMPUTED_VALUE"""),"No")</f>
        <v>No</v>
      </c>
      <c r="I63" s="66">
        <f ca="1">IFERROR(__xludf.DUMMYFUNCTION("""COMPUTED_VALUE"""),0)</f>
        <v>0</v>
      </c>
      <c r="J63" s="68" t="str">
        <f ca="1">IFERROR(__xludf.DUMMYFUNCTION("""COMPUTED_VALUE"""),"https://drive.google.com/open?id=1mmIxRh7KV6AuPrt8ko_SCJfjgabXIUqI")</f>
        <v>https://drive.google.com/open?id=1mmIxRh7KV6AuPrt8ko_SCJfjgabXIUqI</v>
      </c>
      <c r="K63" s="66" t="str">
        <f ca="1">IFERROR(__xludf.DUMMYFUNCTION("""COMPUTED_VALUE"""),"2018-2022")</f>
        <v>2018-2022</v>
      </c>
      <c r="L63" s="66" t="str">
        <f ca="1">IFERROR(__xludf.DUMMYFUNCTION("""COMPUTED_VALUE"""),"S3: Student Internships")</f>
        <v>S3: Student Internships</v>
      </c>
      <c r="M63" s="66" t="str">
        <f ca="1">IFERROR(__xludf.DUMMYFUNCTION("""COMPUTED_VALUE"""),"jakkulapraseeda8@gmail.com")</f>
        <v>jakkulapraseeda8@gmail.com</v>
      </c>
      <c r="N63" s="66" t="str">
        <f ca="1">IFERROR(__xludf.DUMMYFUNCTION("""COMPUTED_VALUE"""),"SEM-8")</f>
        <v>SEM-8</v>
      </c>
      <c r="O63" s="69"/>
      <c r="P63" s="69"/>
      <c r="Q63" s="69"/>
      <c r="R63" s="69"/>
      <c r="S63" s="69"/>
      <c r="T63" s="69"/>
      <c r="U63" s="69"/>
      <c r="V63" s="69"/>
      <c r="W63" s="69"/>
      <c r="X63" s="69"/>
    </row>
    <row r="64" spans="1:24" ht="33" customHeight="1" x14ac:dyDescent="0.15">
      <c r="A64" s="66" t="str">
        <f ca="1">IFERROR(__xludf.DUMMYFUNCTION("""COMPUTED_VALUE"""),"MEESALA UPENDRA VENKATA AKHIL")</f>
        <v>MEESALA UPENDRA VENKATA AKHIL</v>
      </c>
      <c r="B64" s="66" t="str">
        <f ca="1">IFERROR(__xludf.DUMMYFUNCTION("""COMPUTED_VALUE"""),"18331A0597")</f>
        <v>18331A0597</v>
      </c>
      <c r="C64" s="66" t="str">
        <f ca="1">IFERROR(__xludf.DUMMYFUNCTION("""COMPUTED_VALUE"""),"Wipro")</f>
        <v>Wipro</v>
      </c>
      <c r="D64" s="66" t="str">
        <f ca="1">IFERROR(__xludf.DUMMYFUNCTION("""COMPUTED_VALUE"""),"10 weeks")</f>
        <v>10 weeks</v>
      </c>
      <c r="E64" s="67">
        <f ca="1">IFERROR(__xludf.DUMMYFUNCTION("""COMPUTED_VALUE"""),44630)</f>
        <v>44630</v>
      </c>
      <c r="F64" s="67">
        <f ca="1">IFERROR(__xludf.DUMMYFUNCTION("""COMPUTED_VALUE"""),44771)</f>
        <v>44771</v>
      </c>
      <c r="G64" s="66" t="str">
        <f ca="1">IFERROR(__xludf.DUMMYFUNCTION("""COMPUTED_VALUE"""),"No")</f>
        <v>No</v>
      </c>
      <c r="H64" s="66" t="str">
        <f ca="1">IFERROR(__xludf.DUMMYFUNCTION("""COMPUTED_VALUE"""),"No")</f>
        <v>No</v>
      </c>
      <c r="I64" s="66">
        <f ca="1">IFERROR(__xludf.DUMMYFUNCTION("""COMPUTED_VALUE"""),0)</f>
        <v>0</v>
      </c>
      <c r="J64" s="68" t="str">
        <f ca="1">IFERROR(__xludf.DUMMYFUNCTION("""COMPUTED_VALUE"""),"https://drive.google.com/open?id=1P_kXvTodQgrAxLcYoHJL7hFzaXkWsdjp")</f>
        <v>https://drive.google.com/open?id=1P_kXvTodQgrAxLcYoHJL7hFzaXkWsdjp</v>
      </c>
      <c r="K64" s="66" t="str">
        <f ca="1">IFERROR(__xludf.DUMMYFUNCTION("""COMPUTED_VALUE"""),"2018-2022")</f>
        <v>2018-2022</v>
      </c>
      <c r="L64" s="66" t="str">
        <f ca="1">IFERROR(__xludf.DUMMYFUNCTION("""COMPUTED_VALUE"""),"S3: Student Internships")</f>
        <v>S3: Student Internships</v>
      </c>
      <c r="M64" s="66" t="str">
        <f ca="1">IFERROR(__xludf.DUMMYFUNCTION("""COMPUTED_VALUE"""),"meesalaakhil2000@gmail.com")</f>
        <v>meesalaakhil2000@gmail.com</v>
      </c>
      <c r="N64" s="66" t="str">
        <f ca="1">IFERROR(__xludf.DUMMYFUNCTION("""COMPUTED_VALUE"""),"SEM-8")</f>
        <v>SEM-8</v>
      </c>
      <c r="O64" s="69"/>
      <c r="P64" s="69"/>
      <c r="Q64" s="69"/>
      <c r="R64" s="69"/>
      <c r="S64" s="69"/>
      <c r="T64" s="69"/>
      <c r="U64" s="69"/>
      <c r="V64" s="69"/>
      <c r="W64" s="69"/>
      <c r="X64" s="69"/>
    </row>
    <row r="65" spans="1:24" ht="33" customHeight="1" x14ac:dyDescent="0.15">
      <c r="A65" s="66" t="str">
        <f ca="1">IFERROR(__xludf.DUMMYFUNCTION("""COMPUTED_VALUE"""),"Harshini Jampana")</f>
        <v>Harshini Jampana</v>
      </c>
      <c r="B65" s="66" t="str">
        <f ca="1">IFERROR(__xludf.DUMMYFUNCTION("""COMPUTED_VALUE"""),"18331A0561")</f>
        <v>18331A0561</v>
      </c>
      <c r="C65" s="66" t="str">
        <f ca="1">IFERROR(__xludf.DUMMYFUNCTION("""COMPUTED_VALUE"""),"Swecha")</f>
        <v>Swecha</v>
      </c>
      <c r="D65" s="66" t="str">
        <f ca="1">IFERROR(__xludf.DUMMYFUNCTION("""COMPUTED_VALUE"""),"1 month")</f>
        <v>1 month</v>
      </c>
      <c r="E65" s="67">
        <f ca="1">IFERROR(__xludf.DUMMYFUNCTION("""COMPUTED_VALUE"""),43999)</f>
        <v>43999</v>
      </c>
      <c r="F65" s="67">
        <f ca="1">IFERROR(__xludf.DUMMYFUNCTION("""COMPUTED_VALUE"""),44024)</f>
        <v>44024</v>
      </c>
      <c r="G65" s="66" t="str">
        <f ca="1">IFERROR(__xludf.DUMMYFUNCTION("""COMPUTED_VALUE"""),"No")</f>
        <v>No</v>
      </c>
      <c r="H65" s="66" t="str">
        <f ca="1">IFERROR(__xludf.DUMMYFUNCTION("""COMPUTED_VALUE"""),"No")</f>
        <v>No</v>
      </c>
      <c r="I65" s="66">
        <f ca="1">IFERROR(__xludf.DUMMYFUNCTION("""COMPUTED_VALUE"""),0)</f>
        <v>0</v>
      </c>
      <c r="J65" s="68" t="str">
        <f ca="1">IFERROR(__xludf.DUMMYFUNCTION("""COMPUTED_VALUE"""),"https://drive.google.com/open?id=1Xd2y5nlg-K0Q_Dueeqz6RuQsBFdomNzX")</f>
        <v>https://drive.google.com/open?id=1Xd2y5nlg-K0Q_Dueeqz6RuQsBFdomNzX</v>
      </c>
      <c r="K65" s="66" t="str">
        <f ca="1">IFERROR(__xludf.DUMMYFUNCTION("""COMPUTED_VALUE"""),"2018-2022")</f>
        <v>2018-2022</v>
      </c>
      <c r="L65" s="66" t="str">
        <f ca="1">IFERROR(__xludf.DUMMYFUNCTION("""COMPUTED_VALUE"""),"S3: Student Internships")</f>
        <v>S3: Student Internships</v>
      </c>
      <c r="M65" s="66" t="str">
        <f ca="1">IFERROR(__xludf.DUMMYFUNCTION("""COMPUTED_VALUE"""),"harshini.jampana@gmail.com")</f>
        <v>harshini.jampana@gmail.com</v>
      </c>
      <c r="N65" s="66" t="str">
        <f ca="1">IFERROR(__xludf.DUMMYFUNCTION("""COMPUTED_VALUE"""),"SEM-8")</f>
        <v>SEM-8</v>
      </c>
      <c r="O65" s="69"/>
      <c r="P65" s="69"/>
      <c r="Q65" s="69"/>
      <c r="R65" s="69"/>
      <c r="S65" s="69"/>
      <c r="T65" s="69"/>
      <c r="U65" s="69"/>
      <c r="V65" s="69"/>
      <c r="W65" s="69"/>
      <c r="X65" s="69"/>
    </row>
    <row r="66" spans="1:24" ht="33" customHeight="1" x14ac:dyDescent="0.15">
      <c r="A66" s="66" t="str">
        <f ca="1">IFERROR(__xludf.DUMMYFUNCTION("""COMPUTED_VALUE"""),"Kalivarapu Nikitha ")</f>
        <v xml:space="preserve">Kalivarapu Nikitha </v>
      </c>
      <c r="B66" s="66" t="str">
        <f ca="1">IFERROR(__xludf.DUMMYFUNCTION("""COMPUTED_VALUE"""),"18331A0563")</f>
        <v>18331A0563</v>
      </c>
      <c r="C66" s="66" t="str">
        <f ca="1">IFERROR(__xludf.DUMMYFUNCTION("""COMPUTED_VALUE"""),"TCS")</f>
        <v>TCS</v>
      </c>
      <c r="D66" s="66" t="str">
        <f ca="1">IFERROR(__xludf.DUMMYFUNCTION("""COMPUTED_VALUE"""),"3 months ")</f>
        <v xml:space="preserve">3 months </v>
      </c>
      <c r="E66" s="67">
        <f ca="1">IFERROR(__xludf.DUMMYFUNCTION("""COMPUTED_VALUE"""),44593)</f>
        <v>44593</v>
      </c>
      <c r="F66" s="67">
        <f ca="1">IFERROR(__xludf.DUMMYFUNCTION("""COMPUTED_VALUE"""),44708)</f>
        <v>44708</v>
      </c>
      <c r="G66" s="66" t="str">
        <f ca="1">IFERROR(__xludf.DUMMYFUNCTION("""COMPUTED_VALUE"""),"No")</f>
        <v>No</v>
      </c>
      <c r="H66" s="66" t="str">
        <f ca="1">IFERROR(__xludf.DUMMYFUNCTION("""COMPUTED_VALUE"""),"No")</f>
        <v>No</v>
      </c>
      <c r="I66" s="66">
        <f ca="1">IFERROR(__xludf.DUMMYFUNCTION("""COMPUTED_VALUE"""),0)</f>
        <v>0</v>
      </c>
      <c r="J66" s="68" t="str">
        <f ca="1">IFERROR(__xludf.DUMMYFUNCTION("""COMPUTED_VALUE"""),"https://drive.google.com/open?id=1KiMO9-8cXk6324UORr6IxuY-KUyyORrZ")</f>
        <v>https://drive.google.com/open?id=1KiMO9-8cXk6324UORr6IxuY-KUyyORrZ</v>
      </c>
      <c r="K66" s="66" t="str">
        <f ca="1">IFERROR(__xludf.DUMMYFUNCTION("""COMPUTED_VALUE"""),"2018-2022")</f>
        <v>2018-2022</v>
      </c>
      <c r="L66" s="66" t="str">
        <f ca="1">IFERROR(__xludf.DUMMYFUNCTION("""COMPUTED_VALUE"""),"S3: Student Internships")</f>
        <v>S3: Student Internships</v>
      </c>
      <c r="M66" s="66" t="str">
        <f ca="1">IFERROR(__xludf.DUMMYFUNCTION("""COMPUTED_VALUE"""),"nikithakalivarapu0404@gmail.com")</f>
        <v>nikithakalivarapu0404@gmail.com</v>
      </c>
      <c r="N66" s="66" t="str">
        <f ca="1">IFERROR(__xludf.DUMMYFUNCTION("""COMPUTED_VALUE"""),"SEM-8")</f>
        <v>SEM-8</v>
      </c>
      <c r="O66" s="69"/>
      <c r="P66" s="69"/>
      <c r="Q66" s="69"/>
      <c r="R66" s="69"/>
      <c r="S66" s="69"/>
      <c r="T66" s="69"/>
      <c r="U66" s="69"/>
      <c r="V66" s="69"/>
      <c r="W66" s="69"/>
      <c r="X66" s="69"/>
    </row>
    <row r="67" spans="1:24" ht="33" customHeight="1" x14ac:dyDescent="0.15">
      <c r="A67" s="66" t="str">
        <f ca="1">IFERROR(__xludf.DUMMYFUNCTION("""COMPUTED_VALUE"""),"Harshini jampana")</f>
        <v>Harshini jampana</v>
      </c>
      <c r="B67" s="66" t="str">
        <f ca="1">IFERROR(__xludf.DUMMYFUNCTION("""COMPUTED_VALUE"""),"18831A0561")</f>
        <v>18831A0561</v>
      </c>
      <c r="C67" s="66" t="str">
        <f ca="1">IFERROR(__xludf.DUMMYFUNCTION("""COMPUTED_VALUE"""),"TCS")</f>
        <v>TCS</v>
      </c>
      <c r="D67" s="66" t="str">
        <f ca="1">IFERROR(__xludf.DUMMYFUNCTION("""COMPUTED_VALUE"""),"3 months")</f>
        <v>3 months</v>
      </c>
      <c r="E67" s="67">
        <f ca="1">IFERROR(__xludf.DUMMYFUNCTION("""COMPUTED_VALUE"""),44614)</f>
        <v>44614</v>
      </c>
      <c r="F67" s="67">
        <f ca="1">IFERROR(__xludf.DUMMYFUNCTION("""COMPUTED_VALUE"""),44680)</f>
        <v>44680</v>
      </c>
      <c r="G67" s="66" t="str">
        <f ca="1">IFERROR(__xludf.DUMMYFUNCTION("""COMPUTED_VALUE"""),"No")</f>
        <v>No</v>
      </c>
      <c r="H67" s="66" t="str">
        <f ca="1">IFERROR(__xludf.DUMMYFUNCTION("""COMPUTED_VALUE"""),"No")</f>
        <v>No</v>
      </c>
      <c r="I67" s="66">
        <f ca="1">IFERROR(__xludf.DUMMYFUNCTION("""COMPUTED_VALUE"""),0)</f>
        <v>0</v>
      </c>
      <c r="J67" s="68" t="str">
        <f ca="1">IFERROR(__xludf.DUMMYFUNCTION("""COMPUTED_VALUE"""),"https://drive.google.com/open?id=1Fn17WcnzXqqx_gbD7qzad0N3XQCVJX-T")</f>
        <v>https://drive.google.com/open?id=1Fn17WcnzXqqx_gbD7qzad0N3XQCVJX-T</v>
      </c>
      <c r="K67" s="66" t="str">
        <f ca="1">IFERROR(__xludf.DUMMYFUNCTION("""COMPUTED_VALUE"""),"2018-2022")</f>
        <v>2018-2022</v>
      </c>
      <c r="L67" s="66" t="str">
        <f ca="1">IFERROR(__xludf.DUMMYFUNCTION("""COMPUTED_VALUE"""),"S3: Student Internships")</f>
        <v>S3: Student Internships</v>
      </c>
      <c r="M67" s="66" t="str">
        <f ca="1">IFERROR(__xludf.DUMMYFUNCTION("""COMPUTED_VALUE"""),"harshini.jampana@gmail.com")</f>
        <v>harshini.jampana@gmail.com</v>
      </c>
      <c r="N67" s="66" t="str">
        <f ca="1">IFERROR(__xludf.DUMMYFUNCTION("""COMPUTED_VALUE"""),"SEM-8")</f>
        <v>SEM-8</v>
      </c>
      <c r="O67" s="69"/>
      <c r="P67" s="69"/>
      <c r="Q67" s="69"/>
      <c r="R67" s="69"/>
      <c r="S67" s="69"/>
      <c r="T67" s="69"/>
      <c r="U67" s="69"/>
      <c r="V67" s="69"/>
      <c r="W67" s="69"/>
      <c r="X67" s="69"/>
    </row>
    <row r="68" spans="1:24" ht="33" customHeight="1" x14ac:dyDescent="0.15">
      <c r="A68" s="66" t="str">
        <f ca="1">IFERROR(__xludf.DUMMYFUNCTION("""COMPUTED_VALUE"""),"KADAGALA RAVIKUAMR")</f>
        <v>KADAGALA RAVIKUAMR</v>
      </c>
      <c r="B68" s="66" t="str">
        <f ca="1">IFERROR(__xludf.DUMMYFUNCTION("""COMPUTED_VALUE"""),"19335A0506")</f>
        <v>19335A0506</v>
      </c>
      <c r="C68" s="66" t="str">
        <f ca="1">IFERROR(__xludf.DUMMYFUNCTION("""COMPUTED_VALUE"""),"AICTE")</f>
        <v>AICTE</v>
      </c>
      <c r="D68" s="66" t="str">
        <f ca="1">IFERROR(__xludf.DUMMYFUNCTION("""COMPUTED_VALUE"""),"2 MONTHS")</f>
        <v>2 MONTHS</v>
      </c>
      <c r="E68" s="67">
        <f ca="1">IFERROR(__xludf.DUMMYFUNCTION("""COMPUTED_VALUE"""),44470)</f>
        <v>44470</v>
      </c>
      <c r="F68" s="67">
        <f ca="1">IFERROR(__xludf.DUMMYFUNCTION("""COMPUTED_VALUE"""),44552)</f>
        <v>44552</v>
      </c>
      <c r="G68" s="66" t="str">
        <f ca="1">IFERROR(__xludf.DUMMYFUNCTION("""COMPUTED_VALUE"""),"No")</f>
        <v>No</v>
      </c>
      <c r="H68" s="66" t="str">
        <f ca="1">IFERROR(__xludf.DUMMYFUNCTION("""COMPUTED_VALUE"""),"No")</f>
        <v>No</v>
      </c>
      <c r="I68" s="66">
        <f ca="1">IFERROR(__xludf.DUMMYFUNCTION("""COMPUTED_VALUE"""),0)</f>
        <v>0</v>
      </c>
      <c r="J68" s="68" t="str">
        <f ca="1">IFERROR(__xludf.DUMMYFUNCTION("""COMPUTED_VALUE"""),"https://drive.google.com/open?id=1cyFS3Sp1zfHCceCD48s7AXEP-jYbJ1bb")</f>
        <v>https://drive.google.com/open?id=1cyFS3Sp1zfHCceCD48s7AXEP-jYbJ1bb</v>
      </c>
      <c r="K68" s="66" t="str">
        <f ca="1">IFERROR(__xludf.DUMMYFUNCTION("""COMPUTED_VALUE"""),"2018-2022")</f>
        <v>2018-2022</v>
      </c>
      <c r="L68" s="66" t="str">
        <f ca="1">IFERROR(__xludf.DUMMYFUNCTION("""COMPUTED_VALUE"""),"S3: Student Internships")</f>
        <v>S3: Student Internships</v>
      </c>
      <c r="M68" s="66" t="str">
        <f ca="1">IFERROR(__xludf.DUMMYFUNCTION("""COMPUTED_VALUE"""),"ravikadagala9494@gmail.com")</f>
        <v>ravikadagala9494@gmail.com</v>
      </c>
      <c r="N68" s="66" t="str">
        <f ca="1">IFERROR(__xludf.DUMMYFUNCTION("""COMPUTED_VALUE"""),"SEM-7")</f>
        <v>SEM-7</v>
      </c>
      <c r="O68" s="69"/>
      <c r="P68" s="69"/>
      <c r="Q68" s="69"/>
      <c r="R68" s="69"/>
      <c r="S68" s="69"/>
      <c r="T68" s="69"/>
      <c r="U68" s="69"/>
      <c r="V68" s="69"/>
      <c r="W68" s="69"/>
      <c r="X68" s="69"/>
    </row>
    <row r="69" spans="1:24" ht="33" customHeight="1" x14ac:dyDescent="0.15">
      <c r="A69" s="66" t="str">
        <f ca="1">IFERROR(__xludf.DUMMYFUNCTION("""COMPUTED_VALUE"""),"Devadula N C S CH Sudhakar")</f>
        <v>Devadula N C S CH Sudhakar</v>
      </c>
      <c r="B69" s="66" t="str">
        <f ca="1">IFERROR(__xludf.DUMMYFUNCTION("""COMPUTED_VALUE"""),"19335A0504")</f>
        <v>19335A0504</v>
      </c>
      <c r="C69" s="66" t="str">
        <f ca="1">IFERROR(__xludf.DUMMYFUNCTION("""COMPUTED_VALUE"""),"AICTE")</f>
        <v>AICTE</v>
      </c>
      <c r="D69" s="66" t="str">
        <f ca="1">IFERROR(__xludf.DUMMYFUNCTION("""COMPUTED_VALUE"""),"2 months")</f>
        <v>2 months</v>
      </c>
      <c r="E69" s="67">
        <f ca="1">IFERROR(__xludf.DUMMYFUNCTION("""COMPUTED_VALUE"""),44478)</f>
        <v>44478</v>
      </c>
      <c r="F69" s="67">
        <f ca="1">IFERROR(__xludf.DUMMYFUNCTION("""COMPUTED_VALUE"""),44545)</f>
        <v>44545</v>
      </c>
      <c r="G69" s="66" t="str">
        <f ca="1">IFERROR(__xludf.DUMMYFUNCTION("""COMPUTED_VALUE"""),"No")</f>
        <v>No</v>
      </c>
      <c r="H69" s="66" t="str">
        <f ca="1">IFERROR(__xludf.DUMMYFUNCTION("""COMPUTED_VALUE"""),"No")</f>
        <v>No</v>
      </c>
      <c r="I69" s="66">
        <f ca="1">IFERROR(__xludf.DUMMYFUNCTION("""COMPUTED_VALUE"""),0)</f>
        <v>0</v>
      </c>
      <c r="J69" s="68" t="str">
        <f ca="1">IFERROR(__xludf.DUMMYFUNCTION("""COMPUTED_VALUE"""),"https://drive.google.com/open?id=1jfXVxuerdSjvFtlEZeWYwfurTz0AqxaO")</f>
        <v>https://drive.google.com/open?id=1jfXVxuerdSjvFtlEZeWYwfurTz0AqxaO</v>
      </c>
      <c r="K69" s="66" t="str">
        <f ca="1">IFERROR(__xludf.DUMMYFUNCTION("""COMPUTED_VALUE"""),"2018-2022")</f>
        <v>2018-2022</v>
      </c>
      <c r="L69" s="66" t="str">
        <f ca="1">IFERROR(__xludf.DUMMYFUNCTION("""COMPUTED_VALUE"""),"S3: Student Internships")</f>
        <v>S3: Student Internships</v>
      </c>
      <c r="M69" s="66" t="str">
        <f ca="1">IFERROR(__xludf.DUMMYFUNCTION("""COMPUTED_VALUE"""),"naveendevadula706@gmail.com")</f>
        <v>naveendevadula706@gmail.com</v>
      </c>
      <c r="N69" s="66" t="str">
        <f ca="1">IFERROR(__xludf.DUMMYFUNCTION("""COMPUTED_VALUE"""),"SEM-7")</f>
        <v>SEM-7</v>
      </c>
      <c r="O69" s="69"/>
      <c r="P69" s="69"/>
      <c r="Q69" s="69"/>
      <c r="R69" s="69"/>
      <c r="S69" s="69"/>
      <c r="T69" s="69"/>
      <c r="U69" s="69"/>
      <c r="V69" s="69"/>
      <c r="W69" s="69"/>
      <c r="X69" s="69"/>
    </row>
    <row r="70" spans="1:24" ht="33" customHeight="1" x14ac:dyDescent="0.15">
      <c r="A70" s="59" t="str">
        <f ca="1">IFERROR(__xludf.DUMMYFUNCTION("""COMPUTED_VALUE"""),"Madhavi Latha Maduthuri")</f>
        <v>Madhavi Latha Maduthuri</v>
      </c>
      <c r="B70" s="59" t="str">
        <f ca="1">IFERROR(__xludf.DUMMYFUNCTION("""COMPUTED_VALUE"""),"18331A0590")</f>
        <v>18331A0590</v>
      </c>
      <c r="C70" s="59" t="str">
        <f ca="1">IFERROR(__xludf.DUMMYFUNCTION("""COMPUTED_VALUE"""),"Wipro")</f>
        <v>Wipro</v>
      </c>
      <c r="D70" s="59" t="str">
        <f ca="1">IFERROR(__xludf.DUMMYFUNCTION("""COMPUTED_VALUE"""),"10 weeks")</f>
        <v>10 weeks</v>
      </c>
      <c r="E70" s="70">
        <f ca="1">IFERROR(__xludf.DUMMYFUNCTION("""COMPUTED_VALUE"""),44630)</f>
        <v>44630</v>
      </c>
      <c r="F70" s="70">
        <f ca="1">IFERROR(__xludf.DUMMYFUNCTION("""COMPUTED_VALUE"""),44712)</f>
        <v>44712</v>
      </c>
      <c r="G70" s="59" t="str">
        <f ca="1">IFERROR(__xludf.DUMMYFUNCTION("""COMPUTED_VALUE"""),"No")</f>
        <v>No</v>
      </c>
      <c r="H70" s="59" t="str">
        <f ca="1">IFERROR(__xludf.DUMMYFUNCTION("""COMPUTED_VALUE"""),"No")</f>
        <v>No</v>
      </c>
      <c r="I70" s="59">
        <f ca="1">IFERROR(__xludf.DUMMYFUNCTION("""COMPUTED_VALUE"""),0)</f>
        <v>0</v>
      </c>
      <c r="J70" s="71" t="str">
        <f ca="1">IFERROR(__xludf.DUMMYFUNCTION("""COMPUTED_VALUE"""),"https://drive.google.com/open?id=1iaMcD70_naH6KRFWv5NG0ZCyOjxcUoAW")</f>
        <v>https://drive.google.com/open?id=1iaMcD70_naH6KRFWv5NG0ZCyOjxcUoAW</v>
      </c>
      <c r="K70" s="59" t="str">
        <f ca="1">IFERROR(__xludf.DUMMYFUNCTION("""COMPUTED_VALUE"""),"2018-2022")</f>
        <v>2018-2022</v>
      </c>
      <c r="L70" s="59" t="str">
        <f ca="1">IFERROR(__xludf.DUMMYFUNCTION("""COMPUTED_VALUE"""),"S3: Student Internships")</f>
        <v>S3: Student Internships</v>
      </c>
      <c r="M70" s="59" t="str">
        <f ca="1">IFERROR(__xludf.DUMMYFUNCTION("""COMPUTED_VALUE"""),"madhavimaduthuri5@gmail.com")</f>
        <v>madhavimaduthuri5@gmail.com</v>
      </c>
      <c r="N70" s="59" t="str">
        <f ca="1">IFERROR(__xludf.DUMMYFUNCTION("""COMPUTED_VALUE"""),"SEM-8")</f>
        <v>SEM-8</v>
      </c>
      <c r="O70" s="9"/>
      <c r="P70" s="9"/>
      <c r="Q70" s="9"/>
      <c r="R70" s="9"/>
      <c r="S70" s="9"/>
      <c r="T70" s="9"/>
      <c r="U70" s="9"/>
      <c r="V70" s="9"/>
      <c r="W70" s="9"/>
      <c r="X70" s="9"/>
    </row>
    <row r="71" spans="1:24" ht="33" customHeight="1" x14ac:dyDescent="0.15">
      <c r="A71" s="66" t="str">
        <f ca="1">IFERROR(__xludf.DUMMYFUNCTION("""COMPUTED_VALUE"""),"Yashwanth Boggarapu")</f>
        <v>Yashwanth Boggarapu</v>
      </c>
      <c r="B71" s="66" t="str">
        <f ca="1">IFERROR(__xludf.DUMMYFUNCTION("""COMPUTED_VALUE"""),"18331A0517")</f>
        <v>18331A0517</v>
      </c>
      <c r="C71" s="66" t="str">
        <f ca="1">IFERROR(__xludf.DUMMYFUNCTION("""COMPUTED_VALUE"""),"Capgemini")</f>
        <v>Capgemini</v>
      </c>
      <c r="D71" s="66" t="str">
        <f ca="1">IFERROR(__xludf.DUMMYFUNCTION("""COMPUTED_VALUE"""),"3 months")</f>
        <v>3 months</v>
      </c>
      <c r="E71" s="67">
        <f ca="1">IFERROR(__xludf.DUMMYFUNCTION("""COMPUTED_VALUE"""),44621)</f>
        <v>44621</v>
      </c>
      <c r="F71" s="67">
        <f ca="1">IFERROR(__xludf.DUMMYFUNCTION("""COMPUTED_VALUE"""),44712)</f>
        <v>44712</v>
      </c>
      <c r="G71" s="66" t="str">
        <f ca="1">IFERROR(__xludf.DUMMYFUNCTION("""COMPUTED_VALUE"""),"No")</f>
        <v>No</v>
      </c>
      <c r="H71" s="66" t="str">
        <f ca="1">IFERROR(__xludf.DUMMYFUNCTION("""COMPUTED_VALUE"""),"No")</f>
        <v>No</v>
      </c>
      <c r="I71" s="66">
        <f ca="1">IFERROR(__xludf.DUMMYFUNCTION("""COMPUTED_VALUE"""),0)</f>
        <v>0</v>
      </c>
      <c r="J71" s="68" t="str">
        <f ca="1">IFERROR(__xludf.DUMMYFUNCTION("""COMPUTED_VALUE"""),"https://drive.google.com/open?id=13EvQ81i34w8bEj766A-Fa-CyNC1ob9za")</f>
        <v>https://drive.google.com/open?id=13EvQ81i34w8bEj766A-Fa-CyNC1ob9za</v>
      </c>
      <c r="K71" s="66" t="str">
        <f ca="1">IFERROR(__xludf.DUMMYFUNCTION("""COMPUTED_VALUE"""),"2018-2022")</f>
        <v>2018-2022</v>
      </c>
      <c r="L71" s="66" t="str">
        <f ca="1">IFERROR(__xludf.DUMMYFUNCTION("""COMPUTED_VALUE"""),"S3: Student Internships")</f>
        <v>S3: Student Internships</v>
      </c>
      <c r="M71" s="66" t="str">
        <f ca="1">IFERROR(__xludf.DUMMYFUNCTION("""COMPUTED_VALUE"""),"yashwanthboggarapu2000@gmail.com")</f>
        <v>yashwanthboggarapu2000@gmail.com</v>
      </c>
      <c r="N71" s="66" t="str">
        <f ca="1">IFERROR(__xludf.DUMMYFUNCTION("""COMPUTED_VALUE"""),"SEM-8")</f>
        <v>SEM-8</v>
      </c>
      <c r="O71" s="69"/>
      <c r="P71" s="69"/>
      <c r="Q71" s="69"/>
      <c r="R71" s="69"/>
      <c r="S71" s="69"/>
      <c r="T71" s="69"/>
      <c r="U71" s="69"/>
      <c r="V71" s="69"/>
      <c r="W71" s="69"/>
      <c r="X71" s="69"/>
    </row>
    <row r="72" spans="1:24" ht="33" customHeight="1" x14ac:dyDescent="0.15">
      <c r="A72" s="59" t="str">
        <f ca="1">IFERROR(__xludf.DUMMYFUNCTION("""COMPUTED_VALUE"""),"Gorle Shri Aiswarya")</f>
        <v>Gorle Shri Aiswarya</v>
      </c>
      <c r="B72" s="59" t="str">
        <f ca="1">IFERROR(__xludf.DUMMYFUNCTION("""COMPUTED_VALUE"""),"18331A0549")</f>
        <v>18331A0549</v>
      </c>
      <c r="C72" s="59" t="str">
        <f ca="1">IFERROR(__xludf.DUMMYFUNCTION("""COMPUTED_VALUE"""),"Wipro")</f>
        <v>Wipro</v>
      </c>
      <c r="D72" s="59" t="str">
        <f ca="1">IFERROR(__xludf.DUMMYFUNCTION("""COMPUTED_VALUE"""),"3 months")</f>
        <v>3 months</v>
      </c>
      <c r="E72" s="70">
        <f ca="1">IFERROR(__xludf.DUMMYFUNCTION("""COMPUTED_VALUE"""),44668)</f>
        <v>44668</v>
      </c>
      <c r="F72" s="70">
        <f ca="1">IFERROR(__xludf.DUMMYFUNCTION("""COMPUTED_VALUE"""),44759)</f>
        <v>44759</v>
      </c>
      <c r="G72" s="59" t="str">
        <f ca="1">IFERROR(__xludf.DUMMYFUNCTION("""COMPUTED_VALUE"""),"No")</f>
        <v>No</v>
      </c>
      <c r="H72" s="59" t="str">
        <f ca="1">IFERROR(__xludf.DUMMYFUNCTION("""COMPUTED_VALUE"""),"No")</f>
        <v>No</v>
      </c>
      <c r="I72" s="59">
        <f ca="1">IFERROR(__xludf.DUMMYFUNCTION("""COMPUTED_VALUE"""),0)</f>
        <v>0</v>
      </c>
      <c r="J72" s="71" t="str">
        <f ca="1">IFERROR(__xludf.DUMMYFUNCTION("""COMPUTED_VALUE"""),"https://drive.google.com/open?id=1l9MmNe4Fq8SyQw1-9vTljhFxhOoq0gf_")</f>
        <v>https://drive.google.com/open?id=1l9MmNe4Fq8SyQw1-9vTljhFxhOoq0gf_</v>
      </c>
      <c r="K72" s="59" t="str">
        <f ca="1">IFERROR(__xludf.DUMMYFUNCTION("""COMPUTED_VALUE"""),"2018-2022")</f>
        <v>2018-2022</v>
      </c>
      <c r="L72" s="59" t="str">
        <f ca="1">IFERROR(__xludf.DUMMYFUNCTION("""COMPUTED_VALUE"""),"S3: Student Internships")</f>
        <v>S3: Student Internships</v>
      </c>
      <c r="M72" s="59" t="str">
        <f ca="1">IFERROR(__xludf.DUMMYFUNCTION("""COMPUTED_VALUE"""),"aiswarya15112000@gmail.com")</f>
        <v>aiswarya15112000@gmail.com</v>
      </c>
      <c r="N72" s="59" t="str">
        <f ca="1">IFERROR(__xludf.DUMMYFUNCTION("""COMPUTED_VALUE"""),"SEM-8")</f>
        <v>SEM-8</v>
      </c>
      <c r="O72" s="9"/>
      <c r="P72" s="9"/>
      <c r="Q72" s="9"/>
      <c r="R72" s="9"/>
      <c r="S72" s="9"/>
      <c r="T72" s="9"/>
      <c r="U72" s="9"/>
      <c r="V72" s="9"/>
      <c r="W72" s="9"/>
      <c r="X72" s="9"/>
    </row>
    <row r="73" spans="1:24" ht="33" customHeight="1" x14ac:dyDescent="0.15">
      <c r="A73" s="66" t="str">
        <f ca="1">IFERROR(__xludf.DUMMYFUNCTION("""COMPUTED_VALUE"""),"Ganta Gayatri")</f>
        <v>Ganta Gayatri</v>
      </c>
      <c r="B73" s="66" t="str">
        <f ca="1">IFERROR(__xludf.DUMMYFUNCTION("""COMPUTED_VALUE"""),"18331A0541")</f>
        <v>18331A0541</v>
      </c>
      <c r="C73" s="66" t="str">
        <f ca="1">IFERROR(__xludf.DUMMYFUNCTION("""COMPUTED_VALUE"""),"Wipro")</f>
        <v>Wipro</v>
      </c>
      <c r="D73" s="66" t="str">
        <f ca="1">IFERROR(__xludf.DUMMYFUNCTION("""COMPUTED_VALUE"""),"3 months")</f>
        <v>3 months</v>
      </c>
      <c r="E73" s="67">
        <f ca="1">IFERROR(__xludf.DUMMYFUNCTION("""COMPUTED_VALUE"""),44657)</f>
        <v>44657</v>
      </c>
      <c r="F73" s="67">
        <f ca="1">IFERROR(__xludf.DUMMYFUNCTION("""COMPUTED_VALUE"""),44742)</f>
        <v>44742</v>
      </c>
      <c r="G73" s="66" t="str">
        <f ca="1">IFERROR(__xludf.DUMMYFUNCTION("""COMPUTED_VALUE"""),"No")</f>
        <v>No</v>
      </c>
      <c r="H73" s="66" t="str">
        <f ca="1">IFERROR(__xludf.DUMMYFUNCTION("""COMPUTED_VALUE"""),"No")</f>
        <v>No</v>
      </c>
      <c r="I73" s="66">
        <f ca="1">IFERROR(__xludf.DUMMYFUNCTION("""COMPUTED_VALUE"""),0)</f>
        <v>0</v>
      </c>
      <c r="J73" s="68" t="str">
        <f ca="1">IFERROR(__xludf.DUMMYFUNCTION("""COMPUTED_VALUE"""),"https://drive.google.com/open?id=1vqeGJy-iKtS4guA_6gnC5j3DBV2QdXDU")</f>
        <v>https://drive.google.com/open?id=1vqeGJy-iKtS4guA_6gnC5j3DBV2QdXDU</v>
      </c>
      <c r="K73" s="66" t="str">
        <f ca="1">IFERROR(__xludf.DUMMYFUNCTION("""COMPUTED_VALUE"""),"2018-2022")</f>
        <v>2018-2022</v>
      </c>
      <c r="L73" s="66" t="str">
        <f ca="1">IFERROR(__xludf.DUMMYFUNCTION("""COMPUTED_VALUE"""),"S3: Student Internships")</f>
        <v>S3: Student Internships</v>
      </c>
      <c r="M73" s="66" t="str">
        <f ca="1">IFERROR(__xludf.DUMMYFUNCTION("""COMPUTED_VALUE"""),"gantagayatri490@gmail.com")</f>
        <v>gantagayatri490@gmail.com</v>
      </c>
      <c r="N73" s="66" t="str">
        <f ca="1">IFERROR(__xludf.DUMMYFUNCTION("""COMPUTED_VALUE"""),"SEM-8")</f>
        <v>SEM-8</v>
      </c>
      <c r="O73" s="69"/>
      <c r="P73" s="69"/>
      <c r="Q73" s="69"/>
      <c r="R73" s="69"/>
      <c r="S73" s="69"/>
      <c r="T73" s="69"/>
      <c r="U73" s="69"/>
      <c r="V73" s="69"/>
      <c r="W73" s="69"/>
      <c r="X73" s="69"/>
    </row>
    <row r="74" spans="1:24" ht="33" customHeight="1" x14ac:dyDescent="0.15">
      <c r="A74" s="66" t="str">
        <f ca="1">IFERROR(__xludf.DUMMYFUNCTION("""COMPUTED_VALUE"""),"MOUNIKA GANTA")</f>
        <v>MOUNIKA GANTA</v>
      </c>
      <c r="B74" s="66" t="str">
        <f ca="1">IFERROR(__xludf.DUMMYFUNCTION("""COMPUTED_VALUE"""),"18331A0543")</f>
        <v>18331A0543</v>
      </c>
      <c r="C74" s="66" t="str">
        <f ca="1">IFERROR(__xludf.DUMMYFUNCTION("""COMPUTED_VALUE"""),"Wipro")</f>
        <v>Wipro</v>
      </c>
      <c r="D74" s="66" t="str">
        <f ca="1">IFERROR(__xludf.DUMMYFUNCTION("""COMPUTED_VALUE"""),"3 months ")</f>
        <v xml:space="preserve">3 months </v>
      </c>
      <c r="E74" s="67">
        <f ca="1">IFERROR(__xludf.DUMMYFUNCTION("""COMPUTED_VALUE"""),44645)</f>
        <v>44645</v>
      </c>
      <c r="F74" s="67">
        <f ca="1">IFERROR(__xludf.DUMMYFUNCTION("""COMPUTED_VALUE"""),44737)</f>
        <v>44737</v>
      </c>
      <c r="G74" s="66" t="str">
        <f ca="1">IFERROR(__xludf.DUMMYFUNCTION("""COMPUTED_VALUE"""),"No")</f>
        <v>No</v>
      </c>
      <c r="H74" s="66" t="str">
        <f ca="1">IFERROR(__xludf.DUMMYFUNCTION("""COMPUTED_VALUE"""),"No")</f>
        <v>No</v>
      </c>
      <c r="I74" s="66">
        <f ca="1">IFERROR(__xludf.DUMMYFUNCTION("""COMPUTED_VALUE"""),0)</f>
        <v>0</v>
      </c>
      <c r="J74" s="68" t="str">
        <f ca="1">IFERROR(__xludf.DUMMYFUNCTION("""COMPUTED_VALUE"""),"https://drive.google.com/open?id=1bRPpbfZ6VF2nNspGaENIdFCxpIgOX3Wf")</f>
        <v>https://drive.google.com/open?id=1bRPpbfZ6VF2nNspGaENIdFCxpIgOX3Wf</v>
      </c>
      <c r="K74" s="66" t="str">
        <f ca="1">IFERROR(__xludf.DUMMYFUNCTION("""COMPUTED_VALUE"""),"2018-2022")</f>
        <v>2018-2022</v>
      </c>
      <c r="L74" s="66" t="str">
        <f ca="1">IFERROR(__xludf.DUMMYFUNCTION("""COMPUTED_VALUE"""),"S3: Student Internships")</f>
        <v>S3: Student Internships</v>
      </c>
      <c r="M74" s="66" t="str">
        <f ca="1">IFERROR(__xludf.DUMMYFUNCTION("""COMPUTED_VALUE"""),"mounikaganta2001@gmail.com")</f>
        <v>mounikaganta2001@gmail.com</v>
      </c>
      <c r="N74" s="66" t="str">
        <f ca="1">IFERROR(__xludf.DUMMYFUNCTION("""COMPUTED_VALUE"""),"SEM-8")</f>
        <v>SEM-8</v>
      </c>
      <c r="O74" s="69"/>
      <c r="P74" s="69"/>
      <c r="Q74" s="69"/>
      <c r="R74" s="69"/>
      <c r="S74" s="69"/>
      <c r="T74" s="69"/>
      <c r="U74" s="69"/>
      <c r="V74" s="69"/>
      <c r="W74" s="69"/>
      <c r="X74" s="69"/>
    </row>
    <row r="75" spans="1:24" ht="33" customHeight="1" x14ac:dyDescent="0.15">
      <c r="A75" s="66" t="str">
        <f ca="1">IFERROR(__xludf.DUMMYFUNCTION("""COMPUTED_VALUE"""),"Ichapurapu C S V Krishna Devarayalu ")</f>
        <v xml:space="preserve">Ichapurapu C S V Krishna Devarayalu </v>
      </c>
      <c r="B75" s="66" t="str">
        <f ca="1">IFERROR(__xludf.DUMMYFUNCTION("""COMPUTED_VALUE"""),"18331A0557")</f>
        <v>18331A0557</v>
      </c>
      <c r="C75" s="66" t="str">
        <f ca="1">IFERROR(__xludf.DUMMYFUNCTION("""COMPUTED_VALUE"""),"Capgemini")</f>
        <v>Capgemini</v>
      </c>
      <c r="D75" s="66" t="str">
        <f ca="1">IFERROR(__xludf.DUMMYFUNCTION("""COMPUTED_VALUE"""),"3 months")</f>
        <v>3 months</v>
      </c>
      <c r="E75" s="67">
        <f ca="1">IFERROR(__xludf.DUMMYFUNCTION("""COMPUTED_VALUE"""),44620)</f>
        <v>44620</v>
      </c>
      <c r="F75" s="67">
        <f ca="1">IFERROR(__xludf.DUMMYFUNCTION("""COMPUTED_VALUE"""),44696)</f>
        <v>44696</v>
      </c>
      <c r="G75" s="66" t="str">
        <f ca="1">IFERROR(__xludf.DUMMYFUNCTION("""COMPUTED_VALUE"""),"Yes")</f>
        <v>Yes</v>
      </c>
      <c r="H75" s="66" t="str">
        <f ca="1">IFERROR(__xludf.DUMMYFUNCTION("""COMPUTED_VALUE"""),"No")</f>
        <v>No</v>
      </c>
      <c r="I75" s="66">
        <f ca="1">IFERROR(__xludf.DUMMYFUNCTION("""COMPUTED_VALUE"""),22000)</f>
        <v>22000</v>
      </c>
      <c r="J75" s="68" t="str">
        <f ca="1">IFERROR(__xludf.DUMMYFUNCTION("""COMPUTED_VALUE"""),"https://drive.google.com/open?id=193Wgb8wmC7lrSq_ixj5T9weuc-l9Xeb8")</f>
        <v>https://drive.google.com/open?id=193Wgb8wmC7lrSq_ixj5T9weuc-l9Xeb8</v>
      </c>
      <c r="K75" s="66" t="str">
        <f ca="1">IFERROR(__xludf.DUMMYFUNCTION("""COMPUTED_VALUE"""),"2018-2022")</f>
        <v>2018-2022</v>
      </c>
      <c r="L75" s="66" t="str">
        <f ca="1">IFERROR(__xludf.DUMMYFUNCTION("""COMPUTED_VALUE"""),"S3: Student Internships")</f>
        <v>S3: Student Internships</v>
      </c>
      <c r="M75" s="66" t="str">
        <f ca="1">IFERROR(__xludf.DUMMYFUNCTION("""COMPUTED_VALUE"""),"devarayalu29@gmail.com")</f>
        <v>devarayalu29@gmail.com</v>
      </c>
      <c r="N75" s="66" t="str">
        <f ca="1">IFERROR(__xludf.DUMMYFUNCTION("""COMPUTED_VALUE"""),"SEM-8")</f>
        <v>SEM-8</v>
      </c>
      <c r="O75" s="69"/>
      <c r="P75" s="69"/>
      <c r="Q75" s="69"/>
      <c r="R75" s="69"/>
      <c r="S75" s="69"/>
      <c r="T75" s="69"/>
      <c r="U75" s="69"/>
      <c r="V75" s="69"/>
      <c r="W75" s="69"/>
      <c r="X75" s="69"/>
    </row>
    <row r="76" spans="1:24" ht="33" customHeight="1" x14ac:dyDescent="0.15">
      <c r="A76" s="66" t="str">
        <f ca="1">IFERROR(__xludf.DUMMYFUNCTION("""COMPUTED_VALUE"""),"MUKHEE JYOTHSNA")</f>
        <v>MUKHEE JYOTHSNA</v>
      </c>
      <c r="B76" s="66" t="str">
        <f ca="1">IFERROR(__xludf.DUMMYFUNCTION("""COMPUTED_VALUE"""),"18331A05A2")</f>
        <v>18331A05A2</v>
      </c>
      <c r="C76" s="66" t="str">
        <f ca="1">IFERROR(__xludf.DUMMYFUNCTION("""COMPUTED_VALUE"""),"AICTE")</f>
        <v>AICTE</v>
      </c>
      <c r="D76" s="66" t="str">
        <f ca="1">IFERROR(__xludf.DUMMYFUNCTION("""COMPUTED_VALUE"""),"10 WEEKS")</f>
        <v>10 WEEKS</v>
      </c>
      <c r="E76" s="67">
        <f ca="1">IFERROR(__xludf.DUMMYFUNCTION("""COMPUTED_VALUE"""),44485)</f>
        <v>44485</v>
      </c>
      <c r="F76" s="67">
        <f ca="1">IFERROR(__xludf.DUMMYFUNCTION("""COMPUTED_VALUE"""),44560)</f>
        <v>44560</v>
      </c>
      <c r="G76" s="66" t="str">
        <f ca="1">IFERROR(__xludf.DUMMYFUNCTION("""COMPUTED_VALUE"""),"No")</f>
        <v>No</v>
      </c>
      <c r="H76" s="66" t="str">
        <f ca="1">IFERROR(__xludf.DUMMYFUNCTION("""COMPUTED_VALUE"""),"No")</f>
        <v>No</v>
      </c>
      <c r="I76" s="66">
        <f ca="1">IFERROR(__xludf.DUMMYFUNCTION("""COMPUTED_VALUE"""),0)</f>
        <v>0</v>
      </c>
      <c r="J76" s="68" t="str">
        <f ca="1">IFERROR(__xludf.DUMMYFUNCTION("""COMPUTED_VALUE"""),"https://drive.google.com/open?id=13U9yk399AL7BvTvwZ1ytE-le7410_VoI")</f>
        <v>https://drive.google.com/open?id=13U9yk399AL7BvTvwZ1ytE-le7410_VoI</v>
      </c>
      <c r="K76" s="66" t="str">
        <f ca="1">IFERROR(__xludf.DUMMYFUNCTION("""COMPUTED_VALUE"""),"2018-2022")</f>
        <v>2018-2022</v>
      </c>
      <c r="L76" s="66" t="str">
        <f ca="1">IFERROR(__xludf.DUMMYFUNCTION("""COMPUTED_VALUE"""),"S3: Student Internships")</f>
        <v>S3: Student Internships</v>
      </c>
      <c r="M76" s="66" t="str">
        <f ca="1">IFERROR(__xludf.DUMMYFUNCTION("""COMPUTED_VALUE"""),"jyothsnamukhee03@gmail.com")</f>
        <v>jyothsnamukhee03@gmail.com</v>
      </c>
      <c r="N76" s="66" t="str">
        <f ca="1">IFERROR(__xludf.DUMMYFUNCTION("""COMPUTED_VALUE"""),"SEM-8")</f>
        <v>SEM-8</v>
      </c>
      <c r="O76" s="69"/>
      <c r="P76" s="69"/>
      <c r="Q76" s="69"/>
      <c r="R76" s="69"/>
      <c r="S76" s="69"/>
      <c r="T76" s="69"/>
      <c r="U76" s="69"/>
      <c r="V76" s="69"/>
      <c r="W76" s="69"/>
      <c r="X76" s="69"/>
    </row>
    <row r="77" spans="1:24" ht="33" customHeight="1" x14ac:dyDescent="0.15">
      <c r="A77" s="59" t="str">
        <f ca="1">IFERROR(__xludf.DUMMYFUNCTION("""COMPUTED_VALUE"""),"Tadi Satish Reddy")</f>
        <v>Tadi Satish Reddy</v>
      </c>
      <c r="B77" s="59" t="str">
        <f ca="1">IFERROR(__xludf.DUMMYFUNCTION("""COMPUTED_VALUE"""),"18331A05F0")</f>
        <v>18331A05F0</v>
      </c>
      <c r="C77" s="59" t="str">
        <f ca="1">IFERROR(__xludf.DUMMYFUNCTION("""COMPUTED_VALUE"""),"Swecha(FSM-AP)")</f>
        <v>Swecha(FSM-AP)</v>
      </c>
      <c r="D77" s="59" t="str">
        <f ca="1">IFERROR(__xludf.DUMMYFUNCTION("""COMPUTED_VALUE"""),"1 month")</f>
        <v>1 month</v>
      </c>
      <c r="E77" s="70">
        <f ca="1">IFERROR(__xludf.DUMMYFUNCTION("""COMPUTED_VALUE"""),43992)</f>
        <v>43992</v>
      </c>
      <c r="F77" s="70">
        <f ca="1">IFERROR(__xludf.DUMMYFUNCTION("""COMPUTED_VALUE"""),44024)</f>
        <v>44024</v>
      </c>
      <c r="G77" s="59" t="str">
        <f ca="1">IFERROR(__xludf.DUMMYFUNCTION("""COMPUTED_VALUE"""),"No")</f>
        <v>No</v>
      </c>
      <c r="H77" s="59" t="str">
        <f ca="1">IFERROR(__xludf.DUMMYFUNCTION("""COMPUTED_VALUE"""),"No")</f>
        <v>No</v>
      </c>
      <c r="I77" s="59">
        <f ca="1">IFERROR(__xludf.DUMMYFUNCTION("""COMPUTED_VALUE"""),0)</f>
        <v>0</v>
      </c>
      <c r="J77" s="71" t="str">
        <f ca="1">IFERROR(__xludf.DUMMYFUNCTION("""COMPUTED_VALUE"""),"https://drive.google.com/open?id=1Ul6j1tdopkDnXwGZ284vPMkX5WE8h6-k")</f>
        <v>https://drive.google.com/open?id=1Ul6j1tdopkDnXwGZ284vPMkX5WE8h6-k</v>
      </c>
      <c r="K77" s="59" t="str">
        <f ca="1">IFERROR(__xludf.DUMMYFUNCTION("""COMPUTED_VALUE"""),"2018-2022")</f>
        <v>2018-2022</v>
      </c>
      <c r="L77" s="59" t="str">
        <f ca="1">IFERROR(__xludf.DUMMYFUNCTION("""COMPUTED_VALUE"""),"S3: Student Internships")</f>
        <v>S3: Student Internships</v>
      </c>
      <c r="M77" s="59" t="str">
        <f ca="1">IFERROR(__xludf.DUMMYFUNCTION("""COMPUTED_VALUE"""),"tadisatishreddy2000@gmail.com")</f>
        <v>tadisatishreddy2000@gmail.com</v>
      </c>
      <c r="N77" s="59" t="str">
        <f ca="1">IFERROR(__xludf.DUMMYFUNCTION("""COMPUTED_VALUE"""),"SEM-8")</f>
        <v>SEM-8</v>
      </c>
      <c r="O77" s="9"/>
      <c r="P77" s="9"/>
      <c r="Q77" s="9"/>
      <c r="R77" s="9"/>
      <c r="S77" s="9"/>
      <c r="T77" s="9"/>
      <c r="U77" s="9"/>
      <c r="V77" s="9"/>
      <c r="W77" s="9"/>
      <c r="X77" s="9"/>
    </row>
    <row r="78" spans="1:24" ht="33" customHeight="1" x14ac:dyDescent="0.15">
      <c r="A78" s="66" t="str">
        <f ca="1">IFERROR(__xludf.DUMMYFUNCTION("""COMPUTED_VALUE"""),"Mallavarapu Tejaswi")</f>
        <v>Mallavarapu Tejaswi</v>
      </c>
      <c r="B78" s="66" t="str">
        <f ca="1">IFERROR(__xludf.DUMMYFUNCTION("""COMPUTED_VALUE"""),"18331A0591")</f>
        <v>18331A0591</v>
      </c>
      <c r="C78" s="66" t="str">
        <f ca="1">IFERROR(__xludf.DUMMYFUNCTION("""COMPUTED_VALUE"""),"AICTE")</f>
        <v>AICTE</v>
      </c>
      <c r="D78" s="66" t="str">
        <f ca="1">IFERROR(__xludf.DUMMYFUNCTION("""COMPUTED_VALUE"""),"3")</f>
        <v>3</v>
      </c>
      <c r="E78" s="67">
        <f ca="1">IFERROR(__xludf.DUMMYFUNCTION("""COMPUTED_VALUE"""),44484)</f>
        <v>44484</v>
      </c>
      <c r="F78" s="67">
        <f ca="1">IFERROR(__xludf.DUMMYFUNCTION("""COMPUTED_VALUE"""),44546)</f>
        <v>44546</v>
      </c>
      <c r="G78" s="66" t="str">
        <f ca="1">IFERROR(__xludf.DUMMYFUNCTION("""COMPUTED_VALUE"""),"No")</f>
        <v>No</v>
      </c>
      <c r="H78" s="66" t="str">
        <f ca="1">IFERROR(__xludf.DUMMYFUNCTION("""COMPUTED_VALUE"""),"No")</f>
        <v>No</v>
      </c>
      <c r="I78" s="66">
        <f ca="1">IFERROR(__xludf.DUMMYFUNCTION("""COMPUTED_VALUE"""),0)</f>
        <v>0</v>
      </c>
      <c r="J78" s="68" t="str">
        <f ca="1">IFERROR(__xludf.DUMMYFUNCTION("""COMPUTED_VALUE"""),"https://drive.google.com/open?id=1zD8mOZDCOPlEwskVEI9iFlOwZiKFVwqA")</f>
        <v>https://drive.google.com/open?id=1zD8mOZDCOPlEwskVEI9iFlOwZiKFVwqA</v>
      </c>
      <c r="K78" s="66" t="str">
        <f ca="1">IFERROR(__xludf.DUMMYFUNCTION("""COMPUTED_VALUE"""),"2018-2022")</f>
        <v>2018-2022</v>
      </c>
      <c r="L78" s="66" t="str">
        <f ca="1">IFERROR(__xludf.DUMMYFUNCTION("""COMPUTED_VALUE"""),"S3: Student Internships")</f>
        <v>S3: Student Internships</v>
      </c>
      <c r="M78" s="66" t="str">
        <f ca="1">IFERROR(__xludf.DUMMYFUNCTION("""COMPUTED_VALUE"""),"Mallavarapu.tejaswi@gmail.com")</f>
        <v>Mallavarapu.tejaswi@gmail.com</v>
      </c>
      <c r="N78" s="66" t="str">
        <f ca="1">IFERROR(__xludf.DUMMYFUNCTION("""COMPUTED_VALUE"""),"SEM-8")</f>
        <v>SEM-8</v>
      </c>
      <c r="O78" s="69"/>
      <c r="P78" s="69"/>
      <c r="Q78" s="69"/>
      <c r="R78" s="69"/>
      <c r="S78" s="69"/>
      <c r="T78" s="69"/>
      <c r="U78" s="69"/>
      <c r="V78" s="69"/>
      <c r="W78" s="69"/>
      <c r="X78" s="69"/>
    </row>
    <row r="79" spans="1:24" ht="33" customHeight="1" x14ac:dyDescent="0.15">
      <c r="A79" s="59" t="str">
        <f ca="1">IFERROR(__xludf.DUMMYFUNCTION("""COMPUTED_VALUE"""),"SOWMYA KALIDINDI")</f>
        <v>SOWMYA KALIDINDI</v>
      </c>
      <c r="B79" s="59" t="str">
        <f ca="1">IFERROR(__xludf.DUMMYFUNCTION("""COMPUTED_VALUE"""),"18331A0562")</f>
        <v>18331A0562</v>
      </c>
      <c r="C79" s="59" t="str">
        <f ca="1">IFERROR(__xludf.DUMMYFUNCTION("""COMPUTED_VALUE"""),"TCS")</f>
        <v>TCS</v>
      </c>
      <c r="D79" s="59" t="str">
        <f ca="1">IFERROR(__xludf.DUMMYFUNCTION("""COMPUTED_VALUE"""),"3 MONTHS")</f>
        <v>3 MONTHS</v>
      </c>
      <c r="E79" s="70">
        <f ca="1">IFERROR(__xludf.DUMMYFUNCTION("""COMPUTED_VALUE"""),44640)</f>
        <v>44640</v>
      </c>
      <c r="F79" s="70">
        <f ca="1">IFERROR(__xludf.DUMMYFUNCTION("""COMPUTED_VALUE"""),44732)</f>
        <v>44732</v>
      </c>
      <c r="G79" s="59" t="str">
        <f ca="1">IFERROR(__xludf.DUMMYFUNCTION("""COMPUTED_VALUE"""),"No")</f>
        <v>No</v>
      </c>
      <c r="H79" s="59" t="str">
        <f ca="1">IFERROR(__xludf.DUMMYFUNCTION("""COMPUTED_VALUE"""),"No")</f>
        <v>No</v>
      </c>
      <c r="I79" s="59">
        <f ca="1">IFERROR(__xludf.DUMMYFUNCTION("""COMPUTED_VALUE"""),0)</f>
        <v>0</v>
      </c>
      <c r="J79" s="71" t="str">
        <f ca="1">IFERROR(__xludf.DUMMYFUNCTION("""COMPUTED_VALUE"""),"https://drive.google.com/open?id=1DmPs353d-h_k805KpRM5_WLtihWEXRzd")</f>
        <v>https://drive.google.com/open?id=1DmPs353d-h_k805KpRM5_WLtihWEXRzd</v>
      </c>
      <c r="K79" s="59" t="str">
        <f ca="1">IFERROR(__xludf.DUMMYFUNCTION("""COMPUTED_VALUE"""),"2018-2022")</f>
        <v>2018-2022</v>
      </c>
      <c r="L79" s="59" t="str">
        <f ca="1">IFERROR(__xludf.DUMMYFUNCTION("""COMPUTED_VALUE"""),"S3: Student Internships")</f>
        <v>S3: Student Internships</v>
      </c>
      <c r="M79" s="59" t="str">
        <f ca="1">IFERROR(__xludf.DUMMYFUNCTION("""COMPUTED_VALUE"""),"sowmyakalidindi.01@gmail.com")</f>
        <v>sowmyakalidindi.01@gmail.com</v>
      </c>
      <c r="N79" s="59" t="str">
        <f ca="1">IFERROR(__xludf.DUMMYFUNCTION("""COMPUTED_VALUE"""),"SEM-8")</f>
        <v>SEM-8</v>
      </c>
      <c r="O79" s="9"/>
      <c r="P79" s="9"/>
      <c r="Q79" s="9"/>
      <c r="R79" s="9"/>
      <c r="S79" s="9"/>
      <c r="T79" s="9"/>
      <c r="U79" s="9"/>
      <c r="V79" s="9"/>
      <c r="W79" s="9"/>
      <c r="X79" s="9"/>
    </row>
    <row r="80" spans="1:24" ht="33" customHeight="1" x14ac:dyDescent="0.15">
      <c r="A80" s="66" t="str">
        <f ca="1">IFERROR(__xludf.DUMMYFUNCTION("""COMPUTED_VALUE"""),"Swathi Paluri")</f>
        <v>Swathi Paluri</v>
      </c>
      <c r="B80" s="66" t="str">
        <f ca="1">IFERROR(__xludf.DUMMYFUNCTION("""COMPUTED_VALUE"""),"19335A0516")</f>
        <v>19335A0516</v>
      </c>
      <c r="C80" s="66" t="str">
        <f ca="1">IFERROR(__xludf.DUMMYFUNCTION("""COMPUTED_VALUE"""),"AICTE")</f>
        <v>AICTE</v>
      </c>
      <c r="D80" s="66" t="str">
        <f ca="1">IFERROR(__xludf.DUMMYFUNCTION("""COMPUTED_VALUE"""),"2months")</f>
        <v>2months</v>
      </c>
      <c r="E80" s="67">
        <f ca="1">IFERROR(__xludf.DUMMYFUNCTION("""COMPUTED_VALUE"""),44470)</f>
        <v>44470</v>
      </c>
      <c r="F80" s="67">
        <f ca="1">IFERROR(__xludf.DUMMYFUNCTION("""COMPUTED_VALUE"""),44560)</f>
        <v>44560</v>
      </c>
      <c r="G80" s="66" t="str">
        <f ca="1">IFERROR(__xludf.DUMMYFUNCTION("""COMPUTED_VALUE"""),"No")</f>
        <v>No</v>
      </c>
      <c r="H80" s="66" t="str">
        <f ca="1">IFERROR(__xludf.DUMMYFUNCTION("""COMPUTED_VALUE"""),"No")</f>
        <v>No</v>
      </c>
      <c r="I80" s="66">
        <f ca="1">IFERROR(__xludf.DUMMYFUNCTION("""COMPUTED_VALUE"""),0)</f>
        <v>0</v>
      </c>
      <c r="J80" s="68" t="str">
        <f ca="1">IFERROR(__xludf.DUMMYFUNCTION("""COMPUTED_VALUE"""),"https://drive.google.com/open?id=1GMChl2S9RjFtG0f56onc7V-grHCA0_D-")</f>
        <v>https://drive.google.com/open?id=1GMChl2S9RjFtG0f56onc7V-grHCA0_D-</v>
      </c>
      <c r="K80" s="66" t="str">
        <f ca="1">IFERROR(__xludf.DUMMYFUNCTION("""COMPUTED_VALUE"""),"2018-2022")</f>
        <v>2018-2022</v>
      </c>
      <c r="L80" s="66" t="str">
        <f ca="1">IFERROR(__xludf.DUMMYFUNCTION("""COMPUTED_VALUE"""),"S3: Student Internships")</f>
        <v>S3: Student Internships</v>
      </c>
      <c r="M80" s="66" t="str">
        <f ca="1">IFERROR(__xludf.DUMMYFUNCTION("""COMPUTED_VALUE"""),"swathich164@gmail.com")</f>
        <v>swathich164@gmail.com</v>
      </c>
      <c r="N80" s="66" t="str">
        <f ca="1">IFERROR(__xludf.DUMMYFUNCTION("""COMPUTED_VALUE"""),"SEM-7")</f>
        <v>SEM-7</v>
      </c>
      <c r="O80" s="69"/>
      <c r="P80" s="69"/>
      <c r="Q80" s="69"/>
      <c r="R80" s="69"/>
      <c r="S80" s="69"/>
      <c r="T80" s="69"/>
      <c r="U80" s="69"/>
      <c r="V80" s="69"/>
      <c r="W80" s="69"/>
      <c r="X80" s="69"/>
    </row>
    <row r="81" spans="1:24" ht="33" customHeight="1" x14ac:dyDescent="0.15">
      <c r="A81" s="66" t="str">
        <f ca="1">IFERROR(__xludf.DUMMYFUNCTION("""COMPUTED_VALUE"""),"mohammad riyazul haneef sharief")</f>
        <v>mohammad riyazul haneef sharief</v>
      </c>
      <c r="B81" s="66" t="str">
        <f ca="1">IFERROR(__xludf.DUMMYFUNCTION("""COMPUTED_VALUE"""),"18331A05H6")</f>
        <v>18331A05H6</v>
      </c>
      <c r="C81" s="66" t="str">
        <f ca="1">IFERROR(__xludf.DUMMYFUNCTION("""COMPUTED_VALUE"""),"EDUSKILLS")</f>
        <v>EDUSKILLS</v>
      </c>
      <c r="D81" s="66" t="str">
        <f ca="1">IFERROR(__xludf.DUMMYFUNCTION("""COMPUTED_VALUE"""),"OCT - DEC")</f>
        <v>OCT - DEC</v>
      </c>
      <c r="E81" s="67">
        <f ca="1">IFERROR(__xludf.DUMMYFUNCTION("""COMPUTED_VALUE"""),44423)</f>
        <v>44423</v>
      </c>
      <c r="F81" s="67">
        <f ca="1">IFERROR(__xludf.DUMMYFUNCTION("""COMPUTED_VALUE"""),44536)</f>
        <v>44536</v>
      </c>
      <c r="G81" s="66" t="str">
        <f ca="1">IFERROR(__xludf.DUMMYFUNCTION("""COMPUTED_VALUE"""),"No")</f>
        <v>No</v>
      </c>
      <c r="H81" s="66" t="str">
        <f ca="1">IFERROR(__xludf.DUMMYFUNCTION("""COMPUTED_VALUE"""),"No")</f>
        <v>No</v>
      </c>
      <c r="I81" s="66">
        <f ca="1">IFERROR(__xludf.DUMMYFUNCTION("""COMPUTED_VALUE"""),0)</f>
        <v>0</v>
      </c>
      <c r="J81" s="68" t="str">
        <f ca="1">IFERROR(__xludf.DUMMYFUNCTION("""COMPUTED_VALUE"""),"https://drive.google.com/open?id=185yq5reXH52Tg4xzEngzlZp5G3H3apQs")</f>
        <v>https://drive.google.com/open?id=185yq5reXH52Tg4xzEngzlZp5G3H3apQs</v>
      </c>
      <c r="K81" s="66" t="str">
        <f ca="1">IFERROR(__xludf.DUMMYFUNCTION("""COMPUTED_VALUE"""),"2018-2022")</f>
        <v>2018-2022</v>
      </c>
      <c r="L81" s="66" t="str">
        <f ca="1">IFERROR(__xludf.DUMMYFUNCTION("""COMPUTED_VALUE"""),"S3: Student Internships")</f>
        <v>S3: Student Internships</v>
      </c>
      <c r="M81" s="66" t="str">
        <f ca="1">IFERROR(__xludf.DUMMYFUNCTION("""COMPUTED_VALUE"""),"haneefleo10@gmail.com")</f>
        <v>haneefleo10@gmail.com</v>
      </c>
      <c r="N81" s="66" t="str">
        <f ca="1">IFERROR(__xludf.DUMMYFUNCTION("""COMPUTED_VALUE"""),"SEM-8")</f>
        <v>SEM-8</v>
      </c>
      <c r="O81" s="69"/>
      <c r="P81" s="69"/>
      <c r="Q81" s="69"/>
      <c r="R81" s="69"/>
      <c r="S81" s="69"/>
      <c r="T81" s="69"/>
      <c r="U81" s="69"/>
      <c r="V81" s="69"/>
      <c r="W81" s="69"/>
      <c r="X81" s="69"/>
    </row>
    <row r="82" spans="1:24" ht="33" customHeight="1" x14ac:dyDescent="0.15">
      <c r="A82" s="66" t="str">
        <f ca="1">IFERROR(__xludf.DUMMYFUNCTION("""COMPUTED_VALUE"""),"Buddharaju Pragna")</f>
        <v>Buddharaju Pragna</v>
      </c>
      <c r="B82" s="66" t="str">
        <f ca="1">IFERROR(__xludf.DUMMYFUNCTION("""COMPUTED_VALUE"""),"18331A05H2")</f>
        <v>18331A05H2</v>
      </c>
      <c r="C82" s="66" t="str">
        <f ca="1">IFERROR(__xludf.DUMMYFUNCTION("""COMPUTED_VALUE"""),"TCS")</f>
        <v>TCS</v>
      </c>
      <c r="D82" s="66" t="str">
        <f ca="1">IFERROR(__xludf.DUMMYFUNCTION("""COMPUTED_VALUE"""),"2 months")</f>
        <v>2 months</v>
      </c>
      <c r="E82" s="67">
        <f ca="1">IFERROR(__xludf.DUMMYFUNCTION("""COMPUTED_VALUE"""),44615)</f>
        <v>44615</v>
      </c>
      <c r="F82" s="67">
        <f ca="1">IFERROR(__xludf.DUMMYFUNCTION("""COMPUTED_VALUE"""),44680)</f>
        <v>44680</v>
      </c>
      <c r="G82" s="66" t="str">
        <f ca="1">IFERROR(__xludf.DUMMYFUNCTION("""COMPUTED_VALUE"""),"No")</f>
        <v>No</v>
      </c>
      <c r="H82" s="66" t="str">
        <f ca="1">IFERROR(__xludf.DUMMYFUNCTION("""COMPUTED_VALUE"""),"No")</f>
        <v>No</v>
      </c>
      <c r="I82" s="66">
        <f ca="1">IFERROR(__xludf.DUMMYFUNCTION("""COMPUTED_VALUE"""),0)</f>
        <v>0</v>
      </c>
      <c r="J82" s="68" t="str">
        <f ca="1">IFERROR(__xludf.DUMMYFUNCTION("""COMPUTED_VALUE"""),"https://drive.google.com/open?id=1V-ZHoqUtAElJvV2UCSkugzD7cF6D22cX")</f>
        <v>https://drive.google.com/open?id=1V-ZHoqUtAElJvV2UCSkugzD7cF6D22cX</v>
      </c>
      <c r="K82" s="66" t="str">
        <f ca="1">IFERROR(__xludf.DUMMYFUNCTION("""COMPUTED_VALUE"""),"2018-2022")</f>
        <v>2018-2022</v>
      </c>
      <c r="L82" s="66" t="str">
        <f ca="1">IFERROR(__xludf.DUMMYFUNCTION("""COMPUTED_VALUE"""),"S3: Student Internships")</f>
        <v>S3: Student Internships</v>
      </c>
      <c r="M82" s="66" t="str">
        <f ca="1">IFERROR(__xludf.DUMMYFUNCTION("""COMPUTED_VALUE"""),"pragnabuddharaju@gmail.com")</f>
        <v>pragnabuddharaju@gmail.com</v>
      </c>
      <c r="N82" s="66" t="str">
        <f ca="1">IFERROR(__xludf.DUMMYFUNCTION("""COMPUTED_VALUE"""),"SEM-8")</f>
        <v>SEM-8</v>
      </c>
      <c r="O82" s="69"/>
      <c r="P82" s="69"/>
      <c r="Q82" s="69"/>
      <c r="R82" s="69"/>
      <c r="S82" s="69"/>
      <c r="T82" s="69"/>
      <c r="U82" s="69"/>
      <c r="V82" s="69"/>
      <c r="W82" s="69"/>
      <c r="X82" s="69"/>
    </row>
    <row r="83" spans="1:24" ht="33" customHeight="1" x14ac:dyDescent="0.15">
      <c r="A83" s="66" t="str">
        <f ca="1">IFERROR(__xludf.DUMMYFUNCTION("""COMPUTED_VALUE"""),"Savant Venkata Sai Mullapudi")</f>
        <v>Savant Venkata Sai Mullapudi</v>
      </c>
      <c r="B83" s="66" t="str">
        <f ca="1">IFERROR(__xludf.DUMMYFUNCTION("""COMPUTED_VALUE"""),"18331A05G7")</f>
        <v>18331A05G7</v>
      </c>
      <c r="C83" s="66" t="str">
        <f ca="1">IFERROR(__xludf.DUMMYFUNCTION("""COMPUTED_VALUE"""),"Pro Digital Worx")</f>
        <v>Pro Digital Worx</v>
      </c>
      <c r="D83" s="66" t="str">
        <f ca="1">IFERROR(__xludf.DUMMYFUNCTION("""COMPUTED_VALUE"""),"4 months")</f>
        <v>4 months</v>
      </c>
      <c r="E83" s="67">
        <f ca="1">IFERROR(__xludf.DUMMYFUNCTION("""COMPUTED_VALUE"""),44621)</f>
        <v>44621</v>
      </c>
      <c r="F83" s="67">
        <f ca="1">IFERROR(__xludf.DUMMYFUNCTION("""COMPUTED_VALUE"""),44742)</f>
        <v>44742</v>
      </c>
      <c r="G83" s="66" t="str">
        <f ca="1">IFERROR(__xludf.DUMMYFUNCTION("""COMPUTED_VALUE"""),"Yes")</f>
        <v>Yes</v>
      </c>
      <c r="H83" s="66" t="str">
        <f ca="1">IFERROR(__xludf.DUMMYFUNCTION("""COMPUTED_VALUE"""),"No")</f>
        <v>No</v>
      </c>
      <c r="I83" s="66">
        <f ca="1">IFERROR(__xludf.DUMMYFUNCTION("""COMPUTED_VALUE"""),10000)</f>
        <v>10000</v>
      </c>
      <c r="J83" s="68" t="str">
        <f ca="1">IFERROR(__xludf.DUMMYFUNCTION("""COMPUTED_VALUE"""),"https://drive.google.com/open?id=1XQxkvsPZxMq63zzQhpUlzZHGT-30Giml")</f>
        <v>https://drive.google.com/open?id=1XQxkvsPZxMq63zzQhpUlzZHGT-30Giml</v>
      </c>
      <c r="K83" s="66" t="str">
        <f ca="1">IFERROR(__xludf.DUMMYFUNCTION("""COMPUTED_VALUE"""),"2018-2022")</f>
        <v>2018-2022</v>
      </c>
      <c r="L83" s="66" t="str">
        <f ca="1">IFERROR(__xludf.DUMMYFUNCTION("""COMPUTED_VALUE"""),"S3: Student Internships")</f>
        <v>S3: Student Internships</v>
      </c>
      <c r="M83" s="66" t="str">
        <f ca="1">IFERROR(__xludf.DUMMYFUNCTION("""COMPUTED_VALUE"""),"savant.mullapudi@gmail.com")</f>
        <v>savant.mullapudi@gmail.com</v>
      </c>
      <c r="N83" s="66" t="str">
        <f ca="1">IFERROR(__xludf.DUMMYFUNCTION("""COMPUTED_VALUE"""),"SEM-8")</f>
        <v>SEM-8</v>
      </c>
      <c r="O83" s="69"/>
      <c r="P83" s="69"/>
      <c r="Q83" s="69"/>
      <c r="R83" s="69"/>
      <c r="S83" s="69"/>
      <c r="T83" s="69"/>
      <c r="U83" s="69"/>
      <c r="V83" s="69"/>
      <c r="W83" s="69"/>
      <c r="X83" s="69"/>
    </row>
    <row r="84" spans="1:24" ht="33" customHeight="1" x14ac:dyDescent="0.15">
      <c r="A84" s="66" t="str">
        <f ca="1">IFERROR(__xludf.DUMMYFUNCTION("""COMPUTED_VALUE"""),"Savant Venkata Sai Mullapudi ")</f>
        <v xml:space="preserve">Savant Venkata Sai Mullapudi </v>
      </c>
      <c r="B84" s="66" t="str">
        <f ca="1">IFERROR(__xludf.DUMMYFUNCTION("""COMPUTED_VALUE"""),"18331A05G7")</f>
        <v>18331A05G7</v>
      </c>
      <c r="C84" s="66" t="str">
        <f ca="1">IFERROR(__xludf.DUMMYFUNCTION("""COMPUTED_VALUE"""),"AWS Virtual internship")</f>
        <v>AWS Virtual internship</v>
      </c>
      <c r="D84" s="66" t="str">
        <f ca="1">IFERROR(__xludf.DUMMYFUNCTION("""COMPUTED_VALUE"""),"3 months")</f>
        <v>3 months</v>
      </c>
      <c r="E84" s="67">
        <f ca="1">IFERROR(__xludf.DUMMYFUNCTION("""COMPUTED_VALUE"""),44470)</f>
        <v>44470</v>
      </c>
      <c r="F84" s="67">
        <f ca="1">IFERROR(__xludf.DUMMYFUNCTION("""COMPUTED_VALUE"""),44561)</f>
        <v>44561</v>
      </c>
      <c r="G84" s="66" t="str">
        <f ca="1">IFERROR(__xludf.DUMMYFUNCTION("""COMPUTED_VALUE"""),"No")</f>
        <v>No</v>
      </c>
      <c r="H84" s="66" t="str">
        <f ca="1">IFERROR(__xludf.DUMMYFUNCTION("""COMPUTED_VALUE"""),"No")</f>
        <v>No</v>
      </c>
      <c r="I84" s="66">
        <f ca="1">IFERROR(__xludf.DUMMYFUNCTION("""COMPUTED_VALUE"""),0)</f>
        <v>0</v>
      </c>
      <c r="J84" s="68" t="str">
        <f ca="1">IFERROR(__xludf.DUMMYFUNCTION("""COMPUTED_VALUE"""),"https://drive.google.com/open?id=1lThSYHiqJHzqahEuh_3YUwc0a9q2IBhp")</f>
        <v>https://drive.google.com/open?id=1lThSYHiqJHzqahEuh_3YUwc0a9q2IBhp</v>
      </c>
      <c r="K84" s="66" t="str">
        <f ca="1">IFERROR(__xludf.DUMMYFUNCTION("""COMPUTED_VALUE"""),"2018-2022")</f>
        <v>2018-2022</v>
      </c>
      <c r="L84" s="66" t="str">
        <f ca="1">IFERROR(__xludf.DUMMYFUNCTION("""COMPUTED_VALUE"""),"S3: Student Internships")</f>
        <v>S3: Student Internships</v>
      </c>
      <c r="M84" s="66" t="str">
        <f ca="1">IFERROR(__xludf.DUMMYFUNCTION("""COMPUTED_VALUE"""),"savant.mullapudi@gmail.com")</f>
        <v>savant.mullapudi@gmail.com</v>
      </c>
      <c r="N84" s="66" t="str">
        <f ca="1">IFERROR(__xludf.DUMMYFUNCTION("""COMPUTED_VALUE"""),"SEM-8")</f>
        <v>SEM-8</v>
      </c>
      <c r="O84" s="69"/>
      <c r="P84" s="69"/>
      <c r="Q84" s="69"/>
      <c r="R84" s="69"/>
      <c r="S84" s="69"/>
      <c r="T84" s="69"/>
      <c r="U84" s="69"/>
      <c r="V84" s="69"/>
      <c r="W84" s="69"/>
      <c r="X84" s="69"/>
    </row>
    <row r="85" spans="1:24" ht="33" customHeight="1" x14ac:dyDescent="0.15">
      <c r="A85" s="59" t="str">
        <f ca="1">IFERROR(__xludf.DUMMYFUNCTION("""COMPUTED_VALUE"""),"Kasi Suresh")</f>
        <v>Kasi Suresh</v>
      </c>
      <c r="B85" s="59" t="str">
        <f ca="1">IFERROR(__xludf.DUMMYFUNCTION("""COMPUTED_VALUE"""),"18331A0573")</f>
        <v>18331A0573</v>
      </c>
      <c r="C85" s="59" t="str">
        <f ca="1">IFERROR(__xludf.DUMMYFUNCTION("""COMPUTED_VALUE"""),"Wipro")</f>
        <v>Wipro</v>
      </c>
      <c r="D85" s="59" t="str">
        <f ca="1">IFERROR(__xludf.DUMMYFUNCTION("""COMPUTED_VALUE"""),"3 months")</f>
        <v>3 months</v>
      </c>
      <c r="E85" s="70">
        <f ca="1">IFERROR(__xludf.DUMMYFUNCTION("""COMPUTED_VALUE"""),44634)</f>
        <v>44634</v>
      </c>
      <c r="F85" s="70">
        <f ca="1">IFERROR(__xludf.DUMMYFUNCTION("""COMPUTED_VALUE"""),44726)</f>
        <v>44726</v>
      </c>
      <c r="G85" s="59" t="str">
        <f ca="1">IFERROR(__xludf.DUMMYFUNCTION("""COMPUTED_VALUE"""),"No")</f>
        <v>No</v>
      </c>
      <c r="H85" s="59" t="str">
        <f ca="1">IFERROR(__xludf.DUMMYFUNCTION("""COMPUTED_VALUE"""),"No")</f>
        <v>No</v>
      </c>
      <c r="I85" s="59">
        <f ca="1">IFERROR(__xludf.DUMMYFUNCTION("""COMPUTED_VALUE"""),0)</f>
        <v>0</v>
      </c>
      <c r="J85" s="71" t="str">
        <f ca="1">IFERROR(__xludf.DUMMYFUNCTION("""COMPUTED_VALUE"""),"https://drive.google.com/open?id=1DeZf8Izquo12knJ7xhM8jkqs47vI9VAG")</f>
        <v>https://drive.google.com/open?id=1DeZf8Izquo12knJ7xhM8jkqs47vI9VAG</v>
      </c>
      <c r="K85" s="59" t="str">
        <f ca="1">IFERROR(__xludf.DUMMYFUNCTION("""COMPUTED_VALUE"""),"2018-2022")</f>
        <v>2018-2022</v>
      </c>
      <c r="L85" s="59" t="str">
        <f ca="1">IFERROR(__xludf.DUMMYFUNCTION("""COMPUTED_VALUE"""),"S3: Student Internships")</f>
        <v>S3: Student Internships</v>
      </c>
      <c r="M85" s="59" t="str">
        <f ca="1">IFERROR(__xludf.DUMMYFUNCTION("""COMPUTED_VALUE"""),"sureshkasi06@gmail.com")</f>
        <v>sureshkasi06@gmail.com</v>
      </c>
      <c r="N85" s="59" t="str">
        <f ca="1">IFERROR(__xludf.DUMMYFUNCTION("""COMPUTED_VALUE"""),"SEM-8")</f>
        <v>SEM-8</v>
      </c>
      <c r="O85" s="9"/>
      <c r="P85" s="9"/>
      <c r="Q85" s="9"/>
      <c r="R85" s="9"/>
      <c r="S85" s="9"/>
      <c r="T85" s="9"/>
      <c r="U85" s="9"/>
      <c r="V85" s="9"/>
      <c r="W85" s="9"/>
      <c r="X85" s="9"/>
    </row>
    <row r="86" spans="1:24" ht="33" customHeight="1" x14ac:dyDescent="0.15">
      <c r="A86" s="66" t="str">
        <f ca="1">IFERROR(__xludf.DUMMYFUNCTION("""COMPUTED_VALUE"""),"Vattikulla Sharmila")</f>
        <v>Vattikulla Sharmila</v>
      </c>
      <c r="B86" s="66" t="str">
        <f ca="1">IFERROR(__xludf.DUMMYFUNCTION("""COMPUTED_VALUE"""),"18331A05H8")</f>
        <v>18331A05H8</v>
      </c>
      <c r="C86" s="66" t="str">
        <f ca="1">IFERROR(__xludf.DUMMYFUNCTION("""COMPUTED_VALUE"""),"Eduskills")</f>
        <v>Eduskills</v>
      </c>
      <c r="D86" s="66" t="str">
        <f ca="1">IFERROR(__xludf.DUMMYFUNCTION("""COMPUTED_VALUE"""),"3 months")</f>
        <v>3 months</v>
      </c>
      <c r="E86" s="67">
        <f ca="1">IFERROR(__xludf.DUMMYFUNCTION("""COMPUTED_VALUE"""),44470)</f>
        <v>44470</v>
      </c>
      <c r="F86" s="67">
        <f ca="1">IFERROR(__xludf.DUMMYFUNCTION("""COMPUTED_VALUE"""),44561)</f>
        <v>44561</v>
      </c>
      <c r="G86" s="66" t="str">
        <f ca="1">IFERROR(__xludf.DUMMYFUNCTION("""COMPUTED_VALUE"""),"No")</f>
        <v>No</v>
      </c>
      <c r="H86" s="66" t="str">
        <f ca="1">IFERROR(__xludf.DUMMYFUNCTION("""COMPUTED_VALUE"""),"No")</f>
        <v>No</v>
      </c>
      <c r="I86" s="66">
        <f ca="1">IFERROR(__xludf.DUMMYFUNCTION("""COMPUTED_VALUE"""),0)</f>
        <v>0</v>
      </c>
      <c r="J86" s="68" t="str">
        <f ca="1">IFERROR(__xludf.DUMMYFUNCTION("""COMPUTED_VALUE"""),"https://drive.google.com/open?id=1gKXf64OaYsX91n6YGp_dwGAQ9rb5W9na")</f>
        <v>https://drive.google.com/open?id=1gKXf64OaYsX91n6YGp_dwGAQ9rb5W9na</v>
      </c>
      <c r="K86" s="66" t="str">
        <f ca="1">IFERROR(__xludf.DUMMYFUNCTION("""COMPUTED_VALUE"""),"2018-2022")</f>
        <v>2018-2022</v>
      </c>
      <c r="L86" s="66" t="str">
        <f ca="1">IFERROR(__xludf.DUMMYFUNCTION("""COMPUTED_VALUE"""),"S3: Student Internships")</f>
        <v>S3: Student Internships</v>
      </c>
      <c r="M86" s="66" t="str">
        <f ca="1">IFERROR(__xludf.DUMMYFUNCTION("""COMPUTED_VALUE"""),"sharmilavattikulla@gmail.com")</f>
        <v>sharmilavattikulla@gmail.com</v>
      </c>
      <c r="N86" s="66" t="str">
        <f ca="1">IFERROR(__xludf.DUMMYFUNCTION("""COMPUTED_VALUE"""),"SEM-8")</f>
        <v>SEM-8</v>
      </c>
      <c r="O86" s="69"/>
      <c r="P86" s="69"/>
      <c r="Q86" s="69"/>
      <c r="R86" s="69"/>
      <c r="S86" s="69"/>
      <c r="T86" s="69"/>
      <c r="U86" s="69"/>
      <c r="V86" s="69"/>
      <c r="W86" s="69"/>
      <c r="X86" s="69"/>
    </row>
    <row r="87" spans="1:24" ht="33" customHeight="1" x14ac:dyDescent="0.15">
      <c r="A87" s="59" t="str">
        <f ca="1">IFERROR(__xludf.DUMMYFUNCTION("""COMPUTED_VALUE"""),"Sravani Sreepada")</f>
        <v>Sravani Sreepada</v>
      </c>
      <c r="B87" s="59" t="str">
        <f ca="1">IFERROR(__xludf.DUMMYFUNCTION("""COMPUTED_VALUE"""),"19331A05G1")</f>
        <v>19331A05G1</v>
      </c>
      <c r="C87" s="59" t="str">
        <f ca="1">IFERROR(__xludf.DUMMYFUNCTION("""COMPUTED_VALUE"""),"EduSkills")</f>
        <v>EduSkills</v>
      </c>
      <c r="D87" s="59" t="str">
        <f ca="1">IFERROR(__xludf.DUMMYFUNCTION("""COMPUTED_VALUE"""),"3 months")</f>
        <v>3 months</v>
      </c>
      <c r="E87" s="70">
        <f ca="1">IFERROR(__xludf.DUMMYFUNCTION("""COMPUTED_VALUE"""),44479)</f>
        <v>44479</v>
      </c>
      <c r="F87" s="70">
        <f ca="1">IFERROR(__xludf.DUMMYFUNCTION("""COMPUTED_VALUE"""),44540)</f>
        <v>44540</v>
      </c>
      <c r="G87" s="59" t="str">
        <f ca="1">IFERROR(__xludf.DUMMYFUNCTION("""COMPUTED_VALUE"""),"No")</f>
        <v>No</v>
      </c>
      <c r="H87" s="59" t="str">
        <f ca="1">IFERROR(__xludf.DUMMYFUNCTION("""COMPUTED_VALUE"""),"No")</f>
        <v>No</v>
      </c>
      <c r="I87" s="59">
        <f ca="1">IFERROR(__xludf.DUMMYFUNCTION("""COMPUTED_VALUE"""),0)</f>
        <v>0</v>
      </c>
      <c r="J87" s="71" t="str">
        <f ca="1">IFERROR(__xludf.DUMMYFUNCTION("""COMPUTED_VALUE"""),"https://drive.google.com/open?id=1R_crjsy8Lbn26MMooTRDEIdrtwv0l2F0")</f>
        <v>https://drive.google.com/open?id=1R_crjsy8Lbn26MMooTRDEIdrtwv0l2F0</v>
      </c>
      <c r="K87" s="59" t="str">
        <f ca="1">IFERROR(__xludf.DUMMYFUNCTION("""COMPUTED_VALUE"""),"2019-2023")</f>
        <v>2019-2023</v>
      </c>
      <c r="L87" s="59" t="str">
        <f ca="1">IFERROR(__xludf.DUMMYFUNCTION("""COMPUTED_VALUE"""),"S3: Student Internships")</f>
        <v>S3: Student Internships</v>
      </c>
      <c r="M87" s="59" t="str">
        <f ca="1">IFERROR(__xludf.DUMMYFUNCTION("""COMPUTED_VALUE"""),"sreepadasravani@gmail.com")</f>
        <v>sreepadasravani@gmail.com</v>
      </c>
      <c r="N87" s="59" t="str">
        <f ca="1">IFERROR(__xludf.DUMMYFUNCTION("""COMPUTED_VALUE"""),"SEM-6")</f>
        <v>SEM-6</v>
      </c>
      <c r="O87" s="9"/>
      <c r="P87" s="9"/>
      <c r="Q87" s="9"/>
      <c r="R87" s="9"/>
      <c r="S87" s="9"/>
      <c r="T87" s="9"/>
      <c r="U87" s="9"/>
      <c r="V87" s="9"/>
      <c r="W87" s="9"/>
      <c r="X87" s="9"/>
    </row>
    <row r="88" spans="1:24" ht="33" customHeight="1" x14ac:dyDescent="0.15">
      <c r="A88" s="59" t="str">
        <f ca="1">IFERROR(__xludf.DUMMYFUNCTION("""COMPUTED_VALUE"""),"Hari Rama krishna Turpati")</f>
        <v>Hari Rama krishna Turpati</v>
      </c>
      <c r="B88" s="59" t="str">
        <f ca="1">IFERROR(__xludf.DUMMYFUNCTION("""COMPUTED_VALUE"""),"18331A05F9")</f>
        <v>18331A05F9</v>
      </c>
      <c r="C88" s="59" t="str">
        <f ca="1">IFERROR(__xludf.DUMMYFUNCTION("""COMPUTED_VALUE"""),"ProDigital Worx")</f>
        <v>ProDigital Worx</v>
      </c>
      <c r="D88" s="59" t="str">
        <f ca="1">IFERROR(__xludf.DUMMYFUNCTION("""COMPUTED_VALUE"""),"4 months")</f>
        <v>4 months</v>
      </c>
      <c r="E88" s="70">
        <f ca="1">IFERROR(__xludf.DUMMYFUNCTION("""COMPUTED_VALUE"""),44621)</f>
        <v>44621</v>
      </c>
      <c r="F88" s="70">
        <f ca="1">IFERROR(__xludf.DUMMYFUNCTION("""COMPUTED_VALUE"""),44742)</f>
        <v>44742</v>
      </c>
      <c r="G88" s="59" t="str">
        <f ca="1">IFERROR(__xludf.DUMMYFUNCTION("""COMPUTED_VALUE"""),"Yes")</f>
        <v>Yes</v>
      </c>
      <c r="H88" s="59" t="str">
        <f ca="1">IFERROR(__xludf.DUMMYFUNCTION("""COMPUTED_VALUE"""),"No")</f>
        <v>No</v>
      </c>
      <c r="I88" s="59">
        <f ca="1">IFERROR(__xludf.DUMMYFUNCTION("""COMPUTED_VALUE"""),0)</f>
        <v>0</v>
      </c>
      <c r="J88" s="71" t="str">
        <f ca="1">IFERROR(__xludf.DUMMYFUNCTION("""COMPUTED_VALUE"""),"https://drive.google.com/open?id=1iT_54ac8mHt0eNjUvGQm683y9KsMKAtY")</f>
        <v>https://drive.google.com/open?id=1iT_54ac8mHt0eNjUvGQm683y9KsMKAtY</v>
      </c>
      <c r="K88" s="59" t="str">
        <f ca="1">IFERROR(__xludf.DUMMYFUNCTION("""COMPUTED_VALUE"""),"2018-2022")</f>
        <v>2018-2022</v>
      </c>
      <c r="L88" s="59" t="str">
        <f ca="1">IFERROR(__xludf.DUMMYFUNCTION("""COMPUTED_VALUE"""),"S3: Student Internships")</f>
        <v>S3: Student Internships</v>
      </c>
      <c r="M88" s="59" t="str">
        <f ca="1">IFERROR(__xludf.DUMMYFUNCTION("""COMPUTED_VALUE"""),"thriramakrishna95@gmail.com")</f>
        <v>thriramakrishna95@gmail.com</v>
      </c>
      <c r="N88" s="59" t="str">
        <f ca="1">IFERROR(__xludf.DUMMYFUNCTION("""COMPUTED_VALUE"""),"SEM-8")</f>
        <v>SEM-8</v>
      </c>
      <c r="O88" s="9"/>
      <c r="P88" s="9"/>
      <c r="Q88" s="9"/>
      <c r="R88" s="9"/>
      <c r="S88" s="9"/>
      <c r="T88" s="9"/>
      <c r="U88" s="9"/>
      <c r="V88" s="9"/>
      <c r="W88" s="9"/>
      <c r="X88" s="9"/>
    </row>
    <row r="89" spans="1:24" ht="33" customHeight="1" x14ac:dyDescent="0.15">
      <c r="A89" s="66" t="str">
        <f ca="1">IFERROR(__xludf.DUMMYFUNCTION("""COMPUTED_VALUE"""),"Mandadi Bharathi naga sri sai prathyusha ")</f>
        <v xml:space="preserve">Mandadi Bharathi naga sri sai prathyusha </v>
      </c>
      <c r="B89" s="66" t="str">
        <f ca="1">IFERROR(__xludf.DUMMYFUNCTION("""COMPUTED_VALUE"""),"18331A0593")</f>
        <v>18331A0593</v>
      </c>
      <c r="C89" s="66" t="str">
        <f ca="1">IFERROR(__xludf.DUMMYFUNCTION("""COMPUTED_VALUE"""),"Now and me")</f>
        <v>Now and me</v>
      </c>
      <c r="D89" s="66" t="str">
        <f ca="1">IFERROR(__xludf.DUMMYFUNCTION("""COMPUTED_VALUE"""),"3 months")</f>
        <v>3 months</v>
      </c>
      <c r="E89" s="67">
        <f ca="1">IFERROR(__xludf.DUMMYFUNCTION("""COMPUTED_VALUE"""),44197)</f>
        <v>44197</v>
      </c>
      <c r="F89" s="67">
        <f ca="1">IFERROR(__xludf.DUMMYFUNCTION("""COMPUTED_VALUE"""),44286)</f>
        <v>44286</v>
      </c>
      <c r="G89" s="66" t="str">
        <f ca="1">IFERROR(__xludf.DUMMYFUNCTION("""COMPUTED_VALUE"""),"No")</f>
        <v>No</v>
      </c>
      <c r="H89" s="66" t="str">
        <f ca="1">IFERROR(__xludf.DUMMYFUNCTION("""COMPUTED_VALUE"""),"No")</f>
        <v>No</v>
      </c>
      <c r="I89" s="66">
        <f ca="1">IFERROR(__xludf.DUMMYFUNCTION("""COMPUTED_VALUE"""),0)</f>
        <v>0</v>
      </c>
      <c r="J89" s="68" t="str">
        <f ca="1">IFERROR(__xludf.DUMMYFUNCTION("""COMPUTED_VALUE"""),"https://drive.google.com/open?id=1pWiCeUui6TF-dBkqKuF1k9wm-ZuQPQmy")</f>
        <v>https://drive.google.com/open?id=1pWiCeUui6TF-dBkqKuF1k9wm-ZuQPQmy</v>
      </c>
      <c r="K89" s="66" t="str">
        <f ca="1">IFERROR(__xludf.DUMMYFUNCTION("""COMPUTED_VALUE"""),"2018-2022")</f>
        <v>2018-2022</v>
      </c>
      <c r="L89" s="66" t="str">
        <f ca="1">IFERROR(__xludf.DUMMYFUNCTION("""COMPUTED_VALUE"""),"S3: Student Internships")</f>
        <v>S3: Student Internships</v>
      </c>
      <c r="M89" s="66" t="str">
        <f ca="1">IFERROR(__xludf.DUMMYFUNCTION("""COMPUTED_VALUE"""),"mandadi.prathyusha@gmail.com")</f>
        <v>mandadi.prathyusha@gmail.com</v>
      </c>
      <c r="N89" s="66" t="str">
        <f ca="1">IFERROR(__xludf.DUMMYFUNCTION("""COMPUTED_VALUE"""),"SEM-8")</f>
        <v>SEM-8</v>
      </c>
      <c r="O89" s="69"/>
      <c r="P89" s="69"/>
      <c r="Q89" s="69"/>
      <c r="R89" s="69"/>
      <c r="S89" s="69"/>
      <c r="T89" s="69"/>
      <c r="U89" s="69"/>
      <c r="V89" s="69"/>
      <c r="W89" s="69"/>
      <c r="X89" s="69"/>
    </row>
    <row r="90" spans="1:24" ht="33" customHeight="1" x14ac:dyDescent="0.15">
      <c r="A90" s="59" t="str">
        <f ca="1">IFERROR(__xludf.DUMMYFUNCTION("""COMPUTED_VALUE"""),"PRAJYULITHA LAKKOJU")</f>
        <v>PRAJYULITHA LAKKOJU</v>
      </c>
      <c r="B90" s="59" t="str">
        <f ca="1">IFERROR(__xludf.DUMMYFUNCTION("""COMPUTED_VALUE"""),"20331A0598")</f>
        <v>20331A0598</v>
      </c>
      <c r="C90" s="59" t="str">
        <f ca="1">IFERROR(__xludf.DUMMYFUNCTION("""COMPUTED_VALUE"""),"eduskills")</f>
        <v>eduskills</v>
      </c>
      <c r="D90" s="59" t="str">
        <f ca="1">IFERROR(__xludf.DUMMYFUNCTION("""COMPUTED_VALUE"""),"2 months")</f>
        <v>2 months</v>
      </c>
      <c r="E90" s="70">
        <f ca="1">IFERROR(__xludf.DUMMYFUNCTION("""COMPUTED_VALUE"""),44470)</f>
        <v>44470</v>
      </c>
      <c r="F90" s="70">
        <f ca="1">IFERROR(__xludf.DUMMYFUNCTION("""COMPUTED_VALUE"""),44561)</f>
        <v>44561</v>
      </c>
      <c r="G90" s="59" t="str">
        <f ca="1">IFERROR(__xludf.DUMMYFUNCTION("""COMPUTED_VALUE"""),"No")</f>
        <v>No</v>
      </c>
      <c r="H90" s="59" t="str">
        <f ca="1">IFERROR(__xludf.DUMMYFUNCTION("""COMPUTED_VALUE"""),"No")</f>
        <v>No</v>
      </c>
      <c r="I90" s="59">
        <f ca="1">IFERROR(__xludf.DUMMYFUNCTION("""COMPUTED_VALUE"""),0)</f>
        <v>0</v>
      </c>
      <c r="J90" s="71" t="str">
        <f ca="1">IFERROR(__xludf.DUMMYFUNCTION("""COMPUTED_VALUE"""),"https://drive.google.com/open?id=1oBsoHCUqyikc8mDOXNplplxNdc8rspMh")</f>
        <v>https://drive.google.com/open?id=1oBsoHCUqyikc8mDOXNplplxNdc8rspMh</v>
      </c>
      <c r="K90" s="59" t="str">
        <f ca="1">IFERROR(__xludf.DUMMYFUNCTION("""COMPUTED_VALUE"""),"2020-2024")</f>
        <v>2020-2024</v>
      </c>
      <c r="L90" s="59" t="str">
        <f ca="1">IFERROR(__xludf.DUMMYFUNCTION("""COMPUTED_VALUE"""),"S3: Student Internships")</f>
        <v>S3: Student Internships</v>
      </c>
      <c r="M90" s="59" t="str">
        <f ca="1">IFERROR(__xludf.DUMMYFUNCTION("""COMPUTED_VALUE"""),"sonalakkoju6@gmail.com")</f>
        <v>sonalakkoju6@gmail.com</v>
      </c>
      <c r="N90" s="59" t="str">
        <f ca="1">IFERROR(__xludf.DUMMYFUNCTION("""COMPUTED_VALUE"""),"SEM-3")</f>
        <v>SEM-3</v>
      </c>
      <c r="O90" s="9"/>
      <c r="P90" s="9"/>
      <c r="Q90" s="9"/>
      <c r="R90" s="9"/>
      <c r="S90" s="9"/>
      <c r="T90" s="9"/>
      <c r="U90" s="9"/>
      <c r="V90" s="9"/>
      <c r="W90" s="9"/>
      <c r="X90" s="9"/>
    </row>
    <row r="91" spans="1:24" ht="33" customHeight="1" x14ac:dyDescent="0.15">
      <c r="A91" s="66" t="str">
        <f ca="1">IFERROR(__xludf.DUMMYFUNCTION("""COMPUTED_VALUE"""),"Mandadi Bharathi naga sri sai prathyusha ")</f>
        <v xml:space="preserve">Mandadi Bharathi naga sri sai prathyusha </v>
      </c>
      <c r="B91" s="66" t="str">
        <f ca="1">IFERROR(__xludf.DUMMYFUNCTION("""COMPUTED_VALUE"""),"18331A0593")</f>
        <v>18331A0593</v>
      </c>
      <c r="C91" s="66" t="str">
        <f ca="1">IFERROR(__xludf.DUMMYFUNCTION("""COMPUTED_VALUE"""),"Smart knower")</f>
        <v>Smart knower</v>
      </c>
      <c r="D91" s="66" t="str">
        <f ca="1">IFERROR(__xludf.DUMMYFUNCTION("""COMPUTED_VALUE"""),"6")</f>
        <v>6</v>
      </c>
      <c r="E91" s="67">
        <f ca="1">IFERROR(__xludf.DUMMYFUNCTION("""COMPUTED_VALUE"""),44123)</f>
        <v>44123</v>
      </c>
      <c r="F91" s="67">
        <f ca="1">IFERROR(__xludf.DUMMYFUNCTION("""COMPUTED_VALUE"""),44305)</f>
        <v>44305</v>
      </c>
      <c r="G91" s="66" t="str">
        <f ca="1">IFERROR(__xludf.DUMMYFUNCTION("""COMPUTED_VALUE"""),"No")</f>
        <v>No</v>
      </c>
      <c r="H91" s="66" t="str">
        <f ca="1">IFERROR(__xludf.DUMMYFUNCTION("""COMPUTED_VALUE"""),"No")</f>
        <v>No</v>
      </c>
      <c r="I91" s="66">
        <f ca="1">IFERROR(__xludf.DUMMYFUNCTION("""COMPUTED_VALUE"""),0)</f>
        <v>0</v>
      </c>
      <c r="J91" s="68" t="str">
        <f ca="1">IFERROR(__xludf.DUMMYFUNCTION("""COMPUTED_VALUE"""),"https://drive.google.com/open?id=1GcsdzqCzF19-5ITW2e-Qg41q-oUQdwCy")</f>
        <v>https://drive.google.com/open?id=1GcsdzqCzF19-5ITW2e-Qg41q-oUQdwCy</v>
      </c>
      <c r="K91" s="66" t="str">
        <f ca="1">IFERROR(__xludf.DUMMYFUNCTION("""COMPUTED_VALUE"""),"2018-2022")</f>
        <v>2018-2022</v>
      </c>
      <c r="L91" s="66" t="str">
        <f ca="1">IFERROR(__xludf.DUMMYFUNCTION("""COMPUTED_VALUE"""),"S3: Student Internships")</f>
        <v>S3: Student Internships</v>
      </c>
      <c r="M91" s="66" t="str">
        <f ca="1">IFERROR(__xludf.DUMMYFUNCTION("""COMPUTED_VALUE"""),"mandadi.prathyusha@gmail.com")</f>
        <v>mandadi.prathyusha@gmail.com</v>
      </c>
      <c r="N91" s="66" t="str">
        <f ca="1">IFERROR(__xludf.DUMMYFUNCTION("""COMPUTED_VALUE"""),"SEM-8")</f>
        <v>SEM-8</v>
      </c>
      <c r="O91" s="69"/>
      <c r="P91" s="69"/>
      <c r="Q91" s="69"/>
      <c r="R91" s="69"/>
      <c r="S91" s="69"/>
      <c r="T91" s="69"/>
      <c r="U91" s="69"/>
      <c r="V91" s="69"/>
      <c r="W91" s="69"/>
      <c r="X91" s="69"/>
    </row>
    <row r="92" spans="1:24" ht="33" customHeight="1" x14ac:dyDescent="0.15">
      <c r="A92" s="66" t="str">
        <f ca="1">IFERROR(__xludf.DUMMYFUNCTION("""COMPUTED_VALUE"""),"Sai Yogesh Bhasuru")</f>
        <v>Sai Yogesh Bhasuru</v>
      </c>
      <c r="B92" s="66" t="str">
        <f ca="1">IFERROR(__xludf.DUMMYFUNCTION("""COMPUTED_VALUE"""),"18331A05D4")</f>
        <v>18331A05D4</v>
      </c>
      <c r="C92" s="66" t="str">
        <f ca="1">IFERROR(__xludf.DUMMYFUNCTION("""COMPUTED_VALUE"""),"EDU SKILLS")</f>
        <v>EDU SKILLS</v>
      </c>
      <c r="D92" s="66" t="str">
        <f ca="1">IFERROR(__xludf.DUMMYFUNCTION("""COMPUTED_VALUE"""),"10 WEEKS")</f>
        <v>10 WEEKS</v>
      </c>
      <c r="E92" s="67">
        <f ca="1">IFERROR(__xludf.DUMMYFUNCTION("""COMPUTED_VALUE"""),44490)</f>
        <v>44490</v>
      </c>
      <c r="F92" s="67">
        <f ca="1">IFERROR(__xludf.DUMMYFUNCTION("""COMPUTED_VALUE"""),44561)</f>
        <v>44561</v>
      </c>
      <c r="G92" s="66" t="str">
        <f ca="1">IFERROR(__xludf.DUMMYFUNCTION("""COMPUTED_VALUE"""),"No")</f>
        <v>No</v>
      </c>
      <c r="H92" s="66" t="str">
        <f ca="1">IFERROR(__xludf.DUMMYFUNCTION("""COMPUTED_VALUE"""),"No")</f>
        <v>No</v>
      </c>
      <c r="I92" s="66">
        <f ca="1">IFERROR(__xludf.DUMMYFUNCTION("""COMPUTED_VALUE"""),0)</f>
        <v>0</v>
      </c>
      <c r="J92" s="68" t="str">
        <f ca="1">IFERROR(__xludf.DUMMYFUNCTION("""COMPUTED_VALUE"""),"https://drive.google.com/open?id=1MMJqoGur-eMCf_7hAzgs-uyOed9kNdHH")</f>
        <v>https://drive.google.com/open?id=1MMJqoGur-eMCf_7hAzgs-uyOed9kNdHH</v>
      </c>
      <c r="K92" s="66" t="str">
        <f ca="1">IFERROR(__xludf.DUMMYFUNCTION("""COMPUTED_VALUE"""),"2018-2022")</f>
        <v>2018-2022</v>
      </c>
      <c r="L92" s="66" t="str">
        <f ca="1">IFERROR(__xludf.DUMMYFUNCTION("""COMPUTED_VALUE"""),"S3: Student Internships")</f>
        <v>S3: Student Internships</v>
      </c>
      <c r="M92" s="66" t="str">
        <f ca="1">IFERROR(__xludf.DUMMYFUNCTION("""COMPUTED_VALUE"""),"saiyogeshbhasuru16@gmail.com")</f>
        <v>saiyogeshbhasuru16@gmail.com</v>
      </c>
      <c r="N92" s="66" t="str">
        <f ca="1">IFERROR(__xludf.DUMMYFUNCTION("""COMPUTED_VALUE"""),"SEM-8")</f>
        <v>SEM-8</v>
      </c>
      <c r="O92" s="69"/>
      <c r="P92" s="69"/>
      <c r="Q92" s="69"/>
      <c r="R92" s="69"/>
      <c r="S92" s="69"/>
      <c r="T92" s="69"/>
      <c r="U92" s="69"/>
      <c r="V92" s="69"/>
      <c r="W92" s="69"/>
      <c r="X92" s="69"/>
    </row>
    <row r="93" spans="1:24" ht="33" customHeight="1" x14ac:dyDescent="0.15">
      <c r="A93" s="59" t="str">
        <f ca="1">IFERROR(__xludf.DUMMYFUNCTION("""COMPUTED_VALUE"""),"DEVARAJU")</f>
        <v>DEVARAJU</v>
      </c>
      <c r="B93" s="59" t="str">
        <f ca="1">IFERROR(__xludf.DUMMYFUNCTION("""COMPUTED_VALUE"""),"20331A0592")</f>
        <v>20331A0592</v>
      </c>
      <c r="C93" s="59" t="str">
        <f ca="1">IFERROR(__xludf.DUMMYFUNCTION("""COMPUTED_VALUE"""),"Eduskills")</f>
        <v>Eduskills</v>
      </c>
      <c r="D93" s="59" t="str">
        <f ca="1">IFERROR(__xludf.DUMMYFUNCTION("""COMPUTED_VALUE"""),"10 weeks")</f>
        <v>10 weeks</v>
      </c>
      <c r="E93" s="70">
        <f ca="1">IFERROR(__xludf.DUMMYFUNCTION("""COMPUTED_VALUE"""),44470)</f>
        <v>44470</v>
      </c>
      <c r="F93" s="70">
        <f ca="1">IFERROR(__xludf.DUMMYFUNCTION("""COMPUTED_VALUE"""),44531)</f>
        <v>44531</v>
      </c>
      <c r="G93" s="59" t="str">
        <f ca="1">IFERROR(__xludf.DUMMYFUNCTION("""COMPUTED_VALUE"""),"No")</f>
        <v>No</v>
      </c>
      <c r="H93" s="59" t="str">
        <f ca="1">IFERROR(__xludf.DUMMYFUNCTION("""COMPUTED_VALUE"""),"No")</f>
        <v>No</v>
      </c>
      <c r="I93" s="59">
        <f ca="1">IFERROR(__xludf.DUMMYFUNCTION("""COMPUTED_VALUE"""),0)</f>
        <v>0</v>
      </c>
      <c r="J93" s="71" t="str">
        <f ca="1">IFERROR(__xludf.DUMMYFUNCTION("""COMPUTED_VALUE"""),"https://drive.google.com/open?id=1A2vochcJvGrHoDWXY64uTyxO0dapzj9a")</f>
        <v>https://drive.google.com/open?id=1A2vochcJvGrHoDWXY64uTyxO0dapzj9a</v>
      </c>
      <c r="K93" s="59" t="str">
        <f ca="1">IFERROR(__xludf.DUMMYFUNCTION("""COMPUTED_VALUE"""),"2020-2024")</f>
        <v>2020-2024</v>
      </c>
      <c r="L93" s="59" t="str">
        <f ca="1">IFERROR(__xludf.DUMMYFUNCTION("""COMPUTED_VALUE"""),"S3: Student Internships")</f>
        <v>S3: Student Internships</v>
      </c>
      <c r="M93" s="59" t="str">
        <f ca="1">IFERROR(__xludf.DUMMYFUNCTION("""COMPUTED_VALUE"""),"devaraj20112002@gmail.com")</f>
        <v>devaraj20112002@gmail.com</v>
      </c>
      <c r="N93" s="59" t="str">
        <f ca="1">IFERROR(__xludf.DUMMYFUNCTION("""COMPUTED_VALUE"""),"SEM-3")</f>
        <v>SEM-3</v>
      </c>
      <c r="O93" s="9"/>
      <c r="P93" s="9"/>
      <c r="Q93" s="9"/>
      <c r="R93" s="9"/>
      <c r="S93" s="9"/>
      <c r="T93" s="9"/>
      <c r="U93" s="9"/>
      <c r="V93" s="9"/>
      <c r="W93" s="9"/>
      <c r="X93" s="9"/>
    </row>
    <row r="94" spans="1:24" ht="33" customHeight="1" x14ac:dyDescent="0.15">
      <c r="A94" s="59" t="str">
        <f ca="1">IFERROR(__xludf.DUMMYFUNCTION("""COMPUTED_VALUE"""),"Venkata Surya Pranay Mamidipalli ")</f>
        <v xml:space="preserve">Venkata Surya Pranay Mamidipalli </v>
      </c>
      <c r="B94" s="59" t="str">
        <f ca="1">IFERROR(__xludf.DUMMYFUNCTION("""COMPUTED_VALUE"""),"20331A05A5 ")</f>
        <v xml:space="preserve">20331A05A5 </v>
      </c>
      <c r="C94" s="59" t="str">
        <f ca="1">IFERROR(__xludf.DUMMYFUNCTION("""COMPUTED_VALUE"""),"LINUX VIRTUAL AUTOMATION INTERNSHIP")</f>
        <v>LINUX VIRTUAL AUTOMATION INTERNSHIP</v>
      </c>
      <c r="D94" s="59" t="str">
        <f ca="1">IFERROR(__xludf.DUMMYFUNCTION("""COMPUTED_VALUE"""),"10 weeks")</f>
        <v>10 weeks</v>
      </c>
      <c r="E94" s="70">
        <f ca="1">IFERROR(__xludf.DUMMYFUNCTION("""COMPUTED_VALUE"""),44483)</f>
        <v>44483</v>
      </c>
      <c r="F94" s="70">
        <f ca="1">IFERROR(__xludf.DUMMYFUNCTION("""COMPUTED_VALUE"""),44561)</f>
        <v>44561</v>
      </c>
      <c r="G94" s="59" t="str">
        <f ca="1">IFERROR(__xludf.DUMMYFUNCTION("""COMPUTED_VALUE"""),"No")</f>
        <v>No</v>
      </c>
      <c r="H94" s="59" t="str">
        <f ca="1">IFERROR(__xludf.DUMMYFUNCTION("""COMPUTED_VALUE"""),"No")</f>
        <v>No</v>
      </c>
      <c r="I94" s="59">
        <f ca="1">IFERROR(__xludf.DUMMYFUNCTION("""COMPUTED_VALUE"""),0)</f>
        <v>0</v>
      </c>
      <c r="J94" s="71" t="str">
        <f ca="1">IFERROR(__xludf.DUMMYFUNCTION("""COMPUTED_VALUE"""),"https://drive.google.com/open?id=1rABfJUKRpSqleWAVpC2T3MOprLuyLyPa")</f>
        <v>https://drive.google.com/open?id=1rABfJUKRpSqleWAVpC2T3MOprLuyLyPa</v>
      </c>
      <c r="K94" s="59" t="str">
        <f ca="1">IFERROR(__xludf.DUMMYFUNCTION("""COMPUTED_VALUE"""),"2020-2024")</f>
        <v>2020-2024</v>
      </c>
      <c r="L94" s="59" t="str">
        <f ca="1">IFERROR(__xludf.DUMMYFUNCTION("""COMPUTED_VALUE"""),"S3: Student Internships")</f>
        <v>S3: Student Internships</v>
      </c>
      <c r="M94" s="59" t="str">
        <f ca="1">IFERROR(__xludf.DUMMYFUNCTION("""COMPUTED_VALUE"""),"suryapranaymamidipalli@gmail.com")</f>
        <v>suryapranaymamidipalli@gmail.com</v>
      </c>
      <c r="N94" s="59" t="str">
        <f ca="1">IFERROR(__xludf.DUMMYFUNCTION("""COMPUTED_VALUE"""),"SEM-4")</f>
        <v>SEM-4</v>
      </c>
      <c r="O94" s="9"/>
      <c r="P94" s="9"/>
      <c r="Q94" s="9"/>
      <c r="R94" s="9"/>
      <c r="S94" s="9"/>
      <c r="T94" s="9"/>
      <c r="U94" s="9"/>
      <c r="V94" s="9"/>
      <c r="W94" s="9"/>
      <c r="X94" s="9"/>
    </row>
    <row r="95" spans="1:24" ht="33" customHeight="1" x14ac:dyDescent="0.15">
      <c r="A95" s="66" t="str">
        <f ca="1">IFERROR(__xludf.DUMMYFUNCTION("""COMPUTED_VALUE"""),"Boddapati Rajesh")</f>
        <v>Boddapati Rajesh</v>
      </c>
      <c r="B95" s="66" t="str">
        <f ca="1">IFERROR(__xludf.DUMMYFUNCTION("""COMPUTED_VALUE"""),"18331A0515")</f>
        <v>18331A0515</v>
      </c>
      <c r="C95" s="66" t="str">
        <f ca="1">IFERROR(__xludf.DUMMYFUNCTION("""COMPUTED_VALUE"""),"Red Hat")</f>
        <v>Red Hat</v>
      </c>
      <c r="D95" s="66" t="str">
        <f ca="1">IFERROR(__xludf.DUMMYFUNCTION("""COMPUTED_VALUE"""),"Feb-Apr")</f>
        <v>Feb-Apr</v>
      </c>
      <c r="E95" s="67">
        <f ca="1">IFERROR(__xludf.DUMMYFUNCTION("""COMPUTED_VALUE"""),44645)</f>
        <v>44645</v>
      </c>
      <c r="F95" s="67">
        <f ca="1">IFERROR(__xludf.DUMMYFUNCTION("""COMPUTED_VALUE"""),44661)</f>
        <v>44661</v>
      </c>
      <c r="G95" s="66" t="str">
        <f ca="1">IFERROR(__xludf.DUMMYFUNCTION("""COMPUTED_VALUE"""),"No")</f>
        <v>No</v>
      </c>
      <c r="H95" s="66" t="str">
        <f ca="1">IFERROR(__xludf.DUMMYFUNCTION("""COMPUTED_VALUE"""),"No")</f>
        <v>No</v>
      </c>
      <c r="I95" s="66">
        <f ca="1">IFERROR(__xludf.DUMMYFUNCTION("""COMPUTED_VALUE"""),0)</f>
        <v>0</v>
      </c>
      <c r="J95" s="68" t="str">
        <f ca="1">IFERROR(__xludf.DUMMYFUNCTION("""COMPUTED_VALUE"""),"https://drive.google.com/open?id=1alC3TptgmchgQ0Ov9CEIfYpn5FubFyJL")</f>
        <v>https://drive.google.com/open?id=1alC3TptgmchgQ0Ov9CEIfYpn5FubFyJL</v>
      </c>
      <c r="K95" s="66" t="str">
        <f ca="1">IFERROR(__xludf.DUMMYFUNCTION("""COMPUTED_VALUE"""),"2018-2022")</f>
        <v>2018-2022</v>
      </c>
      <c r="L95" s="66" t="str">
        <f ca="1">IFERROR(__xludf.DUMMYFUNCTION("""COMPUTED_VALUE"""),"S3: Student Internships")</f>
        <v>S3: Student Internships</v>
      </c>
      <c r="M95" s="66" t="str">
        <f ca="1">IFERROR(__xludf.DUMMYFUNCTION("""COMPUTED_VALUE"""),"rajeshboddapati37@gmail.com")</f>
        <v>rajeshboddapati37@gmail.com</v>
      </c>
      <c r="N95" s="66" t="str">
        <f ca="1">IFERROR(__xludf.DUMMYFUNCTION("""COMPUTED_VALUE"""),"SEM-8")</f>
        <v>SEM-8</v>
      </c>
      <c r="O95" s="69"/>
      <c r="P95" s="69"/>
      <c r="Q95" s="69"/>
      <c r="R95" s="69"/>
      <c r="S95" s="69"/>
      <c r="T95" s="69"/>
      <c r="U95" s="69"/>
      <c r="V95" s="69"/>
      <c r="W95" s="69"/>
      <c r="X95" s="69"/>
    </row>
    <row r="96" spans="1:24" ht="33" customHeight="1" x14ac:dyDescent="0.15">
      <c r="A96" s="59" t="str">
        <f ca="1">IFERROR(__xludf.DUMMYFUNCTION("""COMPUTED_VALUE"""),"Sravanthi ")</f>
        <v xml:space="preserve">Sravanthi </v>
      </c>
      <c r="B96" s="59" t="str">
        <f ca="1">IFERROR(__xludf.DUMMYFUNCTION("""COMPUTED_VALUE"""),"20331A0594 ")</f>
        <v xml:space="preserve">20331A0594 </v>
      </c>
      <c r="C96" s="59" t="str">
        <f ca="1">IFERROR(__xludf.DUMMYFUNCTION("""COMPUTED_VALUE"""),"Eduskill")</f>
        <v>Eduskill</v>
      </c>
      <c r="D96" s="59" t="str">
        <f ca="1">IFERROR(__xludf.DUMMYFUNCTION("""COMPUTED_VALUE"""),"10 weeks ")</f>
        <v xml:space="preserve">10 weeks </v>
      </c>
      <c r="E96" s="70">
        <f ca="1">IFERROR(__xludf.DUMMYFUNCTION("""COMPUTED_VALUE"""),44470)</f>
        <v>44470</v>
      </c>
      <c r="F96" s="70">
        <f ca="1">IFERROR(__xludf.DUMMYFUNCTION("""COMPUTED_VALUE"""),44531)</f>
        <v>44531</v>
      </c>
      <c r="G96" s="59" t="str">
        <f ca="1">IFERROR(__xludf.DUMMYFUNCTION("""COMPUTED_VALUE"""),"No")</f>
        <v>No</v>
      </c>
      <c r="H96" s="59" t="str">
        <f ca="1">IFERROR(__xludf.DUMMYFUNCTION("""COMPUTED_VALUE"""),"No")</f>
        <v>No</v>
      </c>
      <c r="I96" s="59">
        <f ca="1">IFERROR(__xludf.DUMMYFUNCTION("""COMPUTED_VALUE"""),0)</f>
        <v>0</v>
      </c>
      <c r="J96" s="71" t="str">
        <f ca="1">IFERROR(__xludf.DUMMYFUNCTION("""COMPUTED_VALUE"""),"https://drive.google.com/open?id=1Jbbts9ceS-YQiXZrGgp3WKwz8lNH1LZO")</f>
        <v>https://drive.google.com/open?id=1Jbbts9ceS-YQiXZrGgp3WKwz8lNH1LZO</v>
      </c>
      <c r="K96" s="59" t="str">
        <f ca="1">IFERROR(__xludf.DUMMYFUNCTION("""COMPUTED_VALUE"""),"2020-2024")</f>
        <v>2020-2024</v>
      </c>
      <c r="L96" s="59" t="str">
        <f ca="1">IFERROR(__xludf.DUMMYFUNCTION("""COMPUTED_VALUE"""),"S3: Student Internships")</f>
        <v>S3: Student Internships</v>
      </c>
      <c r="M96" s="59" t="str">
        <f ca="1">IFERROR(__xludf.DUMMYFUNCTION("""COMPUTED_VALUE"""),"sravanthikumarapu.88@gmail.com")</f>
        <v>sravanthikumarapu.88@gmail.com</v>
      </c>
      <c r="N96" s="59" t="str">
        <f ca="1">IFERROR(__xludf.DUMMYFUNCTION("""COMPUTED_VALUE"""),"SEM-4")</f>
        <v>SEM-4</v>
      </c>
      <c r="O96" s="9"/>
      <c r="P96" s="9"/>
      <c r="Q96" s="9"/>
      <c r="R96" s="9"/>
      <c r="S96" s="9"/>
      <c r="T96" s="9"/>
      <c r="U96" s="9"/>
      <c r="V96" s="9"/>
      <c r="W96" s="9"/>
      <c r="X96" s="9"/>
    </row>
    <row r="97" spans="1:24" ht="33" customHeight="1" x14ac:dyDescent="0.15">
      <c r="A97" s="59" t="str">
        <f ca="1">IFERROR(__xludf.DUMMYFUNCTION("""COMPUTED_VALUE"""),"MD.Halima")</f>
        <v>MD.Halima</v>
      </c>
      <c r="B97" s="59" t="str">
        <f ca="1">IFERROR(__xludf.DUMMYFUNCTION("""COMPUTED_VALUE"""),"20331A05B1")</f>
        <v>20331A05B1</v>
      </c>
      <c r="C97" s="59" t="str">
        <f ca="1">IFERROR(__xludf.DUMMYFUNCTION("""COMPUTED_VALUE"""),"Eduskills")</f>
        <v>Eduskills</v>
      </c>
      <c r="D97" s="59" t="str">
        <f ca="1">IFERROR(__xludf.DUMMYFUNCTION("""COMPUTED_VALUE"""),"2montha")</f>
        <v>2montha</v>
      </c>
      <c r="E97" s="70">
        <f ca="1">IFERROR(__xludf.DUMMYFUNCTION("""COMPUTED_VALUE"""),44835)</f>
        <v>44835</v>
      </c>
      <c r="F97" s="70">
        <f ca="1">IFERROR(__xludf.DUMMYFUNCTION("""COMPUTED_VALUE"""),44926)</f>
        <v>44926</v>
      </c>
      <c r="G97" s="59" t="str">
        <f ca="1">IFERROR(__xludf.DUMMYFUNCTION("""COMPUTED_VALUE"""),"No")</f>
        <v>No</v>
      </c>
      <c r="H97" s="59" t="str">
        <f ca="1">IFERROR(__xludf.DUMMYFUNCTION("""COMPUTED_VALUE"""),"No")</f>
        <v>No</v>
      </c>
      <c r="I97" s="59">
        <f ca="1">IFERROR(__xludf.DUMMYFUNCTION("""COMPUTED_VALUE"""),0)</f>
        <v>0</v>
      </c>
      <c r="J97" s="71" t="str">
        <f ca="1">IFERROR(__xludf.DUMMYFUNCTION("""COMPUTED_VALUE"""),"https://drive.google.com/open?id=18oE2vDGu9afNUFdwWn5qMx4nqei6-7E9")</f>
        <v>https://drive.google.com/open?id=18oE2vDGu9afNUFdwWn5qMx4nqei6-7E9</v>
      </c>
      <c r="K97" s="59" t="str">
        <f ca="1">IFERROR(__xludf.DUMMYFUNCTION("""COMPUTED_VALUE"""),"2020-2024")</f>
        <v>2020-2024</v>
      </c>
      <c r="L97" s="59" t="str">
        <f ca="1">IFERROR(__xludf.DUMMYFUNCTION("""COMPUTED_VALUE"""),"S3: Student Internships")</f>
        <v>S3: Student Internships</v>
      </c>
      <c r="M97" s="59" t="str">
        <f ca="1">IFERROR(__xludf.DUMMYFUNCTION("""COMPUTED_VALUE"""),"md138halima@gmail.com")</f>
        <v>md138halima@gmail.com</v>
      </c>
      <c r="N97" s="59" t="str">
        <f ca="1">IFERROR(__xludf.DUMMYFUNCTION("""COMPUTED_VALUE"""),"SEM-3")</f>
        <v>SEM-3</v>
      </c>
      <c r="O97" s="9"/>
      <c r="P97" s="9"/>
      <c r="Q97" s="9"/>
      <c r="R97" s="9"/>
      <c r="S97" s="9"/>
      <c r="T97" s="9"/>
      <c r="U97" s="9"/>
      <c r="V97" s="9"/>
      <c r="W97" s="9"/>
      <c r="X97" s="9"/>
    </row>
    <row r="98" spans="1:24" ht="33" customHeight="1" x14ac:dyDescent="0.15">
      <c r="A98" s="59" t="str">
        <f ca="1">IFERROR(__xludf.DUMMYFUNCTION("""COMPUTED_VALUE"""),"MD.Halima")</f>
        <v>MD.Halima</v>
      </c>
      <c r="B98" s="59" t="str">
        <f ca="1">IFERROR(__xludf.DUMMYFUNCTION("""COMPUTED_VALUE"""),"20331A05B1")</f>
        <v>20331A05B1</v>
      </c>
      <c r="C98" s="59" t="str">
        <f ca="1">IFERROR(__xludf.DUMMYFUNCTION("""COMPUTED_VALUE"""),"Eduskills")</f>
        <v>Eduskills</v>
      </c>
      <c r="D98" s="59" t="str">
        <f ca="1">IFERROR(__xludf.DUMMYFUNCTION("""COMPUTED_VALUE"""),"2months")</f>
        <v>2months</v>
      </c>
      <c r="E98" s="70">
        <f ca="1">IFERROR(__xludf.DUMMYFUNCTION("""COMPUTED_VALUE"""),44470)</f>
        <v>44470</v>
      </c>
      <c r="F98" s="70">
        <f ca="1">IFERROR(__xludf.DUMMYFUNCTION("""COMPUTED_VALUE"""),44561)</f>
        <v>44561</v>
      </c>
      <c r="G98" s="59" t="str">
        <f ca="1">IFERROR(__xludf.DUMMYFUNCTION("""COMPUTED_VALUE"""),"No")</f>
        <v>No</v>
      </c>
      <c r="H98" s="59" t="str">
        <f ca="1">IFERROR(__xludf.DUMMYFUNCTION("""COMPUTED_VALUE"""),"No")</f>
        <v>No</v>
      </c>
      <c r="I98" s="59">
        <f ca="1">IFERROR(__xludf.DUMMYFUNCTION("""COMPUTED_VALUE"""),0)</f>
        <v>0</v>
      </c>
      <c r="J98" s="71" t="str">
        <f ca="1">IFERROR(__xludf.DUMMYFUNCTION("""COMPUTED_VALUE"""),"https://drive.google.com/open?id=18rsWLMQxRgogo3XfG981SyQXesg61x9O")</f>
        <v>https://drive.google.com/open?id=18rsWLMQxRgogo3XfG981SyQXesg61x9O</v>
      </c>
      <c r="K98" s="59" t="str">
        <f ca="1">IFERROR(__xludf.DUMMYFUNCTION("""COMPUTED_VALUE"""),"2020-2024")</f>
        <v>2020-2024</v>
      </c>
      <c r="L98" s="59" t="str">
        <f ca="1">IFERROR(__xludf.DUMMYFUNCTION("""COMPUTED_VALUE"""),"S3: Student Internships")</f>
        <v>S3: Student Internships</v>
      </c>
      <c r="M98" s="59" t="str">
        <f ca="1">IFERROR(__xludf.DUMMYFUNCTION("""COMPUTED_VALUE"""),"md138halima@gmail.com")</f>
        <v>md138halima@gmail.com</v>
      </c>
      <c r="N98" s="59" t="str">
        <f ca="1">IFERROR(__xludf.DUMMYFUNCTION("""COMPUTED_VALUE"""),"SEM-3")</f>
        <v>SEM-3</v>
      </c>
      <c r="O98" s="9"/>
      <c r="P98" s="9"/>
      <c r="Q98" s="9"/>
      <c r="R98" s="9"/>
      <c r="S98" s="9"/>
      <c r="T98" s="9"/>
      <c r="U98" s="9"/>
      <c r="V98" s="9"/>
      <c r="W98" s="9"/>
      <c r="X98" s="9"/>
    </row>
    <row r="99" spans="1:24" ht="33" customHeight="1" x14ac:dyDescent="0.15">
      <c r="A99" s="59" t="str">
        <f ca="1">IFERROR(__xludf.DUMMYFUNCTION("""COMPUTED_VALUE"""),"Matcha Priyanka")</f>
        <v>Matcha Priyanka</v>
      </c>
      <c r="B99" s="59" t="str">
        <f ca="1">IFERROR(__xludf.DUMMYFUNCTION("""COMPUTED_VALUE"""),"20331A05A7")</f>
        <v>20331A05A7</v>
      </c>
      <c r="C99" s="59" t="str">
        <f ca="1">IFERROR(__xludf.DUMMYFUNCTION("""COMPUTED_VALUE"""),"Eduskills")</f>
        <v>Eduskills</v>
      </c>
      <c r="D99" s="59" t="str">
        <f ca="1">IFERROR(__xludf.DUMMYFUNCTION("""COMPUTED_VALUE"""),"2 months")</f>
        <v>2 months</v>
      </c>
      <c r="E99" s="70">
        <f ca="1">IFERROR(__xludf.DUMMYFUNCTION("""COMPUTED_VALUE"""),44470)</f>
        <v>44470</v>
      </c>
      <c r="F99" s="70">
        <f ca="1">IFERROR(__xludf.DUMMYFUNCTION("""COMPUTED_VALUE"""),44561)</f>
        <v>44561</v>
      </c>
      <c r="G99" s="59" t="str">
        <f ca="1">IFERROR(__xludf.DUMMYFUNCTION("""COMPUTED_VALUE"""),"No")</f>
        <v>No</v>
      </c>
      <c r="H99" s="59" t="str">
        <f ca="1">IFERROR(__xludf.DUMMYFUNCTION("""COMPUTED_VALUE"""),"No")</f>
        <v>No</v>
      </c>
      <c r="I99" s="59">
        <f ca="1">IFERROR(__xludf.DUMMYFUNCTION("""COMPUTED_VALUE"""),0)</f>
        <v>0</v>
      </c>
      <c r="J99" s="71" t="str">
        <f ca="1">IFERROR(__xludf.DUMMYFUNCTION("""COMPUTED_VALUE"""),"https://drive.google.com/open?id=1YFVlenXh3kc0nHj0cl5g9MGId9HzR25u")</f>
        <v>https://drive.google.com/open?id=1YFVlenXh3kc0nHj0cl5g9MGId9HzR25u</v>
      </c>
      <c r="K99" s="59" t="str">
        <f ca="1">IFERROR(__xludf.DUMMYFUNCTION("""COMPUTED_VALUE"""),"2020-2024")</f>
        <v>2020-2024</v>
      </c>
      <c r="L99" s="59" t="str">
        <f ca="1">IFERROR(__xludf.DUMMYFUNCTION("""COMPUTED_VALUE"""),"S3: Student Internships")</f>
        <v>S3: Student Internships</v>
      </c>
      <c r="M99" s="59" t="str">
        <f ca="1">IFERROR(__xludf.DUMMYFUNCTION("""COMPUTED_VALUE"""),"priyamatcha03@gmail.com")</f>
        <v>priyamatcha03@gmail.com</v>
      </c>
      <c r="N99" s="59" t="str">
        <f ca="1">IFERROR(__xludf.DUMMYFUNCTION("""COMPUTED_VALUE"""),"SEM-3")</f>
        <v>SEM-3</v>
      </c>
      <c r="O99" s="9"/>
      <c r="P99" s="9"/>
      <c r="Q99" s="9"/>
      <c r="R99" s="9"/>
      <c r="S99" s="9"/>
      <c r="T99" s="9"/>
      <c r="U99" s="9"/>
      <c r="V99" s="9"/>
      <c r="W99" s="9"/>
      <c r="X99" s="9"/>
    </row>
    <row r="100" spans="1:24" ht="33" customHeight="1" x14ac:dyDescent="0.15">
      <c r="A100" s="66" t="str">
        <f ca="1">IFERROR(__xludf.DUMMYFUNCTION("""COMPUTED_VALUE"""),"Jami Harshini")</f>
        <v>Jami Harshini</v>
      </c>
      <c r="B100" s="66" t="str">
        <f ca="1">IFERROR(__xludf.DUMMYFUNCTION("""COMPUTED_VALUE"""),"18331A0560")</f>
        <v>18331A0560</v>
      </c>
      <c r="C100" s="66" t="str">
        <f ca="1">IFERROR(__xludf.DUMMYFUNCTION("""COMPUTED_VALUE"""),"AWS Academy")</f>
        <v>AWS Academy</v>
      </c>
      <c r="D100" s="66" t="str">
        <f ca="1">IFERROR(__xludf.DUMMYFUNCTION("""COMPUTED_VALUE"""),"3 months")</f>
        <v>3 months</v>
      </c>
      <c r="E100" s="67">
        <f ca="1">IFERROR(__xludf.DUMMYFUNCTION("""COMPUTED_VALUE"""),44470)</f>
        <v>44470</v>
      </c>
      <c r="F100" s="67">
        <f ca="1">IFERROR(__xludf.DUMMYFUNCTION("""COMPUTED_VALUE"""),44542)</f>
        <v>44542</v>
      </c>
      <c r="G100" s="66" t="str">
        <f ca="1">IFERROR(__xludf.DUMMYFUNCTION("""COMPUTED_VALUE"""),"No")</f>
        <v>No</v>
      </c>
      <c r="H100" s="66" t="str">
        <f ca="1">IFERROR(__xludf.DUMMYFUNCTION("""COMPUTED_VALUE"""),"No")</f>
        <v>No</v>
      </c>
      <c r="I100" s="66">
        <f ca="1">IFERROR(__xludf.DUMMYFUNCTION("""COMPUTED_VALUE"""),0)</f>
        <v>0</v>
      </c>
      <c r="J100" s="68" t="str">
        <f ca="1">IFERROR(__xludf.DUMMYFUNCTION("""COMPUTED_VALUE"""),"https://drive.google.com/open?id=10PSNFfo7CjwjQLY7Gx8EcRI6qf5g1DH5")</f>
        <v>https://drive.google.com/open?id=10PSNFfo7CjwjQLY7Gx8EcRI6qf5g1DH5</v>
      </c>
      <c r="K100" s="66" t="str">
        <f ca="1">IFERROR(__xludf.DUMMYFUNCTION("""COMPUTED_VALUE"""),"2018-2022")</f>
        <v>2018-2022</v>
      </c>
      <c r="L100" s="66" t="str">
        <f ca="1">IFERROR(__xludf.DUMMYFUNCTION("""COMPUTED_VALUE"""),"S3: Student Internships")</f>
        <v>S3: Student Internships</v>
      </c>
      <c r="M100" s="66" t="str">
        <f ca="1">IFERROR(__xludf.DUMMYFUNCTION("""COMPUTED_VALUE"""),"jamiharshini123@gmail.com")</f>
        <v>jamiharshini123@gmail.com</v>
      </c>
      <c r="N100" s="66" t="str">
        <f ca="1">IFERROR(__xludf.DUMMYFUNCTION("""COMPUTED_VALUE"""),"SEM-8")</f>
        <v>SEM-8</v>
      </c>
      <c r="O100" s="69"/>
      <c r="P100" s="69"/>
      <c r="Q100" s="69"/>
      <c r="R100" s="69"/>
      <c r="S100" s="69"/>
      <c r="T100" s="69"/>
      <c r="U100" s="69"/>
      <c r="V100" s="69"/>
      <c r="W100" s="69"/>
      <c r="X100" s="69"/>
    </row>
    <row r="101" spans="1:24" ht="33" customHeight="1" x14ac:dyDescent="0.15">
      <c r="A101" s="59" t="str">
        <f ca="1">IFERROR(__xludf.DUMMYFUNCTION("""COMPUTED_VALUE"""),"Gara Ranjeet")</f>
        <v>Gara Ranjeet</v>
      </c>
      <c r="B101" s="59" t="str">
        <f ca="1">IFERROR(__xludf.DUMMYFUNCTION("""COMPUTED_VALUE"""),"18331A0544")</f>
        <v>18331A0544</v>
      </c>
      <c r="C101" s="59" t="str">
        <f ca="1">IFERROR(__xludf.DUMMYFUNCTION("""COMPUTED_VALUE"""),"Techmihirnaik")</f>
        <v>Techmihirnaik</v>
      </c>
      <c r="D101" s="59" t="str">
        <f ca="1">IFERROR(__xludf.DUMMYFUNCTION("""COMPUTED_VALUE"""),"3 Months")</f>
        <v>3 Months</v>
      </c>
      <c r="E101" s="70">
        <f ca="1">IFERROR(__xludf.DUMMYFUNCTION("""COMPUTED_VALUE"""),44469)</f>
        <v>44469</v>
      </c>
      <c r="F101" s="70">
        <f ca="1">IFERROR(__xludf.DUMMYFUNCTION("""COMPUTED_VALUE"""),44530)</f>
        <v>44530</v>
      </c>
      <c r="G101" s="59" t="str">
        <f ca="1">IFERROR(__xludf.DUMMYFUNCTION("""COMPUTED_VALUE"""),"No")</f>
        <v>No</v>
      </c>
      <c r="H101" s="59" t="str">
        <f ca="1">IFERROR(__xludf.DUMMYFUNCTION("""COMPUTED_VALUE"""),"No")</f>
        <v>No</v>
      </c>
      <c r="I101" s="59">
        <f ca="1">IFERROR(__xludf.DUMMYFUNCTION("""COMPUTED_VALUE"""),0)</f>
        <v>0</v>
      </c>
      <c r="J101" s="71" t="str">
        <f ca="1">IFERROR(__xludf.DUMMYFUNCTION("""COMPUTED_VALUE"""),"https://drive.google.com/open?id=1Cf5Nc45YCsAU9q1zOQiHHUx4XaxKGJuX")</f>
        <v>https://drive.google.com/open?id=1Cf5Nc45YCsAU9q1zOQiHHUx4XaxKGJuX</v>
      </c>
      <c r="K101" s="59" t="str">
        <f ca="1">IFERROR(__xludf.DUMMYFUNCTION("""COMPUTED_VALUE"""),"2018-2022")</f>
        <v>2018-2022</v>
      </c>
      <c r="L101" s="59" t="str">
        <f ca="1">IFERROR(__xludf.DUMMYFUNCTION("""COMPUTED_VALUE"""),"S3: Student Internships")</f>
        <v>S3: Student Internships</v>
      </c>
      <c r="M101" s="59" t="str">
        <f ca="1">IFERROR(__xludf.DUMMYFUNCTION("""COMPUTED_VALUE"""),"ranjeetgara123@gmail.com")</f>
        <v>ranjeetgara123@gmail.com</v>
      </c>
      <c r="N101" s="59" t="str">
        <f ca="1">IFERROR(__xludf.DUMMYFUNCTION("""COMPUTED_VALUE"""),"SEM-7")</f>
        <v>SEM-7</v>
      </c>
      <c r="O101" s="9"/>
      <c r="P101" s="9"/>
      <c r="Q101" s="9"/>
      <c r="R101" s="9"/>
      <c r="S101" s="9"/>
      <c r="T101" s="9"/>
      <c r="U101" s="9"/>
      <c r="V101" s="9"/>
      <c r="W101" s="9"/>
      <c r="X101" s="9"/>
    </row>
    <row r="102" spans="1:24" ht="33" customHeight="1" x14ac:dyDescent="0.15">
      <c r="A102" s="59" t="str">
        <f ca="1">IFERROR(__xludf.DUMMYFUNCTION("""COMPUTED_VALUE"""),"Medi Prasuna")</f>
        <v>Medi Prasuna</v>
      </c>
      <c r="B102" s="59" t="str">
        <f ca="1">IFERROR(__xludf.DUMMYFUNCTION("""COMPUTED_VALUE"""),"18331A0596")</f>
        <v>18331A0596</v>
      </c>
      <c r="C102" s="59" t="str">
        <f ca="1">IFERROR(__xludf.DUMMYFUNCTION("""COMPUTED_VALUE"""),"BNY Mellon Technology ")</f>
        <v xml:space="preserve">BNY Mellon Technology </v>
      </c>
      <c r="D102" s="59" t="str">
        <f ca="1">IFERROR(__xludf.DUMMYFUNCTION("""COMPUTED_VALUE"""),"6 Months")</f>
        <v>6 Months</v>
      </c>
      <c r="E102" s="70">
        <f ca="1">IFERROR(__xludf.DUMMYFUNCTION("""COMPUTED_VALUE"""),44580)</f>
        <v>44580</v>
      </c>
      <c r="F102" s="70">
        <f ca="1">IFERROR(__xludf.DUMMYFUNCTION("""COMPUTED_VALUE"""),44742)</f>
        <v>44742</v>
      </c>
      <c r="G102" s="59" t="str">
        <f ca="1">IFERROR(__xludf.DUMMYFUNCTION("""COMPUTED_VALUE"""),"Yes")</f>
        <v>Yes</v>
      </c>
      <c r="H102" s="59" t="str">
        <f ca="1">IFERROR(__xludf.DUMMYFUNCTION("""COMPUTED_VALUE"""),"No")</f>
        <v>No</v>
      </c>
      <c r="I102" s="59">
        <f ca="1">IFERROR(__xludf.DUMMYFUNCTION("""COMPUTED_VALUE"""),30000)</f>
        <v>30000</v>
      </c>
      <c r="J102" s="71" t="str">
        <f ca="1">IFERROR(__xludf.DUMMYFUNCTION("""COMPUTED_VALUE"""),"https://drive.google.com/open?id=16K0OjAGBT3DmHR5mzjJrBu_od50A5jWJ")</f>
        <v>https://drive.google.com/open?id=16K0OjAGBT3DmHR5mzjJrBu_od50A5jWJ</v>
      </c>
      <c r="K102" s="59" t="str">
        <f ca="1">IFERROR(__xludf.DUMMYFUNCTION("""COMPUTED_VALUE"""),"2018-2022")</f>
        <v>2018-2022</v>
      </c>
      <c r="L102" s="59" t="str">
        <f ca="1">IFERROR(__xludf.DUMMYFUNCTION("""COMPUTED_VALUE"""),"S3: Student Internships")</f>
        <v>S3: Student Internships</v>
      </c>
      <c r="M102" s="59" t="str">
        <f ca="1">IFERROR(__xludf.DUMMYFUNCTION("""COMPUTED_VALUE"""),"prasunamedi5@gmail.com")</f>
        <v>prasunamedi5@gmail.com</v>
      </c>
      <c r="N102" s="59" t="str">
        <f ca="1">IFERROR(__xludf.DUMMYFUNCTION("""COMPUTED_VALUE"""),"SEM-8")</f>
        <v>SEM-8</v>
      </c>
      <c r="O102" s="9"/>
      <c r="P102" s="9"/>
      <c r="Q102" s="9"/>
      <c r="R102" s="9"/>
      <c r="S102" s="9"/>
      <c r="T102" s="9"/>
      <c r="U102" s="9"/>
      <c r="V102" s="9"/>
      <c r="W102" s="9"/>
      <c r="X102" s="9"/>
    </row>
    <row r="103" spans="1:24" ht="33" customHeight="1" x14ac:dyDescent="0.15">
      <c r="A103" s="59" t="str">
        <f ca="1">IFERROR(__xludf.DUMMYFUNCTION("""COMPUTED_VALUE"""),"INDU KAMBAPU")</f>
        <v>INDU KAMBAPU</v>
      </c>
      <c r="B103" s="59" t="str">
        <f ca="1">IFERROR(__xludf.DUMMYFUNCTION("""COMPUTED_VALUE"""),"18331A0565")</f>
        <v>18331A0565</v>
      </c>
      <c r="C103" s="59" t="str">
        <f ca="1">IFERROR(__xludf.DUMMYFUNCTION("""COMPUTED_VALUE"""),"WIPRO")</f>
        <v>WIPRO</v>
      </c>
      <c r="D103" s="59" t="str">
        <f ca="1">IFERROR(__xludf.DUMMYFUNCTION("""COMPUTED_VALUE"""),"3 MONTHS")</f>
        <v>3 MONTHS</v>
      </c>
      <c r="E103" s="70">
        <f ca="1">IFERROR(__xludf.DUMMYFUNCTION("""COMPUTED_VALUE"""),44638)</f>
        <v>44638</v>
      </c>
      <c r="F103" s="70">
        <f ca="1">IFERROR(__xludf.DUMMYFUNCTION("""COMPUTED_VALUE"""),44730)</f>
        <v>44730</v>
      </c>
      <c r="G103" s="59" t="str">
        <f ca="1">IFERROR(__xludf.DUMMYFUNCTION("""COMPUTED_VALUE"""),"No")</f>
        <v>No</v>
      </c>
      <c r="H103" s="59" t="str">
        <f ca="1">IFERROR(__xludf.DUMMYFUNCTION("""COMPUTED_VALUE"""),"No")</f>
        <v>No</v>
      </c>
      <c r="I103" s="59">
        <f ca="1">IFERROR(__xludf.DUMMYFUNCTION("""COMPUTED_VALUE"""),0)</f>
        <v>0</v>
      </c>
      <c r="J103" s="71" t="str">
        <f ca="1">IFERROR(__xludf.DUMMYFUNCTION("""COMPUTED_VALUE"""),"https://drive.google.com/open?id=17si7cirUmJndpGWo3GtEYCMGrK38dDoV")</f>
        <v>https://drive.google.com/open?id=17si7cirUmJndpGWo3GtEYCMGrK38dDoV</v>
      </c>
      <c r="K103" s="59" t="str">
        <f ca="1">IFERROR(__xludf.DUMMYFUNCTION("""COMPUTED_VALUE"""),"2018-2022")</f>
        <v>2018-2022</v>
      </c>
      <c r="L103" s="59" t="str">
        <f ca="1">IFERROR(__xludf.DUMMYFUNCTION("""COMPUTED_VALUE"""),"S3: Student Internships")</f>
        <v>S3: Student Internships</v>
      </c>
      <c r="M103" s="59" t="str">
        <f ca="1">IFERROR(__xludf.DUMMYFUNCTION("""COMPUTED_VALUE"""),"kambapuindu@gmail.com")</f>
        <v>kambapuindu@gmail.com</v>
      </c>
      <c r="N103" s="59" t="str">
        <f ca="1">IFERROR(__xludf.DUMMYFUNCTION("""COMPUTED_VALUE"""),"SEM-8")</f>
        <v>SEM-8</v>
      </c>
      <c r="O103" s="9"/>
      <c r="P103" s="9"/>
      <c r="Q103" s="9"/>
      <c r="R103" s="9"/>
      <c r="S103" s="9"/>
      <c r="T103" s="9"/>
      <c r="U103" s="9"/>
      <c r="V103" s="9"/>
      <c r="W103" s="9"/>
      <c r="X103" s="9"/>
    </row>
    <row r="104" spans="1:24" ht="33" customHeight="1" x14ac:dyDescent="0.15">
      <c r="A104" s="66" t="str">
        <f ca="1">IFERROR(__xludf.DUMMYFUNCTION("""COMPUTED_VALUE"""),"Yogesh Vardhan Duvvi ")</f>
        <v xml:space="preserve">Yogesh Vardhan Duvvi </v>
      </c>
      <c r="B104" s="66" t="str">
        <f ca="1">IFERROR(__xludf.DUMMYFUNCTION("""COMPUTED_VALUE"""),"18331A0538")</f>
        <v>18331A0538</v>
      </c>
      <c r="C104" s="66" t="str">
        <f ca="1">IFERROR(__xludf.DUMMYFUNCTION("""COMPUTED_VALUE"""),"Prodigital worx")</f>
        <v>Prodigital worx</v>
      </c>
      <c r="D104" s="66" t="str">
        <f ca="1">IFERROR(__xludf.DUMMYFUNCTION("""COMPUTED_VALUE"""),"4 months")</f>
        <v>4 months</v>
      </c>
      <c r="E104" s="67">
        <f ca="1">IFERROR(__xludf.DUMMYFUNCTION("""COMPUTED_VALUE"""),44621)</f>
        <v>44621</v>
      </c>
      <c r="F104" s="67">
        <f ca="1">IFERROR(__xludf.DUMMYFUNCTION("""COMPUTED_VALUE"""),44742)</f>
        <v>44742</v>
      </c>
      <c r="G104" s="66" t="str">
        <f ca="1">IFERROR(__xludf.DUMMYFUNCTION("""COMPUTED_VALUE"""),"Yes")</f>
        <v>Yes</v>
      </c>
      <c r="H104" s="66" t="str">
        <f ca="1">IFERROR(__xludf.DUMMYFUNCTION("""COMPUTED_VALUE"""),"No")</f>
        <v>No</v>
      </c>
      <c r="I104" s="66">
        <f ca="1">IFERROR(__xludf.DUMMYFUNCTION("""COMPUTED_VALUE"""),0)</f>
        <v>0</v>
      </c>
      <c r="J104" s="68" t="str">
        <f ca="1">IFERROR(__xludf.DUMMYFUNCTION("""COMPUTED_VALUE"""),"https://drive.google.com/open?id=1Dj1IHiJpi9Lf7RMiYSSBntVBnyCoemGO")</f>
        <v>https://drive.google.com/open?id=1Dj1IHiJpi9Lf7RMiYSSBntVBnyCoemGO</v>
      </c>
      <c r="K104" s="66" t="str">
        <f ca="1">IFERROR(__xludf.DUMMYFUNCTION("""COMPUTED_VALUE"""),"2018-2022")</f>
        <v>2018-2022</v>
      </c>
      <c r="L104" s="66" t="str">
        <f ca="1">IFERROR(__xludf.DUMMYFUNCTION("""COMPUTED_VALUE"""),"S3: Student Internships")</f>
        <v>S3: Student Internships</v>
      </c>
      <c r="M104" s="66" t="str">
        <f ca="1">IFERROR(__xludf.DUMMYFUNCTION("""COMPUTED_VALUE"""),"yogeshvardhanduvvi@gmail.com")</f>
        <v>yogeshvardhanduvvi@gmail.com</v>
      </c>
      <c r="N104" s="66" t="str">
        <f ca="1">IFERROR(__xludf.DUMMYFUNCTION("""COMPUTED_VALUE"""),"SEM-8")</f>
        <v>SEM-8</v>
      </c>
      <c r="O104" s="69"/>
      <c r="P104" s="69"/>
      <c r="Q104" s="69"/>
      <c r="R104" s="69"/>
      <c r="S104" s="69"/>
      <c r="T104" s="69"/>
      <c r="U104" s="69"/>
      <c r="V104" s="69"/>
      <c r="W104" s="69"/>
      <c r="X104" s="69"/>
    </row>
    <row r="105" spans="1:24" ht="33" customHeight="1" x14ac:dyDescent="0.15">
      <c r="A105" s="59" t="str">
        <f ca="1">IFERROR(__xludf.DUMMYFUNCTION("""COMPUTED_VALUE"""),"Hari Krishna Saripalli")</f>
        <v>Hari Krishna Saripalli</v>
      </c>
      <c r="B105" s="59" t="str">
        <f ca="1">IFERROR(__xludf.DUMMYFUNCTION("""COMPUTED_VALUE"""),"18331A05D9")</f>
        <v>18331A05D9</v>
      </c>
      <c r="C105" s="59" t="str">
        <f ca="1">IFERROR(__xludf.DUMMYFUNCTION("""COMPUTED_VALUE"""),"Aicte")</f>
        <v>Aicte</v>
      </c>
      <c r="D105" s="59" t="str">
        <f ca="1">IFERROR(__xludf.DUMMYFUNCTION("""COMPUTED_VALUE"""),"10 weeks")</f>
        <v>10 weeks</v>
      </c>
      <c r="E105" s="70">
        <f ca="1">IFERROR(__xludf.DUMMYFUNCTION("""COMPUTED_VALUE"""),44470)</f>
        <v>44470</v>
      </c>
      <c r="F105" s="70">
        <f ca="1">IFERROR(__xludf.DUMMYFUNCTION("""COMPUTED_VALUE"""),44545)</f>
        <v>44545</v>
      </c>
      <c r="G105" s="59" t="str">
        <f ca="1">IFERROR(__xludf.DUMMYFUNCTION("""COMPUTED_VALUE"""),"No")</f>
        <v>No</v>
      </c>
      <c r="H105" s="59" t="str">
        <f ca="1">IFERROR(__xludf.DUMMYFUNCTION("""COMPUTED_VALUE"""),"No")</f>
        <v>No</v>
      </c>
      <c r="I105" s="59">
        <f ca="1">IFERROR(__xludf.DUMMYFUNCTION("""COMPUTED_VALUE"""),0)</f>
        <v>0</v>
      </c>
      <c r="J105" s="71" t="str">
        <f ca="1">IFERROR(__xludf.DUMMYFUNCTION("""COMPUTED_VALUE"""),"https://drive.google.com/open?id=1tjRps7JVzvJ4U_8NLhIsGXmohocnwFRC")</f>
        <v>https://drive.google.com/open?id=1tjRps7JVzvJ4U_8NLhIsGXmohocnwFRC</v>
      </c>
      <c r="K105" s="59" t="str">
        <f ca="1">IFERROR(__xludf.DUMMYFUNCTION("""COMPUTED_VALUE"""),"2018-2022")</f>
        <v>2018-2022</v>
      </c>
      <c r="L105" s="59" t="str">
        <f ca="1">IFERROR(__xludf.DUMMYFUNCTION("""COMPUTED_VALUE"""),"S3: Student Internships")</f>
        <v>S3: Student Internships</v>
      </c>
      <c r="M105" s="59" t="str">
        <f ca="1">IFERROR(__xludf.DUMMYFUNCTION("""COMPUTED_VALUE"""),"harikrishnasaripalli99@gmail.com")</f>
        <v>harikrishnasaripalli99@gmail.com</v>
      </c>
      <c r="N105" s="59" t="str">
        <f ca="1">IFERROR(__xludf.DUMMYFUNCTION("""COMPUTED_VALUE"""),"SEM-8")</f>
        <v>SEM-8</v>
      </c>
      <c r="O105" s="9"/>
      <c r="P105" s="9"/>
      <c r="Q105" s="9"/>
      <c r="R105" s="9"/>
      <c r="S105" s="9"/>
      <c r="T105" s="9"/>
      <c r="U105" s="9"/>
      <c r="V105" s="9"/>
      <c r="W105" s="9"/>
      <c r="X105" s="9"/>
    </row>
    <row r="106" spans="1:24" ht="33" customHeight="1" x14ac:dyDescent="0.15">
      <c r="A106" s="66" t="str">
        <f ca="1">IFERROR(__xludf.DUMMYFUNCTION("""COMPUTED_VALUE"""),"Sai Venkata rohit naik bhukya ")</f>
        <v xml:space="preserve">Sai Venkata rohit naik bhukya </v>
      </c>
      <c r="B106" s="66" t="str">
        <f ca="1">IFERROR(__xludf.DUMMYFUNCTION("""COMPUTED_VALUE"""),"18331A05D3")</f>
        <v>18331A05D3</v>
      </c>
      <c r="C106" s="66" t="str">
        <f ca="1">IFERROR(__xludf.DUMMYFUNCTION("""COMPUTED_VALUE"""),"Revature ")</f>
        <v xml:space="preserve">Revature </v>
      </c>
      <c r="D106" s="66" t="str">
        <f ca="1">IFERROR(__xludf.DUMMYFUNCTION("""COMPUTED_VALUE"""),"3 months ")</f>
        <v xml:space="preserve">3 months </v>
      </c>
      <c r="E106" s="67">
        <f ca="1">IFERROR(__xludf.DUMMYFUNCTION("""COMPUTED_VALUE"""),44641)</f>
        <v>44641</v>
      </c>
      <c r="F106" s="67">
        <f ca="1">IFERROR(__xludf.DUMMYFUNCTION("""COMPUTED_VALUE"""),44713)</f>
        <v>44713</v>
      </c>
      <c r="G106" s="66" t="str">
        <f ca="1">IFERROR(__xludf.DUMMYFUNCTION("""COMPUTED_VALUE"""),"Yes")</f>
        <v>Yes</v>
      </c>
      <c r="H106" s="66" t="str">
        <f ca="1">IFERROR(__xludf.DUMMYFUNCTION("""COMPUTED_VALUE"""),"No")</f>
        <v>No</v>
      </c>
      <c r="I106" s="66">
        <f ca="1">IFERROR(__xludf.DUMMYFUNCTION("""COMPUTED_VALUE"""),5000)</f>
        <v>5000</v>
      </c>
      <c r="J106" s="68" t="str">
        <f ca="1">IFERROR(__xludf.DUMMYFUNCTION("""COMPUTED_VALUE"""),"https://drive.google.com/open?id=1x1vPPgHRokfeWxX4IGrK3rtEMoNuxZ4y")</f>
        <v>https://drive.google.com/open?id=1x1vPPgHRokfeWxX4IGrK3rtEMoNuxZ4y</v>
      </c>
      <c r="K106" s="66" t="str">
        <f ca="1">IFERROR(__xludf.DUMMYFUNCTION("""COMPUTED_VALUE"""),"2018-2022")</f>
        <v>2018-2022</v>
      </c>
      <c r="L106" s="66" t="str">
        <f ca="1">IFERROR(__xludf.DUMMYFUNCTION("""COMPUTED_VALUE"""),"S3: Student Internships")</f>
        <v>S3: Student Internships</v>
      </c>
      <c r="M106" s="66" t="str">
        <f ca="1">IFERROR(__xludf.DUMMYFUNCTION("""COMPUTED_VALUE"""),"rohitbhukya@gmail.com")</f>
        <v>rohitbhukya@gmail.com</v>
      </c>
      <c r="N106" s="66" t="str">
        <f ca="1">IFERROR(__xludf.DUMMYFUNCTION("""COMPUTED_VALUE"""),"SEM-8")</f>
        <v>SEM-8</v>
      </c>
      <c r="O106" s="69"/>
      <c r="P106" s="69"/>
      <c r="Q106" s="69"/>
      <c r="R106" s="69"/>
      <c r="S106" s="69"/>
      <c r="T106" s="69"/>
      <c r="U106" s="69"/>
      <c r="V106" s="69"/>
      <c r="W106" s="69"/>
      <c r="X106" s="69"/>
    </row>
    <row r="107" spans="1:24" ht="33" customHeight="1" x14ac:dyDescent="0.15">
      <c r="A107" s="66" t="str">
        <f ca="1">IFERROR(__xludf.DUMMYFUNCTION("""COMPUTED_VALUE"""),"L.Kavya")</f>
        <v>L.Kavya</v>
      </c>
      <c r="B107" s="66" t="str">
        <f ca="1">IFERROR(__xludf.DUMMYFUNCTION("""COMPUTED_VALUE"""),"18331A0585")</f>
        <v>18331A0585</v>
      </c>
      <c r="C107" s="66" t="str">
        <f ca="1">IFERROR(__xludf.DUMMYFUNCTION("""COMPUTED_VALUE"""),"Eduskills")</f>
        <v>Eduskills</v>
      </c>
      <c r="D107" s="66" t="str">
        <f ca="1">IFERROR(__xludf.DUMMYFUNCTION("""COMPUTED_VALUE"""),"10 weeks")</f>
        <v>10 weeks</v>
      </c>
      <c r="E107" s="67">
        <f ca="1">IFERROR(__xludf.DUMMYFUNCTION("""COMPUTED_VALUE"""),44472)</f>
        <v>44472</v>
      </c>
      <c r="F107" s="67">
        <f ca="1">IFERROR(__xludf.DUMMYFUNCTION("""COMPUTED_VALUE"""),44557)</f>
        <v>44557</v>
      </c>
      <c r="G107" s="66" t="str">
        <f ca="1">IFERROR(__xludf.DUMMYFUNCTION("""COMPUTED_VALUE"""),"No")</f>
        <v>No</v>
      </c>
      <c r="H107" s="66" t="str">
        <f ca="1">IFERROR(__xludf.DUMMYFUNCTION("""COMPUTED_VALUE"""),"No")</f>
        <v>No</v>
      </c>
      <c r="I107" s="66">
        <f ca="1">IFERROR(__xludf.DUMMYFUNCTION("""COMPUTED_VALUE"""),0)</f>
        <v>0</v>
      </c>
      <c r="J107" s="68" t="str">
        <f ca="1">IFERROR(__xludf.DUMMYFUNCTION("""COMPUTED_VALUE"""),"https://drive.google.com/open?id=1o8ldw801tLElIfAhRl2UosClrwPyDlUF")</f>
        <v>https://drive.google.com/open?id=1o8ldw801tLElIfAhRl2UosClrwPyDlUF</v>
      </c>
      <c r="K107" s="66" t="str">
        <f ca="1">IFERROR(__xludf.DUMMYFUNCTION("""COMPUTED_VALUE"""),"2018-2022")</f>
        <v>2018-2022</v>
      </c>
      <c r="L107" s="66" t="str">
        <f ca="1">IFERROR(__xludf.DUMMYFUNCTION("""COMPUTED_VALUE"""),"S3: Student Internships")</f>
        <v>S3: Student Internships</v>
      </c>
      <c r="M107" s="66" t="str">
        <f ca="1">IFERROR(__xludf.DUMMYFUNCTION("""COMPUTED_VALUE"""),"lakhanapuramkavya@gmail.com")</f>
        <v>lakhanapuramkavya@gmail.com</v>
      </c>
      <c r="N107" s="66" t="str">
        <f ca="1">IFERROR(__xludf.DUMMYFUNCTION("""COMPUTED_VALUE"""),"SEM-8")</f>
        <v>SEM-8</v>
      </c>
      <c r="O107" s="69"/>
      <c r="P107" s="69"/>
      <c r="Q107" s="69"/>
      <c r="R107" s="69"/>
      <c r="S107" s="69"/>
      <c r="T107" s="69"/>
      <c r="U107" s="69"/>
      <c r="V107" s="69"/>
      <c r="W107" s="69"/>
      <c r="X107" s="69"/>
    </row>
    <row r="108" spans="1:24" ht="33" customHeight="1" x14ac:dyDescent="0.15">
      <c r="A108" s="59" t="str">
        <f ca="1">IFERROR(__xludf.DUMMYFUNCTION("""COMPUTED_VALUE"""),"L.Kavya")</f>
        <v>L.Kavya</v>
      </c>
      <c r="B108" s="59" t="str">
        <f ca="1">IFERROR(__xludf.DUMMYFUNCTION("""COMPUTED_VALUE"""),"18331A0585")</f>
        <v>18331A0585</v>
      </c>
      <c r="C108" s="59" t="str">
        <f ca="1">IFERROR(__xludf.DUMMYFUNCTION("""COMPUTED_VALUE"""),"TIP Community ")</f>
        <v xml:space="preserve">TIP Community </v>
      </c>
      <c r="D108" s="59" t="str">
        <f ca="1">IFERROR(__xludf.DUMMYFUNCTION("""COMPUTED_VALUE"""),"1 month")</f>
        <v>1 month</v>
      </c>
      <c r="E108" s="70">
        <f ca="1">IFERROR(__xludf.DUMMYFUNCTION("""COMPUTED_VALUE"""),44440)</f>
        <v>44440</v>
      </c>
      <c r="F108" s="70">
        <f ca="1">IFERROR(__xludf.DUMMYFUNCTION("""COMPUTED_VALUE"""),44472)</f>
        <v>44472</v>
      </c>
      <c r="G108" s="59" t="str">
        <f ca="1">IFERROR(__xludf.DUMMYFUNCTION("""COMPUTED_VALUE"""),"No")</f>
        <v>No</v>
      </c>
      <c r="H108" s="59" t="str">
        <f ca="1">IFERROR(__xludf.DUMMYFUNCTION("""COMPUTED_VALUE"""),"No")</f>
        <v>No</v>
      </c>
      <c r="I108" s="59">
        <f ca="1">IFERROR(__xludf.DUMMYFUNCTION("""COMPUTED_VALUE"""),0)</f>
        <v>0</v>
      </c>
      <c r="J108" s="71" t="str">
        <f ca="1">IFERROR(__xludf.DUMMYFUNCTION("""COMPUTED_VALUE"""),"https://drive.google.com/open?id=1OcrvTBzPmFZ0bGCM7fryutUkjhGhJYh5")</f>
        <v>https://drive.google.com/open?id=1OcrvTBzPmFZ0bGCM7fryutUkjhGhJYh5</v>
      </c>
      <c r="K108" s="59" t="str">
        <f ca="1">IFERROR(__xludf.DUMMYFUNCTION("""COMPUTED_VALUE"""),"2018-2022")</f>
        <v>2018-2022</v>
      </c>
      <c r="L108" s="59" t="str">
        <f ca="1">IFERROR(__xludf.DUMMYFUNCTION("""COMPUTED_VALUE"""),"S3: Student Internships")</f>
        <v>S3: Student Internships</v>
      </c>
      <c r="M108" s="59" t="str">
        <f ca="1">IFERROR(__xludf.DUMMYFUNCTION("""COMPUTED_VALUE"""),"lakhanapuramkavya@gmail.com")</f>
        <v>lakhanapuramkavya@gmail.com</v>
      </c>
      <c r="N108" s="59" t="str">
        <f ca="1">IFERROR(__xludf.DUMMYFUNCTION("""COMPUTED_VALUE"""),"SEM-8")</f>
        <v>SEM-8</v>
      </c>
      <c r="O108" s="9"/>
      <c r="P108" s="9"/>
      <c r="Q108" s="9"/>
      <c r="R108" s="9"/>
      <c r="S108" s="9"/>
      <c r="T108" s="9"/>
      <c r="U108" s="9"/>
      <c r="V108" s="9"/>
      <c r="W108" s="9"/>
      <c r="X108" s="9"/>
    </row>
    <row r="109" spans="1:24" ht="33" customHeight="1" x14ac:dyDescent="0.15">
      <c r="A109" s="59" t="str">
        <f ca="1">IFERROR(__xludf.DUMMYFUNCTION("""COMPUTED_VALUE"""),"Thudumu Soni kumar")</f>
        <v>Thudumu Soni kumar</v>
      </c>
      <c r="B109" s="59" t="str">
        <f ca="1">IFERROR(__xludf.DUMMYFUNCTION("""COMPUTED_VALUE"""),"18331A05F6")</f>
        <v>18331A05F6</v>
      </c>
      <c r="C109" s="59" t="str">
        <f ca="1">IFERROR(__xludf.DUMMYFUNCTION("""COMPUTED_VALUE"""),"AWS ")</f>
        <v xml:space="preserve">AWS </v>
      </c>
      <c r="D109" s="59" t="str">
        <f ca="1">IFERROR(__xludf.DUMMYFUNCTION("""COMPUTED_VALUE"""),"2months")</f>
        <v>2months</v>
      </c>
      <c r="E109" s="70">
        <f ca="1">IFERROR(__xludf.DUMMYFUNCTION("""COMPUTED_VALUE"""),44533)</f>
        <v>44533</v>
      </c>
      <c r="F109" s="70">
        <f ca="1">IFERROR(__xludf.DUMMYFUNCTION("""COMPUTED_VALUE"""),44568)</f>
        <v>44568</v>
      </c>
      <c r="G109" s="59" t="str">
        <f ca="1">IFERROR(__xludf.DUMMYFUNCTION("""COMPUTED_VALUE"""),"No")</f>
        <v>No</v>
      </c>
      <c r="H109" s="59" t="str">
        <f ca="1">IFERROR(__xludf.DUMMYFUNCTION("""COMPUTED_VALUE"""),"No")</f>
        <v>No</v>
      </c>
      <c r="I109" s="59">
        <f ca="1">IFERROR(__xludf.DUMMYFUNCTION("""COMPUTED_VALUE"""),0)</f>
        <v>0</v>
      </c>
      <c r="J109" s="71" t="str">
        <f ca="1">IFERROR(__xludf.DUMMYFUNCTION("""COMPUTED_VALUE"""),"https://drive.google.com/open?id=1xIIq1nYwFHorwLkBW_zDqAC1A5tdIh8Q")</f>
        <v>https://drive.google.com/open?id=1xIIq1nYwFHorwLkBW_zDqAC1A5tdIh8Q</v>
      </c>
      <c r="K109" s="59" t="str">
        <f ca="1">IFERROR(__xludf.DUMMYFUNCTION("""COMPUTED_VALUE"""),"2018-2022")</f>
        <v>2018-2022</v>
      </c>
      <c r="L109" s="59" t="str">
        <f ca="1">IFERROR(__xludf.DUMMYFUNCTION("""COMPUTED_VALUE"""),"S3: Student Internships")</f>
        <v>S3: Student Internships</v>
      </c>
      <c r="M109" s="59" t="str">
        <f ca="1">IFERROR(__xludf.DUMMYFUNCTION("""COMPUTED_VALUE"""),"tsksoni1@gmail.com")</f>
        <v>tsksoni1@gmail.com</v>
      </c>
      <c r="N109" s="59" t="str">
        <f ca="1">IFERROR(__xludf.DUMMYFUNCTION("""COMPUTED_VALUE"""),"SEM-7")</f>
        <v>SEM-7</v>
      </c>
      <c r="O109" s="9"/>
      <c r="P109" s="9"/>
      <c r="Q109" s="9"/>
      <c r="R109" s="9"/>
      <c r="S109" s="9"/>
      <c r="T109" s="9"/>
      <c r="U109" s="9"/>
      <c r="V109" s="9"/>
      <c r="W109" s="9"/>
      <c r="X109" s="9"/>
    </row>
    <row r="110" spans="1:24" ht="33" customHeight="1" x14ac:dyDescent="0.15">
      <c r="A110" s="66" t="str">
        <f ca="1">IFERROR(__xludf.DUMMYFUNCTION("""COMPUTED_VALUE"""),"MOYYA VENKATESWARA NAIDU")</f>
        <v>MOYYA VENKATESWARA NAIDU</v>
      </c>
      <c r="B110" s="66" t="str">
        <f ca="1">IFERROR(__xludf.DUMMYFUNCTION("""COMPUTED_VALUE"""),"20331A05B5")</f>
        <v>20331A05B5</v>
      </c>
      <c r="C110" s="66" t="str">
        <f ca="1">IFERROR(__xludf.DUMMYFUNCTION("""COMPUTED_VALUE"""),"Red hat")</f>
        <v>Red hat</v>
      </c>
      <c r="D110" s="66" t="str">
        <f ca="1">IFERROR(__xludf.DUMMYFUNCTION("""COMPUTED_VALUE"""),"2 months")</f>
        <v>2 months</v>
      </c>
      <c r="E110" s="67">
        <f ca="1">IFERROR(__xludf.DUMMYFUNCTION("""COMPUTED_VALUE"""),44470)</f>
        <v>44470</v>
      </c>
      <c r="F110" s="67">
        <f ca="1">IFERROR(__xludf.DUMMYFUNCTION("""COMPUTED_VALUE"""),44561)</f>
        <v>44561</v>
      </c>
      <c r="G110" s="66" t="str">
        <f ca="1">IFERROR(__xludf.DUMMYFUNCTION("""COMPUTED_VALUE"""),"No")</f>
        <v>No</v>
      </c>
      <c r="H110" s="66" t="str">
        <f ca="1">IFERROR(__xludf.DUMMYFUNCTION("""COMPUTED_VALUE"""),"No")</f>
        <v>No</v>
      </c>
      <c r="I110" s="66">
        <f ca="1">IFERROR(__xludf.DUMMYFUNCTION("""COMPUTED_VALUE"""),0)</f>
        <v>0</v>
      </c>
      <c r="J110" s="68" t="str">
        <f ca="1">IFERROR(__xludf.DUMMYFUNCTION("""COMPUTED_VALUE"""),"https://drive.google.com/open?id=1jQmw3Ie7xSNvHnUNz9e96ERK-Ud-Slz5")</f>
        <v>https://drive.google.com/open?id=1jQmw3Ie7xSNvHnUNz9e96ERK-Ud-Slz5</v>
      </c>
      <c r="K110" s="66" t="str">
        <f ca="1">IFERROR(__xludf.DUMMYFUNCTION("""COMPUTED_VALUE"""),"2020-2024")</f>
        <v>2020-2024</v>
      </c>
      <c r="L110" s="66" t="str">
        <f ca="1">IFERROR(__xludf.DUMMYFUNCTION("""COMPUTED_VALUE"""),"S3: Student Internships")</f>
        <v>S3: Student Internships</v>
      </c>
      <c r="M110" s="66" t="str">
        <f ca="1">IFERROR(__xludf.DUMMYFUNCTION("""COMPUTED_VALUE"""),"venkateswaranaidumoyya@gmail.com")</f>
        <v>venkateswaranaidumoyya@gmail.com</v>
      </c>
      <c r="N110" s="66" t="str">
        <f ca="1">IFERROR(__xludf.DUMMYFUNCTION("""COMPUTED_VALUE"""),"SEM-4")</f>
        <v>SEM-4</v>
      </c>
      <c r="O110" s="69"/>
      <c r="P110" s="69"/>
      <c r="Q110" s="69"/>
      <c r="R110" s="69"/>
      <c r="S110" s="69"/>
      <c r="T110" s="69"/>
      <c r="U110" s="69"/>
      <c r="V110" s="69"/>
      <c r="W110" s="69"/>
      <c r="X110" s="69"/>
    </row>
    <row r="111" spans="1:24" ht="33" customHeight="1" x14ac:dyDescent="0.15">
      <c r="A111" s="9" t="str">
        <f ca="1">IFERROR(__xludf.DUMMYFUNCTION("""COMPUTED_VALUE"""),"Kuppili Pratyusha")</f>
        <v>Kuppili Pratyusha</v>
      </c>
      <c r="B111" s="9" t="str">
        <f ca="1">IFERROR(__xludf.DUMMYFUNCTION("""COMPUTED_VALUE"""),"18331A0583")</f>
        <v>18331A0583</v>
      </c>
      <c r="C111" s="9" t="str">
        <f ca="1">IFERROR(__xludf.DUMMYFUNCTION("""COMPUTED_VALUE"""),"Verzeo")</f>
        <v>Verzeo</v>
      </c>
      <c r="D111" s="9" t="str">
        <f ca="1">IFERROR(__xludf.DUMMYFUNCTION("""COMPUTED_VALUE"""),"2 months")</f>
        <v>2 months</v>
      </c>
      <c r="E111" s="72">
        <f ca="1">IFERROR(__xludf.DUMMYFUNCTION("""COMPUTED_VALUE"""),44317)</f>
        <v>44317</v>
      </c>
      <c r="F111" s="72">
        <f ca="1">IFERROR(__xludf.DUMMYFUNCTION("""COMPUTED_VALUE"""),44377)</f>
        <v>44377</v>
      </c>
      <c r="G111" s="9" t="str">
        <f ca="1">IFERROR(__xludf.DUMMYFUNCTION("""COMPUTED_VALUE"""),"No")</f>
        <v>No</v>
      </c>
      <c r="H111" s="9" t="str">
        <f ca="1">IFERROR(__xludf.DUMMYFUNCTION("""COMPUTED_VALUE"""),"Yes")</f>
        <v>Yes</v>
      </c>
      <c r="I111" s="9">
        <f ca="1">IFERROR(__xludf.DUMMYFUNCTION("""COMPUTED_VALUE"""),5000)</f>
        <v>5000</v>
      </c>
      <c r="J111" s="73" t="str">
        <f ca="1">IFERROR(__xludf.DUMMYFUNCTION("""COMPUTED_VALUE"""),"https://drive.google.com/open?id=1XJ6SeZ_hy3OjpGyqWE0RO2fvlFNqQ9wb")</f>
        <v>https://drive.google.com/open?id=1XJ6SeZ_hy3OjpGyqWE0RO2fvlFNqQ9wb</v>
      </c>
      <c r="K111" s="9" t="str">
        <f ca="1">IFERROR(__xludf.DUMMYFUNCTION("""COMPUTED_VALUE"""),"2018-2022")</f>
        <v>2018-2022</v>
      </c>
      <c r="L111" s="9" t="str">
        <f ca="1">IFERROR(__xludf.DUMMYFUNCTION("""COMPUTED_VALUE"""),"S3: Student Internships")</f>
        <v>S3: Student Internships</v>
      </c>
      <c r="M111" s="9" t="str">
        <f ca="1">IFERROR(__xludf.DUMMYFUNCTION("""COMPUTED_VALUE"""),"pratyukuppili2001@gmail.com")</f>
        <v>pratyukuppili2001@gmail.com</v>
      </c>
      <c r="N111" s="9" t="str">
        <f ca="1">IFERROR(__xludf.DUMMYFUNCTION("""COMPUTED_VALUE"""),"SEM-8")</f>
        <v>SEM-8</v>
      </c>
      <c r="O111" s="9"/>
      <c r="P111" s="9"/>
      <c r="Q111" s="9"/>
      <c r="R111" s="9"/>
      <c r="S111" s="9"/>
      <c r="T111" s="9"/>
      <c r="U111" s="9"/>
      <c r="V111" s="9"/>
      <c r="W111" s="9"/>
      <c r="X111" s="9"/>
    </row>
    <row r="112" spans="1:24" ht="33" customHeight="1" x14ac:dyDescent="0.15">
      <c r="A112" s="69" t="str">
        <f ca="1">IFERROR(__xludf.DUMMYFUNCTION("""COMPUTED_VALUE"""),"Uday sai Kiran Abbireddy")</f>
        <v>Uday sai Kiran Abbireddy</v>
      </c>
      <c r="B112" s="69" t="str">
        <f ca="1">IFERROR(__xludf.DUMMYFUNCTION("""COMPUTED_VALUE"""),"18331A05G0")</f>
        <v>18331A05G0</v>
      </c>
      <c r="C112" s="69" t="str">
        <f ca="1">IFERROR(__xludf.DUMMYFUNCTION("""COMPUTED_VALUE"""),"Cisco")</f>
        <v>Cisco</v>
      </c>
      <c r="D112" s="69" t="str">
        <f ca="1">IFERROR(__xludf.DUMMYFUNCTION("""COMPUTED_VALUE"""),"6 months")</f>
        <v>6 months</v>
      </c>
      <c r="E112" s="74">
        <f ca="1">IFERROR(__xludf.DUMMYFUNCTION("""COMPUTED_VALUE"""),44573)</f>
        <v>44573</v>
      </c>
      <c r="F112" s="74">
        <f ca="1">IFERROR(__xludf.DUMMYFUNCTION("""COMPUTED_VALUE"""),44730)</f>
        <v>44730</v>
      </c>
      <c r="G112" s="69" t="str">
        <f ca="1">IFERROR(__xludf.DUMMYFUNCTION("""COMPUTED_VALUE"""),"Yes")</f>
        <v>Yes</v>
      </c>
      <c r="H112" s="69" t="str">
        <f ca="1">IFERROR(__xludf.DUMMYFUNCTION("""COMPUTED_VALUE"""),"No")</f>
        <v>No</v>
      </c>
      <c r="I112" s="69">
        <f ca="1">IFERROR(__xludf.DUMMYFUNCTION("""COMPUTED_VALUE"""),0)</f>
        <v>0</v>
      </c>
      <c r="J112" s="75" t="str">
        <f ca="1">IFERROR(__xludf.DUMMYFUNCTION("""COMPUTED_VALUE"""),"https://drive.google.com/open?id=1lSazFEIzDqFFXObzM2CoBuKoIgGVlXCw")</f>
        <v>https://drive.google.com/open?id=1lSazFEIzDqFFXObzM2CoBuKoIgGVlXCw</v>
      </c>
      <c r="K112" s="69" t="str">
        <f ca="1">IFERROR(__xludf.DUMMYFUNCTION("""COMPUTED_VALUE"""),"2018-2022")</f>
        <v>2018-2022</v>
      </c>
      <c r="L112" s="69" t="str">
        <f ca="1">IFERROR(__xludf.DUMMYFUNCTION("""COMPUTED_VALUE"""),"S3: Student Internships")</f>
        <v>S3: Student Internships</v>
      </c>
      <c r="M112" s="69" t="str">
        <f ca="1">IFERROR(__xludf.DUMMYFUNCTION("""COMPUTED_VALUE"""),"abbireddy8300@gmail.com")</f>
        <v>abbireddy8300@gmail.com</v>
      </c>
      <c r="N112" s="69" t="str">
        <f ca="1">IFERROR(__xludf.DUMMYFUNCTION("""COMPUTED_VALUE"""),"SEM-7")</f>
        <v>SEM-7</v>
      </c>
      <c r="O112" s="69"/>
      <c r="P112" s="69"/>
      <c r="Q112" s="69"/>
      <c r="R112" s="69"/>
      <c r="S112" s="69"/>
      <c r="T112" s="69"/>
      <c r="U112" s="69"/>
      <c r="V112" s="69"/>
      <c r="W112" s="69"/>
      <c r="X112" s="69"/>
    </row>
    <row r="113" spans="1:24" ht="33" customHeight="1" x14ac:dyDescent="0.15">
      <c r="A113" s="9" t="str">
        <f ca="1">IFERROR(__xludf.DUMMYFUNCTION("""COMPUTED_VALUE"""),"Donthamsetti Sumitha")</f>
        <v>Donthamsetti Sumitha</v>
      </c>
      <c r="B113" s="9" t="str">
        <f ca="1">IFERROR(__xludf.DUMMYFUNCTION("""COMPUTED_VALUE"""),"18331A0535")</f>
        <v>18331A0535</v>
      </c>
      <c r="C113" s="9" t="str">
        <f ca="1">IFERROR(__xludf.DUMMYFUNCTION("""COMPUTED_VALUE"""),"Online Summer Training - Kyrion technology")</f>
        <v>Online Summer Training - Kyrion technology</v>
      </c>
      <c r="D113" s="9" t="str">
        <f ca="1">IFERROR(__xludf.DUMMYFUNCTION("""COMPUTED_VALUE"""),"2 months")</f>
        <v>2 months</v>
      </c>
      <c r="E113" s="72">
        <f ca="1">IFERROR(__xludf.DUMMYFUNCTION("""COMPUTED_VALUE"""),43983)</f>
        <v>43983</v>
      </c>
      <c r="F113" s="72">
        <f ca="1">IFERROR(__xludf.DUMMYFUNCTION("""COMPUTED_VALUE"""),44038)</f>
        <v>44038</v>
      </c>
      <c r="G113" s="9" t="str">
        <f ca="1">IFERROR(__xludf.DUMMYFUNCTION("""COMPUTED_VALUE"""),"No")</f>
        <v>No</v>
      </c>
      <c r="H113" s="9" t="str">
        <f ca="1">IFERROR(__xludf.DUMMYFUNCTION("""COMPUTED_VALUE"""),"Yes")</f>
        <v>Yes</v>
      </c>
      <c r="I113" s="9">
        <f ca="1">IFERROR(__xludf.DUMMYFUNCTION("""COMPUTED_VALUE"""),1200)</f>
        <v>1200</v>
      </c>
      <c r="J113" s="73" t="str">
        <f ca="1">IFERROR(__xludf.DUMMYFUNCTION("""COMPUTED_VALUE"""),"https://drive.google.com/open?id=1ML-AQBPz_j8-clf9teLqwOuIGI7Dcpfg")</f>
        <v>https://drive.google.com/open?id=1ML-AQBPz_j8-clf9teLqwOuIGI7Dcpfg</v>
      </c>
      <c r="K113" s="9" t="str">
        <f ca="1">IFERROR(__xludf.DUMMYFUNCTION("""COMPUTED_VALUE"""),"2018-2022")</f>
        <v>2018-2022</v>
      </c>
      <c r="L113" s="9" t="str">
        <f ca="1">IFERROR(__xludf.DUMMYFUNCTION("""COMPUTED_VALUE"""),"S3: Student Internships")</f>
        <v>S3: Student Internships</v>
      </c>
      <c r="M113" s="9" t="str">
        <f ca="1">IFERROR(__xludf.DUMMYFUNCTION("""COMPUTED_VALUE"""),"sumitha.donthamsetti@gmail.com")</f>
        <v>sumitha.donthamsetti@gmail.com</v>
      </c>
      <c r="N113" s="9" t="str">
        <f ca="1">IFERROR(__xludf.DUMMYFUNCTION("""COMPUTED_VALUE"""),"SEM-4")</f>
        <v>SEM-4</v>
      </c>
      <c r="O113" s="9"/>
      <c r="P113" s="9"/>
      <c r="Q113" s="9"/>
      <c r="R113" s="9"/>
      <c r="S113" s="9"/>
      <c r="T113" s="9"/>
      <c r="U113" s="9"/>
      <c r="V113" s="9"/>
      <c r="W113" s="9"/>
      <c r="X113" s="9"/>
    </row>
    <row r="114" spans="1:24" ht="33" customHeight="1" x14ac:dyDescent="0.15">
      <c r="A114" s="9" t="str">
        <f ca="1">IFERROR(__xludf.DUMMYFUNCTION("""COMPUTED_VALUE"""),"Karanam yeswanth teja")</f>
        <v>Karanam yeswanth teja</v>
      </c>
      <c r="B114" s="9" t="str">
        <f ca="1">IFERROR(__xludf.DUMMYFUNCTION("""COMPUTED_VALUE"""),"20331A0581")</f>
        <v>20331A0581</v>
      </c>
      <c r="C114" s="9" t="str">
        <f ca="1">IFERROR(__xludf.DUMMYFUNCTION("""COMPUTED_VALUE"""),"Red hat")</f>
        <v>Red hat</v>
      </c>
      <c r="D114" s="9" t="str">
        <f ca="1">IFERROR(__xludf.DUMMYFUNCTION("""COMPUTED_VALUE"""),"2 months")</f>
        <v>2 months</v>
      </c>
      <c r="E114" s="72">
        <f ca="1">IFERROR(__xludf.DUMMYFUNCTION("""COMPUTED_VALUE"""),44662)</f>
        <v>44662</v>
      </c>
      <c r="F114" s="72">
        <f ca="1">IFERROR(__xludf.DUMMYFUNCTION("""COMPUTED_VALUE"""),44531)</f>
        <v>44531</v>
      </c>
      <c r="G114" s="9" t="str">
        <f ca="1">IFERROR(__xludf.DUMMYFUNCTION("""COMPUTED_VALUE"""),"No")</f>
        <v>No</v>
      </c>
      <c r="H114" s="9" t="str">
        <f ca="1">IFERROR(__xludf.DUMMYFUNCTION("""COMPUTED_VALUE"""),"No")</f>
        <v>No</v>
      </c>
      <c r="I114" s="9">
        <f ca="1">IFERROR(__xludf.DUMMYFUNCTION("""COMPUTED_VALUE"""),0)</f>
        <v>0</v>
      </c>
      <c r="J114" s="73" t="str">
        <f ca="1">IFERROR(__xludf.DUMMYFUNCTION("""COMPUTED_VALUE"""),"https://drive.google.com/open?id=1yt2Df3VcW_0AB69NaxXNmKcQZRhjv1TI")</f>
        <v>https://drive.google.com/open?id=1yt2Df3VcW_0AB69NaxXNmKcQZRhjv1TI</v>
      </c>
      <c r="K114" s="9" t="str">
        <f ca="1">IFERROR(__xludf.DUMMYFUNCTION("""COMPUTED_VALUE"""),"2020-2024")</f>
        <v>2020-2024</v>
      </c>
      <c r="L114" s="9" t="str">
        <f ca="1">IFERROR(__xludf.DUMMYFUNCTION("""COMPUTED_VALUE"""),"S3: Student Internships")</f>
        <v>S3: Student Internships</v>
      </c>
      <c r="M114" s="9" t="str">
        <f ca="1">IFERROR(__xludf.DUMMYFUNCTION("""COMPUTED_VALUE"""),"tejacherry0611@gmail.com")</f>
        <v>tejacherry0611@gmail.com</v>
      </c>
      <c r="N114" s="9" t="str">
        <f ca="1">IFERROR(__xludf.DUMMYFUNCTION("""COMPUTED_VALUE"""),"SEM-4")</f>
        <v>SEM-4</v>
      </c>
      <c r="O114" s="9"/>
      <c r="P114" s="9"/>
      <c r="Q114" s="9"/>
      <c r="R114" s="9"/>
      <c r="S114" s="9"/>
      <c r="T114" s="9"/>
      <c r="U114" s="9"/>
      <c r="V114" s="9"/>
      <c r="W114" s="9"/>
      <c r="X114" s="9"/>
    </row>
    <row r="115" spans="1:24" ht="33" customHeight="1" x14ac:dyDescent="0.15">
      <c r="A115" s="9" t="str">
        <f ca="1">IFERROR(__xludf.DUMMYFUNCTION("""COMPUTED_VALUE"""),"Karanam yeswanth teja")</f>
        <v>Karanam yeswanth teja</v>
      </c>
      <c r="B115" s="9" t="str">
        <f ca="1">IFERROR(__xludf.DUMMYFUNCTION("""COMPUTED_VALUE"""),"20331A0581")</f>
        <v>20331A0581</v>
      </c>
      <c r="C115" s="9" t="str">
        <f ca="1">IFERROR(__xludf.DUMMYFUNCTION("""COMPUTED_VALUE"""),"Redhat")</f>
        <v>Redhat</v>
      </c>
      <c r="D115" s="9" t="str">
        <f ca="1">IFERROR(__xludf.DUMMYFUNCTION("""COMPUTED_VALUE"""),"2months")</f>
        <v>2months</v>
      </c>
      <c r="E115" s="72">
        <f ca="1">IFERROR(__xludf.DUMMYFUNCTION("""COMPUTED_VALUE"""),44470)</f>
        <v>44470</v>
      </c>
      <c r="F115" s="72">
        <f ca="1">IFERROR(__xludf.DUMMYFUNCTION("""COMPUTED_VALUE"""),44531)</f>
        <v>44531</v>
      </c>
      <c r="G115" s="9" t="str">
        <f ca="1">IFERROR(__xludf.DUMMYFUNCTION("""COMPUTED_VALUE"""),"No")</f>
        <v>No</v>
      </c>
      <c r="H115" s="9" t="str">
        <f ca="1">IFERROR(__xludf.DUMMYFUNCTION("""COMPUTED_VALUE"""),"No")</f>
        <v>No</v>
      </c>
      <c r="I115" s="9">
        <f ca="1">IFERROR(__xludf.DUMMYFUNCTION("""COMPUTED_VALUE"""),0)</f>
        <v>0</v>
      </c>
      <c r="J115" s="73" t="str">
        <f ca="1">IFERROR(__xludf.DUMMYFUNCTION("""COMPUTED_VALUE"""),"https://drive.google.com/open?id=10vYy2yRzwiezw6ByqFwZcrerK8gpogGu")</f>
        <v>https://drive.google.com/open?id=10vYy2yRzwiezw6ByqFwZcrerK8gpogGu</v>
      </c>
      <c r="K115" s="9" t="str">
        <f ca="1">IFERROR(__xludf.DUMMYFUNCTION("""COMPUTED_VALUE"""),"2020-2024")</f>
        <v>2020-2024</v>
      </c>
      <c r="L115" s="9" t="str">
        <f ca="1">IFERROR(__xludf.DUMMYFUNCTION("""COMPUTED_VALUE"""),"S3: Student Internships")</f>
        <v>S3: Student Internships</v>
      </c>
      <c r="M115" s="9" t="str">
        <f ca="1">IFERROR(__xludf.DUMMYFUNCTION("""COMPUTED_VALUE"""),"tejacherry0611@gmail.com")</f>
        <v>tejacherry0611@gmail.com</v>
      </c>
      <c r="N115" s="9" t="str">
        <f ca="1">IFERROR(__xludf.DUMMYFUNCTION("""COMPUTED_VALUE"""),"SEM-3")</f>
        <v>SEM-3</v>
      </c>
      <c r="O115" s="9"/>
      <c r="P115" s="9"/>
      <c r="Q115" s="9"/>
      <c r="R115" s="9"/>
      <c r="S115" s="9"/>
      <c r="T115" s="9"/>
      <c r="U115" s="9"/>
      <c r="V115" s="9"/>
      <c r="W115" s="9"/>
      <c r="X115" s="9"/>
    </row>
    <row r="116" spans="1:24" ht="33" customHeight="1" x14ac:dyDescent="0.15">
      <c r="A116" s="9" t="str">
        <f ca="1">IFERROR(__xludf.DUMMYFUNCTION("""COMPUTED_VALUE"""),"Nune.Veera Narayanamma")</f>
        <v>Nune.Veera Narayanamma</v>
      </c>
      <c r="B116" s="9" t="str">
        <f ca="1">IFERROR(__xludf.DUMMYFUNCTION("""COMPUTED_VALUE"""),"20331A05C9")</f>
        <v>20331A05C9</v>
      </c>
      <c r="C116" s="9" t="str">
        <f ca="1">IFERROR(__xludf.DUMMYFUNCTION("""COMPUTED_VALUE""")," NDG")</f>
        <v xml:space="preserve"> NDG</v>
      </c>
      <c r="D116" s="9" t="str">
        <f ca="1">IFERROR(__xludf.DUMMYFUNCTION("""COMPUTED_VALUE"""),"2months")</f>
        <v>2months</v>
      </c>
      <c r="E116" s="72">
        <f ca="1">IFERROR(__xludf.DUMMYFUNCTION("""COMPUTED_VALUE"""),44593)</f>
        <v>44593</v>
      </c>
      <c r="F116" s="72">
        <f ca="1">IFERROR(__xludf.DUMMYFUNCTION("""COMPUTED_VALUE"""),44655)</f>
        <v>44655</v>
      </c>
      <c r="G116" s="9" t="str">
        <f ca="1">IFERROR(__xludf.DUMMYFUNCTION("""COMPUTED_VALUE"""),"No")</f>
        <v>No</v>
      </c>
      <c r="H116" s="9" t="str">
        <f ca="1">IFERROR(__xludf.DUMMYFUNCTION("""COMPUTED_VALUE"""),"No")</f>
        <v>No</v>
      </c>
      <c r="I116" s="9">
        <f ca="1">IFERROR(__xludf.DUMMYFUNCTION("""COMPUTED_VALUE"""),0)</f>
        <v>0</v>
      </c>
      <c r="J116" s="73" t="str">
        <f ca="1">IFERROR(__xludf.DUMMYFUNCTION("""COMPUTED_VALUE"""),"https://drive.google.com/open?id=1ULzhn86Os22MLlFB0nnAUp6trn1SlqXA")</f>
        <v>https://drive.google.com/open?id=1ULzhn86Os22MLlFB0nnAUp6trn1SlqXA</v>
      </c>
      <c r="K116" s="9" t="str">
        <f ca="1">IFERROR(__xludf.DUMMYFUNCTION("""COMPUTED_VALUE"""),"2020-2024")</f>
        <v>2020-2024</v>
      </c>
      <c r="L116" s="9" t="str">
        <f ca="1">IFERROR(__xludf.DUMMYFUNCTION("""COMPUTED_VALUE"""),"S3: Student Internships")</f>
        <v>S3: Student Internships</v>
      </c>
      <c r="M116" s="9" t="str">
        <f ca="1">IFERROR(__xludf.DUMMYFUNCTION("""COMPUTED_VALUE"""),"vasavinune24@gmail.com")</f>
        <v>vasavinune24@gmail.com</v>
      </c>
      <c r="N116" s="9" t="str">
        <f ca="1">IFERROR(__xludf.DUMMYFUNCTION("""COMPUTED_VALUE"""),"SEM-4")</f>
        <v>SEM-4</v>
      </c>
      <c r="O116" s="9"/>
      <c r="P116" s="9"/>
      <c r="Q116" s="9"/>
      <c r="R116" s="9"/>
      <c r="S116" s="9"/>
      <c r="T116" s="9"/>
      <c r="U116" s="9"/>
      <c r="V116" s="9"/>
      <c r="W116" s="9"/>
      <c r="X116" s="9"/>
    </row>
    <row r="117" spans="1:24" ht="33" customHeight="1" x14ac:dyDescent="0.15">
      <c r="A117" s="9" t="str">
        <f ca="1">IFERROR(__xludf.DUMMYFUNCTION("""COMPUTED_VALUE"""),"GUMMA VENKATA SRIVATHSA")</f>
        <v>GUMMA VENKATA SRIVATHSA</v>
      </c>
      <c r="B117" s="9" t="str">
        <f ca="1">IFERROR(__xludf.DUMMYFUNCTION("""COMPUTED_VALUE"""),"20331A0568")</f>
        <v>20331A0568</v>
      </c>
      <c r="C117" s="9" t="str">
        <f ca="1">IFERROR(__xludf.DUMMYFUNCTION("""COMPUTED_VALUE"""),"REDHAT")</f>
        <v>REDHAT</v>
      </c>
      <c r="D117" s="9" t="str">
        <f ca="1">IFERROR(__xludf.DUMMYFUNCTION("""COMPUTED_VALUE"""),"2 months")</f>
        <v>2 months</v>
      </c>
      <c r="E117" s="72">
        <f ca="1">IFERROR(__xludf.DUMMYFUNCTION("""COMPUTED_VALUE"""),44470)</f>
        <v>44470</v>
      </c>
      <c r="F117" s="72">
        <f ca="1">IFERROR(__xludf.DUMMYFUNCTION("""COMPUTED_VALUE"""),44557)</f>
        <v>44557</v>
      </c>
      <c r="G117" s="9" t="str">
        <f ca="1">IFERROR(__xludf.DUMMYFUNCTION("""COMPUTED_VALUE"""),"No")</f>
        <v>No</v>
      </c>
      <c r="H117" s="9" t="str">
        <f ca="1">IFERROR(__xludf.DUMMYFUNCTION("""COMPUTED_VALUE"""),"No")</f>
        <v>No</v>
      </c>
      <c r="I117" s="9">
        <f ca="1">IFERROR(__xludf.DUMMYFUNCTION("""COMPUTED_VALUE"""),0)</f>
        <v>0</v>
      </c>
      <c r="J117" s="73" t="str">
        <f ca="1">IFERROR(__xludf.DUMMYFUNCTION("""COMPUTED_VALUE"""),"https://drive.google.com/open?id=1cr5DGy03nmFmZFMxy1SU8HLUYkTAtxEu")</f>
        <v>https://drive.google.com/open?id=1cr5DGy03nmFmZFMxy1SU8HLUYkTAtxEu</v>
      </c>
      <c r="K117" s="9" t="str">
        <f ca="1">IFERROR(__xludf.DUMMYFUNCTION("""COMPUTED_VALUE"""),"2020-2024")</f>
        <v>2020-2024</v>
      </c>
      <c r="L117" s="9" t="str">
        <f ca="1">IFERROR(__xludf.DUMMYFUNCTION("""COMPUTED_VALUE"""),"S3: Student Internships")</f>
        <v>S3: Student Internships</v>
      </c>
      <c r="M117" s="9" t="str">
        <f ca="1">IFERROR(__xludf.DUMMYFUNCTION("""COMPUTED_VALUE"""),"gvsrivathsa@gmail.com")</f>
        <v>gvsrivathsa@gmail.com</v>
      </c>
      <c r="N117" s="9" t="str">
        <f ca="1">IFERROR(__xludf.DUMMYFUNCTION("""COMPUTED_VALUE"""),"SEM-4")</f>
        <v>SEM-4</v>
      </c>
      <c r="O117" s="9"/>
      <c r="P117" s="9"/>
      <c r="Q117" s="9"/>
      <c r="R117" s="9"/>
      <c r="S117" s="9"/>
      <c r="T117" s="9"/>
      <c r="U117" s="9"/>
      <c r="V117" s="9"/>
      <c r="W117" s="9"/>
      <c r="X117" s="9"/>
    </row>
    <row r="118" spans="1:24" ht="33" customHeight="1" x14ac:dyDescent="0.15">
      <c r="A118" s="9" t="str">
        <f ca="1">IFERROR(__xludf.DUMMYFUNCTION("""COMPUTED_VALUE"""),"M. Tarun kumar")</f>
        <v>M. Tarun kumar</v>
      </c>
      <c r="B118" s="9" t="str">
        <f ca="1">IFERROR(__xludf.DUMMYFUNCTION("""COMPUTED_VALUE"""),"20331A05B0")</f>
        <v>20331A05B0</v>
      </c>
      <c r="C118" s="9" t="str">
        <f ca="1">IFERROR(__xludf.DUMMYFUNCTION("""COMPUTED_VALUE"""),"Red hat")</f>
        <v>Red hat</v>
      </c>
      <c r="D118" s="9" t="str">
        <f ca="1">IFERROR(__xludf.DUMMYFUNCTION("""COMPUTED_VALUE"""),"2 Months")</f>
        <v>2 Months</v>
      </c>
      <c r="E118" s="72">
        <f ca="1">IFERROR(__xludf.DUMMYFUNCTION("""COMPUTED_VALUE"""),44470)</f>
        <v>44470</v>
      </c>
      <c r="F118" s="72">
        <f ca="1">IFERROR(__xludf.DUMMYFUNCTION("""COMPUTED_VALUE"""),44557)</f>
        <v>44557</v>
      </c>
      <c r="G118" s="9" t="str">
        <f ca="1">IFERROR(__xludf.DUMMYFUNCTION("""COMPUTED_VALUE"""),"No")</f>
        <v>No</v>
      </c>
      <c r="H118" s="9" t="str">
        <f ca="1">IFERROR(__xludf.DUMMYFUNCTION("""COMPUTED_VALUE"""),"No")</f>
        <v>No</v>
      </c>
      <c r="I118" s="9">
        <f ca="1">IFERROR(__xludf.DUMMYFUNCTION("""COMPUTED_VALUE"""),0)</f>
        <v>0</v>
      </c>
      <c r="J118" s="73" t="str">
        <f ca="1">IFERROR(__xludf.DUMMYFUNCTION("""COMPUTED_VALUE"""),"https://drive.google.com/open?id=1_7V9WKQdECrYmJ4B1k45Qyokl2hvYj3d")</f>
        <v>https://drive.google.com/open?id=1_7V9WKQdECrYmJ4B1k45Qyokl2hvYj3d</v>
      </c>
      <c r="K118" s="9" t="str">
        <f ca="1">IFERROR(__xludf.DUMMYFUNCTION("""COMPUTED_VALUE"""),"2020-2024")</f>
        <v>2020-2024</v>
      </c>
      <c r="L118" s="9" t="str">
        <f ca="1">IFERROR(__xludf.DUMMYFUNCTION("""COMPUTED_VALUE"""),"S3: Student Internships")</f>
        <v>S3: Student Internships</v>
      </c>
      <c r="M118" s="9" t="str">
        <f ca="1">IFERROR(__xludf.DUMMYFUNCTION("""COMPUTED_VALUE"""),"mt790191@gmail.com")</f>
        <v>mt790191@gmail.com</v>
      </c>
      <c r="N118" s="9" t="str">
        <f ca="1">IFERROR(__xludf.DUMMYFUNCTION("""COMPUTED_VALUE"""),"SEM-4")</f>
        <v>SEM-4</v>
      </c>
      <c r="O118" s="9"/>
      <c r="P118" s="9"/>
      <c r="Q118" s="9"/>
      <c r="R118" s="9"/>
      <c r="S118" s="9"/>
      <c r="T118" s="9"/>
      <c r="U118" s="9"/>
      <c r="V118" s="9"/>
      <c r="W118" s="9"/>
      <c r="X118" s="9"/>
    </row>
    <row r="119" spans="1:24" ht="33" customHeight="1" x14ac:dyDescent="0.15">
      <c r="A119" s="9" t="str">
        <f ca="1">IFERROR(__xludf.DUMMYFUNCTION("""COMPUTED_VALUE"""),"Gudala Lalitha Maheswari")</f>
        <v>Gudala Lalitha Maheswari</v>
      </c>
      <c r="B119" s="9" t="str">
        <f ca="1">IFERROR(__xludf.DUMMYFUNCTION("""COMPUTED_VALUE"""),"20331A0565")</f>
        <v>20331A0565</v>
      </c>
      <c r="C119" s="9" t="str">
        <f ca="1">IFERROR(__xludf.DUMMYFUNCTION("""COMPUTED_VALUE"""),"Red hat")</f>
        <v>Red hat</v>
      </c>
      <c r="D119" s="9" t="str">
        <f ca="1">IFERROR(__xludf.DUMMYFUNCTION("""COMPUTED_VALUE"""),"2 months")</f>
        <v>2 months</v>
      </c>
      <c r="E119" s="72">
        <f ca="1">IFERROR(__xludf.DUMMYFUNCTION("""COMPUTED_VALUE"""),44470)</f>
        <v>44470</v>
      </c>
      <c r="F119" s="72">
        <f ca="1">IFERROR(__xludf.DUMMYFUNCTION("""COMPUTED_VALUE"""),44561)</f>
        <v>44561</v>
      </c>
      <c r="G119" s="9" t="str">
        <f ca="1">IFERROR(__xludf.DUMMYFUNCTION("""COMPUTED_VALUE"""),"No")</f>
        <v>No</v>
      </c>
      <c r="H119" s="9" t="str">
        <f ca="1">IFERROR(__xludf.DUMMYFUNCTION("""COMPUTED_VALUE"""),"No")</f>
        <v>No</v>
      </c>
      <c r="I119" s="9">
        <f ca="1">IFERROR(__xludf.DUMMYFUNCTION("""COMPUTED_VALUE"""),0)</f>
        <v>0</v>
      </c>
      <c r="J119" s="73" t="str">
        <f ca="1">IFERROR(__xludf.DUMMYFUNCTION("""COMPUTED_VALUE"""),"https://drive.google.com/open?id=1vinEl0B5tg4rSvGazB6MyvSNVNZm97dS")</f>
        <v>https://drive.google.com/open?id=1vinEl0B5tg4rSvGazB6MyvSNVNZm97dS</v>
      </c>
      <c r="K119" s="9" t="str">
        <f ca="1">IFERROR(__xludf.DUMMYFUNCTION("""COMPUTED_VALUE"""),"2020-2024")</f>
        <v>2020-2024</v>
      </c>
      <c r="L119" s="9" t="str">
        <f ca="1">IFERROR(__xludf.DUMMYFUNCTION("""COMPUTED_VALUE"""),"S3: Student Internships")</f>
        <v>S3: Student Internships</v>
      </c>
      <c r="M119" s="9" t="str">
        <f ca="1">IFERROR(__xludf.DUMMYFUNCTION("""COMPUTED_VALUE"""),"gudalalalithamaheswari4180@gmail.com")</f>
        <v>gudalalalithamaheswari4180@gmail.com</v>
      </c>
      <c r="N119" s="9" t="str">
        <f ca="1">IFERROR(__xludf.DUMMYFUNCTION("""COMPUTED_VALUE"""),"SEM-4")</f>
        <v>SEM-4</v>
      </c>
      <c r="O119" s="9"/>
      <c r="P119" s="9"/>
      <c r="Q119" s="9"/>
      <c r="R119" s="9"/>
      <c r="S119" s="9"/>
      <c r="T119" s="9"/>
      <c r="U119" s="9"/>
      <c r="V119" s="9"/>
      <c r="W119" s="9"/>
      <c r="X119" s="9"/>
    </row>
    <row r="120" spans="1:24" ht="33" customHeight="1" x14ac:dyDescent="0.15">
      <c r="A120" s="9" t="str">
        <f ca="1">IFERROR(__xludf.DUMMYFUNCTION("""COMPUTED_VALUE"""),"KONA THARUN SREE SAI")</f>
        <v>KONA THARUN SREE SAI</v>
      </c>
      <c r="B120" s="9" t="str">
        <f ca="1">IFERROR(__xludf.DUMMYFUNCTION("""COMPUTED_VALUE"""),"20331A0590")</f>
        <v>20331A0590</v>
      </c>
      <c r="C120" s="9" t="str">
        <f ca="1">IFERROR(__xludf.DUMMYFUNCTION("""COMPUTED_VALUE"""),"Redhat")</f>
        <v>Redhat</v>
      </c>
      <c r="D120" s="9" t="str">
        <f ca="1">IFERROR(__xludf.DUMMYFUNCTION("""COMPUTED_VALUE"""),"2 months ")</f>
        <v xml:space="preserve">2 months </v>
      </c>
      <c r="E120" s="72">
        <f ca="1">IFERROR(__xludf.DUMMYFUNCTION("""COMPUTED_VALUE"""),44470)</f>
        <v>44470</v>
      </c>
      <c r="F120" s="72">
        <f ca="1">IFERROR(__xludf.DUMMYFUNCTION("""COMPUTED_VALUE"""),44531)</f>
        <v>44531</v>
      </c>
      <c r="G120" s="9" t="str">
        <f ca="1">IFERROR(__xludf.DUMMYFUNCTION("""COMPUTED_VALUE"""),"No")</f>
        <v>No</v>
      </c>
      <c r="H120" s="9" t="str">
        <f ca="1">IFERROR(__xludf.DUMMYFUNCTION("""COMPUTED_VALUE"""),"No")</f>
        <v>No</v>
      </c>
      <c r="I120" s="9">
        <f ca="1">IFERROR(__xludf.DUMMYFUNCTION("""COMPUTED_VALUE"""),0)</f>
        <v>0</v>
      </c>
      <c r="J120" s="73" t="str">
        <f ca="1">IFERROR(__xludf.DUMMYFUNCTION("""COMPUTED_VALUE"""),"https://drive.google.com/open?id=1U4zNBqKNThAe54o7icr_2AYBW3oeP86E")</f>
        <v>https://drive.google.com/open?id=1U4zNBqKNThAe54o7icr_2AYBW3oeP86E</v>
      </c>
      <c r="K120" s="9" t="str">
        <f ca="1">IFERROR(__xludf.DUMMYFUNCTION("""COMPUTED_VALUE"""),"2020-2024")</f>
        <v>2020-2024</v>
      </c>
      <c r="L120" s="9" t="str">
        <f ca="1">IFERROR(__xludf.DUMMYFUNCTION("""COMPUTED_VALUE"""),"S3: Student Internships")</f>
        <v>S3: Student Internships</v>
      </c>
      <c r="M120" s="9" t="str">
        <f ca="1">IFERROR(__xludf.DUMMYFUNCTION("""COMPUTED_VALUE"""),"tharunkona111@gmail.com")</f>
        <v>tharunkona111@gmail.com</v>
      </c>
      <c r="N120" s="9" t="str">
        <f ca="1">IFERROR(__xludf.DUMMYFUNCTION("""COMPUTED_VALUE"""),"SEM-4")</f>
        <v>SEM-4</v>
      </c>
      <c r="O120" s="9"/>
      <c r="P120" s="9"/>
      <c r="Q120" s="9"/>
      <c r="R120" s="9"/>
      <c r="S120" s="9"/>
      <c r="T120" s="9"/>
      <c r="U120" s="9"/>
      <c r="V120" s="9"/>
      <c r="W120" s="9"/>
      <c r="X120" s="9"/>
    </row>
    <row r="121" spans="1:24" ht="33" customHeight="1" x14ac:dyDescent="0.15">
      <c r="A121" s="9" t="str">
        <f ca="1">IFERROR(__xludf.DUMMYFUNCTION("""COMPUTED_VALUE"""),"GUDIVADA VASUDEVARAJU ")</f>
        <v xml:space="preserve">GUDIVADA VASUDEVARAJU </v>
      </c>
      <c r="B121" s="9" t="str">
        <f ca="1">IFERROR(__xludf.DUMMYFUNCTION("""COMPUTED_VALUE"""),"20331A0567")</f>
        <v>20331A0567</v>
      </c>
      <c r="C121" s="9" t="str">
        <f ca="1">IFERROR(__xludf.DUMMYFUNCTION("""COMPUTED_VALUE"""),"Eduskills ")</f>
        <v xml:space="preserve">Eduskills </v>
      </c>
      <c r="D121" s="9" t="str">
        <f ca="1">IFERROR(__xludf.DUMMYFUNCTION("""COMPUTED_VALUE"""),"Linux automation virtual internship ")</f>
        <v xml:space="preserve">Linux automation virtual internship </v>
      </c>
      <c r="E121" s="72">
        <f ca="1">IFERROR(__xludf.DUMMYFUNCTION("""COMPUTED_VALUE"""),44481)</f>
        <v>44481</v>
      </c>
      <c r="F121" s="72">
        <f ca="1">IFERROR(__xludf.DUMMYFUNCTION("""COMPUTED_VALUE"""),44542)</f>
        <v>44542</v>
      </c>
      <c r="G121" s="9" t="str">
        <f ca="1">IFERROR(__xludf.DUMMYFUNCTION("""COMPUTED_VALUE"""),"No")</f>
        <v>No</v>
      </c>
      <c r="H121" s="9" t="str">
        <f ca="1">IFERROR(__xludf.DUMMYFUNCTION("""COMPUTED_VALUE"""),"No")</f>
        <v>No</v>
      </c>
      <c r="I121" s="9">
        <f ca="1">IFERROR(__xludf.DUMMYFUNCTION("""COMPUTED_VALUE"""),0)</f>
        <v>0</v>
      </c>
      <c r="J121" s="73" t="str">
        <f ca="1">IFERROR(__xludf.DUMMYFUNCTION("""COMPUTED_VALUE"""),"https://drive.google.com/open?id=1RW0cM3DT5GM0oQ8k3Q0cM-pY3Bkzk4xa")</f>
        <v>https://drive.google.com/open?id=1RW0cM3DT5GM0oQ8k3Q0cM-pY3Bkzk4xa</v>
      </c>
      <c r="K121" s="9" t="str">
        <f ca="1">IFERROR(__xludf.DUMMYFUNCTION("""COMPUTED_VALUE"""),"2020-2024")</f>
        <v>2020-2024</v>
      </c>
      <c r="L121" s="9" t="str">
        <f ca="1">IFERROR(__xludf.DUMMYFUNCTION("""COMPUTED_VALUE"""),"S3: Student Internships")</f>
        <v>S3: Student Internships</v>
      </c>
      <c r="M121" s="9" t="str">
        <f ca="1">IFERROR(__xludf.DUMMYFUNCTION("""COMPUTED_VALUE"""),"vasuvpk2330@gmail.com")</f>
        <v>vasuvpk2330@gmail.com</v>
      </c>
      <c r="N121" s="9" t="str">
        <f ca="1">IFERROR(__xludf.DUMMYFUNCTION("""COMPUTED_VALUE"""),"SEM-4")</f>
        <v>SEM-4</v>
      </c>
      <c r="O121" s="9"/>
      <c r="P121" s="9"/>
      <c r="Q121" s="9"/>
      <c r="R121" s="9"/>
      <c r="S121" s="9"/>
      <c r="T121" s="9"/>
      <c r="U121" s="9"/>
      <c r="V121" s="9"/>
      <c r="W121" s="9"/>
      <c r="X121" s="9"/>
    </row>
    <row r="122" spans="1:24" ht="33" customHeight="1" x14ac:dyDescent="0.15">
      <c r="A122" s="9" t="str">
        <f ca="1">IFERROR(__xludf.DUMMYFUNCTION("""COMPUTED_VALUE"""),"Mohammed Imran")</f>
        <v>Mohammed Imran</v>
      </c>
      <c r="B122" s="9" t="str">
        <f ca="1">IFERROR(__xludf.DUMMYFUNCTION("""COMPUTED_VALUE"""),"20335A0509")</f>
        <v>20335A0509</v>
      </c>
      <c r="C122" s="9" t="str">
        <f ca="1">IFERROR(__xludf.DUMMYFUNCTION("""COMPUTED_VALUE"""),"Blue Prism")</f>
        <v>Blue Prism</v>
      </c>
      <c r="D122" s="9" t="str">
        <f ca="1">IFERROR(__xludf.DUMMYFUNCTION("""COMPUTED_VALUE"""),"10 weeks")</f>
        <v>10 weeks</v>
      </c>
      <c r="E122" s="72">
        <f ca="1">IFERROR(__xludf.DUMMYFUNCTION("""COMPUTED_VALUE"""),44492)</f>
        <v>44492</v>
      </c>
      <c r="F122" s="72">
        <f ca="1">IFERROR(__xludf.DUMMYFUNCTION("""COMPUTED_VALUE"""),44554)</f>
        <v>44554</v>
      </c>
      <c r="G122" s="9" t="str">
        <f ca="1">IFERROR(__xludf.DUMMYFUNCTION("""COMPUTED_VALUE"""),"No")</f>
        <v>No</v>
      </c>
      <c r="H122" s="9" t="str">
        <f ca="1">IFERROR(__xludf.DUMMYFUNCTION("""COMPUTED_VALUE"""),"No")</f>
        <v>No</v>
      </c>
      <c r="I122" s="9">
        <f ca="1">IFERROR(__xludf.DUMMYFUNCTION("""COMPUTED_VALUE"""),0)</f>
        <v>0</v>
      </c>
      <c r="J122" s="73" t="str">
        <f ca="1">IFERROR(__xludf.DUMMYFUNCTION("""COMPUTED_VALUE"""),"https://drive.google.com/open?id=1I10ymDocU9KshULXlkbs_MaLEpV-PeAS")</f>
        <v>https://drive.google.com/open?id=1I10ymDocU9KshULXlkbs_MaLEpV-PeAS</v>
      </c>
      <c r="K122" s="9" t="str">
        <f ca="1">IFERROR(__xludf.DUMMYFUNCTION("""COMPUTED_VALUE"""),"2019-2023")</f>
        <v>2019-2023</v>
      </c>
      <c r="L122" s="9" t="str">
        <f ca="1">IFERROR(__xludf.DUMMYFUNCTION("""COMPUTED_VALUE"""),"S3: Student Internships")</f>
        <v>S3: Student Internships</v>
      </c>
      <c r="M122" s="9" t="str">
        <f ca="1">IFERROR(__xludf.DUMMYFUNCTION("""COMPUTED_VALUE"""),"md116imran@gmail.com")</f>
        <v>md116imran@gmail.com</v>
      </c>
      <c r="N122" s="9" t="str">
        <f ca="1">IFERROR(__xludf.DUMMYFUNCTION("""COMPUTED_VALUE"""),"SEM-6")</f>
        <v>SEM-6</v>
      </c>
      <c r="O122" s="9"/>
      <c r="P122" s="9"/>
      <c r="Q122" s="9"/>
      <c r="R122" s="9"/>
      <c r="S122" s="9"/>
      <c r="T122" s="9"/>
      <c r="U122" s="9"/>
      <c r="V122" s="9"/>
      <c r="W122" s="9"/>
      <c r="X122" s="9"/>
    </row>
    <row r="123" spans="1:24" ht="33" customHeight="1" x14ac:dyDescent="0.15">
      <c r="A123" s="9" t="str">
        <f ca="1">IFERROR(__xludf.DUMMYFUNCTION("""COMPUTED_VALUE"""),"Jyothirmayi Manapuram")</f>
        <v>Jyothirmayi Manapuram</v>
      </c>
      <c r="B123" s="9" t="str">
        <f ca="1">IFERROR(__xludf.DUMMYFUNCTION("""COMPUTED_VALUE"""),"20335A0507")</f>
        <v>20335A0507</v>
      </c>
      <c r="C123" s="9" t="str">
        <f ca="1">IFERROR(__xludf.DUMMYFUNCTION("""COMPUTED_VALUE"""),"AICTE")</f>
        <v>AICTE</v>
      </c>
      <c r="D123" s="9" t="str">
        <f ca="1">IFERROR(__xludf.DUMMYFUNCTION("""COMPUTED_VALUE"""),"10 weeks")</f>
        <v>10 weeks</v>
      </c>
      <c r="E123" s="72">
        <f ca="1">IFERROR(__xludf.DUMMYFUNCTION("""COMPUTED_VALUE"""),44479)</f>
        <v>44479</v>
      </c>
      <c r="F123" s="72">
        <f ca="1">IFERROR(__xludf.DUMMYFUNCTION("""COMPUTED_VALUE"""),44573)</f>
        <v>44573</v>
      </c>
      <c r="G123" s="9" t="str">
        <f ca="1">IFERROR(__xludf.DUMMYFUNCTION("""COMPUTED_VALUE"""),"No")</f>
        <v>No</v>
      </c>
      <c r="H123" s="9" t="str">
        <f ca="1">IFERROR(__xludf.DUMMYFUNCTION("""COMPUTED_VALUE"""),"No")</f>
        <v>No</v>
      </c>
      <c r="I123" s="9">
        <f ca="1">IFERROR(__xludf.DUMMYFUNCTION("""COMPUTED_VALUE"""),0)</f>
        <v>0</v>
      </c>
      <c r="J123" s="73" t="str">
        <f ca="1">IFERROR(__xludf.DUMMYFUNCTION("""COMPUTED_VALUE"""),"https://drive.google.com/open?id=1Nd4eGUqv6sSL8MquViyInvt8UdolPuv1")</f>
        <v>https://drive.google.com/open?id=1Nd4eGUqv6sSL8MquViyInvt8UdolPuv1</v>
      </c>
      <c r="K123" s="9" t="str">
        <f ca="1">IFERROR(__xludf.DUMMYFUNCTION("""COMPUTED_VALUE"""),"2019-2023")</f>
        <v>2019-2023</v>
      </c>
      <c r="L123" s="9" t="str">
        <f ca="1">IFERROR(__xludf.DUMMYFUNCTION("""COMPUTED_VALUE"""),"S3: Student Internships")</f>
        <v>S3: Student Internships</v>
      </c>
      <c r="M123" s="9" t="str">
        <f ca="1">IFERROR(__xludf.DUMMYFUNCTION("""COMPUTED_VALUE"""),"jyothirmaimanapuram4@gmail.com")</f>
        <v>jyothirmaimanapuram4@gmail.com</v>
      </c>
      <c r="N123" s="9" t="str">
        <f ca="1">IFERROR(__xludf.DUMMYFUNCTION("""COMPUTED_VALUE"""),"SEM-6")</f>
        <v>SEM-6</v>
      </c>
      <c r="O123" s="9"/>
      <c r="P123" s="9"/>
      <c r="Q123" s="9"/>
      <c r="R123" s="9"/>
      <c r="S123" s="9"/>
      <c r="T123" s="9"/>
      <c r="U123" s="9"/>
      <c r="V123" s="9"/>
      <c r="W123" s="9"/>
      <c r="X123" s="9"/>
    </row>
    <row r="124" spans="1:24" ht="33" customHeight="1" x14ac:dyDescent="0.15">
      <c r="A124" s="9" t="str">
        <f ca="1">IFERROR(__xludf.DUMMYFUNCTION("""COMPUTED_VALUE"""),"Kuriti Ravindra naidu")</f>
        <v>Kuriti Ravindra naidu</v>
      </c>
      <c r="B124" s="9" t="str">
        <f ca="1">IFERROR(__xludf.DUMMYFUNCTION("""COMPUTED_VALUE"""),"20331A0597")</f>
        <v>20331A0597</v>
      </c>
      <c r="C124" s="9" t="str">
        <f ca="1">IFERROR(__xludf.DUMMYFUNCTION("""COMPUTED_VALUE"""),"Eduskills")</f>
        <v>Eduskills</v>
      </c>
      <c r="D124" s="9" t="str">
        <f ca="1">IFERROR(__xludf.DUMMYFUNCTION("""COMPUTED_VALUE"""),"3 months")</f>
        <v>3 months</v>
      </c>
      <c r="E124" s="72">
        <f ca="1">IFERROR(__xludf.DUMMYFUNCTION("""COMPUTED_VALUE"""),44470)</f>
        <v>44470</v>
      </c>
      <c r="F124" s="72">
        <f ca="1">IFERROR(__xludf.DUMMYFUNCTION("""COMPUTED_VALUE"""),44561)</f>
        <v>44561</v>
      </c>
      <c r="G124" s="9" t="str">
        <f ca="1">IFERROR(__xludf.DUMMYFUNCTION("""COMPUTED_VALUE"""),"No")</f>
        <v>No</v>
      </c>
      <c r="H124" s="9" t="str">
        <f ca="1">IFERROR(__xludf.DUMMYFUNCTION("""COMPUTED_VALUE"""),"No")</f>
        <v>No</v>
      </c>
      <c r="I124" s="9">
        <f ca="1">IFERROR(__xludf.DUMMYFUNCTION("""COMPUTED_VALUE"""),0)</f>
        <v>0</v>
      </c>
      <c r="J124" s="73" t="str">
        <f ca="1">IFERROR(__xludf.DUMMYFUNCTION("""COMPUTED_VALUE"""),"https://drive.google.com/open?id=16zd3VBlO3IdfTICh8JOvZbYDTeh7-442")</f>
        <v>https://drive.google.com/open?id=16zd3VBlO3IdfTICh8JOvZbYDTeh7-442</v>
      </c>
      <c r="K124" s="9" t="str">
        <f ca="1">IFERROR(__xludf.DUMMYFUNCTION("""COMPUTED_VALUE"""),"2020-2024")</f>
        <v>2020-2024</v>
      </c>
      <c r="L124" s="9" t="str">
        <f ca="1">IFERROR(__xludf.DUMMYFUNCTION("""COMPUTED_VALUE"""),"S3: Student Internships")</f>
        <v>S3: Student Internships</v>
      </c>
      <c r="M124" s="9" t="str">
        <f ca="1">IFERROR(__xludf.DUMMYFUNCTION("""COMPUTED_VALUE"""),"ravindranaidukuriti@gmail.com")</f>
        <v>ravindranaidukuriti@gmail.com</v>
      </c>
      <c r="N124" s="9" t="str">
        <f ca="1">IFERROR(__xludf.DUMMYFUNCTION("""COMPUTED_VALUE"""),"SEM-4")</f>
        <v>SEM-4</v>
      </c>
      <c r="O124" s="9"/>
      <c r="P124" s="9"/>
      <c r="Q124" s="9"/>
      <c r="R124" s="9"/>
      <c r="S124" s="9"/>
      <c r="T124" s="9"/>
      <c r="U124" s="9"/>
      <c r="V124" s="9"/>
      <c r="W124" s="9"/>
      <c r="X124" s="9"/>
    </row>
    <row r="125" spans="1:24" ht="33" customHeight="1" x14ac:dyDescent="0.15">
      <c r="A125" s="9" t="str">
        <f ca="1">IFERROR(__xludf.DUMMYFUNCTION("""COMPUTED_VALUE"""),"ELURU DIVYA DEEPTHI")</f>
        <v>ELURU DIVYA DEEPTHI</v>
      </c>
      <c r="B125" s="9" t="str">
        <f ca="1">IFERROR(__xludf.DUMMYFUNCTION("""COMPUTED_VALUE"""),"20335A0503")</f>
        <v>20335A0503</v>
      </c>
      <c r="C125" s="9" t="str">
        <f ca="1">IFERROR(__xludf.DUMMYFUNCTION("""COMPUTED_VALUE"""),"AICTE")</f>
        <v>AICTE</v>
      </c>
      <c r="D125" s="9" t="str">
        <f ca="1">IFERROR(__xludf.DUMMYFUNCTION("""COMPUTED_VALUE"""),"10 weeks")</f>
        <v>10 weeks</v>
      </c>
      <c r="E125" s="72">
        <f ca="1">IFERROR(__xludf.DUMMYFUNCTION("""COMPUTED_VALUE"""),44481)</f>
        <v>44481</v>
      </c>
      <c r="F125" s="72">
        <f ca="1">IFERROR(__xludf.DUMMYFUNCTION("""COMPUTED_VALUE"""),44573)</f>
        <v>44573</v>
      </c>
      <c r="G125" s="9" t="str">
        <f ca="1">IFERROR(__xludf.DUMMYFUNCTION("""COMPUTED_VALUE"""),"No")</f>
        <v>No</v>
      </c>
      <c r="H125" s="9" t="str">
        <f ca="1">IFERROR(__xludf.DUMMYFUNCTION("""COMPUTED_VALUE"""),"No")</f>
        <v>No</v>
      </c>
      <c r="I125" s="9">
        <f ca="1">IFERROR(__xludf.DUMMYFUNCTION("""COMPUTED_VALUE"""),0)</f>
        <v>0</v>
      </c>
      <c r="J125" s="73" t="str">
        <f ca="1">IFERROR(__xludf.DUMMYFUNCTION("""COMPUTED_VALUE"""),"https://drive.google.com/open?id=1M6-zSpYjgfr0BASlp2QUzn_c4XjO8T6i")</f>
        <v>https://drive.google.com/open?id=1M6-zSpYjgfr0BASlp2QUzn_c4XjO8T6i</v>
      </c>
      <c r="K125" s="9" t="str">
        <f ca="1">IFERROR(__xludf.DUMMYFUNCTION("""COMPUTED_VALUE"""),"2019-2023")</f>
        <v>2019-2023</v>
      </c>
      <c r="L125" s="9" t="str">
        <f ca="1">IFERROR(__xludf.DUMMYFUNCTION("""COMPUTED_VALUE"""),"S3: Student Internships")</f>
        <v>S3: Student Internships</v>
      </c>
      <c r="M125" s="9" t="str">
        <f ca="1">IFERROR(__xludf.DUMMYFUNCTION("""COMPUTED_VALUE"""),"eluruneelaveni@gmail.com")</f>
        <v>eluruneelaveni@gmail.com</v>
      </c>
      <c r="N125" s="9" t="str">
        <f ca="1">IFERROR(__xludf.DUMMYFUNCTION("""COMPUTED_VALUE"""),"SEM-5")</f>
        <v>SEM-5</v>
      </c>
      <c r="O125" s="9"/>
      <c r="P125" s="9"/>
      <c r="Q125" s="9"/>
      <c r="R125" s="9"/>
      <c r="S125" s="9"/>
      <c r="T125" s="9"/>
      <c r="U125" s="9"/>
      <c r="V125" s="9"/>
      <c r="W125" s="9"/>
      <c r="X125" s="9"/>
    </row>
    <row r="126" spans="1:24" ht="33" customHeight="1" x14ac:dyDescent="0.15">
      <c r="A126" s="9" t="str">
        <f ca="1">IFERROR(__xludf.DUMMYFUNCTION("""COMPUTED_VALUE"""),"Chinthapalli. Geetha sree")</f>
        <v>Chinthapalli. Geetha sree</v>
      </c>
      <c r="B126" s="9" t="str">
        <f ca="1">IFERROR(__xludf.DUMMYFUNCTION("""COMPUTED_VALUE"""),"19331A0537")</f>
        <v>19331A0537</v>
      </c>
      <c r="C126" s="9" t="str">
        <f ca="1">IFERROR(__xludf.DUMMYFUNCTION("""COMPUTED_VALUE"""),"Swecha")</f>
        <v>Swecha</v>
      </c>
      <c r="D126" s="9" t="str">
        <f ca="1">IFERROR(__xludf.DUMMYFUNCTION("""COMPUTED_VALUE"""),"4 weeks")</f>
        <v>4 weeks</v>
      </c>
      <c r="E126" s="72">
        <f ca="1">IFERROR(__xludf.DUMMYFUNCTION("""COMPUTED_VALUE"""),44338)</f>
        <v>44338</v>
      </c>
      <c r="F126" s="72">
        <f ca="1">IFERROR(__xludf.DUMMYFUNCTION("""COMPUTED_VALUE"""),44367)</f>
        <v>44367</v>
      </c>
      <c r="G126" s="9" t="str">
        <f ca="1">IFERROR(__xludf.DUMMYFUNCTION("""COMPUTED_VALUE"""),"No")</f>
        <v>No</v>
      </c>
      <c r="H126" s="9" t="str">
        <f ca="1">IFERROR(__xludf.DUMMYFUNCTION("""COMPUTED_VALUE"""),"No")</f>
        <v>No</v>
      </c>
      <c r="I126" s="9">
        <f ca="1">IFERROR(__xludf.DUMMYFUNCTION("""COMPUTED_VALUE"""),0)</f>
        <v>0</v>
      </c>
      <c r="J126" s="73" t="str">
        <f ca="1">IFERROR(__xludf.DUMMYFUNCTION("""COMPUTED_VALUE"""),"https://drive.google.com/open?id=19zlUndQh5pJmKfNO2-EjhssTuaVWZjGL")</f>
        <v>https://drive.google.com/open?id=19zlUndQh5pJmKfNO2-EjhssTuaVWZjGL</v>
      </c>
      <c r="K126" s="9" t="str">
        <f ca="1">IFERROR(__xludf.DUMMYFUNCTION("""COMPUTED_VALUE"""),"2019-2023")</f>
        <v>2019-2023</v>
      </c>
      <c r="L126" s="9" t="str">
        <f ca="1">IFERROR(__xludf.DUMMYFUNCTION("""COMPUTED_VALUE"""),"S3: Student Internships")</f>
        <v>S3: Student Internships</v>
      </c>
      <c r="M126" s="9" t="str">
        <f ca="1">IFERROR(__xludf.DUMMYFUNCTION("""COMPUTED_VALUE"""),"sreegeetha794@gmail.com")</f>
        <v>sreegeetha794@gmail.com</v>
      </c>
      <c r="N126" s="9" t="str">
        <f ca="1">IFERROR(__xludf.DUMMYFUNCTION("""COMPUTED_VALUE"""),"SEM-6")</f>
        <v>SEM-6</v>
      </c>
      <c r="O126" s="9"/>
      <c r="P126" s="9"/>
      <c r="Q126" s="9"/>
      <c r="R126" s="9"/>
      <c r="S126" s="9"/>
      <c r="T126" s="9"/>
      <c r="U126" s="9"/>
      <c r="V126" s="9"/>
      <c r="W126" s="9"/>
      <c r="X126" s="9"/>
    </row>
    <row r="127" spans="1:24" ht="33" customHeight="1" x14ac:dyDescent="0.15">
      <c r="A127" s="9" t="str">
        <f ca="1">IFERROR(__xludf.DUMMYFUNCTION("""COMPUTED_VALUE"""),"BANDARU BHANU SAI PRAKASH")</f>
        <v>BANDARU BHANU SAI PRAKASH</v>
      </c>
      <c r="B127" s="9" t="str">
        <f ca="1">IFERROR(__xludf.DUMMYFUNCTION("""COMPUTED_VALUE"""),"20335A0501")</f>
        <v>20335A0501</v>
      </c>
      <c r="C127" s="9" t="str">
        <f ca="1">IFERROR(__xludf.DUMMYFUNCTION("""COMPUTED_VALUE"""),"AICTE")</f>
        <v>AICTE</v>
      </c>
      <c r="D127" s="9" t="str">
        <f ca="1">IFERROR(__xludf.DUMMYFUNCTION("""COMPUTED_VALUE"""),"10 weeks")</f>
        <v>10 weeks</v>
      </c>
      <c r="E127" s="72">
        <f ca="1">IFERROR(__xludf.DUMMYFUNCTION("""COMPUTED_VALUE"""),44481)</f>
        <v>44481</v>
      </c>
      <c r="F127" s="72">
        <f ca="1">IFERROR(__xludf.DUMMYFUNCTION("""COMPUTED_VALUE"""),44573)</f>
        <v>44573</v>
      </c>
      <c r="G127" s="9" t="str">
        <f ca="1">IFERROR(__xludf.DUMMYFUNCTION("""COMPUTED_VALUE"""),"No")</f>
        <v>No</v>
      </c>
      <c r="H127" s="9" t="str">
        <f ca="1">IFERROR(__xludf.DUMMYFUNCTION("""COMPUTED_VALUE"""),"No")</f>
        <v>No</v>
      </c>
      <c r="I127" s="9">
        <f ca="1">IFERROR(__xludf.DUMMYFUNCTION("""COMPUTED_VALUE"""),0)</f>
        <v>0</v>
      </c>
      <c r="J127" s="73" t="str">
        <f ca="1">IFERROR(__xludf.DUMMYFUNCTION("""COMPUTED_VALUE"""),"https://drive.google.com/open?id=1QL9q--_GVEuGWpOC3zPdAKUT_Ha5rhv-")</f>
        <v>https://drive.google.com/open?id=1QL9q--_GVEuGWpOC3zPdAKUT_Ha5rhv-</v>
      </c>
      <c r="K127" s="9" t="str">
        <f ca="1">IFERROR(__xludf.DUMMYFUNCTION("""COMPUTED_VALUE"""),"2019-2023")</f>
        <v>2019-2023</v>
      </c>
      <c r="L127" s="9" t="str">
        <f ca="1">IFERROR(__xludf.DUMMYFUNCTION("""COMPUTED_VALUE"""),"S3: Student Internships")</f>
        <v>S3: Student Internships</v>
      </c>
      <c r="M127" s="9" t="str">
        <f ca="1">IFERROR(__xludf.DUMMYFUNCTION("""COMPUTED_VALUE"""),"bhanusaiprakash04@gmail.com")</f>
        <v>bhanusaiprakash04@gmail.com</v>
      </c>
      <c r="N127" s="9" t="str">
        <f ca="1">IFERROR(__xludf.DUMMYFUNCTION("""COMPUTED_VALUE"""),"SEM-5")</f>
        <v>SEM-5</v>
      </c>
      <c r="O127" s="9"/>
      <c r="P127" s="9"/>
      <c r="Q127" s="9"/>
      <c r="R127" s="9"/>
      <c r="S127" s="9"/>
      <c r="T127" s="9"/>
      <c r="U127" s="9"/>
      <c r="V127" s="9"/>
      <c r="W127" s="9"/>
      <c r="X127" s="9"/>
    </row>
    <row r="128" spans="1:24" ht="33" customHeight="1" x14ac:dyDescent="0.15">
      <c r="A128" s="9" t="str">
        <f ca="1">IFERROR(__xludf.DUMMYFUNCTION("""COMPUTED_VALUE"""),"LADI ADITYA PRASAD ")</f>
        <v xml:space="preserve">LADI ADITYA PRASAD </v>
      </c>
      <c r="B128" s="9" t="str">
        <f ca="1">IFERROR(__xludf.DUMMYFUNCTION("""COMPUTED_VALUE"""),"20335A0506")</f>
        <v>20335A0506</v>
      </c>
      <c r="C128" s="9" t="str">
        <f ca="1">IFERROR(__xludf.DUMMYFUNCTION("""COMPUTED_VALUE"""),"AICTE")</f>
        <v>AICTE</v>
      </c>
      <c r="D128" s="9" t="str">
        <f ca="1">IFERROR(__xludf.DUMMYFUNCTION("""COMPUTED_VALUE"""),"10 weeks ")</f>
        <v xml:space="preserve">10 weeks </v>
      </c>
      <c r="E128" s="72">
        <f ca="1">IFERROR(__xludf.DUMMYFUNCTION("""COMPUTED_VALUE"""),44481)</f>
        <v>44481</v>
      </c>
      <c r="F128" s="72">
        <f ca="1">IFERROR(__xludf.DUMMYFUNCTION("""COMPUTED_VALUE"""),44573)</f>
        <v>44573</v>
      </c>
      <c r="G128" s="9" t="str">
        <f ca="1">IFERROR(__xludf.DUMMYFUNCTION("""COMPUTED_VALUE"""),"No")</f>
        <v>No</v>
      </c>
      <c r="H128" s="9" t="str">
        <f ca="1">IFERROR(__xludf.DUMMYFUNCTION("""COMPUTED_VALUE"""),"No")</f>
        <v>No</v>
      </c>
      <c r="I128" s="9">
        <f ca="1">IFERROR(__xludf.DUMMYFUNCTION("""COMPUTED_VALUE"""),0)</f>
        <v>0</v>
      </c>
      <c r="J128" s="73" t="str">
        <f ca="1">IFERROR(__xludf.DUMMYFUNCTION("""COMPUTED_VALUE"""),"https://drive.google.com/open?id=1mYUOK3K-F97GEKgt0CtUJvMCj1Ut9iVR")</f>
        <v>https://drive.google.com/open?id=1mYUOK3K-F97GEKgt0CtUJvMCj1Ut9iVR</v>
      </c>
      <c r="K128" s="9" t="str">
        <f ca="1">IFERROR(__xludf.DUMMYFUNCTION("""COMPUTED_VALUE"""),"2019-2023")</f>
        <v>2019-2023</v>
      </c>
      <c r="L128" s="9" t="str">
        <f ca="1">IFERROR(__xludf.DUMMYFUNCTION("""COMPUTED_VALUE"""),"S3: Student Internships")</f>
        <v>S3: Student Internships</v>
      </c>
      <c r="M128" s="9" t="str">
        <f ca="1">IFERROR(__xludf.DUMMYFUNCTION("""COMPUTED_VALUE"""),"adityaprasadladi@gmail.com")</f>
        <v>adityaprasadladi@gmail.com</v>
      </c>
      <c r="N128" s="9" t="str">
        <f ca="1">IFERROR(__xludf.DUMMYFUNCTION("""COMPUTED_VALUE"""),"SEM-5")</f>
        <v>SEM-5</v>
      </c>
      <c r="O128" s="9"/>
      <c r="P128" s="9"/>
      <c r="Q128" s="9"/>
      <c r="R128" s="9"/>
      <c r="S128" s="9"/>
      <c r="T128" s="9"/>
      <c r="U128" s="9"/>
      <c r="V128" s="9"/>
      <c r="W128" s="9"/>
      <c r="X128" s="9"/>
    </row>
    <row r="129" spans="1:24" ht="33" customHeight="1" x14ac:dyDescent="0.15">
      <c r="A129" s="9" t="str">
        <f ca="1">IFERROR(__xludf.DUMMYFUNCTION("""COMPUTED_VALUE"""),"M. Tarun kumar")</f>
        <v>M. Tarun kumar</v>
      </c>
      <c r="B129" s="9" t="str">
        <f ca="1">IFERROR(__xludf.DUMMYFUNCTION("""COMPUTED_VALUE"""),"20331A05B0")</f>
        <v>20331A05B0</v>
      </c>
      <c r="C129" s="9" t="str">
        <f ca="1">IFERROR(__xludf.DUMMYFUNCTION("""COMPUTED_VALUE"""),"Red Hat")</f>
        <v>Red Hat</v>
      </c>
      <c r="D129" s="9" t="str">
        <f ca="1">IFERROR(__xludf.DUMMYFUNCTION("""COMPUTED_VALUE"""),"2 months")</f>
        <v>2 months</v>
      </c>
      <c r="E129" s="72">
        <f ca="1">IFERROR(__xludf.DUMMYFUNCTION("""COMPUTED_VALUE"""),44105)</f>
        <v>44105</v>
      </c>
      <c r="F129" s="72">
        <f ca="1">IFERROR(__xludf.DUMMYFUNCTION("""COMPUTED_VALUE"""),44562)</f>
        <v>44562</v>
      </c>
      <c r="G129" s="9" t="str">
        <f ca="1">IFERROR(__xludf.DUMMYFUNCTION("""COMPUTED_VALUE"""),"No")</f>
        <v>No</v>
      </c>
      <c r="H129" s="9" t="str">
        <f ca="1">IFERROR(__xludf.DUMMYFUNCTION("""COMPUTED_VALUE"""),"No")</f>
        <v>No</v>
      </c>
      <c r="I129" s="9">
        <f ca="1">IFERROR(__xludf.DUMMYFUNCTION("""COMPUTED_VALUE"""),0)</f>
        <v>0</v>
      </c>
      <c r="J129" s="73" t="str">
        <f ca="1">IFERROR(__xludf.DUMMYFUNCTION("""COMPUTED_VALUE"""),"https://drive.google.com/open?id=1cURO-VXsTbK6ZoZ8HDDxXySavbQV-XEM")</f>
        <v>https://drive.google.com/open?id=1cURO-VXsTbK6ZoZ8HDDxXySavbQV-XEM</v>
      </c>
      <c r="K129" s="9" t="str">
        <f ca="1">IFERROR(__xludf.DUMMYFUNCTION("""COMPUTED_VALUE"""),"2020-2024")</f>
        <v>2020-2024</v>
      </c>
      <c r="L129" s="9" t="str">
        <f ca="1">IFERROR(__xludf.DUMMYFUNCTION("""COMPUTED_VALUE"""),"S3: Student Internships")</f>
        <v>S3: Student Internships</v>
      </c>
      <c r="M129" s="9" t="str">
        <f ca="1">IFERROR(__xludf.DUMMYFUNCTION("""COMPUTED_VALUE"""),"mt790191@gmail.com")</f>
        <v>mt790191@gmail.com</v>
      </c>
      <c r="N129" s="9" t="str">
        <f ca="1">IFERROR(__xludf.DUMMYFUNCTION("""COMPUTED_VALUE"""),"SEM-4")</f>
        <v>SEM-4</v>
      </c>
      <c r="O129" s="9"/>
      <c r="P129" s="9"/>
      <c r="Q129" s="9"/>
      <c r="R129" s="9"/>
      <c r="S129" s="9"/>
      <c r="T129" s="9"/>
      <c r="U129" s="9"/>
      <c r="V129" s="9"/>
      <c r="W129" s="9"/>
      <c r="X129" s="9"/>
    </row>
    <row r="130" spans="1:24" ht="33" customHeight="1" x14ac:dyDescent="0.15">
      <c r="A130" s="9" t="str">
        <f ca="1">IFERROR(__xludf.DUMMYFUNCTION("""COMPUTED_VALUE"""),"Jayanthi lahari Katta ")</f>
        <v xml:space="preserve">Jayanthi lahari Katta </v>
      </c>
      <c r="B130" s="9" t="str">
        <f ca="1">IFERROR(__xludf.DUMMYFUNCTION("""COMPUTED_VALUE"""),"20335A0505")</f>
        <v>20335A0505</v>
      </c>
      <c r="C130" s="9" t="str">
        <f ca="1">IFERROR(__xludf.DUMMYFUNCTION("""COMPUTED_VALUE"""),"AICTE")</f>
        <v>AICTE</v>
      </c>
      <c r="D130" s="9" t="str">
        <f ca="1">IFERROR(__xludf.DUMMYFUNCTION("""COMPUTED_VALUE"""),"10 weeks")</f>
        <v>10 weeks</v>
      </c>
      <c r="E130" s="72">
        <f ca="1">IFERROR(__xludf.DUMMYFUNCTION("""COMPUTED_VALUE"""),44480)</f>
        <v>44480</v>
      </c>
      <c r="F130" s="72">
        <f ca="1">IFERROR(__xludf.DUMMYFUNCTION("""COMPUTED_VALUE"""),44562)</f>
        <v>44562</v>
      </c>
      <c r="G130" s="9" t="str">
        <f ca="1">IFERROR(__xludf.DUMMYFUNCTION("""COMPUTED_VALUE"""),"No")</f>
        <v>No</v>
      </c>
      <c r="H130" s="9" t="str">
        <f ca="1">IFERROR(__xludf.DUMMYFUNCTION("""COMPUTED_VALUE"""),"No")</f>
        <v>No</v>
      </c>
      <c r="I130" s="9">
        <f ca="1">IFERROR(__xludf.DUMMYFUNCTION("""COMPUTED_VALUE"""),0)</f>
        <v>0</v>
      </c>
      <c r="J130" s="73" t="str">
        <f ca="1">IFERROR(__xludf.DUMMYFUNCTION("""COMPUTED_VALUE"""),"https://drive.google.com/open?id=1sAcrYSuEOcOeoIFyHDZBVlmlqck3MYDm")</f>
        <v>https://drive.google.com/open?id=1sAcrYSuEOcOeoIFyHDZBVlmlqck3MYDm</v>
      </c>
      <c r="K130" s="9" t="str">
        <f ca="1">IFERROR(__xludf.DUMMYFUNCTION("""COMPUTED_VALUE"""),"2019-2023")</f>
        <v>2019-2023</v>
      </c>
      <c r="L130" s="9" t="str">
        <f ca="1">IFERROR(__xludf.DUMMYFUNCTION("""COMPUTED_VALUE"""),"S3: Student Internships")</f>
        <v>S3: Student Internships</v>
      </c>
      <c r="M130" s="9" t="str">
        <f ca="1">IFERROR(__xludf.DUMMYFUNCTION("""COMPUTED_VALUE"""),"laharijayanthi10@gmail.com")</f>
        <v>laharijayanthi10@gmail.com</v>
      </c>
      <c r="N130" s="9" t="str">
        <f ca="1">IFERROR(__xludf.DUMMYFUNCTION("""COMPUTED_VALUE"""),"SEM-5")</f>
        <v>SEM-5</v>
      </c>
      <c r="O130" s="9"/>
      <c r="P130" s="9"/>
      <c r="Q130" s="9"/>
      <c r="R130" s="9"/>
      <c r="S130" s="9"/>
      <c r="T130" s="9"/>
      <c r="U130" s="9"/>
      <c r="V130" s="9"/>
      <c r="W130" s="9"/>
      <c r="X130" s="9"/>
    </row>
    <row r="131" spans="1:24" ht="33" customHeight="1" x14ac:dyDescent="0.15">
      <c r="A131" s="9" t="str">
        <f ca="1">IFERROR(__xludf.DUMMYFUNCTION("""COMPUTED_VALUE"""),"Muppaneni Gayatri Srinidhi")</f>
        <v>Muppaneni Gayatri Srinidhi</v>
      </c>
      <c r="B131" s="9" t="str">
        <f ca="1">IFERROR(__xludf.DUMMYFUNCTION("""COMPUTED_VALUE"""),"18331A05A3")</f>
        <v>18331A05A3</v>
      </c>
      <c r="C131" s="9" t="str">
        <f ca="1">IFERROR(__xludf.DUMMYFUNCTION("""COMPUTED_VALUE"""),"AICTE Edu skills")</f>
        <v>AICTE Edu skills</v>
      </c>
      <c r="D131" s="9" t="str">
        <f ca="1">IFERROR(__xludf.DUMMYFUNCTION("""COMPUTED_VALUE"""),"3 months")</f>
        <v>3 months</v>
      </c>
      <c r="E131" s="72">
        <f ca="1">IFERROR(__xludf.DUMMYFUNCTION("""COMPUTED_VALUE"""),44105)</f>
        <v>44105</v>
      </c>
      <c r="F131" s="72">
        <f ca="1">IFERROR(__xludf.DUMMYFUNCTION("""COMPUTED_VALUE"""),44561)</f>
        <v>44561</v>
      </c>
      <c r="G131" s="9" t="str">
        <f ca="1">IFERROR(__xludf.DUMMYFUNCTION("""COMPUTED_VALUE"""),"No")</f>
        <v>No</v>
      </c>
      <c r="H131" s="9" t="str">
        <f ca="1">IFERROR(__xludf.DUMMYFUNCTION("""COMPUTED_VALUE"""),"No")</f>
        <v>No</v>
      </c>
      <c r="I131" s="9">
        <f ca="1">IFERROR(__xludf.DUMMYFUNCTION("""COMPUTED_VALUE"""),0)</f>
        <v>0</v>
      </c>
      <c r="J131" s="73" t="str">
        <f ca="1">IFERROR(__xludf.DUMMYFUNCTION("""COMPUTED_VALUE"""),"https://drive.google.com/open?id=1XIuR7daUWGUMTat-Yoq0W9bWN3UpHpcf")</f>
        <v>https://drive.google.com/open?id=1XIuR7daUWGUMTat-Yoq0W9bWN3UpHpcf</v>
      </c>
      <c r="K131" s="9" t="str">
        <f ca="1">IFERROR(__xludf.DUMMYFUNCTION("""COMPUTED_VALUE"""),"2018-2022")</f>
        <v>2018-2022</v>
      </c>
      <c r="L131" s="9" t="str">
        <f ca="1">IFERROR(__xludf.DUMMYFUNCTION("""COMPUTED_VALUE"""),"S3: Student Internships")</f>
        <v>S3: Student Internships</v>
      </c>
      <c r="M131" s="9" t="str">
        <f ca="1">IFERROR(__xludf.DUMMYFUNCTION("""COMPUTED_VALUE"""),"srinidhimuppaneni@gmail.com")</f>
        <v>srinidhimuppaneni@gmail.com</v>
      </c>
      <c r="N131" s="9" t="str">
        <f ca="1">IFERROR(__xludf.DUMMYFUNCTION("""COMPUTED_VALUE"""),"SEM-8")</f>
        <v>SEM-8</v>
      </c>
      <c r="O131" s="9"/>
      <c r="P131" s="9"/>
      <c r="Q131" s="9"/>
      <c r="R131" s="9"/>
      <c r="S131" s="9"/>
      <c r="T131" s="9"/>
      <c r="U131" s="9"/>
      <c r="V131" s="9"/>
      <c r="W131" s="9"/>
      <c r="X131" s="9"/>
    </row>
    <row r="132" spans="1:24" ht="33" customHeight="1" x14ac:dyDescent="0.15">
      <c r="A132" s="9" t="str">
        <f ca="1">IFERROR(__xludf.DUMMYFUNCTION("""COMPUTED_VALUE"""),"BHARAT HARI")</f>
        <v>BHARAT HARI</v>
      </c>
      <c r="B132" s="9" t="str">
        <f ca="1">IFERROR(__xludf.DUMMYFUNCTION("""COMPUTED_VALUE"""),"20331A0570")</f>
        <v>20331A0570</v>
      </c>
      <c r="C132" s="9" t="str">
        <f ca="1">IFERROR(__xludf.DUMMYFUNCTION("""COMPUTED_VALUE"""),"REDHAT")</f>
        <v>REDHAT</v>
      </c>
      <c r="D132" s="9" t="str">
        <f ca="1">IFERROR(__xludf.DUMMYFUNCTION("""COMPUTED_VALUE"""),"oct-dec 2021")</f>
        <v>oct-dec 2021</v>
      </c>
      <c r="E132" s="72">
        <f ca="1">IFERROR(__xludf.DUMMYFUNCTION("""COMPUTED_VALUE"""),44470)</f>
        <v>44470</v>
      </c>
      <c r="F132" s="72">
        <f ca="1">IFERROR(__xludf.DUMMYFUNCTION("""COMPUTED_VALUE"""),44531)</f>
        <v>44531</v>
      </c>
      <c r="G132" s="9" t="str">
        <f ca="1">IFERROR(__xludf.DUMMYFUNCTION("""COMPUTED_VALUE"""),"No")</f>
        <v>No</v>
      </c>
      <c r="H132" s="9" t="str">
        <f ca="1">IFERROR(__xludf.DUMMYFUNCTION("""COMPUTED_VALUE"""),"No")</f>
        <v>No</v>
      </c>
      <c r="I132" s="9">
        <f ca="1">IFERROR(__xludf.DUMMYFUNCTION("""COMPUTED_VALUE"""),0)</f>
        <v>0</v>
      </c>
      <c r="J132" s="73" t="str">
        <f ca="1">IFERROR(__xludf.DUMMYFUNCTION("""COMPUTED_VALUE"""),"https://drive.google.com/open?id=1xGu6fOJRvDMwRLBNU3Kd0Ulose5pqrjf")</f>
        <v>https://drive.google.com/open?id=1xGu6fOJRvDMwRLBNU3Kd0Ulose5pqrjf</v>
      </c>
      <c r="K132" s="9" t="str">
        <f ca="1">IFERROR(__xludf.DUMMYFUNCTION("""COMPUTED_VALUE"""),"2020-2024")</f>
        <v>2020-2024</v>
      </c>
      <c r="L132" s="9" t="str">
        <f ca="1">IFERROR(__xludf.DUMMYFUNCTION("""COMPUTED_VALUE"""),"S3: Student Internships")</f>
        <v>S3: Student Internships</v>
      </c>
      <c r="M132" s="9" t="str">
        <f ca="1">IFERROR(__xludf.DUMMYFUNCTION("""COMPUTED_VALUE"""),"bharat.haristudent@gmail.com")</f>
        <v>bharat.haristudent@gmail.com</v>
      </c>
      <c r="N132" s="9" t="str">
        <f ca="1">IFERROR(__xludf.DUMMYFUNCTION("""COMPUTED_VALUE"""),"SEM-4")</f>
        <v>SEM-4</v>
      </c>
      <c r="O132" s="9"/>
      <c r="P132" s="9"/>
      <c r="Q132" s="9"/>
      <c r="R132" s="9"/>
      <c r="S132" s="9"/>
      <c r="T132" s="9"/>
      <c r="U132" s="9"/>
      <c r="V132" s="9"/>
      <c r="W132" s="9"/>
      <c r="X132" s="9"/>
    </row>
    <row r="133" spans="1:24" ht="33" customHeight="1" x14ac:dyDescent="0.15">
      <c r="A133" s="9" t="str">
        <f ca="1">IFERROR(__xludf.DUMMYFUNCTION("""COMPUTED_VALUE"""),"PIRADHI YASWANTH KUMAR")</f>
        <v>PIRADHI YASWANTH KUMAR</v>
      </c>
      <c r="B133" s="9" t="str">
        <f ca="1">IFERROR(__xludf.DUMMYFUNCTION("""COMPUTED_VALUE"""),"20335A0514")</f>
        <v>20335A0514</v>
      </c>
      <c r="C133" s="9" t="str">
        <f ca="1">IFERROR(__xludf.DUMMYFUNCTION("""COMPUTED_VALUE"""),"AICTE")</f>
        <v>AICTE</v>
      </c>
      <c r="D133" s="9" t="str">
        <f ca="1">IFERROR(__xludf.DUMMYFUNCTION("""COMPUTED_VALUE"""),"10 weeks")</f>
        <v>10 weeks</v>
      </c>
      <c r="E133" s="72">
        <f ca="1">IFERROR(__xludf.DUMMYFUNCTION("""COMPUTED_VALUE"""),44481)</f>
        <v>44481</v>
      </c>
      <c r="F133" s="72">
        <f ca="1">IFERROR(__xludf.DUMMYFUNCTION("""COMPUTED_VALUE"""),44573)</f>
        <v>44573</v>
      </c>
      <c r="G133" s="9" t="str">
        <f ca="1">IFERROR(__xludf.DUMMYFUNCTION("""COMPUTED_VALUE"""),"No")</f>
        <v>No</v>
      </c>
      <c r="H133" s="9" t="str">
        <f ca="1">IFERROR(__xludf.DUMMYFUNCTION("""COMPUTED_VALUE"""),"No")</f>
        <v>No</v>
      </c>
      <c r="I133" s="9">
        <f ca="1">IFERROR(__xludf.DUMMYFUNCTION("""COMPUTED_VALUE"""),0)</f>
        <v>0</v>
      </c>
      <c r="J133" s="73" t="str">
        <f ca="1">IFERROR(__xludf.DUMMYFUNCTION("""COMPUTED_VALUE"""),"https://drive.google.com/open?id=11dwcyzHKey-Qjswz26kVyFcRmb_znhxm")</f>
        <v>https://drive.google.com/open?id=11dwcyzHKey-Qjswz26kVyFcRmb_znhxm</v>
      </c>
      <c r="K133" s="9" t="str">
        <f ca="1">IFERROR(__xludf.DUMMYFUNCTION("""COMPUTED_VALUE"""),"2019-2023")</f>
        <v>2019-2023</v>
      </c>
      <c r="L133" s="9" t="str">
        <f ca="1">IFERROR(__xludf.DUMMYFUNCTION("""COMPUTED_VALUE"""),"S3: Student Internships")</f>
        <v>S3: Student Internships</v>
      </c>
      <c r="M133" s="9" t="str">
        <f ca="1">IFERROR(__xludf.DUMMYFUNCTION("""COMPUTED_VALUE"""),"yashdarling14@gmail.com")</f>
        <v>yashdarling14@gmail.com</v>
      </c>
      <c r="N133" s="9" t="str">
        <f ca="1">IFERROR(__xludf.DUMMYFUNCTION("""COMPUTED_VALUE"""),"SEM-5")</f>
        <v>SEM-5</v>
      </c>
      <c r="O133" s="9"/>
      <c r="P133" s="9"/>
      <c r="Q133" s="9"/>
      <c r="R133" s="9"/>
      <c r="S133" s="9"/>
      <c r="T133" s="9"/>
      <c r="U133" s="9"/>
      <c r="V133" s="9"/>
      <c r="W133" s="9"/>
      <c r="X133" s="9"/>
    </row>
    <row r="134" spans="1:24" ht="33" customHeight="1" x14ac:dyDescent="0.15">
      <c r="A134" s="69" t="str">
        <f ca="1">IFERROR(__xludf.DUMMYFUNCTION("""COMPUTED_VALUE"""),"Jahnavi Kadagala")</f>
        <v>Jahnavi Kadagala</v>
      </c>
      <c r="B134" s="69" t="str">
        <f ca="1">IFERROR(__xludf.DUMMYFUNCTION("""COMPUTED_VALUE"""),"203310576")</f>
        <v>203310576</v>
      </c>
      <c r="C134" s="69" t="str">
        <f ca="1">IFERROR(__xludf.DUMMYFUNCTION("""COMPUTED_VALUE"""),"REDHAT")</f>
        <v>REDHAT</v>
      </c>
      <c r="D134" s="69" t="str">
        <f ca="1">IFERROR(__xludf.DUMMYFUNCTION("""COMPUTED_VALUE"""),"2 months")</f>
        <v>2 months</v>
      </c>
      <c r="E134" s="74">
        <f ca="1">IFERROR(__xludf.DUMMYFUNCTION("""COMPUTED_VALUE"""),44470)</f>
        <v>44470</v>
      </c>
      <c r="F134" s="74">
        <f ca="1">IFERROR(__xludf.DUMMYFUNCTION("""COMPUTED_VALUE"""),44531)</f>
        <v>44531</v>
      </c>
      <c r="G134" s="69" t="str">
        <f ca="1">IFERROR(__xludf.DUMMYFUNCTION("""COMPUTED_VALUE"""),"No")</f>
        <v>No</v>
      </c>
      <c r="H134" s="69" t="str">
        <f ca="1">IFERROR(__xludf.DUMMYFUNCTION("""COMPUTED_VALUE"""),"No")</f>
        <v>No</v>
      </c>
      <c r="I134" s="69">
        <f ca="1">IFERROR(__xludf.DUMMYFUNCTION("""COMPUTED_VALUE"""),0)</f>
        <v>0</v>
      </c>
      <c r="J134" s="75" t="str">
        <f ca="1">IFERROR(__xludf.DUMMYFUNCTION("""COMPUTED_VALUE"""),"https://drive.google.com/open?id=1McGay_zEnuYV7_C0DLAirQ8wZ8zoD7xk")</f>
        <v>https://drive.google.com/open?id=1McGay_zEnuYV7_C0DLAirQ8wZ8zoD7xk</v>
      </c>
      <c r="K134" s="69" t="str">
        <f ca="1">IFERROR(__xludf.DUMMYFUNCTION("""COMPUTED_VALUE"""),"2020-2024")</f>
        <v>2020-2024</v>
      </c>
      <c r="L134" s="69" t="str">
        <f ca="1">IFERROR(__xludf.DUMMYFUNCTION("""COMPUTED_VALUE"""),"S3: Student Internships")</f>
        <v>S3: Student Internships</v>
      </c>
      <c r="M134" s="69" t="str">
        <f ca="1">IFERROR(__xludf.DUMMYFUNCTION("""COMPUTED_VALUE"""),"jahnavi200305@gmail.com")</f>
        <v>jahnavi200305@gmail.com</v>
      </c>
      <c r="N134" s="69" t="str">
        <f ca="1">IFERROR(__xludf.DUMMYFUNCTION("""COMPUTED_VALUE"""),"SEM-4")</f>
        <v>SEM-4</v>
      </c>
      <c r="O134" s="69"/>
      <c r="P134" s="69"/>
      <c r="Q134" s="69"/>
      <c r="R134" s="69"/>
      <c r="S134" s="69"/>
      <c r="T134" s="69"/>
      <c r="U134" s="69"/>
      <c r="V134" s="69"/>
      <c r="W134" s="69"/>
      <c r="X134" s="69"/>
    </row>
    <row r="135" spans="1:24" ht="33" customHeight="1" x14ac:dyDescent="0.15">
      <c r="A135" s="9" t="str">
        <f ca="1">IFERROR(__xludf.DUMMYFUNCTION("""COMPUTED_VALUE"""),"BHAVANI GUDE")</f>
        <v>BHAVANI GUDE</v>
      </c>
      <c r="B135" s="9" t="str">
        <f ca="1">IFERROR(__xludf.DUMMYFUNCTION("""COMPUTED_VALUE"""),"20331A0566")</f>
        <v>20331A0566</v>
      </c>
      <c r="C135" s="9" t="str">
        <f ca="1">IFERROR(__xludf.DUMMYFUNCTION("""COMPUTED_VALUE"""),"REDHAT")</f>
        <v>REDHAT</v>
      </c>
      <c r="D135" s="9" t="str">
        <f ca="1">IFERROR(__xludf.DUMMYFUNCTION("""COMPUTED_VALUE"""),"2 MONTHS")</f>
        <v>2 MONTHS</v>
      </c>
      <c r="E135" s="72">
        <f ca="1">IFERROR(__xludf.DUMMYFUNCTION("""COMPUTED_VALUE"""),44470)</f>
        <v>44470</v>
      </c>
      <c r="F135" s="72">
        <f ca="1">IFERROR(__xludf.DUMMYFUNCTION("""COMPUTED_VALUE"""),44531)</f>
        <v>44531</v>
      </c>
      <c r="G135" s="9" t="str">
        <f ca="1">IFERROR(__xludf.DUMMYFUNCTION("""COMPUTED_VALUE"""),"No")</f>
        <v>No</v>
      </c>
      <c r="H135" s="9" t="str">
        <f ca="1">IFERROR(__xludf.DUMMYFUNCTION("""COMPUTED_VALUE"""),"No")</f>
        <v>No</v>
      </c>
      <c r="I135" s="9">
        <f ca="1">IFERROR(__xludf.DUMMYFUNCTION("""COMPUTED_VALUE"""),0)</f>
        <v>0</v>
      </c>
      <c r="J135" s="73" t="str">
        <f ca="1">IFERROR(__xludf.DUMMYFUNCTION("""COMPUTED_VALUE"""),"https://drive.google.com/open?id=1BM7zfaq9nhB2UA45kz0lUnEv5gHDG3Gd")</f>
        <v>https://drive.google.com/open?id=1BM7zfaq9nhB2UA45kz0lUnEv5gHDG3Gd</v>
      </c>
      <c r="K135" s="9" t="str">
        <f ca="1">IFERROR(__xludf.DUMMYFUNCTION("""COMPUTED_VALUE"""),"2020-2024")</f>
        <v>2020-2024</v>
      </c>
      <c r="L135" s="9" t="str">
        <f ca="1">IFERROR(__xludf.DUMMYFUNCTION("""COMPUTED_VALUE"""),"S3: Student Internships")</f>
        <v>S3: Student Internships</v>
      </c>
      <c r="M135" s="9" t="str">
        <f ca="1">IFERROR(__xludf.DUMMYFUNCTION("""COMPUTED_VALUE"""),"gudebhavani9@gmail.com")</f>
        <v>gudebhavani9@gmail.com</v>
      </c>
      <c r="N135" s="9" t="str">
        <f ca="1">IFERROR(__xludf.DUMMYFUNCTION("""COMPUTED_VALUE"""),"SEM-4")</f>
        <v>SEM-4</v>
      </c>
      <c r="O135" s="9"/>
      <c r="P135" s="9"/>
      <c r="Q135" s="9"/>
      <c r="R135" s="9"/>
      <c r="S135" s="9"/>
      <c r="T135" s="9"/>
      <c r="U135" s="9"/>
      <c r="V135" s="9"/>
      <c r="W135" s="9"/>
      <c r="X135" s="9"/>
    </row>
    <row r="136" spans="1:24" ht="33" customHeight="1" x14ac:dyDescent="0.15">
      <c r="A136" s="9" t="str">
        <f ca="1">IFERROR(__xludf.DUMMYFUNCTION("""COMPUTED_VALUE"""),"KARANAM HARIKA DEVI ")</f>
        <v xml:space="preserve">KARANAM HARIKA DEVI </v>
      </c>
      <c r="B136" s="9" t="str">
        <f ca="1">IFERROR(__xludf.DUMMYFUNCTION("""COMPUTED_VALUE"""),"20335A0504")</f>
        <v>20335A0504</v>
      </c>
      <c r="C136" s="9" t="str">
        <f ca="1">IFERROR(__xludf.DUMMYFUNCTION("""COMPUTED_VALUE"""),"AICTE")</f>
        <v>AICTE</v>
      </c>
      <c r="D136" s="9" t="str">
        <f ca="1">IFERROR(__xludf.DUMMYFUNCTION("""COMPUTED_VALUE"""),"10 weeks")</f>
        <v>10 weeks</v>
      </c>
      <c r="E136" s="72">
        <f ca="1">IFERROR(__xludf.DUMMYFUNCTION("""COMPUTED_VALUE"""),44481)</f>
        <v>44481</v>
      </c>
      <c r="F136" s="72">
        <f ca="1">IFERROR(__xludf.DUMMYFUNCTION("""COMPUTED_VALUE"""),44573)</f>
        <v>44573</v>
      </c>
      <c r="G136" s="9" t="str">
        <f ca="1">IFERROR(__xludf.DUMMYFUNCTION("""COMPUTED_VALUE"""),"No")</f>
        <v>No</v>
      </c>
      <c r="H136" s="9" t="str">
        <f ca="1">IFERROR(__xludf.DUMMYFUNCTION("""COMPUTED_VALUE"""),"No")</f>
        <v>No</v>
      </c>
      <c r="I136" s="9">
        <f ca="1">IFERROR(__xludf.DUMMYFUNCTION("""COMPUTED_VALUE"""),0)</f>
        <v>0</v>
      </c>
      <c r="J136" s="73" t="str">
        <f ca="1">IFERROR(__xludf.DUMMYFUNCTION("""COMPUTED_VALUE"""),"https://drive.google.com/open?id=1C15t6nORIzHNmH0Srb6akMdRBN_UHjiv")</f>
        <v>https://drive.google.com/open?id=1C15t6nORIzHNmH0Srb6akMdRBN_UHjiv</v>
      </c>
      <c r="K136" s="9" t="str">
        <f ca="1">IFERROR(__xludf.DUMMYFUNCTION("""COMPUTED_VALUE"""),"2019-2023")</f>
        <v>2019-2023</v>
      </c>
      <c r="L136" s="9" t="str">
        <f ca="1">IFERROR(__xludf.DUMMYFUNCTION("""COMPUTED_VALUE"""),"S3: Student Internships")</f>
        <v>S3: Student Internships</v>
      </c>
      <c r="M136" s="9" t="str">
        <f ca="1">IFERROR(__xludf.DUMMYFUNCTION("""COMPUTED_VALUE"""),"harikaappalaraju7413@gmail.com")</f>
        <v>harikaappalaraju7413@gmail.com</v>
      </c>
      <c r="N136" s="9" t="str">
        <f ca="1">IFERROR(__xludf.DUMMYFUNCTION("""COMPUTED_VALUE"""),"SEM-5")</f>
        <v>SEM-5</v>
      </c>
      <c r="O136" s="9"/>
      <c r="P136" s="9"/>
      <c r="Q136" s="9"/>
      <c r="R136" s="9"/>
      <c r="S136" s="9"/>
      <c r="T136" s="9"/>
      <c r="U136" s="9"/>
      <c r="V136" s="9"/>
      <c r="W136" s="9"/>
      <c r="X136" s="9"/>
    </row>
    <row r="137" spans="1:24" ht="33" customHeight="1" x14ac:dyDescent="0.15">
      <c r="A137" s="9" t="str">
        <f ca="1">IFERROR(__xludf.DUMMYFUNCTION("""COMPUTED_VALUE"""),"Pavanteja sepana")</f>
        <v>Pavanteja sepana</v>
      </c>
      <c r="B137" s="9" t="str">
        <f ca="1">IFERROR(__xludf.DUMMYFUNCTION("""COMPUTED_VALUE"""),"18331A05H4")</f>
        <v>18331A05H4</v>
      </c>
      <c r="C137" s="9" t="str">
        <f ca="1">IFERROR(__xludf.DUMMYFUNCTION("""COMPUTED_VALUE"""),"Aws")</f>
        <v>Aws</v>
      </c>
      <c r="D137" s="9" t="str">
        <f ca="1">IFERROR(__xludf.DUMMYFUNCTION("""COMPUTED_VALUE"""),"10 weeks")</f>
        <v>10 weeks</v>
      </c>
      <c r="E137" s="72">
        <f ca="1">IFERROR(__xludf.DUMMYFUNCTION("""COMPUTED_VALUE"""),44482)</f>
        <v>44482</v>
      </c>
      <c r="F137" s="72">
        <f ca="1">IFERROR(__xludf.DUMMYFUNCTION("""COMPUTED_VALUE"""),44546)</f>
        <v>44546</v>
      </c>
      <c r="G137" s="9" t="str">
        <f ca="1">IFERROR(__xludf.DUMMYFUNCTION("""COMPUTED_VALUE"""),"No")</f>
        <v>No</v>
      </c>
      <c r="H137" s="9" t="str">
        <f ca="1">IFERROR(__xludf.DUMMYFUNCTION("""COMPUTED_VALUE"""),"No")</f>
        <v>No</v>
      </c>
      <c r="I137" s="9">
        <f ca="1">IFERROR(__xludf.DUMMYFUNCTION("""COMPUTED_VALUE"""),0)</f>
        <v>0</v>
      </c>
      <c r="J137" s="73" t="str">
        <f ca="1">IFERROR(__xludf.DUMMYFUNCTION("""COMPUTED_VALUE"""),"https://drive.google.com/open?id=15jQXeRCr_UZiP-hfR59DPeR33fQ64tnE")</f>
        <v>https://drive.google.com/open?id=15jQXeRCr_UZiP-hfR59DPeR33fQ64tnE</v>
      </c>
      <c r="K137" s="9" t="str">
        <f ca="1">IFERROR(__xludf.DUMMYFUNCTION("""COMPUTED_VALUE"""),"2018-2022")</f>
        <v>2018-2022</v>
      </c>
      <c r="L137" s="9" t="str">
        <f ca="1">IFERROR(__xludf.DUMMYFUNCTION("""COMPUTED_VALUE"""),"S3: Student Internships")</f>
        <v>S3: Student Internships</v>
      </c>
      <c r="M137" s="9" t="str">
        <f ca="1">IFERROR(__xludf.DUMMYFUNCTION("""COMPUTED_VALUE"""),"tejpavan68@gmail.com")</f>
        <v>tejpavan68@gmail.com</v>
      </c>
      <c r="N137" s="9" t="str">
        <f ca="1">IFERROR(__xludf.DUMMYFUNCTION("""COMPUTED_VALUE"""),"SEM-6")</f>
        <v>SEM-6</v>
      </c>
      <c r="O137" s="9"/>
      <c r="P137" s="9"/>
      <c r="Q137" s="9"/>
      <c r="R137" s="9"/>
      <c r="S137" s="9"/>
      <c r="T137" s="9"/>
      <c r="U137" s="9"/>
      <c r="V137" s="9"/>
      <c r="W137" s="9"/>
      <c r="X137" s="9"/>
    </row>
    <row r="138" spans="1:24" ht="33" customHeight="1" x14ac:dyDescent="0.15">
      <c r="A138" s="9" t="str">
        <f ca="1">IFERROR(__xludf.DUMMYFUNCTION("""COMPUTED_VALUE"""),"Bankapalli Bhargavi ")</f>
        <v xml:space="preserve">Bankapalli Bhargavi </v>
      </c>
      <c r="B138" s="9" t="str">
        <f ca="1">IFERROR(__xludf.DUMMYFUNCTION("""COMPUTED_VALUE"""),"20335A0502")</f>
        <v>20335A0502</v>
      </c>
      <c r="C138" s="9" t="str">
        <f ca="1">IFERROR(__xludf.DUMMYFUNCTION("""COMPUTED_VALUE"""),"Aicte")</f>
        <v>Aicte</v>
      </c>
      <c r="D138" s="9" t="str">
        <f ca="1">IFERROR(__xludf.DUMMYFUNCTION("""COMPUTED_VALUE"""),"10 weeks")</f>
        <v>10 weeks</v>
      </c>
      <c r="E138" s="72">
        <f ca="1">IFERROR(__xludf.DUMMYFUNCTION("""COMPUTED_VALUE"""),44481)</f>
        <v>44481</v>
      </c>
      <c r="F138" s="72">
        <f ca="1">IFERROR(__xludf.DUMMYFUNCTION("""COMPUTED_VALUE"""),44573)</f>
        <v>44573</v>
      </c>
      <c r="G138" s="9" t="str">
        <f ca="1">IFERROR(__xludf.DUMMYFUNCTION("""COMPUTED_VALUE"""),"No")</f>
        <v>No</v>
      </c>
      <c r="H138" s="9" t="str">
        <f ca="1">IFERROR(__xludf.DUMMYFUNCTION("""COMPUTED_VALUE"""),"No")</f>
        <v>No</v>
      </c>
      <c r="I138" s="9">
        <f ca="1">IFERROR(__xludf.DUMMYFUNCTION("""COMPUTED_VALUE"""),0)</f>
        <v>0</v>
      </c>
      <c r="J138" s="73" t="str">
        <f ca="1">IFERROR(__xludf.DUMMYFUNCTION("""COMPUTED_VALUE"""),"https://drive.google.com/open?id=1pwG9BM12sfB_tRjhDTqD7cY1CDD1QwDY")</f>
        <v>https://drive.google.com/open?id=1pwG9BM12sfB_tRjhDTqD7cY1CDD1QwDY</v>
      </c>
      <c r="K138" s="9" t="str">
        <f ca="1">IFERROR(__xludf.DUMMYFUNCTION("""COMPUTED_VALUE"""),"2019-2023")</f>
        <v>2019-2023</v>
      </c>
      <c r="L138" s="9" t="str">
        <f ca="1">IFERROR(__xludf.DUMMYFUNCTION("""COMPUTED_VALUE"""),"S3: Student Internships")</f>
        <v>S3: Student Internships</v>
      </c>
      <c r="M138" s="9" t="str">
        <f ca="1">IFERROR(__xludf.DUMMYFUNCTION("""COMPUTED_VALUE"""),"bhargavicme003@gmail.com")</f>
        <v>bhargavicme003@gmail.com</v>
      </c>
      <c r="N138" s="9" t="str">
        <f ca="1">IFERROR(__xludf.DUMMYFUNCTION("""COMPUTED_VALUE"""),"SEM-5")</f>
        <v>SEM-5</v>
      </c>
      <c r="O138" s="9"/>
      <c r="P138" s="9"/>
      <c r="Q138" s="9"/>
      <c r="R138" s="9"/>
      <c r="S138" s="9"/>
      <c r="T138" s="9"/>
      <c r="U138" s="9"/>
      <c r="V138" s="9"/>
      <c r="W138" s="9"/>
      <c r="X138" s="9"/>
    </row>
    <row r="139" spans="1:24" ht="33" customHeight="1" x14ac:dyDescent="0.15">
      <c r="A139" s="9" t="str">
        <f ca="1">IFERROR(__xludf.DUMMYFUNCTION("""COMPUTED_VALUE"""),"Nimishakavi V S R Srujan ")</f>
        <v xml:space="preserve">Nimishakavi V S R Srujan </v>
      </c>
      <c r="B139" s="9" t="str">
        <f ca="1">IFERROR(__xludf.DUMMYFUNCTION("""COMPUTED_VALUE"""),"20331A05C6")</f>
        <v>20331A05C6</v>
      </c>
      <c r="C139" s="9" t="str">
        <f ca="1">IFERROR(__xludf.DUMMYFUNCTION("""COMPUTED_VALUE"""),"EduSkills")</f>
        <v>EduSkills</v>
      </c>
      <c r="D139" s="9" t="str">
        <f ca="1">IFERROR(__xludf.DUMMYFUNCTION("""COMPUTED_VALUE"""),"3 months")</f>
        <v>3 months</v>
      </c>
      <c r="E139" s="72">
        <f ca="1">IFERROR(__xludf.DUMMYFUNCTION("""COMPUTED_VALUE"""),44481)</f>
        <v>44481</v>
      </c>
      <c r="F139" s="72">
        <f ca="1">IFERROR(__xludf.DUMMYFUNCTION("""COMPUTED_VALUE"""),44542)</f>
        <v>44542</v>
      </c>
      <c r="G139" s="9" t="str">
        <f ca="1">IFERROR(__xludf.DUMMYFUNCTION("""COMPUTED_VALUE"""),"No")</f>
        <v>No</v>
      </c>
      <c r="H139" s="9" t="str">
        <f ca="1">IFERROR(__xludf.DUMMYFUNCTION("""COMPUTED_VALUE"""),"No")</f>
        <v>No</v>
      </c>
      <c r="I139" s="9">
        <f ca="1">IFERROR(__xludf.DUMMYFUNCTION("""COMPUTED_VALUE"""),0)</f>
        <v>0</v>
      </c>
      <c r="J139" s="73" t="str">
        <f ca="1">IFERROR(__xludf.DUMMYFUNCTION("""COMPUTED_VALUE"""),"https://drive.google.com/open?id=1W_NOCuAPkMT5-7uZY2yLpkRH3sDF2yBb")</f>
        <v>https://drive.google.com/open?id=1W_NOCuAPkMT5-7uZY2yLpkRH3sDF2yBb</v>
      </c>
      <c r="K139" s="9" t="str">
        <f ca="1">IFERROR(__xludf.DUMMYFUNCTION("""COMPUTED_VALUE"""),"2020-2024")</f>
        <v>2020-2024</v>
      </c>
      <c r="L139" s="9" t="str">
        <f ca="1">IFERROR(__xludf.DUMMYFUNCTION("""COMPUTED_VALUE"""),"S3: Student Internships")</f>
        <v>S3: Student Internships</v>
      </c>
      <c r="M139" s="9" t="str">
        <f ca="1">IFERROR(__xludf.DUMMYFUNCTION("""COMPUTED_VALUE"""),"srujanraghc@gmail.com")</f>
        <v>srujanraghc@gmail.com</v>
      </c>
      <c r="N139" s="9" t="str">
        <f ca="1">IFERROR(__xludf.DUMMYFUNCTION("""COMPUTED_VALUE"""),"SEM-3")</f>
        <v>SEM-3</v>
      </c>
      <c r="O139" s="9"/>
      <c r="P139" s="9"/>
      <c r="Q139" s="9"/>
      <c r="R139" s="9"/>
      <c r="S139" s="9"/>
      <c r="T139" s="9"/>
      <c r="U139" s="9"/>
      <c r="V139" s="9"/>
      <c r="W139" s="9"/>
      <c r="X139" s="9"/>
    </row>
    <row r="140" spans="1:24" ht="33" customHeight="1" x14ac:dyDescent="0.15">
      <c r="A140" s="69" t="str">
        <f ca="1">IFERROR(__xludf.DUMMYFUNCTION("""COMPUTED_VALUE"""),"Kolipaka Dinesh Venkata Mani Sai")</f>
        <v>Kolipaka Dinesh Venkata Mani Sai</v>
      </c>
      <c r="B140" s="69" t="str">
        <f ca="1">IFERROR(__xludf.DUMMYFUNCTION("""COMPUTED_VALUE"""),"20331A0586")</f>
        <v>20331A0586</v>
      </c>
      <c r="C140" s="69" t="str">
        <f ca="1">IFERROR(__xludf.DUMMYFUNCTION("""COMPUTED_VALUE"""),"AICTE")</f>
        <v>AICTE</v>
      </c>
      <c r="D140" s="69" t="str">
        <f ca="1">IFERROR(__xludf.DUMMYFUNCTION("""COMPUTED_VALUE"""),"10 Weeks")</f>
        <v>10 Weeks</v>
      </c>
      <c r="E140" s="74">
        <f ca="1">IFERROR(__xludf.DUMMYFUNCTION("""COMPUTED_VALUE"""),44481)</f>
        <v>44481</v>
      </c>
      <c r="F140" s="74">
        <f ca="1">IFERROR(__xludf.DUMMYFUNCTION("""COMPUTED_VALUE"""),44542)</f>
        <v>44542</v>
      </c>
      <c r="G140" s="69" t="str">
        <f ca="1">IFERROR(__xludf.DUMMYFUNCTION("""COMPUTED_VALUE"""),"No")</f>
        <v>No</v>
      </c>
      <c r="H140" s="69" t="str">
        <f ca="1">IFERROR(__xludf.DUMMYFUNCTION("""COMPUTED_VALUE"""),"No")</f>
        <v>No</v>
      </c>
      <c r="I140" s="69">
        <f ca="1">IFERROR(__xludf.DUMMYFUNCTION("""COMPUTED_VALUE"""),0)</f>
        <v>0</v>
      </c>
      <c r="J140" s="75" t="str">
        <f ca="1">IFERROR(__xludf.DUMMYFUNCTION("""COMPUTED_VALUE"""),"https://drive.google.com/open?id=1Tg_9Zl6ggrHhx7AJjufvYTUhaC5608Su")</f>
        <v>https://drive.google.com/open?id=1Tg_9Zl6ggrHhx7AJjufvYTUhaC5608Su</v>
      </c>
      <c r="K140" s="69" t="str">
        <f ca="1">IFERROR(__xludf.DUMMYFUNCTION("""COMPUTED_VALUE"""),"2020-2024")</f>
        <v>2020-2024</v>
      </c>
      <c r="L140" s="69" t="str">
        <f ca="1">IFERROR(__xludf.DUMMYFUNCTION("""COMPUTED_VALUE"""),"S3: Student Internships")</f>
        <v>S3: Student Internships</v>
      </c>
      <c r="M140" s="69" t="str">
        <f ca="1">IFERROR(__xludf.DUMMYFUNCTION("""COMPUTED_VALUE"""),"kolipakadinesh2003@gmail.com")</f>
        <v>kolipakadinesh2003@gmail.com</v>
      </c>
      <c r="N140" s="69" t="str">
        <f ca="1">IFERROR(__xludf.DUMMYFUNCTION("""COMPUTED_VALUE"""),"SEM-4")</f>
        <v>SEM-4</v>
      </c>
      <c r="O140" s="69"/>
      <c r="P140" s="69"/>
      <c r="Q140" s="69"/>
      <c r="R140" s="69"/>
      <c r="S140" s="69"/>
      <c r="T140" s="69"/>
      <c r="U140" s="69"/>
      <c r="V140" s="69"/>
      <c r="W140" s="69"/>
      <c r="X140" s="69"/>
    </row>
    <row r="141" spans="1:24" ht="33" customHeight="1" x14ac:dyDescent="0.15">
      <c r="A141" s="9" t="str">
        <f ca="1">IFERROR(__xludf.DUMMYFUNCTION("""COMPUTED_VALUE"""),"Kolipaka Dinesh Venkata Mani Sai")</f>
        <v>Kolipaka Dinesh Venkata Mani Sai</v>
      </c>
      <c r="B141" s="9" t="str">
        <f ca="1">IFERROR(__xludf.DUMMYFUNCTION("""COMPUTED_VALUE"""),"20331A0586")</f>
        <v>20331A0586</v>
      </c>
      <c r="C141" s="9" t="str">
        <f ca="1">IFERROR(__xludf.DUMMYFUNCTION("""COMPUTED_VALUE"""),"Cisco Networking Academy")</f>
        <v>Cisco Networking Academy</v>
      </c>
      <c r="D141" s="9" t="str">
        <f ca="1">IFERROR(__xludf.DUMMYFUNCTION("""COMPUTED_VALUE"""),"2 months")</f>
        <v>2 months</v>
      </c>
      <c r="E141" s="72">
        <f ca="1">IFERROR(__xludf.DUMMYFUNCTION("""COMPUTED_VALUE"""),44326)</f>
        <v>44326</v>
      </c>
      <c r="F141" s="72">
        <f ca="1">IFERROR(__xludf.DUMMYFUNCTION("""COMPUTED_VALUE"""),44752)</f>
        <v>44752</v>
      </c>
      <c r="G141" s="9" t="str">
        <f ca="1">IFERROR(__xludf.DUMMYFUNCTION("""COMPUTED_VALUE"""),"No")</f>
        <v>No</v>
      </c>
      <c r="H141" s="9" t="str">
        <f ca="1">IFERROR(__xludf.DUMMYFUNCTION("""COMPUTED_VALUE"""),"No")</f>
        <v>No</v>
      </c>
      <c r="I141" s="9">
        <f ca="1">IFERROR(__xludf.DUMMYFUNCTION("""COMPUTED_VALUE"""),0)</f>
        <v>0</v>
      </c>
      <c r="J141" s="73" t="str">
        <f ca="1">IFERROR(__xludf.DUMMYFUNCTION("""COMPUTED_VALUE"""),"https://drive.google.com/open?id=1tVbui3IpKcHFKD1bNKAkcM4ru9WczXoG")</f>
        <v>https://drive.google.com/open?id=1tVbui3IpKcHFKD1bNKAkcM4ru9WczXoG</v>
      </c>
      <c r="K141" s="9" t="str">
        <f ca="1">IFERROR(__xludf.DUMMYFUNCTION("""COMPUTED_VALUE"""),"2020-2024")</f>
        <v>2020-2024</v>
      </c>
      <c r="L141" s="9" t="str">
        <f ca="1">IFERROR(__xludf.DUMMYFUNCTION("""COMPUTED_VALUE"""),"S3: Student Internships")</f>
        <v>S3: Student Internships</v>
      </c>
      <c r="M141" s="9" t="str">
        <f ca="1">IFERROR(__xludf.DUMMYFUNCTION("""COMPUTED_VALUE"""),"kolipakadinesh2003@gmail.com")</f>
        <v>kolipakadinesh2003@gmail.com</v>
      </c>
      <c r="N141" s="9" t="str">
        <f ca="1">IFERROR(__xludf.DUMMYFUNCTION("""COMPUTED_VALUE"""),"SEM-4")</f>
        <v>SEM-4</v>
      </c>
      <c r="O141" s="9"/>
      <c r="P141" s="9"/>
      <c r="Q141" s="9"/>
      <c r="R141" s="9"/>
      <c r="S141" s="9"/>
      <c r="T141" s="9"/>
      <c r="U141" s="9"/>
      <c r="V141" s="9"/>
      <c r="W141" s="9"/>
      <c r="X141" s="9"/>
    </row>
    <row r="142" spans="1:24" ht="33" customHeight="1" x14ac:dyDescent="0.15">
      <c r="A142" s="9" t="str">
        <f ca="1">IFERROR(__xludf.DUMMYFUNCTION("""COMPUTED_VALUE"""),"Bevara Venkatesh ")</f>
        <v xml:space="preserve">Bevara Venkatesh </v>
      </c>
      <c r="B142" s="9" t="str">
        <f ca="1">IFERROR(__xludf.DUMMYFUNCTION("""COMPUTED_VALUE"""),"18331A0513")</f>
        <v>18331A0513</v>
      </c>
      <c r="C142" s="9" t="str">
        <f ca="1">IFERROR(__xludf.DUMMYFUNCTION("""COMPUTED_VALUE"""),"Mindtree")</f>
        <v>Mindtree</v>
      </c>
      <c r="D142" s="9" t="str">
        <f ca="1">IFERROR(__xludf.DUMMYFUNCTION("""COMPUTED_VALUE"""),"3months")</f>
        <v>3months</v>
      </c>
      <c r="E142" s="72">
        <f ca="1">IFERROR(__xludf.DUMMYFUNCTION("""COMPUTED_VALUE"""),44642)</f>
        <v>44642</v>
      </c>
      <c r="F142" s="72">
        <f ca="1">IFERROR(__xludf.DUMMYFUNCTION("""COMPUTED_VALUE"""),44713)</f>
        <v>44713</v>
      </c>
      <c r="G142" s="9" t="str">
        <f ca="1">IFERROR(__xludf.DUMMYFUNCTION("""COMPUTED_VALUE"""),"Yes")</f>
        <v>Yes</v>
      </c>
      <c r="H142" s="9" t="str">
        <f ca="1">IFERROR(__xludf.DUMMYFUNCTION("""COMPUTED_VALUE"""),"No")</f>
        <v>No</v>
      </c>
      <c r="I142" s="9">
        <f ca="1">IFERROR(__xludf.DUMMYFUNCTION("""COMPUTED_VALUE"""),10000)</f>
        <v>10000</v>
      </c>
      <c r="J142" s="73" t="str">
        <f ca="1">IFERROR(__xludf.DUMMYFUNCTION("""COMPUTED_VALUE"""),"https://drive.google.com/open?id=1F7iTjzsHnuIodbVpb33cwJfk7_1LM-9l")</f>
        <v>https://drive.google.com/open?id=1F7iTjzsHnuIodbVpb33cwJfk7_1LM-9l</v>
      </c>
      <c r="K142" s="9" t="str">
        <f ca="1">IFERROR(__xludf.DUMMYFUNCTION("""COMPUTED_VALUE"""),"2018-2022")</f>
        <v>2018-2022</v>
      </c>
      <c r="L142" s="9" t="str">
        <f ca="1">IFERROR(__xludf.DUMMYFUNCTION("""COMPUTED_VALUE"""),"S3: Student Internships")</f>
        <v>S3: Student Internships</v>
      </c>
      <c r="M142" s="9" t="str">
        <f ca="1">IFERROR(__xludf.DUMMYFUNCTION("""COMPUTED_VALUE"""),"sachinvenkyindian@gmail.com")</f>
        <v>sachinvenkyindian@gmail.com</v>
      </c>
      <c r="N142" s="9" t="str">
        <f ca="1">IFERROR(__xludf.DUMMYFUNCTION("""COMPUTED_VALUE"""),"SEM-8")</f>
        <v>SEM-8</v>
      </c>
      <c r="O142" s="9"/>
      <c r="P142" s="9"/>
      <c r="Q142" s="9"/>
      <c r="R142" s="9"/>
      <c r="S142" s="9"/>
      <c r="T142" s="9"/>
      <c r="U142" s="9"/>
      <c r="V142" s="9"/>
      <c r="W142" s="9"/>
      <c r="X142" s="9"/>
    </row>
    <row r="143" spans="1:24" ht="33" customHeight="1" x14ac:dyDescent="0.15">
      <c r="A143" s="9" t="str">
        <f ca="1">IFERROR(__xludf.DUMMYFUNCTION("""COMPUTED_VALUE"""),"Rithvik Reddy Chantigari")</f>
        <v>Rithvik Reddy Chantigari</v>
      </c>
      <c r="B143" s="9" t="str">
        <f ca="1">IFERROR(__xludf.DUMMYFUNCTION("""COMPUTED_VALUE"""),"18331A0525")</f>
        <v>18331A0525</v>
      </c>
      <c r="C143" s="9" t="str">
        <f ca="1">IFERROR(__xludf.DUMMYFUNCTION("""COMPUTED_VALUE"""),"Wiley-mthree")</f>
        <v>Wiley-mthree</v>
      </c>
      <c r="D143" s="9" t="str">
        <f ca="1">IFERROR(__xludf.DUMMYFUNCTION("""COMPUTED_VALUE"""),"3 months")</f>
        <v>3 months</v>
      </c>
      <c r="E143" s="72">
        <f ca="1">IFERROR(__xludf.DUMMYFUNCTION("""COMPUTED_VALUE"""),44650)</f>
        <v>44650</v>
      </c>
      <c r="F143" s="72">
        <f ca="1">IFERROR(__xludf.DUMMYFUNCTION("""COMPUTED_VALUE"""),44742)</f>
        <v>44742</v>
      </c>
      <c r="G143" s="9" t="str">
        <f ca="1">IFERROR(__xludf.DUMMYFUNCTION("""COMPUTED_VALUE"""),"Yes")</f>
        <v>Yes</v>
      </c>
      <c r="H143" s="9" t="str">
        <f ca="1">IFERROR(__xludf.DUMMYFUNCTION("""COMPUTED_VALUE"""),"No")</f>
        <v>No</v>
      </c>
      <c r="I143" s="9">
        <f ca="1">IFERROR(__xludf.DUMMYFUNCTION("""COMPUTED_VALUE"""),20000)</f>
        <v>20000</v>
      </c>
      <c r="J143" s="73" t="str">
        <f ca="1">IFERROR(__xludf.DUMMYFUNCTION("""COMPUTED_VALUE"""),"https://drive.google.com/open?id=13J5UeAwZr8LZBFvHLWWmLBzpzuvdaHp2")</f>
        <v>https://drive.google.com/open?id=13J5UeAwZr8LZBFvHLWWmLBzpzuvdaHp2</v>
      </c>
      <c r="K143" s="9" t="str">
        <f ca="1">IFERROR(__xludf.DUMMYFUNCTION("""COMPUTED_VALUE"""),"2018-2022")</f>
        <v>2018-2022</v>
      </c>
      <c r="L143" s="9" t="str">
        <f ca="1">IFERROR(__xludf.DUMMYFUNCTION("""COMPUTED_VALUE"""),"S3: Student Internships")</f>
        <v>S3: Student Internships</v>
      </c>
      <c r="M143" s="9" t="str">
        <f ca="1">IFERROR(__xludf.DUMMYFUNCTION("""COMPUTED_VALUE"""),"rithvikreddychantigari@gmail.com")</f>
        <v>rithvikreddychantigari@gmail.com</v>
      </c>
      <c r="N143" s="9" t="str">
        <f ca="1">IFERROR(__xludf.DUMMYFUNCTION("""COMPUTED_VALUE"""),"SEM-8")</f>
        <v>SEM-8</v>
      </c>
      <c r="O143" s="9"/>
      <c r="P143" s="9"/>
      <c r="Q143" s="9"/>
      <c r="R143" s="9"/>
      <c r="S143" s="9"/>
      <c r="T143" s="9"/>
      <c r="U143" s="9"/>
      <c r="V143" s="9"/>
      <c r="W143" s="9"/>
      <c r="X143" s="9"/>
    </row>
    <row r="144" spans="1:24" ht="33" customHeight="1" x14ac:dyDescent="0.15">
      <c r="A144" s="9" t="str">
        <f ca="1">IFERROR(__xludf.DUMMYFUNCTION("""COMPUTED_VALUE"""),"Kolipaka Dinesh Venkata Mani Sai")</f>
        <v>Kolipaka Dinesh Venkata Mani Sai</v>
      </c>
      <c r="B144" s="9" t="str">
        <f ca="1">IFERROR(__xludf.DUMMYFUNCTION("""COMPUTED_VALUE"""),"20331A0586")</f>
        <v>20331A0586</v>
      </c>
      <c r="C144" s="9" t="str">
        <f ca="1">IFERROR(__xludf.DUMMYFUNCTION("""COMPUTED_VALUE"""),"National Institute of Technology Tiruchirapalli")</f>
        <v>National Institute of Technology Tiruchirapalli</v>
      </c>
      <c r="D144" s="9" t="str">
        <f ca="1">IFERROR(__xludf.DUMMYFUNCTION("""COMPUTED_VALUE"""),"1 day")</f>
        <v>1 day</v>
      </c>
      <c r="E144" s="72">
        <f ca="1">IFERROR(__xludf.DUMMYFUNCTION("""COMPUTED_VALUE"""),44626)</f>
        <v>44626</v>
      </c>
      <c r="F144" s="72">
        <f ca="1">IFERROR(__xludf.DUMMYFUNCTION("""COMPUTED_VALUE"""),44626)</f>
        <v>44626</v>
      </c>
      <c r="G144" s="9" t="str">
        <f ca="1">IFERROR(__xludf.DUMMYFUNCTION("""COMPUTED_VALUE"""),"No")</f>
        <v>No</v>
      </c>
      <c r="H144" s="9" t="str">
        <f ca="1">IFERROR(__xludf.DUMMYFUNCTION("""COMPUTED_VALUE"""),"Yes")</f>
        <v>Yes</v>
      </c>
      <c r="I144" s="9">
        <f ca="1">IFERROR(__xludf.DUMMYFUNCTION("""COMPUTED_VALUE"""),100)</f>
        <v>100</v>
      </c>
      <c r="J144" s="73" t="str">
        <f ca="1">IFERROR(__xludf.DUMMYFUNCTION("""COMPUTED_VALUE"""),"https://drive.google.com/open?id=1W3oP3DP3rBsp9RzvPebwIkHwjDigEuNA")</f>
        <v>https://drive.google.com/open?id=1W3oP3DP3rBsp9RzvPebwIkHwjDigEuNA</v>
      </c>
      <c r="K144" s="9" t="str">
        <f ca="1">IFERROR(__xludf.DUMMYFUNCTION("""COMPUTED_VALUE"""),"2020-2024")</f>
        <v>2020-2024</v>
      </c>
      <c r="L144" s="9" t="str">
        <f ca="1">IFERROR(__xludf.DUMMYFUNCTION("""COMPUTED_VALUE"""),"S3: Student Internships")</f>
        <v>S3: Student Internships</v>
      </c>
      <c r="M144" s="9" t="str">
        <f ca="1">IFERROR(__xludf.DUMMYFUNCTION("""COMPUTED_VALUE"""),"kolipakadinesh2003@gmail.com")</f>
        <v>kolipakadinesh2003@gmail.com</v>
      </c>
      <c r="N144" s="9" t="str">
        <f ca="1">IFERROR(__xludf.DUMMYFUNCTION("""COMPUTED_VALUE"""),"SEM-4")</f>
        <v>SEM-4</v>
      </c>
      <c r="O144" s="9"/>
      <c r="P144" s="9"/>
      <c r="Q144" s="9"/>
      <c r="R144" s="9"/>
      <c r="S144" s="9"/>
      <c r="T144" s="9"/>
      <c r="U144" s="9"/>
      <c r="V144" s="9"/>
      <c r="W144" s="9"/>
      <c r="X144" s="9"/>
    </row>
    <row r="145" spans="1:24" ht="33" customHeight="1" x14ac:dyDescent="0.15">
      <c r="A145" s="9" t="str">
        <f ca="1">IFERROR(__xludf.DUMMYFUNCTION("""COMPUTED_VALUE"""),"Prasad B")</f>
        <v>Prasad B</v>
      </c>
      <c r="B145" s="9" t="str">
        <f ca="1">IFERROR(__xludf.DUMMYFUNCTION("""COMPUTED_VALUE"""),"18331A0514")</f>
        <v>18331A0514</v>
      </c>
      <c r="C145" s="9" t="str">
        <f ca="1">IFERROR(__xludf.DUMMYFUNCTION("""COMPUTED_VALUE"""),"Virtusa")</f>
        <v>Virtusa</v>
      </c>
      <c r="D145" s="9" t="str">
        <f ca="1">IFERROR(__xludf.DUMMYFUNCTION("""COMPUTED_VALUE"""),"3 months")</f>
        <v>3 months</v>
      </c>
      <c r="E145" s="72">
        <f ca="1">IFERROR(__xludf.DUMMYFUNCTION("""COMPUTED_VALUE"""),44547)</f>
        <v>44547</v>
      </c>
      <c r="F145" s="72">
        <f ca="1">IFERROR(__xludf.DUMMYFUNCTION("""COMPUTED_VALUE"""),44286)</f>
        <v>44286</v>
      </c>
      <c r="G145" s="9" t="str">
        <f ca="1">IFERROR(__xludf.DUMMYFUNCTION("""COMPUTED_VALUE"""),"Yes")</f>
        <v>Yes</v>
      </c>
      <c r="H145" s="9" t="str">
        <f ca="1">IFERROR(__xludf.DUMMYFUNCTION("""COMPUTED_VALUE"""),"No")</f>
        <v>No</v>
      </c>
      <c r="I145" s="9">
        <f ca="1">IFERROR(__xludf.DUMMYFUNCTION("""COMPUTED_VALUE"""),6500)</f>
        <v>6500</v>
      </c>
      <c r="J145" s="73" t="str">
        <f ca="1">IFERROR(__xludf.DUMMYFUNCTION("""COMPUTED_VALUE"""),"https://drive.google.com/open?id=1rlyRDaJkOzJm8bRKFhsUN4GOZtLeTbfr")</f>
        <v>https://drive.google.com/open?id=1rlyRDaJkOzJm8bRKFhsUN4GOZtLeTbfr</v>
      </c>
      <c r="K145" s="9" t="str">
        <f ca="1">IFERROR(__xludf.DUMMYFUNCTION("""COMPUTED_VALUE"""),"2018-2022")</f>
        <v>2018-2022</v>
      </c>
      <c r="L145" s="9" t="str">
        <f ca="1">IFERROR(__xludf.DUMMYFUNCTION("""COMPUTED_VALUE"""),"S3: Student Internships")</f>
        <v>S3: Student Internships</v>
      </c>
      <c r="M145" s="9" t="str">
        <f ca="1">IFERROR(__xludf.DUMMYFUNCTION("""COMPUTED_VALUE"""),"nani.bhogapurapu1106@gmail.com")</f>
        <v>nani.bhogapurapu1106@gmail.com</v>
      </c>
      <c r="N145" s="9" t="str">
        <f ca="1">IFERROR(__xludf.DUMMYFUNCTION("""COMPUTED_VALUE"""),"SEM-8")</f>
        <v>SEM-8</v>
      </c>
      <c r="O145" s="9"/>
      <c r="P145" s="9"/>
      <c r="Q145" s="9"/>
      <c r="R145" s="9"/>
      <c r="S145" s="9"/>
      <c r="T145" s="9"/>
      <c r="U145" s="9"/>
      <c r="V145" s="9"/>
      <c r="W145" s="9"/>
      <c r="X145" s="9"/>
    </row>
    <row r="146" spans="1:24" ht="33" customHeight="1" x14ac:dyDescent="0.15">
      <c r="A146" s="9" t="str">
        <f ca="1">IFERROR(__xludf.DUMMYFUNCTION("""COMPUTED_VALUE"""),"Kavala jyothsna")</f>
        <v>Kavala jyothsna</v>
      </c>
      <c r="B146" s="9" t="str">
        <f ca="1">IFERROR(__xludf.DUMMYFUNCTION("""COMPUTED_VALUE"""),"20331A0582")</f>
        <v>20331A0582</v>
      </c>
      <c r="C146" s="9" t="str">
        <f ca="1">IFERROR(__xludf.DUMMYFUNCTION("""COMPUTED_VALUE"""),"Red hat ")</f>
        <v xml:space="preserve">Red hat </v>
      </c>
      <c r="D146" s="9" t="str">
        <f ca="1">IFERROR(__xludf.DUMMYFUNCTION("""COMPUTED_VALUE"""),"2 months")</f>
        <v>2 months</v>
      </c>
      <c r="E146" s="72">
        <f ca="1">IFERROR(__xludf.DUMMYFUNCTION("""COMPUTED_VALUE"""),44470)</f>
        <v>44470</v>
      </c>
      <c r="F146" s="72">
        <f ca="1">IFERROR(__xludf.DUMMYFUNCTION("""COMPUTED_VALUE"""),44531)</f>
        <v>44531</v>
      </c>
      <c r="G146" s="9" t="str">
        <f ca="1">IFERROR(__xludf.DUMMYFUNCTION("""COMPUTED_VALUE"""),"No")</f>
        <v>No</v>
      </c>
      <c r="H146" s="9" t="str">
        <f ca="1">IFERROR(__xludf.DUMMYFUNCTION("""COMPUTED_VALUE"""),"No")</f>
        <v>No</v>
      </c>
      <c r="I146" s="9">
        <f ca="1">IFERROR(__xludf.DUMMYFUNCTION("""COMPUTED_VALUE"""),0)</f>
        <v>0</v>
      </c>
      <c r="J146" s="73" t="str">
        <f ca="1">IFERROR(__xludf.DUMMYFUNCTION("""COMPUTED_VALUE"""),"https://drive.google.com/open?id=1Vxws7ZxDedUtYqFillrfxBzIEcuaxcWk")</f>
        <v>https://drive.google.com/open?id=1Vxws7ZxDedUtYqFillrfxBzIEcuaxcWk</v>
      </c>
      <c r="K146" s="9" t="str">
        <f ca="1">IFERROR(__xludf.DUMMYFUNCTION("""COMPUTED_VALUE"""),"2020-2024")</f>
        <v>2020-2024</v>
      </c>
      <c r="L146" s="9" t="str">
        <f ca="1">IFERROR(__xludf.DUMMYFUNCTION("""COMPUTED_VALUE"""),"S3: Student Internships")</f>
        <v>S3: Student Internships</v>
      </c>
      <c r="M146" s="9" t="str">
        <f ca="1">IFERROR(__xludf.DUMMYFUNCTION("""COMPUTED_VALUE"""),"jyothsnakavala2003@gmail.com")</f>
        <v>jyothsnakavala2003@gmail.com</v>
      </c>
      <c r="N146" s="9" t="str">
        <f ca="1">IFERROR(__xludf.DUMMYFUNCTION("""COMPUTED_VALUE"""),"SEM-4")</f>
        <v>SEM-4</v>
      </c>
      <c r="O146" s="9"/>
      <c r="P146" s="9"/>
      <c r="Q146" s="9"/>
      <c r="R146" s="9"/>
      <c r="S146" s="9"/>
      <c r="T146" s="9"/>
      <c r="U146" s="9"/>
      <c r="V146" s="9"/>
      <c r="W146" s="9"/>
      <c r="X146" s="9"/>
    </row>
    <row r="147" spans="1:24" ht="33" customHeight="1" x14ac:dyDescent="0.15">
      <c r="A147" s="69" t="str">
        <f ca="1">IFERROR(__xludf.DUMMYFUNCTION("""COMPUTED_VALUE"""),"Sumanth Varma Dandu")</f>
        <v>Sumanth Varma Dandu</v>
      </c>
      <c r="B147" s="69" t="str">
        <f ca="1">IFERROR(__xludf.DUMMYFUNCTION("""COMPUTED_VALUE"""),"18331A0530")</f>
        <v>18331A0530</v>
      </c>
      <c r="C147" s="69" t="str">
        <f ca="1">IFERROR(__xludf.DUMMYFUNCTION("""COMPUTED_VALUE"""),"Manac Infotech")</f>
        <v>Manac Infotech</v>
      </c>
      <c r="D147" s="69" t="str">
        <f ca="1">IFERROR(__xludf.DUMMYFUNCTION("""COMPUTED_VALUE"""),"3 months")</f>
        <v>3 months</v>
      </c>
      <c r="E147" s="74">
        <f ca="1">IFERROR(__xludf.DUMMYFUNCTION("""COMPUTED_VALUE"""),44271)</f>
        <v>44271</v>
      </c>
      <c r="F147" s="74">
        <f ca="1">IFERROR(__xludf.DUMMYFUNCTION("""COMPUTED_VALUE"""),44370)</f>
        <v>44370</v>
      </c>
      <c r="G147" s="69" t="str">
        <f ca="1">IFERROR(__xludf.DUMMYFUNCTION("""COMPUTED_VALUE"""),"No")</f>
        <v>No</v>
      </c>
      <c r="H147" s="69" t="str">
        <f ca="1">IFERROR(__xludf.DUMMYFUNCTION("""COMPUTED_VALUE"""),"No")</f>
        <v>No</v>
      </c>
      <c r="I147" s="69">
        <f ca="1">IFERROR(__xludf.DUMMYFUNCTION("""COMPUTED_VALUE"""),0)</f>
        <v>0</v>
      </c>
      <c r="J147" s="75" t="str">
        <f ca="1">IFERROR(__xludf.DUMMYFUNCTION("""COMPUTED_VALUE"""),"https://drive.google.com/open?id=1jHinSiZ9D-5a7iuvZ8of0MssCzGQHKS6")</f>
        <v>https://drive.google.com/open?id=1jHinSiZ9D-5a7iuvZ8of0MssCzGQHKS6</v>
      </c>
      <c r="K147" s="69" t="str">
        <f ca="1">IFERROR(__xludf.DUMMYFUNCTION("""COMPUTED_VALUE"""),"2018-2022")</f>
        <v>2018-2022</v>
      </c>
      <c r="L147" s="69" t="str">
        <f ca="1">IFERROR(__xludf.DUMMYFUNCTION("""COMPUTED_VALUE"""),"S3: Student Internships")</f>
        <v>S3: Student Internships</v>
      </c>
      <c r="M147" s="69" t="str">
        <f ca="1">IFERROR(__xludf.DUMMYFUNCTION("""COMPUTED_VALUE"""),"dsumanthvarma6@gmail.com")</f>
        <v>dsumanthvarma6@gmail.com</v>
      </c>
      <c r="N147" s="69" t="str">
        <f ca="1">IFERROR(__xludf.DUMMYFUNCTION("""COMPUTED_VALUE"""),"SEM-8")</f>
        <v>SEM-8</v>
      </c>
      <c r="O147" s="69"/>
      <c r="P147" s="69"/>
      <c r="Q147" s="69"/>
      <c r="R147" s="69"/>
      <c r="S147" s="69"/>
      <c r="T147" s="69"/>
      <c r="U147" s="69"/>
      <c r="V147" s="69"/>
      <c r="W147" s="69"/>
      <c r="X147" s="69"/>
    </row>
    <row r="148" spans="1:24" ht="33" customHeight="1" x14ac:dyDescent="0.15">
      <c r="A148" s="69" t="str">
        <f ca="1">IFERROR(__xludf.DUMMYFUNCTION("""COMPUTED_VALUE"""),"Rithvik Reddy Chantigari")</f>
        <v>Rithvik Reddy Chantigari</v>
      </c>
      <c r="B148" s="69" t="str">
        <f ca="1">IFERROR(__xludf.DUMMYFUNCTION("""COMPUTED_VALUE"""),"18331A0525")</f>
        <v>18331A0525</v>
      </c>
      <c r="C148" s="69" t="str">
        <f ca="1">IFERROR(__xludf.DUMMYFUNCTION("""COMPUTED_VALUE"""),"TCS")</f>
        <v>TCS</v>
      </c>
      <c r="D148" s="69" t="str">
        <f ca="1">IFERROR(__xludf.DUMMYFUNCTION("""COMPUTED_VALUE"""),"3 months")</f>
        <v>3 months</v>
      </c>
      <c r="E148" s="74">
        <f ca="1">IFERROR(__xludf.DUMMYFUNCTION("""COMPUTED_VALUE"""),44593)</f>
        <v>44593</v>
      </c>
      <c r="F148" s="74">
        <f ca="1">IFERROR(__xludf.DUMMYFUNCTION("""COMPUTED_VALUE"""),44673)</f>
        <v>44673</v>
      </c>
      <c r="G148" s="69" t="str">
        <f ca="1">IFERROR(__xludf.DUMMYFUNCTION("""COMPUTED_VALUE"""),"No")</f>
        <v>No</v>
      </c>
      <c r="H148" s="69" t="str">
        <f ca="1">IFERROR(__xludf.DUMMYFUNCTION("""COMPUTED_VALUE"""),"No")</f>
        <v>No</v>
      </c>
      <c r="I148" s="69">
        <f ca="1">IFERROR(__xludf.DUMMYFUNCTION("""COMPUTED_VALUE"""),0)</f>
        <v>0</v>
      </c>
      <c r="J148" s="75" t="str">
        <f ca="1">IFERROR(__xludf.DUMMYFUNCTION("""COMPUTED_VALUE"""),"https://drive.google.com/open?id=1Q7aSFHIxNaHu-8QlEtAsaIFUj0e-lslA")</f>
        <v>https://drive.google.com/open?id=1Q7aSFHIxNaHu-8QlEtAsaIFUj0e-lslA</v>
      </c>
      <c r="K148" s="69" t="str">
        <f ca="1">IFERROR(__xludf.DUMMYFUNCTION("""COMPUTED_VALUE"""),"2018-2022")</f>
        <v>2018-2022</v>
      </c>
      <c r="L148" s="69" t="str">
        <f ca="1">IFERROR(__xludf.DUMMYFUNCTION("""COMPUTED_VALUE"""),"S3: Student Internships")</f>
        <v>S3: Student Internships</v>
      </c>
      <c r="M148" s="69" t="str">
        <f ca="1">IFERROR(__xludf.DUMMYFUNCTION("""COMPUTED_VALUE"""),"rithvikreddychantigari@gmail.com")</f>
        <v>rithvikreddychantigari@gmail.com</v>
      </c>
      <c r="N148" s="69" t="str">
        <f ca="1">IFERROR(__xludf.DUMMYFUNCTION("""COMPUTED_VALUE"""),"SEM-8")</f>
        <v>SEM-8</v>
      </c>
      <c r="O148" s="69"/>
      <c r="P148" s="69"/>
      <c r="Q148" s="69"/>
      <c r="R148" s="69"/>
      <c r="S148" s="69"/>
      <c r="T148" s="69"/>
      <c r="U148" s="69"/>
      <c r="V148" s="69"/>
      <c r="W148" s="69"/>
      <c r="X148" s="69"/>
    </row>
    <row r="149" spans="1:24" ht="33" customHeight="1" x14ac:dyDescent="0.15">
      <c r="A149" s="9" t="str">
        <f ca="1">IFERROR(__xludf.DUMMYFUNCTION("""COMPUTED_VALUE"""),"Thrilochana Nakkella")</f>
        <v>Thrilochana Nakkella</v>
      </c>
      <c r="B149" s="9" t="str">
        <f ca="1">IFERROR(__xludf.DUMMYFUNCTION("""COMPUTED_VALUE"""),"20331A05C3")</f>
        <v>20331A05C3</v>
      </c>
      <c r="C149" s="9" t="str">
        <f ca="1">IFERROR(__xludf.DUMMYFUNCTION("""COMPUTED_VALUE"""),"Redhat")</f>
        <v>Redhat</v>
      </c>
      <c r="D149" s="9" t="str">
        <f ca="1">IFERROR(__xludf.DUMMYFUNCTION("""COMPUTED_VALUE"""),"2 months")</f>
        <v>2 months</v>
      </c>
      <c r="E149" s="72">
        <f ca="1">IFERROR(__xludf.DUMMYFUNCTION("""COMPUTED_VALUE"""),44470)</f>
        <v>44470</v>
      </c>
      <c r="F149" s="72">
        <f ca="1">IFERROR(__xludf.DUMMYFUNCTION("""COMPUTED_VALUE"""),44531)</f>
        <v>44531</v>
      </c>
      <c r="G149" s="9" t="str">
        <f ca="1">IFERROR(__xludf.DUMMYFUNCTION("""COMPUTED_VALUE"""),"No")</f>
        <v>No</v>
      </c>
      <c r="H149" s="9" t="str">
        <f ca="1">IFERROR(__xludf.DUMMYFUNCTION("""COMPUTED_VALUE"""),"No")</f>
        <v>No</v>
      </c>
      <c r="I149" s="9">
        <f ca="1">IFERROR(__xludf.DUMMYFUNCTION("""COMPUTED_VALUE"""),0)</f>
        <v>0</v>
      </c>
      <c r="J149" s="73" t="str">
        <f ca="1">IFERROR(__xludf.DUMMYFUNCTION("""COMPUTED_VALUE"""),"https://drive.google.com/open?id=1OdCqgTpFdMXyL2wGRwlzJQF7OcVDOTkQ")</f>
        <v>https://drive.google.com/open?id=1OdCqgTpFdMXyL2wGRwlzJQF7OcVDOTkQ</v>
      </c>
      <c r="K149" s="9" t="str">
        <f ca="1">IFERROR(__xludf.DUMMYFUNCTION("""COMPUTED_VALUE"""),"2020-2024")</f>
        <v>2020-2024</v>
      </c>
      <c r="L149" s="9" t="str">
        <f ca="1">IFERROR(__xludf.DUMMYFUNCTION("""COMPUTED_VALUE"""),"S3: Student Internships")</f>
        <v>S3: Student Internships</v>
      </c>
      <c r="M149" s="9" t="str">
        <f ca="1">IFERROR(__xludf.DUMMYFUNCTION("""COMPUTED_VALUE"""),"3lochana.nakkella@gmail.com")</f>
        <v>3lochana.nakkella@gmail.com</v>
      </c>
      <c r="N149" s="9" t="str">
        <f ca="1">IFERROR(__xludf.DUMMYFUNCTION("""COMPUTED_VALUE"""),"SEM-4")</f>
        <v>SEM-4</v>
      </c>
      <c r="O149" s="9"/>
      <c r="P149" s="9"/>
      <c r="Q149" s="9"/>
      <c r="R149" s="9"/>
      <c r="S149" s="9"/>
      <c r="T149" s="9"/>
      <c r="U149" s="9"/>
      <c r="V149" s="9"/>
      <c r="W149" s="9"/>
      <c r="X149" s="9"/>
    </row>
    <row r="150" spans="1:24" ht="33" customHeight="1" x14ac:dyDescent="0.15">
      <c r="A150" s="69" t="str">
        <f ca="1">IFERROR(__xludf.DUMMYFUNCTION("""COMPUTED_VALUE"""),"Rithvik Reddy Chantigari")</f>
        <v>Rithvik Reddy Chantigari</v>
      </c>
      <c r="B150" s="69" t="str">
        <f ca="1">IFERROR(__xludf.DUMMYFUNCTION("""COMPUTED_VALUE"""),"18331A0525")</f>
        <v>18331A0525</v>
      </c>
      <c r="C150" s="69" t="str">
        <f ca="1">IFERROR(__xludf.DUMMYFUNCTION("""COMPUTED_VALUE"""),"Verzeo")</f>
        <v>Verzeo</v>
      </c>
      <c r="D150" s="69" t="str">
        <f ca="1">IFERROR(__xludf.DUMMYFUNCTION("""COMPUTED_VALUE"""),"2 months")</f>
        <v>2 months</v>
      </c>
      <c r="E150" s="74">
        <f ca="1">IFERROR(__xludf.DUMMYFUNCTION("""COMPUTED_VALUE"""),43983)</f>
        <v>43983</v>
      </c>
      <c r="F150" s="74">
        <f ca="1">IFERROR(__xludf.DUMMYFUNCTION("""COMPUTED_VALUE"""),44044)</f>
        <v>44044</v>
      </c>
      <c r="G150" s="69" t="str">
        <f ca="1">IFERROR(__xludf.DUMMYFUNCTION("""COMPUTED_VALUE"""),"No")</f>
        <v>No</v>
      </c>
      <c r="H150" s="69" t="str">
        <f ca="1">IFERROR(__xludf.DUMMYFUNCTION("""COMPUTED_VALUE"""),"Yes")</f>
        <v>Yes</v>
      </c>
      <c r="I150" s="69">
        <f ca="1">IFERROR(__xludf.DUMMYFUNCTION("""COMPUTED_VALUE"""),4500)</f>
        <v>4500</v>
      </c>
      <c r="J150" s="75" t="str">
        <f ca="1">IFERROR(__xludf.DUMMYFUNCTION("""COMPUTED_VALUE"""),"https://drive.google.com/open?id=1HhDM8hSHUy6Hc125dGJEBpi8IbmayzsU")</f>
        <v>https://drive.google.com/open?id=1HhDM8hSHUy6Hc125dGJEBpi8IbmayzsU</v>
      </c>
      <c r="K150" s="69" t="str">
        <f ca="1">IFERROR(__xludf.DUMMYFUNCTION("""COMPUTED_VALUE"""),"2018-2022")</f>
        <v>2018-2022</v>
      </c>
      <c r="L150" s="69" t="str">
        <f ca="1">IFERROR(__xludf.DUMMYFUNCTION("""COMPUTED_VALUE"""),"S3: Student Internships")</f>
        <v>S3: Student Internships</v>
      </c>
      <c r="M150" s="69" t="str">
        <f ca="1">IFERROR(__xludf.DUMMYFUNCTION("""COMPUTED_VALUE"""),"rithvikreddychantigari@gmail.com")</f>
        <v>rithvikreddychantigari@gmail.com</v>
      </c>
      <c r="N150" s="69" t="str">
        <f ca="1">IFERROR(__xludf.DUMMYFUNCTION("""COMPUTED_VALUE"""),"SEM-8")</f>
        <v>SEM-8</v>
      </c>
      <c r="O150" s="69"/>
      <c r="P150" s="69"/>
      <c r="Q150" s="69"/>
      <c r="R150" s="69"/>
      <c r="S150" s="69"/>
      <c r="T150" s="69"/>
      <c r="U150" s="69"/>
      <c r="V150" s="69"/>
      <c r="W150" s="69"/>
      <c r="X150" s="69"/>
    </row>
    <row r="151" spans="1:24" ht="33" customHeight="1" x14ac:dyDescent="0.15">
      <c r="A151" s="69" t="str">
        <f ca="1">IFERROR(__xludf.DUMMYFUNCTION("""COMPUTED_VALUE"""),"Sumanth varma Dandu")</f>
        <v>Sumanth varma Dandu</v>
      </c>
      <c r="B151" s="69" t="str">
        <f ca="1">IFERROR(__xludf.DUMMYFUNCTION("""COMPUTED_VALUE"""),"18331A0530")</f>
        <v>18331A0530</v>
      </c>
      <c r="C151" s="69" t="str">
        <f ca="1">IFERROR(__xludf.DUMMYFUNCTION("""COMPUTED_VALUE"""),"Mindtree Limites")</f>
        <v>Mindtree Limites</v>
      </c>
      <c r="D151" s="69" t="str">
        <f ca="1">IFERROR(__xludf.DUMMYFUNCTION("""COMPUTED_VALUE"""),"14-16 weeks")</f>
        <v>14-16 weeks</v>
      </c>
      <c r="E151" s="74">
        <f ca="1">IFERROR(__xludf.DUMMYFUNCTION("""COMPUTED_VALUE"""),44620)</f>
        <v>44620</v>
      </c>
      <c r="F151" s="74">
        <f ca="1">IFERROR(__xludf.DUMMYFUNCTION("""COMPUTED_VALUE"""),44742)</f>
        <v>44742</v>
      </c>
      <c r="G151" s="69" t="str">
        <f ca="1">IFERROR(__xludf.DUMMYFUNCTION("""COMPUTED_VALUE"""),"Yes")</f>
        <v>Yes</v>
      </c>
      <c r="H151" s="69" t="str">
        <f ca="1">IFERROR(__xludf.DUMMYFUNCTION("""COMPUTED_VALUE"""),"No")</f>
        <v>No</v>
      </c>
      <c r="I151" s="69">
        <f ca="1">IFERROR(__xludf.DUMMYFUNCTION("""COMPUTED_VALUE"""),10000)</f>
        <v>10000</v>
      </c>
      <c r="J151" s="75" t="str">
        <f ca="1">IFERROR(__xludf.DUMMYFUNCTION("""COMPUTED_VALUE"""),"https://drive.google.com/open?id=1vLiS16Riy3Hj4jFCZrDTX0Cb76lK2kbJ")</f>
        <v>https://drive.google.com/open?id=1vLiS16Riy3Hj4jFCZrDTX0Cb76lK2kbJ</v>
      </c>
      <c r="K151" s="69" t="str">
        <f ca="1">IFERROR(__xludf.DUMMYFUNCTION("""COMPUTED_VALUE"""),"2018-2022")</f>
        <v>2018-2022</v>
      </c>
      <c r="L151" s="69" t="str">
        <f ca="1">IFERROR(__xludf.DUMMYFUNCTION("""COMPUTED_VALUE"""),"S3: Student Internships")</f>
        <v>S3: Student Internships</v>
      </c>
      <c r="M151" s="69" t="str">
        <f ca="1">IFERROR(__xludf.DUMMYFUNCTION("""COMPUTED_VALUE"""),"dsumanthvarma6@gmail.com")</f>
        <v>dsumanthvarma6@gmail.com</v>
      </c>
      <c r="N151" s="69" t="str">
        <f ca="1">IFERROR(__xludf.DUMMYFUNCTION("""COMPUTED_VALUE"""),"SEM-8")</f>
        <v>SEM-8</v>
      </c>
      <c r="O151" s="69"/>
      <c r="P151" s="69"/>
      <c r="Q151" s="69"/>
      <c r="R151" s="69"/>
      <c r="S151" s="69"/>
      <c r="T151" s="69"/>
      <c r="U151" s="69"/>
      <c r="V151" s="69"/>
      <c r="W151" s="69"/>
      <c r="X151" s="69"/>
    </row>
    <row r="152" spans="1:24" ht="33" customHeight="1" x14ac:dyDescent="0.15">
      <c r="A152" s="9" t="str">
        <f ca="1">IFERROR(__xludf.DUMMYFUNCTION("""COMPUTED_VALUE"""),"Nune.Veera Narayanamma")</f>
        <v>Nune.Veera Narayanamma</v>
      </c>
      <c r="B152" s="9" t="str">
        <f ca="1">IFERROR(__xludf.DUMMYFUNCTION("""COMPUTED_VALUE"""),"20331A05C9")</f>
        <v>20331A05C9</v>
      </c>
      <c r="C152" s="9" t="str">
        <f ca="1">IFERROR(__xludf.DUMMYFUNCTION("""COMPUTED_VALUE"""),"I.T Essentials")</f>
        <v>I.T Essentials</v>
      </c>
      <c r="D152" s="9" t="str">
        <f ca="1">IFERROR(__xludf.DUMMYFUNCTION("""COMPUTED_VALUE"""),"2months")</f>
        <v>2months</v>
      </c>
      <c r="E152" s="72">
        <f ca="1">IFERROR(__xludf.DUMMYFUNCTION("""COMPUTED_VALUE"""),44326)</f>
        <v>44326</v>
      </c>
      <c r="F152" s="72">
        <f ca="1">IFERROR(__xludf.DUMMYFUNCTION("""COMPUTED_VALUE"""),44387)</f>
        <v>44387</v>
      </c>
      <c r="G152" s="9" t="str">
        <f ca="1">IFERROR(__xludf.DUMMYFUNCTION("""COMPUTED_VALUE"""),"No")</f>
        <v>No</v>
      </c>
      <c r="H152" s="9" t="str">
        <f ca="1">IFERROR(__xludf.DUMMYFUNCTION("""COMPUTED_VALUE"""),"No")</f>
        <v>No</v>
      </c>
      <c r="I152" s="9">
        <f ca="1">IFERROR(__xludf.DUMMYFUNCTION("""COMPUTED_VALUE"""),0)</f>
        <v>0</v>
      </c>
      <c r="J152" s="73" t="str">
        <f ca="1">IFERROR(__xludf.DUMMYFUNCTION("""COMPUTED_VALUE"""),"https://drive.google.com/open?id=1AEoFVZCs9R_i8Uv2eghRNXDGCyuNGV0o")</f>
        <v>https://drive.google.com/open?id=1AEoFVZCs9R_i8Uv2eghRNXDGCyuNGV0o</v>
      </c>
      <c r="K152" s="9" t="str">
        <f ca="1">IFERROR(__xludf.DUMMYFUNCTION("""COMPUTED_VALUE"""),"2020-2024")</f>
        <v>2020-2024</v>
      </c>
      <c r="L152" s="9" t="str">
        <f ca="1">IFERROR(__xludf.DUMMYFUNCTION("""COMPUTED_VALUE"""),"S3: Student Internships")</f>
        <v>S3: Student Internships</v>
      </c>
      <c r="M152" s="9" t="str">
        <f ca="1">IFERROR(__xludf.DUMMYFUNCTION("""COMPUTED_VALUE"""),"vasavinune24@gmail.com")</f>
        <v>vasavinune24@gmail.com</v>
      </c>
      <c r="N152" s="9" t="str">
        <f ca="1">IFERROR(__xludf.DUMMYFUNCTION("""COMPUTED_VALUE"""),"SEM-4")</f>
        <v>SEM-4</v>
      </c>
      <c r="O152" s="9"/>
      <c r="P152" s="9"/>
      <c r="Q152" s="9"/>
      <c r="R152" s="9"/>
      <c r="S152" s="9"/>
      <c r="T152" s="9"/>
      <c r="U152" s="9"/>
      <c r="V152" s="9"/>
      <c r="W152" s="9"/>
      <c r="X152" s="9"/>
    </row>
    <row r="153" spans="1:24" ht="33" customHeight="1" x14ac:dyDescent="0.15">
      <c r="A153" s="9" t="str">
        <f ca="1">IFERROR(__xludf.DUMMYFUNCTION("""COMPUTED_VALUE"""),"Jammi Sri Sai Yeshwanth ")</f>
        <v xml:space="preserve">Jammi Sri Sai Yeshwanth </v>
      </c>
      <c r="B153" s="9" t="str">
        <f ca="1">IFERROR(__xludf.DUMMYFUNCTION("""COMPUTED_VALUE"""),"20331A0574")</f>
        <v>20331A0574</v>
      </c>
      <c r="C153" s="9" t="str">
        <f ca="1">IFERROR(__xludf.DUMMYFUNCTION("""COMPUTED_VALUE"""),"Redhat Enterprises ")</f>
        <v xml:space="preserve">Redhat Enterprises </v>
      </c>
      <c r="D153" s="9" t="str">
        <f ca="1">IFERROR(__xludf.DUMMYFUNCTION("""COMPUTED_VALUE"""),"10 Weeks")</f>
        <v>10 Weeks</v>
      </c>
      <c r="E153" s="72">
        <f ca="1">IFERROR(__xludf.DUMMYFUNCTION("""COMPUTED_VALUE"""),44522)</f>
        <v>44522</v>
      </c>
      <c r="F153" s="72">
        <f ca="1">IFERROR(__xludf.DUMMYFUNCTION("""COMPUTED_VALUE"""),44561)</f>
        <v>44561</v>
      </c>
      <c r="G153" s="9" t="str">
        <f ca="1">IFERROR(__xludf.DUMMYFUNCTION("""COMPUTED_VALUE"""),"No")</f>
        <v>No</v>
      </c>
      <c r="H153" s="9" t="str">
        <f ca="1">IFERROR(__xludf.DUMMYFUNCTION("""COMPUTED_VALUE"""),"No")</f>
        <v>No</v>
      </c>
      <c r="I153" s="9">
        <f ca="1">IFERROR(__xludf.DUMMYFUNCTION("""COMPUTED_VALUE"""),0)</f>
        <v>0</v>
      </c>
      <c r="J153" s="73" t="str">
        <f ca="1">IFERROR(__xludf.DUMMYFUNCTION("""COMPUTED_VALUE"""),"https://drive.google.com/open?id=1zIw39WOTbilnopqS8otfGZVLqjHOITzf")</f>
        <v>https://drive.google.com/open?id=1zIw39WOTbilnopqS8otfGZVLqjHOITzf</v>
      </c>
      <c r="K153" s="9" t="str">
        <f ca="1">IFERROR(__xludf.DUMMYFUNCTION("""COMPUTED_VALUE"""),"2020-2024")</f>
        <v>2020-2024</v>
      </c>
      <c r="L153" s="9" t="str">
        <f ca="1">IFERROR(__xludf.DUMMYFUNCTION("""COMPUTED_VALUE"""),"S3: Student Internships")</f>
        <v>S3: Student Internships</v>
      </c>
      <c r="M153" s="9" t="str">
        <f ca="1">IFERROR(__xludf.DUMMYFUNCTION("""COMPUTED_VALUE"""),"yeswanthjammi@gmail.com")</f>
        <v>yeswanthjammi@gmail.com</v>
      </c>
      <c r="N153" s="9" t="str">
        <f ca="1">IFERROR(__xludf.DUMMYFUNCTION("""COMPUTED_VALUE"""),"SEM-4")</f>
        <v>SEM-4</v>
      </c>
      <c r="O153" s="9"/>
      <c r="P153" s="9"/>
      <c r="Q153" s="9"/>
      <c r="R153" s="9"/>
      <c r="S153" s="9"/>
      <c r="T153" s="9"/>
      <c r="U153" s="9"/>
      <c r="V153" s="9"/>
      <c r="W153" s="9"/>
      <c r="X153" s="9"/>
    </row>
    <row r="154" spans="1:24" ht="33" customHeight="1" x14ac:dyDescent="0.15">
      <c r="A154" s="69" t="str">
        <f ca="1">IFERROR(__xludf.DUMMYFUNCTION("""COMPUTED_VALUE"""),"SAI RISHITHA GORANTLA")</f>
        <v>SAI RISHITHA GORANTLA</v>
      </c>
      <c r="B154" s="69" t="str">
        <f ca="1">IFERROR(__xludf.DUMMYFUNCTION("""COMPUTED_VALUE"""),"19331A0555")</f>
        <v>19331A0555</v>
      </c>
      <c r="C154" s="69" t="str">
        <f ca="1">IFERROR(__xludf.DUMMYFUNCTION("""COMPUTED_VALUE"""),"AICTE")</f>
        <v>AICTE</v>
      </c>
      <c r="D154" s="69" t="str">
        <f ca="1">IFERROR(__xludf.DUMMYFUNCTION("""COMPUTED_VALUE"""),"10 weeks")</f>
        <v>10 weeks</v>
      </c>
      <c r="E154" s="74">
        <f ca="1">IFERROR(__xludf.DUMMYFUNCTION("""COMPUTED_VALUE"""),44477)</f>
        <v>44477</v>
      </c>
      <c r="F154" s="74">
        <f ca="1">IFERROR(__xludf.DUMMYFUNCTION("""COMPUTED_VALUE"""),44547)</f>
        <v>44547</v>
      </c>
      <c r="G154" s="69" t="str">
        <f ca="1">IFERROR(__xludf.DUMMYFUNCTION("""COMPUTED_VALUE"""),"No")</f>
        <v>No</v>
      </c>
      <c r="H154" s="69" t="str">
        <f ca="1">IFERROR(__xludf.DUMMYFUNCTION("""COMPUTED_VALUE"""),"No")</f>
        <v>No</v>
      </c>
      <c r="I154" s="69">
        <f ca="1">IFERROR(__xludf.DUMMYFUNCTION("""COMPUTED_VALUE"""),0)</f>
        <v>0</v>
      </c>
      <c r="J154" s="75" t="str">
        <f ca="1">IFERROR(__xludf.DUMMYFUNCTION("""COMPUTED_VALUE"""),"https://drive.google.com/open?id=1hkVUsy0h-xVJYXHA9uKl-06xHAobIvjm")</f>
        <v>https://drive.google.com/open?id=1hkVUsy0h-xVJYXHA9uKl-06xHAobIvjm</v>
      </c>
      <c r="K154" s="69" t="str">
        <f ca="1">IFERROR(__xludf.DUMMYFUNCTION("""COMPUTED_VALUE"""),"2019-2023")</f>
        <v>2019-2023</v>
      </c>
      <c r="L154" s="69" t="str">
        <f ca="1">IFERROR(__xludf.DUMMYFUNCTION("""COMPUTED_VALUE"""),"S3: Student Internships")</f>
        <v>S3: Student Internships</v>
      </c>
      <c r="M154" s="69" t="str">
        <f ca="1">IFERROR(__xludf.DUMMYFUNCTION("""COMPUTED_VALUE"""),"rishithagorantla23@gmail.com")</f>
        <v>rishithagorantla23@gmail.com</v>
      </c>
      <c r="N154" s="69" t="str">
        <f ca="1">IFERROR(__xludf.DUMMYFUNCTION("""COMPUTED_VALUE"""),"SEM-6")</f>
        <v>SEM-6</v>
      </c>
      <c r="O154" s="69"/>
      <c r="P154" s="69"/>
      <c r="Q154" s="69"/>
      <c r="R154" s="69"/>
      <c r="S154" s="69"/>
      <c r="T154" s="69"/>
      <c r="U154" s="69"/>
      <c r="V154" s="69"/>
      <c r="W154" s="69"/>
      <c r="X154" s="69"/>
    </row>
    <row r="155" spans="1:24" ht="33" customHeight="1" x14ac:dyDescent="0.15">
      <c r="A155" s="9" t="str">
        <f ca="1">IFERROR(__xludf.DUMMYFUNCTION("""COMPUTED_VALUE"""),"Medisetti Ramya Sahithi")</f>
        <v>Medisetti Ramya Sahithi</v>
      </c>
      <c r="B155" s="9" t="str">
        <f ca="1">IFERROR(__xludf.DUMMYFUNCTION("""COMPUTED_VALUE"""),"20331A05A9")</f>
        <v>20331A05A9</v>
      </c>
      <c r="C155" s="9" t="str">
        <f ca="1">IFERROR(__xludf.DUMMYFUNCTION("""COMPUTED_VALUE"""),"CISCO")</f>
        <v>CISCO</v>
      </c>
      <c r="D155" s="9" t="str">
        <f ca="1">IFERROR(__xludf.DUMMYFUNCTION("""COMPUTED_VALUE"""),"2 months")</f>
        <v>2 months</v>
      </c>
      <c r="E155" s="72">
        <f ca="1">IFERROR(__xludf.DUMMYFUNCTION("""COMPUTED_VALUE"""),44357)</f>
        <v>44357</v>
      </c>
      <c r="F155" s="72">
        <f ca="1">IFERROR(__xludf.DUMMYFUNCTION("""COMPUTED_VALUE"""),44418)</f>
        <v>44418</v>
      </c>
      <c r="G155" s="9" t="str">
        <f ca="1">IFERROR(__xludf.DUMMYFUNCTION("""COMPUTED_VALUE"""),"No")</f>
        <v>No</v>
      </c>
      <c r="H155" s="9" t="str">
        <f ca="1">IFERROR(__xludf.DUMMYFUNCTION("""COMPUTED_VALUE"""),"No")</f>
        <v>No</v>
      </c>
      <c r="I155" s="9">
        <f ca="1">IFERROR(__xludf.DUMMYFUNCTION("""COMPUTED_VALUE"""),0)</f>
        <v>0</v>
      </c>
      <c r="J155" s="73" t="str">
        <f ca="1">IFERROR(__xludf.DUMMYFUNCTION("""COMPUTED_VALUE"""),"https://drive.google.com/open?id=1yglCYVQ199qx5k15o7caTfXUWiGv0Jfi")</f>
        <v>https://drive.google.com/open?id=1yglCYVQ199qx5k15o7caTfXUWiGv0Jfi</v>
      </c>
      <c r="K155" s="9" t="str">
        <f ca="1">IFERROR(__xludf.DUMMYFUNCTION("""COMPUTED_VALUE"""),"2020-2024")</f>
        <v>2020-2024</v>
      </c>
      <c r="L155" s="9" t="str">
        <f ca="1">IFERROR(__xludf.DUMMYFUNCTION("""COMPUTED_VALUE"""),"S3: Student Internships")</f>
        <v>S3: Student Internships</v>
      </c>
      <c r="M155" s="9" t="str">
        <f ca="1">IFERROR(__xludf.DUMMYFUNCTION("""COMPUTED_VALUE"""),"medisettiramyasahithi@gmail.com")</f>
        <v>medisettiramyasahithi@gmail.com</v>
      </c>
      <c r="N155" s="9" t="str">
        <f ca="1">IFERROR(__xludf.DUMMYFUNCTION("""COMPUTED_VALUE"""),"SEM-4")</f>
        <v>SEM-4</v>
      </c>
      <c r="O155" s="9"/>
      <c r="P155" s="9"/>
      <c r="Q155" s="9"/>
      <c r="R155" s="9"/>
      <c r="S155" s="9"/>
      <c r="T155" s="9"/>
      <c r="U155" s="9"/>
      <c r="V155" s="9"/>
      <c r="W155" s="9"/>
      <c r="X155" s="9"/>
    </row>
    <row r="156" spans="1:24" ht="33" customHeight="1" x14ac:dyDescent="0.15">
      <c r="A156" s="69" t="str">
        <f ca="1">IFERROR(__xludf.DUMMYFUNCTION("""COMPUTED_VALUE"""),"Medisetti Ramya Sahithi")</f>
        <v>Medisetti Ramya Sahithi</v>
      </c>
      <c r="B156" s="69" t="str">
        <f ca="1">IFERROR(__xludf.DUMMYFUNCTION("""COMPUTED_VALUE"""),"20331A05A9")</f>
        <v>20331A05A9</v>
      </c>
      <c r="C156" s="69" t="str">
        <f ca="1">IFERROR(__xludf.DUMMYFUNCTION("""COMPUTED_VALUE"""),"EDUSKILLS")</f>
        <v>EDUSKILLS</v>
      </c>
      <c r="D156" s="69" t="str">
        <f ca="1">IFERROR(__xludf.DUMMYFUNCTION("""COMPUTED_VALUE"""),"3 months")</f>
        <v>3 months</v>
      </c>
      <c r="E156" s="74">
        <f ca="1">IFERROR(__xludf.DUMMYFUNCTION("""COMPUTED_VALUE"""),44835)</f>
        <v>44835</v>
      </c>
      <c r="F156" s="74">
        <f ca="1">IFERROR(__xludf.DUMMYFUNCTION("""COMPUTED_VALUE"""),44926)</f>
        <v>44926</v>
      </c>
      <c r="G156" s="69" t="str">
        <f ca="1">IFERROR(__xludf.DUMMYFUNCTION("""COMPUTED_VALUE"""),"No")</f>
        <v>No</v>
      </c>
      <c r="H156" s="69" t="str">
        <f ca="1">IFERROR(__xludf.DUMMYFUNCTION("""COMPUTED_VALUE"""),"No")</f>
        <v>No</v>
      </c>
      <c r="I156" s="69">
        <f ca="1">IFERROR(__xludf.DUMMYFUNCTION("""COMPUTED_VALUE"""),0)</f>
        <v>0</v>
      </c>
      <c r="J156" s="75" t="str">
        <f ca="1">IFERROR(__xludf.DUMMYFUNCTION("""COMPUTED_VALUE"""),"https://drive.google.com/open?id=1Wd9ZHAz5yyCDZGziuamZ_KhEPJWFqAfM")</f>
        <v>https://drive.google.com/open?id=1Wd9ZHAz5yyCDZGziuamZ_KhEPJWFqAfM</v>
      </c>
      <c r="K156" s="69" t="str">
        <f ca="1">IFERROR(__xludf.DUMMYFUNCTION("""COMPUTED_VALUE"""),"2020-2024")</f>
        <v>2020-2024</v>
      </c>
      <c r="L156" s="69" t="str">
        <f ca="1">IFERROR(__xludf.DUMMYFUNCTION("""COMPUTED_VALUE"""),"S3: Student Internships")</f>
        <v>S3: Student Internships</v>
      </c>
      <c r="M156" s="69" t="str">
        <f ca="1">IFERROR(__xludf.DUMMYFUNCTION("""COMPUTED_VALUE"""),"medisettiramyasahithi@gmail.com")</f>
        <v>medisettiramyasahithi@gmail.com</v>
      </c>
      <c r="N156" s="69" t="str">
        <f ca="1">IFERROR(__xludf.DUMMYFUNCTION("""COMPUTED_VALUE"""),"SEM-4")</f>
        <v>SEM-4</v>
      </c>
      <c r="O156" s="69"/>
      <c r="P156" s="69"/>
      <c r="Q156" s="69"/>
      <c r="R156" s="69"/>
      <c r="S156" s="69"/>
      <c r="T156" s="69"/>
      <c r="U156" s="69"/>
      <c r="V156" s="69"/>
      <c r="W156" s="69"/>
      <c r="X156" s="69"/>
    </row>
    <row r="157" spans="1:24" ht="33" customHeight="1" x14ac:dyDescent="0.15">
      <c r="A157" s="69" t="str">
        <f ca="1">IFERROR(__xludf.DUMMYFUNCTION("""COMPUTED_VALUE"""),"GRANDHI.VASAVI")</f>
        <v>GRANDHI.VASAVI</v>
      </c>
      <c r="B157" s="69" t="str">
        <f ca="1">IFERROR(__xludf.DUMMYFUNCTION("""COMPUTED_VALUE"""),"19331A0558")</f>
        <v>19331A0558</v>
      </c>
      <c r="C157" s="69" t="str">
        <f ca="1">IFERROR(__xludf.DUMMYFUNCTION("""COMPUTED_VALUE"""),"AICTE")</f>
        <v>AICTE</v>
      </c>
      <c r="D157" s="69" t="str">
        <f ca="1">IFERROR(__xludf.DUMMYFUNCTION("""COMPUTED_VALUE"""),"10 weeks")</f>
        <v>10 weeks</v>
      </c>
      <c r="E157" s="74">
        <f ca="1">IFERROR(__xludf.DUMMYFUNCTION("""COMPUTED_VALUE"""),44487)</f>
        <v>44487</v>
      </c>
      <c r="F157" s="74">
        <f ca="1">IFERROR(__xludf.DUMMYFUNCTION("""COMPUTED_VALUE"""),44541)</f>
        <v>44541</v>
      </c>
      <c r="G157" s="69" t="str">
        <f ca="1">IFERROR(__xludf.DUMMYFUNCTION("""COMPUTED_VALUE"""),"No")</f>
        <v>No</v>
      </c>
      <c r="H157" s="69" t="str">
        <f ca="1">IFERROR(__xludf.DUMMYFUNCTION("""COMPUTED_VALUE"""),"No")</f>
        <v>No</v>
      </c>
      <c r="I157" s="69">
        <f ca="1">IFERROR(__xludf.DUMMYFUNCTION("""COMPUTED_VALUE"""),0)</f>
        <v>0</v>
      </c>
      <c r="J157" s="75" t="str">
        <f ca="1">IFERROR(__xludf.DUMMYFUNCTION("""COMPUTED_VALUE"""),"https://drive.google.com/open?id=18seBZorcjr3O70OKP_3pPmnzYScR3v6i")</f>
        <v>https://drive.google.com/open?id=18seBZorcjr3O70OKP_3pPmnzYScR3v6i</v>
      </c>
      <c r="K157" s="69" t="str">
        <f ca="1">IFERROR(__xludf.DUMMYFUNCTION("""COMPUTED_VALUE"""),"2019-2023")</f>
        <v>2019-2023</v>
      </c>
      <c r="L157" s="69" t="str">
        <f ca="1">IFERROR(__xludf.DUMMYFUNCTION("""COMPUTED_VALUE"""),"S3: Student Internships")</f>
        <v>S3: Student Internships</v>
      </c>
      <c r="M157" s="69" t="str">
        <f ca="1">IFERROR(__xludf.DUMMYFUNCTION("""COMPUTED_VALUE"""),"vasavigrandhi02@gmail.com")</f>
        <v>vasavigrandhi02@gmail.com</v>
      </c>
      <c r="N157" s="69" t="str">
        <f ca="1">IFERROR(__xludf.DUMMYFUNCTION("""COMPUTED_VALUE"""),"SEM-5")</f>
        <v>SEM-5</v>
      </c>
      <c r="O157" s="69"/>
      <c r="P157" s="69"/>
      <c r="Q157" s="69"/>
      <c r="R157" s="69"/>
      <c r="S157" s="69"/>
      <c r="T157" s="69"/>
      <c r="U157" s="69"/>
      <c r="V157" s="69"/>
      <c r="W157" s="69"/>
      <c r="X157" s="69"/>
    </row>
    <row r="158" spans="1:24" ht="33" customHeight="1" x14ac:dyDescent="0.15">
      <c r="A158" s="69" t="str">
        <f ca="1">IFERROR(__xludf.DUMMYFUNCTION("""COMPUTED_VALUE"""),"BHOOMIREDDY KAVYA")</f>
        <v>BHOOMIREDDY KAVYA</v>
      </c>
      <c r="B158" s="69" t="str">
        <f ca="1">IFERROR(__xludf.DUMMYFUNCTION("""COMPUTED_VALUE"""),"19331A0517")</f>
        <v>19331A0517</v>
      </c>
      <c r="C158" s="69" t="str">
        <f ca="1">IFERROR(__xludf.DUMMYFUNCTION("""COMPUTED_VALUE"""),"AICTE")</f>
        <v>AICTE</v>
      </c>
      <c r="D158" s="69" t="str">
        <f ca="1">IFERROR(__xludf.DUMMYFUNCTION("""COMPUTED_VALUE"""),"10 weeks")</f>
        <v>10 weeks</v>
      </c>
      <c r="E158" s="74">
        <f ca="1">IFERROR(__xludf.DUMMYFUNCTION("""COMPUTED_VALUE"""),44487)</f>
        <v>44487</v>
      </c>
      <c r="F158" s="74">
        <f ca="1">IFERROR(__xludf.DUMMYFUNCTION("""COMPUTED_VALUE"""),44541)</f>
        <v>44541</v>
      </c>
      <c r="G158" s="69" t="str">
        <f ca="1">IFERROR(__xludf.DUMMYFUNCTION("""COMPUTED_VALUE"""),"No")</f>
        <v>No</v>
      </c>
      <c r="H158" s="69" t="str">
        <f ca="1">IFERROR(__xludf.DUMMYFUNCTION("""COMPUTED_VALUE"""),"No")</f>
        <v>No</v>
      </c>
      <c r="I158" s="69">
        <f ca="1">IFERROR(__xludf.DUMMYFUNCTION("""COMPUTED_VALUE"""),0)</f>
        <v>0</v>
      </c>
      <c r="J158" s="75" t="str">
        <f ca="1">IFERROR(__xludf.DUMMYFUNCTION("""COMPUTED_VALUE"""),"https://drive.google.com/open?id=16c7c1M1MusHqa3fgQVXKq9D00j0pivXc")</f>
        <v>https://drive.google.com/open?id=16c7c1M1MusHqa3fgQVXKq9D00j0pivXc</v>
      </c>
      <c r="K158" s="69" t="str">
        <f ca="1">IFERROR(__xludf.DUMMYFUNCTION("""COMPUTED_VALUE"""),"2019-2023")</f>
        <v>2019-2023</v>
      </c>
      <c r="L158" s="69" t="str">
        <f ca="1">IFERROR(__xludf.DUMMYFUNCTION("""COMPUTED_VALUE"""),"S3: Student Internships")</f>
        <v>S3: Student Internships</v>
      </c>
      <c r="M158" s="69" t="str">
        <f ca="1">IFERROR(__xludf.DUMMYFUNCTION("""COMPUTED_VALUE"""),"kavyabhoomireddy@gmail.com")</f>
        <v>kavyabhoomireddy@gmail.com</v>
      </c>
      <c r="N158" s="69" t="str">
        <f ca="1">IFERROR(__xludf.DUMMYFUNCTION("""COMPUTED_VALUE"""),"SEM-6")</f>
        <v>SEM-6</v>
      </c>
      <c r="O158" s="69"/>
      <c r="P158" s="69"/>
      <c r="Q158" s="69"/>
      <c r="R158" s="69"/>
      <c r="S158" s="69"/>
      <c r="T158" s="69"/>
      <c r="U158" s="69"/>
      <c r="V158" s="69"/>
      <c r="W158" s="69"/>
      <c r="X158" s="69"/>
    </row>
    <row r="159" spans="1:24" ht="33" customHeight="1" x14ac:dyDescent="0.15">
      <c r="A159" s="69" t="str">
        <f ca="1">IFERROR(__xludf.DUMMYFUNCTION("""COMPUTED_VALUE"""),"Chikkala Sowmya Deepika")</f>
        <v>Chikkala Sowmya Deepika</v>
      </c>
      <c r="B159" s="69" t="str">
        <f ca="1">IFERROR(__xludf.DUMMYFUNCTION("""COMPUTED_VALUE"""),"19331A0535")</f>
        <v>19331A0535</v>
      </c>
      <c r="C159" s="69" t="str">
        <f ca="1">IFERROR(__xludf.DUMMYFUNCTION("""COMPUTED_VALUE"""),"AICTE")</f>
        <v>AICTE</v>
      </c>
      <c r="D159" s="69" t="str">
        <f ca="1">IFERROR(__xludf.DUMMYFUNCTION("""COMPUTED_VALUE"""),"10 weeks")</f>
        <v>10 weeks</v>
      </c>
      <c r="E159" s="74">
        <f ca="1">IFERROR(__xludf.DUMMYFUNCTION("""COMPUTED_VALUE"""),44487)</f>
        <v>44487</v>
      </c>
      <c r="F159" s="74">
        <f ca="1">IFERROR(__xludf.DUMMYFUNCTION("""COMPUTED_VALUE"""),44541)</f>
        <v>44541</v>
      </c>
      <c r="G159" s="69" t="str">
        <f ca="1">IFERROR(__xludf.DUMMYFUNCTION("""COMPUTED_VALUE"""),"No")</f>
        <v>No</v>
      </c>
      <c r="H159" s="69" t="str">
        <f ca="1">IFERROR(__xludf.DUMMYFUNCTION("""COMPUTED_VALUE"""),"No")</f>
        <v>No</v>
      </c>
      <c r="I159" s="69">
        <f ca="1">IFERROR(__xludf.DUMMYFUNCTION("""COMPUTED_VALUE"""),0)</f>
        <v>0</v>
      </c>
      <c r="J159" s="75" t="str">
        <f ca="1">IFERROR(__xludf.DUMMYFUNCTION("""COMPUTED_VALUE"""),"https://drive.google.com/open?id=1Np-pIt1IdoqAq_K8OBZRls1Bm7DjtjSq")</f>
        <v>https://drive.google.com/open?id=1Np-pIt1IdoqAq_K8OBZRls1Bm7DjtjSq</v>
      </c>
      <c r="K159" s="69" t="str">
        <f ca="1">IFERROR(__xludf.DUMMYFUNCTION("""COMPUTED_VALUE"""),"2019-2023")</f>
        <v>2019-2023</v>
      </c>
      <c r="L159" s="69" t="str">
        <f ca="1">IFERROR(__xludf.DUMMYFUNCTION("""COMPUTED_VALUE"""),"S3: Student Internships")</f>
        <v>S3: Student Internships</v>
      </c>
      <c r="M159" s="69" t="str">
        <f ca="1">IFERROR(__xludf.DUMMYFUNCTION("""COMPUTED_VALUE"""),"sowmyadeepika2810@gmail.com")</f>
        <v>sowmyadeepika2810@gmail.com</v>
      </c>
      <c r="N159" s="69" t="str">
        <f ca="1">IFERROR(__xludf.DUMMYFUNCTION("""COMPUTED_VALUE"""),"SEM-6")</f>
        <v>SEM-6</v>
      </c>
      <c r="O159" s="69"/>
      <c r="P159" s="69"/>
      <c r="Q159" s="69"/>
      <c r="R159" s="69"/>
      <c r="S159" s="69"/>
      <c r="T159" s="69"/>
      <c r="U159" s="69"/>
      <c r="V159" s="69"/>
      <c r="W159" s="69"/>
      <c r="X159" s="69"/>
    </row>
    <row r="160" spans="1:24" ht="33" customHeight="1" x14ac:dyDescent="0.15">
      <c r="A160" s="69" t="str">
        <f ca="1">IFERROR(__xludf.DUMMYFUNCTION("""COMPUTED_VALUE"""),"Datla V Subhadra Kumari ")</f>
        <v xml:space="preserve">Datla V Subhadra Kumari </v>
      </c>
      <c r="B160" s="69" t="str">
        <f ca="1">IFERROR(__xludf.DUMMYFUNCTION("""COMPUTED_VALUE"""),"19331A0541 ")</f>
        <v xml:space="preserve">19331A0541 </v>
      </c>
      <c r="C160" s="69" t="str">
        <f ca="1">IFERROR(__xludf.DUMMYFUNCTION("""COMPUTED_VALUE"""),"AICTE")</f>
        <v>AICTE</v>
      </c>
      <c r="D160" s="69" t="str">
        <f ca="1">IFERROR(__xludf.DUMMYFUNCTION("""COMPUTED_VALUE"""),"10 weeks")</f>
        <v>10 weeks</v>
      </c>
      <c r="E160" s="74">
        <f ca="1">IFERROR(__xludf.DUMMYFUNCTION("""COMPUTED_VALUE"""),44492)</f>
        <v>44492</v>
      </c>
      <c r="F160" s="74">
        <f ca="1">IFERROR(__xludf.DUMMYFUNCTION("""COMPUTED_VALUE"""),44545)</f>
        <v>44545</v>
      </c>
      <c r="G160" s="69" t="str">
        <f ca="1">IFERROR(__xludf.DUMMYFUNCTION("""COMPUTED_VALUE"""),"No")</f>
        <v>No</v>
      </c>
      <c r="H160" s="69" t="str">
        <f ca="1">IFERROR(__xludf.DUMMYFUNCTION("""COMPUTED_VALUE"""),"No")</f>
        <v>No</v>
      </c>
      <c r="I160" s="69">
        <f ca="1">IFERROR(__xludf.DUMMYFUNCTION("""COMPUTED_VALUE"""),0)</f>
        <v>0</v>
      </c>
      <c r="J160" s="75" t="str">
        <f ca="1">IFERROR(__xludf.DUMMYFUNCTION("""COMPUTED_VALUE"""),"https://drive.google.com/open?id=1JN1omyDFwhZ6DQdL14ffHMt9A0htX21g")</f>
        <v>https://drive.google.com/open?id=1JN1omyDFwhZ6DQdL14ffHMt9A0htX21g</v>
      </c>
      <c r="K160" s="69" t="str">
        <f ca="1">IFERROR(__xludf.DUMMYFUNCTION("""COMPUTED_VALUE"""),"2019-2023")</f>
        <v>2019-2023</v>
      </c>
      <c r="L160" s="69" t="str">
        <f ca="1">IFERROR(__xludf.DUMMYFUNCTION("""COMPUTED_VALUE"""),"S3: Student Internships")</f>
        <v>S3: Student Internships</v>
      </c>
      <c r="M160" s="69" t="str">
        <f ca="1">IFERROR(__xludf.DUMMYFUNCTION("""COMPUTED_VALUE"""),"amritha.datla@gmail.com")</f>
        <v>amritha.datla@gmail.com</v>
      </c>
      <c r="N160" s="69" t="str">
        <f ca="1">IFERROR(__xludf.DUMMYFUNCTION("""COMPUTED_VALUE"""),"SEM-6")</f>
        <v>SEM-6</v>
      </c>
      <c r="O160" s="69"/>
      <c r="P160" s="69"/>
      <c r="Q160" s="69"/>
      <c r="R160" s="69"/>
      <c r="S160" s="69"/>
      <c r="T160" s="69"/>
      <c r="U160" s="69"/>
      <c r="V160" s="69"/>
      <c r="W160" s="69"/>
      <c r="X160" s="69"/>
    </row>
    <row r="161" spans="1:24" ht="33" customHeight="1" x14ac:dyDescent="0.15">
      <c r="A161" s="9" t="str">
        <f ca="1">IFERROR(__xludf.DUMMYFUNCTION("""COMPUTED_VALUE"""),"Thatimalla Niveditha")</f>
        <v>Thatimalla Niveditha</v>
      </c>
      <c r="B161" s="9" t="str">
        <f ca="1">IFERROR(__xludf.DUMMYFUNCTION("""COMPUTED_VALUE"""),"19331A05H1")</f>
        <v>19331A05H1</v>
      </c>
      <c r="C161" s="9" t="str">
        <f ca="1">IFERROR(__xludf.DUMMYFUNCTION("""COMPUTED_VALUE"""),"AICTE")</f>
        <v>AICTE</v>
      </c>
      <c r="D161" s="9" t="str">
        <f ca="1">IFERROR(__xludf.DUMMYFUNCTION("""COMPUTED_VALUE"""),"10 weeks")</f>
        <v>10 weeks</v>
      </c>
      <c r="E161" s="72">
        <f ca="1">IFERROR(__xludf.DUMMYFUNCTION("""COMPUTED_VALUE"""),44635)</f>
        <v>44635</v>
      </c>
      <c r="F161" s="72">
        <f ca="1">IFERROR(__xludf.DUMMYFUNCTION("""COMPUTED_VALUE"""),44545)</f>
        <v>44545</v>
      </c>
      <c r="G161" s="9" t="str">
        <f ca="1">IFERROR(__xludf.DUMMYFUNCTION("""COMPUTED_VALUE"""),"No")</f>
        <v>No</v>
      </c>
      <c r="H161" s="9" t="str">
        <f ca="1">IFERROR(__xludf.DUMMYFUNCTION("""COMPUTED_VALUE"""),"No")</f>
        <v>No</v>
      </c>
      <c r="I161" s="9">
        <f ca="1">IFERROR(__xludf.DUMMYFUNCTION("""COMPUTED_VALUE"""),0)</f>
        <v>0</v>
      </c>
      <c r="J161" s="73" t="str">
        <f ca="1">IFERROR(__xludf.DUMMYFUNCTION("""COMPUTED_VALUE"""),"https://drive.google.com/open?id=1fkfNt3Enmx67ukXQijvhGeQwlv7OqiGp")</f>
        <v>https://drive.google.com/open?id=1fkfNt3Enmx67ukXQijvhGeQwlv7OqiGp</v>
      </c>
      <c r="K161" s="9" t="str">
        <f ca="1">IFERROR(__xludf.DUMMYFUNCTION("""COMPUTED_VALUE"""),"2019-2023")</f>
        <v>2019-2023</v>
      </c>
      <c r="L161" s="9" t="str">
        <f ca="1">IFERROR(__xludf.DUMMYFUNCTION("""COMPUTED_VALUE"""),"S3: Student Internships")</f>
        <v>S3: Student Internships</v>
      </c>
      <c r="M161" s="9" t="str">
        <f ca="1">IFERROR(__xludf.DUMMYFUNCTION("""COMPUTED_VALUE"""),"thatimallaniveditha@gmail.com")</f>
        <v>thatimallaniveditha@gmail.com</v>
      </c>
      <c r="N161" s="9" t="str">
        <f ca="1">IFERROR(__xludf.DUMMYFUNCTION("""COMPUTED_VALUE"""),"SEM-6")</f>
        <v>SEM-6</v>
      </c>
      <c r="O161" s="9"/>
      <c r="P161" s="9"/>
      <c r="Q161" s="9"/>
      <c r="R161" s="9"/>
      <c r="S161" s="9"/>
      <c r="T161" s="9"/>
      <c r="U161" s="9"/>
      <c r="V161" s="9"/>
      <c r="W161" s="9"/>
      <c r="X161" s="9"/>
    </row>
    <row r="162" spans="1:24" ht="33" customHeight="1" x14ac:dyDescent="0.15">
      <c r="A162" s="69" t="str">
        <f ca="1">IFERROR(__xludf.DUMMYFUNCTION("""COMPUTED_VALUE"""),"A A S N NISHANTH VARMA PUSAPATI")</f>
        <v>A A S N NISHANTH VARMA PUSAPATI</v>
      </c>
      <c r="B162" s="69" t="str">
        <f ca="1">IFERROR(__xludf.DUMMYFUNCTION("""COMPUTED_VALUE"""),"19331A0501")</f>
        <v>19331A0501</v>
      </c>
      <c r="C162" s="69" t="str">
        <f ca="1">IFERROR(__xludf.DUMMYFUNCTION("""COMPUTED_VALUE"""),"AICTE")</f>
        <v>AICTE</v>
      </c>
      <c r="D162" s="69" t="str">
        <f ca="1">IFERROR(__xludf.DUMMYFUNCTION("""COMPUTED_VALUE"""),"10 weeks")</f>
        <v>10 weeks</v>
      </c>
      <c r="E162" s="74">
        <f ca="1">IFERROR(__xludf.DUMMYFUNCTION("""COMPUTED_VALUE"""),44477)</f>
        <v>44477</v>
      </c>
      <c r="F162" s="74">
        <f ca="1">IFERROR(__xludf.DUMMYFUNCTION("""COMPUTED_VALUE"""),44547)</f>
        <v>44547</v>
      </c>
      <c r="G162" s="69" t="str">
        <f ca="1">IFERROR(__xludf.DUMMYFUNCTION("""COMPUTED_VALUE"""),"No")</f>
        <v>No</v>
      </c>
      <c r="H162" s="69" t="str">
        <f ca="1">IFERROR(__xludf.DUMMYFUNCTION("""COMPUTED_VALUE"""),"No")</f>
        <v>No</v>
      </c>
      <c r="I162" s="69">
        <f ca="1">IFERROR(__xludf.DUMMYFUNCTION("""COMPUTED_VALUE"""),0)</f>
        <v>0</v>
      </c>
      <c r="J162" s="75" t="str">
        <f ca="1">IFERROR(__xludf.DUMMYFUNCTION("""COMPUTED_VALUE"""),"https://drive.google.com/open?id=11tvcZC2B6NAxoyFWA5BgpbovXc-a3Nv7")</f>
        <v>https://drive.google.com/open?id=11tvcZC2B6NAxoyFWA5BgpbovXc-a3Nv7</v>
      </c>
      <c r="K162" s="69" t="str">
        <f ca="1">IFERROR(__xludf.DUMMYFUNCTION("""COMPUTED_VALUE"""),"2019-2023")</f>
        <v>2019-2023</v>
      </c>
      <c r="L162" s="69" t="str">
        <f ca="1">IFERROR(__xludf.DUMMYFUNCTION("""COMPUTED_VALUE"""),"S3: Student Internships")</f>
        <v>S3: Student Internships</v>
      </c>
      <c r="M162" s="69" t="str">
        <f ca="1">IFERROR(__xludf.DUMMYFUNCTION("""COMPUTED_VALUE"""),"nishanthvarma14819@gmail.com")</f>
        <v>nishanthvarma14819@gmail.com</v>
      </c>
      <c r="N162" s="69" t="str">
        <f ca="1">IFERROR(__xludf.DUMMYFUNCTION("""COMPUTED_VALUE"""),"SEM-6")</f>
        <v>SEM-6</v>
      </c>
      <c r="O162" s="69"/>
      <c r="P162" s="69"/>
      <c r="Q162" s="69"/>
      <c r="R162" s="69"/>
      <c r="S162" s="69"/>
      <c r="T162" s="69"/>
      <c r="U162" s="69"/>
      <c r="V162" s="69"/>
      <c r="W162" s="69"/>
      <c r="X162" s="69"/>
    </row>
    <row r="163" spans="1:24" ht="33" customHeight="1" x14ac:dyDescent="0.15">
      <c r="A163" s="9" t="str">
        <f ca="1">IFERROR(__xludf.DUMMYFUNCTION("""COMPUTED_VALUE"""),"Varada Naga Praneetha")</f>
        <v>Varada Naga Praneetha</v>
      </c>
      <c r="B163" s="9" t="str">
        <f ca="1">IFERROR(__xludf.DUMMYFUNCTION("""COMPUTED_VALUE"""),"19331A05I1 ")</f>
        <v xml:space="preserve">19331A05I1 </v>
      </c>
      <c r="C163" s="9" t="str">
        <f ca="1">IFERROR(__xludf.DUMMYFUNCTION("""COMPUTED_VALUE"""),"AICTE")</f>
        <v>AICTE</v>
      </c>
      <c r="D163" s="9" t="str">
        <f ca="1">IFERROR(__xludf.DUMMYFUNCTION("""COMPUTED_VALUE"""),"10 weeks")</f>
        <v>10 weeks</v>
      </c>
      <c r="E163" s="72">
        <f ca="1">IFERROR(__xludf.DUMMYFUNCTION("""COMPUTED_VALUE"""),44470)</f>
        <v>44470</v>
      </c>
      <c r="F163" s="72">
        <f ca="1">IFERROR(__xludf.DUMMYFUNCTION("""COMPUTED_VALUE"""),44561)</f>
        <v>44561</v>
      </c>
      <c r="G163" s="9" t="str">
        <f ca="1">IFERROR(__xludf.DUMMYFUNCTION("""COMPUTED_VALUE"""),"No")</f>
        <v>No</v>
      </c>
      <c r="H163" s="9" t="str">
        <f ca="1">IFERROR(__xludf.DUMMYFUNCTION("""COMPUTED_VALUE"""),"No")</f>
        <v>No</v>
      </c>
      <c r="I163" s="9">
        <f ca="1">IFERROR(__xludf.DUMMYFUNCTION("""COMPUTED_VALUE"""),0)</f>
        <v>0</v>
      </c>
      <c r="J163" s="73" t="str">
        <f ca="1">IFERROR(__xludf.DUMMYFUNCTION("""COMPUTED_VALUE"""),"https://drive.google.com/open?id=1iebwTBXwTYrugaMqKMKl6bj1uGidMTeG")</f>
        <v>https://drive.google.com/open?id=1iebwTBXwTYrugaMqKMKl6bj1uGidMTeG</v>
      </c>
      <c r="K163" s="9" t="str">
        <f ca="1">IFERROR(__xludf.DUMMYFUNCTION("""COMPUTED_VALUE"""),"2019-2023")</f>
        <v>2019-2023</v>
      </c>
      <c r="L163" s="9" t="str">
        <f ca="1">IFERROR(__xludf.DUMMYFUNCTION("""COMPUTED_VALUE"""),"S3: Student Internships")</f>
        <v>S3: Student Internships</v>
      </c>
      <c r="M163" s="9" t="str">
        <f ca="1">IFERROR(__xludf.DUMMYFUNCTION("""COMPUTED_VALUE"""),"praneetha.varada@gmail.com")</f>
        <v>praneetha.varada@gmail.com</v>
      </c>
      <c r="N163" s="9" t="str">
        <f ca="1">IFERROR(__xludf.DUMMYFUNCTION("""COMPUTED_VALUE"""),"SEM-6")</f>
        <v>SEM-6</v>
      </c>
      <c r="O163" s="9"/>
      <c r="P163" s="9"/>
      <c r="Q163" s="9"/>
      <c r="R163" s="9"/>
      <c r="S163" s="9"/>
      <c r="T163" s="9"/>
      <c r="U163" s="9"/>
      <c r="V163" s="9"/>
      <c r="W163" s="9"/>
      <c r="X163" s="9"/>
    </row>
    <row r="164" spans="1:24" ht="33" customHeight="1" x14ac:dyDescent="0.15">
      <c r="A164" s="69" t="str">
        <f ca="1">IFERROR(__xludf.DUMMYFUNCTION("""COMPUTED_VALUE"""),"Sammingi Anju Sai Neha Bhuvya ")</f>
        <v xml:space="preserve">Sammingi Anju Sai Neha Bhuvya </v>
      </c>
      <c r="B164" s="69" t="str">
        <f ca="1">IFERROR(__xludf.DUMMYFUNCTION("""COMPUTED_VALUE"""),"19331A05E7 ")</f>
        <v xml:space="preserve">19331A05E7 </v>
      </c>
      <c r="C164" s="69" t="str">
        <f ca="1">IFERROR(__xludf.DUMMYFUNCTION("""COMPUTED_VALUE"""),"AICTE")</f>
        <v>AICTE</v>
      </c>
      <c r="D164" s="69" t="str">
        <f ca="1">IFERROR(__xludf.DUMMYFUNCTION("""COMPUTED_VALUE"""),"10 weeks")</f>
        <v>10 weeks</v>
      </c>
      <c r="E164" s="74">
        <f ca="1">IFERROR(__xludf.DUMMYFUNCTION("""COMPUTED_VALUE"""),44470)</f>
        <v>44470</v>
      </c>
      <c r="F164" s="74">
        <f ca="1">IFERROR(__xludf.DUMMYFUNCTION("""COMPUTED_VALUE"""),44542)</f>
        <v>44542</v>
      </c>
      <c r="G164" s="69" t="str">
        <f ca="1">IFERROR(__xludf.DUMMYFUNCTION("""COMPUTED_VALUE"""),"No")</f>
        <v>No</v>
      </c>
      <c r="H164" s="69" t="str">
        <f ca="1">IFERROR(__xludf.DUMMYFUNCTION("""COMPUTED_VALUE"""),"No")</f>
        <v>No</v>
      </c>
      <c r="I164" s="69">
        <f ca="1">IFERROR(__xludf.DUMMYFUNCTION("""COMPUTED_VALUE"""),0)</f>
        <v>0</v>
      </c>
      <c r="J164" s="75" t="str">
        <f ca="1">IFERROR(__xludf.DUMMYFUNCTION("""COMPUTED_VALUE"""),"https://drive.google.com/open?id=1zG2hfJx1FiAxx-aMGpfLompju4QVYhBE")</f>
        <v>https://drive.google.com/open?id=1zG2hfJx1FiAxx-aMGpfLompju4QVYhBE</v>
      </c>
      <c r="K164" s="69" t="str">
        <f ca="1">IFERROR(__xludf.DUMMYFUNCTION("""COMPUTED_VALUE"""),"2019-2023")</f>
        <v>2019-2023</v>
      </c>
      <c r="L164" s="69" t="str">
        <f ca="1">IFERROR(__xludf.DUMMYFUNCTION("""COMPUTED_VALUE"""),"S3: Student Internships")</f>
        <v>S3: Student Internships</v>
      </c>
      <c r="M164" s="69" t="str">
        <f ca="1">IFERROR(__xludf.DUMMYFUNCTION("""COMPUTED_VALUE"""),"nehabhuvya@gmail.com")</f>
        <v>nehabhuvya@gmail.com</v>
      </c>
      <c r="N164" s="69" t="str">
        <f ca="1">IFERROR(__xludf.DUMMYFUNCTION("""COMPUTED_VALUE"""),"SEM-6")</f>
        <v>SEM-6</v>
      </c>
      <c r="O164" s="69"/>
      <c r="P164" s="69"/>
      <c r="Q164" s="69"/>
      <c r="R164" s="69"/>
      <c r="S164" s="69"/>
      <c r="T164" s="69"/>
      <c r="U164" s="69"/>
      <c r="V164" s="69"/>
      <c r="W164" s="69"/>
      <c r="X164" s="69"/>
    </row>
    <row r="165" spans="1:24" ht="33" customHeight="1" x14ac:dyDescent="0.15">
      <c r="A165" s="69" t="str">
        <f ca="1">IFERROR(__xludf.DUMMYFUNCTION("""COMPUTED_VALUE"""),"Sai Akshaya Kasireddi")</f>
        <v>Sai Akshaya Kasireddi</v>
      </c>
      <c r="B165" s="69" t="str">
        <f ca="1">IFERROR(__xludf.DUMMYFUNCTION("""COMPUTED_VALUE"""),"19331A05E6")</f>
        <v>19331A05E6</v>
      </c>
      <c r="C165" s="69" t="str">
        <f ca="1">IFERROR(__xludf.DUMMYFUNCTION("""COMPUTED_VALUE"""),"AICTE")</f>
        <v>AICTE</v>
      </c>
      <c r="D165" s="69" t="str">
        <f ca="1">IFERROR(__xludf.DUMMYFUNCTION("""COMPUTED_VALUE"""),"10 weeks")</f>
        <v>10 weeks</v>
      </c>
      <c r="E165" s="74">
        <f ca="1">IFERROR(__xludf.DUMMYFUNCTION("""COMPUTED_VALUE"""),44470)</f>
        <v>44470</v>
      </c>
      <c r="F165" s="74">
        <f ca="1">IFERROR(__xludf.DUMMYFUNCTION("""COMPUTED_VALUE"""),44542)</f>
        <v>44542</v>
      </c>
      <c r="G165" s="69" t="str">
        <f ca="1">IFERROR(__xludf.DUMMYFUNCTION("""COMPUTED_VALUE"""),"No")</f>
        <v>No</v>
      </c>
      <c r="H165" s="69" t="str">
        <f ca="1">IFERROR(__xludf.DUMMYFUNCTION("""COMPUTED_VALUE"""),"No")</f>
        <v>No</v>
      </c>
      <c r="I165" s="69">
        <f ca="1">IFERROR(__xludf.DUMMYFUNCTION("""COMPUTED_VALUE"""),0)</f>
        <v>0</v>
      </c>
      <c r="J165" s="75" t="str">
        <f ca="1">IFERROR(__xludf.DUMMYFUNCTION("""COMPUTED_VALUE"""),"https://drive.google.com/open?id=1S0p5CNARv6AIh0jkY2b963wPxgWr77iY")</f>
        <v>https://drive.google.com/open?id=1S0p5CNARv6AIh0jkY2b963wPxgWr77iY</v>
      </c>
      <c r="K165" s="69" t="str">
        <f ca="1">IFERROR(__xludf.DUMMYFUNCTION("""COMPUTED_VALUE"""),"2019-2023")</f>
        <v>2019-2023</v>
      </c>
      <c r="L165" s="69" t="str">
        <f ca="1">IFERROR(__xludf.DUMMYFUNCTION("""COMPUTED_VALUE"""),"S3: Student Internships")</f>
        <v>S3: Student Internships</v>
      </c>
      <c r="M165" s="69" t="str">
        <f ca="1">IFERROR(__xludf.DUMMYFUNCTION("""COMPUTED_VALUE"""),"saiakshaya3042@gmail.com")</f>
        <v>saiakshaya3042@gmail.com</v>
      </c>
      <c r="N165" s="69" t="str">
        <f ca="1">IFERROR(__xludf.DUMMYFUNCTION("""COMPUTED_VALUE"""),"SEM-6")</f>
        <v>SEM-6</v>
      </c>
      <c r="O165" s="69"/>
      <c r="P165" s="69"/>
      <c r="Q165" s="69"/>
      <c r="R165" s="69"/>
      <c r="S165" s="69"/>
      <c r="T165" s="69"/>
      <c r="U165" s="69"/>
      <c r="V165" s="69"/>
      <c r="W165" s="69"/>
      <c r="X165" s="69"/>
    </row>
    <row r="166" spans="1:24" ht="33" customHeight="1" x14ac:dyDescent="0.15">
      <c r="A166" s="69" t="str">
        <f ca="1">IFERROR(__xludf.DUMMYFUNCTION("""COMPUTED_VALUE"""),"BORRA BHAVYA")</f>
        <v>BORRA BHAVYA</v>
      </c>
      <c r="B166" s="69" t="str">
        <f ca="1">IFERROR(__xludf.DUMMYFUNCTION("""COMPUTED_VALUE"""),"19331A0525")</f>
        <v>19331A0525</v>
      </c>
      <c r="C166" s="69" t="str">
        <f ca="1">IFERROR(__xludf.DUMMYFUNCTION("""COMPUTED_VALUE"""),"AICTE")</f>
        <v>AICTE</v>
      </c>
      <c r="D166" s="69" t="str">
        <f ca="1">IFERROR(__xludf.DUMMYFUNCTION("""COMPUTED_VALUE"""),"10 weeks")</f>
        <v>10 weeks</v>
      </c>
      <c r="E166" s="74">
        <f ca="1">IFERROR(__xludf.DUMMYFUNCTION("""COMPUTED_VALUE"""),44492)</f>
        <v>44492</v>
      </c>
      <c r="F166" s="74">
        <f ca="1">IFERROR(__xludf.DUMMYFUNCTION("""COMPUTED_VALUE"""),44548)</f>
        <v>44548</v>
      </c>
      <c r="G166" s="69" t="str">
        <f ca="1">IFERROR(__xludf.DUMMYFUNCTION("""COMPUTED_VALUE"""),"No")</f>
        <v>No</v>
      </c>
      <c r="H166" s="69" t="str">
        <f ca="1">IFERROR(__xludf.DUMMYFUNCTION("""COMPUTED_VALUE"""),"No")</f>
        <v>No</v>
      </c>
      <c r="I166" s="69">
        <f ca="1">IFERROR(__xludf.DUMMYFUNCTION("""COMPUTED_VALUE"""),0)</f>
        <v>0</v>
      </c>
      <c r="J166" s="75" t="str">
        <f ca="1">IFERROR(__xludf.DUMMYFUNCTION("""COMPUTED_VALUE"""),"https://drive.google.com/open?id=1eAZkMaFzM15aJQj0CiTTAt64qhQxtlMe")</f>
        <v>https://drive.google.com/open?id=1eAZkMaFzM15aJQj0CiTTAt64qhQxtlMe</v>
      </c>
      <c r="K166" s="69" t="str">
        <f ca="1">IFERROR(__xludf.DUMMYFUNCTION("""COMPUTED_VALUE"""),"2019-2023")</f>
        <v>2019-2023</v>
      </c>
      <c r="L166" s="69" t="str">
        <f ca="1">IFERROR(__xludf.DUMMYFUNCTION("""COMPUTED_VALUE"""),"S3: Student Internships")</f>
        <v>S3: Student Internships</v>
      </c>
      <c r="M166" s="69" t="str">
        <f ca="1">IFERROR(__xludf.DUMMYFUNCTION("""COMPUTED_VALUE"""),"bhavyaborra2002@gmail.com")</f>
        <v>bhavyaborra2002@gmail.com</v>
      </c>
      <c r="N166" s="69" t="str">
        <f ca="1">IFERROR(__xludf.DUMMYFUNCTION("""COMPUTED_VALUE"""),"SEM-6")</f>
        <v>SEM-6</v>
      </c>
      <c r="O166" s="69"/>
      <c r="P166" s="69"/>
      <c r="Q166" s="69"/>
      <c r="R166" s="69"/>
      <c r="S166" s="69"/>
      <c r="T166" s="69"/>
      <c r="U166" s="69"/>
      <c r="V166" s="69"/>
      <c r="W166" s="69"/>
      <c r="X166" s="69"/>
    </row>
    <row r="167" spans="1:24" ht="33" customHeight="1" x14ac:dyDescent="0.15">
      <c r="A167" s="69" t="str">
        <f ca="1">IFERROR(__xludf.DUMMYFUNCTION("""COMPUTED_VALUE"""),"Bondapalli Priyanka")</f>
        <v>Bondapalli Priyanka</v>
      </c>
      <c r="B167" s="69" t="str">
        <f ca="1">IFERROR(__xludf.DUMMYFUNCTION("""COMPUTED_VALUE"""),"19331A0523")</f>
        <v>19331A0523</v>
      </c>
      <c r="C167" s="69" t="str">
        <f ca="1">IFERROR(__xludf.DUMMYFUNCTION("""COMPUTED_VALUE"""),"AICTE")</f>
        <v>AICTE</v>
      </c>
      <c r="D167" s="69" t="str">
        <f ca="1">IFERROR(__xludf.DUMMYFUNCTION("""COMPUTED_VALUE"""),"10 weeks")</f>
        <v>10 weeks</v>
      </c>
      <c r="E167" s="74">
        <f ca="1">IFERROR(__xludf.DUMMYFUNCTION("""COMPUTED_VALUE"""),44470)</f>
        <v>44470</v>
      </c>
      <c r="F167" s="74">
        <f ca="1">IFERROR(__xludf.DUMMYFUNCTION("""COMPUTED_VALUE"""),44542)</f>
        <v>44542</v>
      </c>
      <c r="G167" s="69" t="str">
        <f ca="1">IFERROR(__xludf.DUMMYFUNCTION("""COMPUTED_VALUE"""),"No")</f>
        <v>No</v>
      </c>
      <c r="H167" s="69" t="str">
        <f ca="1">IFERROR(__xludf.DUMMYFUNCTION("""COMPUTED_VALUE"""),"No")</f>
        <v>No</v>
      </c>
      <c r="I167" s="69">
        <f ca="1">IFERROR(__xludf.DUMMYFUNCTION("""COMPUTED_VALUE"""),0)</f>
        <v>0</v>
      </c>
      <c r="J167" s="75" t="str">
        <f ca="1">IFERROR(__xludf.DUMMYFUNCTION("""COMPUTED_VALUE"""),"https://drive.google.com/open?id=1xgzZEYjYgnECYBJzQfcqwASeVfjyLZC-")</f>
        <v>https://drive.google.com/open?id=1xgzZEYjYgnECYBJzQfcqwASeVfjyLZC-</v>
      </c>
      <c r="K167" s="69" t="str">
        <f ca="1">IFERROR(__xludf.DUMMYFUNCTION("""COMPUTED_VALUE"""),"2019-2023")</f>
        <v>2019-2023</v>
      </c>
      <c r="L167" s="69" t="str">
        <f ca="1">IFERROR(__xludf.DUMMYFUNCTION("""COMPUTED_VALUE"""),"S3: Student Internships")</f>
        <v>S3: Student Internships</v>
      </c>
      <c r="M167" s="69" t="str">
        <f ca="1">IFERROR(__xludf.DUMMYFUNCTION("""COMPUTED_VALUE"""),"priyankapriya0416@gmail.com")</f>
        <v>priyankapriya0416@gmail.com</v>
      </c>
      <c r="N167" s="69" t="str">
        <f ca="1">IFERROR(__xludf.DUMMYFUNCTION("""COMPUTED_VALUE"""),"SEM-6")</f>
        <v>SEM-6</v>
      </c>
      <c r="O167" s="69"/>
      <c r="P167" s="69"/>
      <c r="Q167" s="69"/>
      <c r="R167" s="69"/>
      <c r="S167" s="69"/>
      <c r="T167" s="69"/>
      <c r="U167" s="69"/>
      <c r="V167" s="69"/>
      <c r="W167" s="69"/>
      <c r="X167" s="69"/>
    </row>
    <row r="168" spans="1:24" ht="33" customHeight="1" x14ac:dyDescent="0.15">
      <c r="A168" s="9" t="str">
        <f ca="1">IFERROR(__xludf.DUMMYFUNCTION("""COMPUTED_VALUE"""),"MOTAMARRI AKSHAYA")</f>
        <v>MOTAMARRI AKSHAYA</v>
      </c>
      <c r="B168" s="9" t="str">
        <f ca="1">IFERROR(__xludf.DUMMYFUNCTION("""COMPUTED_VALUE"""),"19331A05A9")</f>
        <v>19331A05A9</v>
      </c>
      <c r="C168" s="9" t="str">
        <f ca="1">IFERROR(__xludf.DUMMYFUNCTION("""COMPUTED_VALUE"""),"Blue Prism")</f>
        <v>Blue Prism</v>
      </c>
      <c r="D168" s="9" t="str">
        <f ca="1">IFERROR(__xludf.DUMMYFUNCTION("""COMPUTED_VALUE"""),"10 weeks")</f>
        <v>10 weeks</v>
      </c>
      <c r="E168" s="72">
        <f ca="1">IFERROR(__xludf.DUMMYFUNCTION("""COMPUTED_VALUE"""),44492)</f>
        <v>44492</v>
      </c>
      <c r="F168" s="72">
        <f ca="1">IFERROR(__xludf.DUMMYFUNCTION("""COMPUTED_VALUE"""),44548)</f>
        <v>44548</v>
      </c>
      <c r="G168" s="9" t="str">
        <f ca="1">IFERROR(__xludf.DUMMYFUNCTION("""COMPUTED_VALUE"""),"No")</f>
        <v>No</v>
      </c>
      <c r="H168" s="9" t="str">
        <f ca="1">IFERROR(__xludf.DUMMYFUNCTION("""COMPUTED_VALUE"""),"No")</f>
        <v>No</v>
      </c>
      <c r="I168" s="9">
        <f ca="1">IFERROR(__xludf.DUMMYFUNCTION("""COMPUTED_VALUE"""),0)</f>
        <v>0</v>
      </c>
      <c r="J168" s="73" t="str">
        <f ca="1">IFERROR(__xludf.DUMMYFUNCTION("""COMPUTED_VALUE"""),"https://drive.google.com/open?id=1JyesfyG9sdretzSNeYQ2p7xsGi1Vlmbs")</f>
        <v>https://drive.google.com/open?id=1JyesfyG9sdretzSNeYQ2p7xsGi1Vlmbs</v>
      </c>
      <c r="K168" s="9" t="str">
        <f ca="1">IFERROR(__xludf.DUMMYFUNCTION("""COMPUTED_VALUE"""),"2019-2023")</f>
        <v>2019-2023</v>
      </c>
      <c r="L168" s="9" t="str">
        <f ca="1">IFERROR(__xludf.DUMMYFUNCTION("""COMPUTED_VALUE"""),"S3: Student Internships")</f>
        <v>S3: Student Internships</v>
      </c>
      <c r="M168" s="9" t="str">
        <f ca="1">IFERROR(__xludf.DUMMYFUNCTION("""COMPUTED_VALUE"""),"akshayamotamarri2108@gmail.com")</f>
        <v>akshayamotamarri2108@gmail.com</v>
      </c>
      <c r="N168" s="9" t="str">
        <f ca="1">IFERROR(__xludf.DUMMYFUNCTION("""COMPUTED_VALUE"""),"SEM-6")</f>
        <v>SEM-6</v>
      </c>
      <c r="O168" s="9"/>
      <c r="P168" s="9"/>
      <c r="Q168" s="9"/>
      <c r="R168" s="9"/>
      <c r="S168" s="9"/>
      <c r="T168" s="9"/>
      <c r="U168" s="9"/>
      <c r="V168" s="9"/>
      <c r="W168" s="9"/>
      <c r="X168" s="9"/>
    </row>
    <row r="169" spans="1:24" ht="33" customHeight="1" x14ac:dyDescent="0.15">
      <c r="A169" s="69" t="str">
        <f ca="1">IFERROR(__xludf.DUMMYFUNCTION("""COMPUTED_VALUE"""),"LAKKIMSETTI CHANDRA SIRISHA")</f>
        <v>LAKKIMSETTI CHANDRA SIRISHA</v>
      </c>
      <c r="B169" s="69" t="str">
        <f ca="1">IFERROR(__xludf.DUMMYFUNCTION("""COMPUTED_VALUE"""),"19331A0594")</f>
        <v>19331A0594</v>
      </c>
      <c r="C169" s="69" t="str">
        <f ca="1">IFERROR(__xludf.DUMMYFUNCTION("""COMPUTED_VALUE"""),"AICTE")</f>
        <v>AICTE</v>
      </c>
      <c r="D169" s="69" t="str">
        <f ca="1">IFERROR(__xludf.DUMMYFUNCTION("""COMPUTED_VALUE"""),"10 weeks")</f>
        <v>10 weeks</v>
      </c>
      <c r="E169" s="74">
        <f ca="1">IFERROR(__xludf.DUMMYFUNCTION("""COMPUTED_VALUE"""),44492)</f>
        <v>44492</v>
      </c>
      <c r="F169" s="74">
        <f ca="1">IFERROR(__xludf.DUMMYFUNCTION("""COMPUTED_VALUE"""),44548)</f>
        <v>44548</v>
      </c>
      <c r="G169" s="69" t="str">
        <f ca="1">IFERROR(__xludf.DUMMYFUNCTION("""COMPUTED_VALUE"""),"No")</f>
        <v>No</v>
      </c>
      <c r="H169" s="69" t="str">
        <f ca="1">IFERROR(__xludf.DUMMYFUNCTION("""COMPUTED_VALUE"""),"No")</f>
        <v>No</v>
      </c>
      <c r="I169" s="69">
        <f ca="1">IFERROR(__xludf.DUMMYFUNCTION("""COMPUTED_VALUE"""),0)</f>
        <v>0</v>
      </c>
      <c r="J169" s="75" t="str">
        <f ca="1">IFERROR(__xludf.DUMMYFUNCTION("""COMPUTED_VALUE"""),"https://drive.google.com/open?id=1Yom3pKy4Tkgt9RrqNFbH2LIJ7nyblof1")</f>
        <v>https://drive.google.com/open?id=1Yom3pKy4Tkgt9RrqNFbH2LIJ7nyblof1</v>
      </c>
      <c r="K169" s="69" t="str">
        <f ca="1">IFERROR(__xludf.DUMMYFUNCTION("""COMPUTED_VALUE"""),"2019-2023")</f>
        <v>2019-2023</v>
      </c>
      <c r="L169" s="69" t="str">
        <f ca="1">IFERROR(__xludf.DUMMYFUNCTION("""COMPUTED_VALUE"""),"S3: Student Internships")</f>
        <v>S3: Student Internships</v>
      </c>
      <c r="M169" s="69" t="str">
        <f ca="1">IFERROR(__xludf.DUMMYFUNCTION("""COMPUTED_VALUE"""),"sirishalakkimsetti1729@gmail.com")</f>
        <v>sirishalakkimsetti1729@gmail.com</v>
      </c>
      <c r="N169" s="69" t="str">
        <f ca="1">IFERROR(__xludf.DUMMYFUNCTION("""COMPUTED_VALUE"""),"SEM-6")</f>
        <v>SEM-6</v>
      </c>
      <c r="O169" s="69"/>
      <c r="P169" s="69"/>
      <c r="Q169" s="69"/>
      <c r="R169" s="69"/>
      <c r="S169" s="69"/>
      <c r="T169" s="69"/>
      <c r="U169" s="69"/>
      <c r="V169" s="69"/>
      <c r="W169" s="69"/>
      <c r="X169" s="69"/>
    </row>
    <row r="170" spans="1:24" ht="33" customHeight="1" x14ac:dyDescent="0.15">
      <c r="A170" s="69" t="str">
        <f ca="1">IFERROR(__xludf.DUMMYFUNCTION("""COMPUTED_VALUE"""),"N CHANDRA SEKHAR REDDY ")</f>
        <v xml:space="preserve">N CHANDRA SEKHAR REDDY </v>
      </c>
      <c r="B170" s="69" t="str">
        <f ca="1">IFERROR(__xludf.DUMMYFUNCTION("""COMPUTED_VALUE"""),"19331A05B7")</f>
        <v>19331A05B7</v>
      </c>
      <c r="C170" s="69" t="str">
        <f ca="1">IFERROR(__xludf.DUMMYFUNCTION("""COMPUTED_VALUE"""),"AICTE")</f>
        <v>AICTE</v>
      </c>
      <c r="D170" s="69" t="str">
        <f ca="1">IFERROR(__xludf.DUMMYFUNCTION("""COMPUTED_VALUE"""),"10 Weeks")</f>
        <v>10 Weeks</v>
      </c>
      <c r="E170" s="74">
        <f ca="1">IFERROR(__xludf.DUMMYFUNCTION("""COMPUTED_VALUE"""),44492)</f>
        <v>44492</v>
      </c>
      <c r="F170" s="74">
        <f ca="1">IFERROR(__xludf.DUMMYFUNCTION("""COMPUTED_VALUE"""),44548)</f>
        <v>44548</v>
      </c>
      <c r="G170" s="69" t="str">
        <f ca="1">IFERROR(__xludf.DUMMYFUNCTION("""COMPUTED_VALUE"""),"No")</f>
        <v>No</v>
      </c>
      <c r="H170" s="69" t="str">
        <f ca="1">IFERROR(__xludf.DUMMYFUNCTION("""COMPUTED_VALUE"""),"No")</f>
        <v>No</v>
      </c>
      <c r="I170" s="69">
        <f ca="1">IFERROR(__xludf.DUMMYFUNCTION("""COMPUTED_VALUE"""),0)</f>
        <v>0</v>
      </c>
      <c r="J170" s="75" t="str">
        <f ca="1">IFERROR(__xludf.DUMMYFUNCTION("""COMPUTED_VALUE"""),"https://drive.google.com/open?id=1D9VJrTOe4CseoWGyhcXBEAT02CSp62P6")</f>
        <v>https://drive.google.com/open?id=1D9VJrTOe4CseoWGyhcXBEAT02CSp62P6</v>
      </c>
      <c r="K170" s="69" t="str">
        <f ca="1">IFERROR(__xludf.DUMMYFUNCTION("""COMPUTED_VALUE"""),"2019-2023")</f>
        <v>2019-2023</v>
      </c>
      <c r="L170" s="69" t="str">
        <f ca="1">IFERROR(__xludf.DUMMYFUNCTION("""COMPUTED_VALUE"""),"S3: Student Internships")</f>
        <v>S3: Student Internships</v>
      </c>
      <c r="M170" s="69" t="str">
        <f ca="1">IFERROR(__xludf.DUMMYFUNCTION("""COMPUTED_VALUE"""),"ncsreddy143@gmail.com")</f>
        <v>ncsreddy143@gmail.com</v>
      </c>
      <c r="N170" s="69" t="str">
        <f ca="1">IFERROR(__xludf.DUMMYFUNCTION("""COMPUTED_VALUE"""),"SEM-6")</f>
        <v>SEM-6</v>
      </c>
      <c r="O170" s="69"/>
      <c r="P170" s="69"/>
      <c r="Q170" s="69"/>
      <c r="R170" s="69"/>
      <c r="S170" s="69"/>
      <c r="T170" s="69"/>
      <c r="U170" s="69"/>
      <c r="V170" s="69"/>
      <c r="W170" s="69"/>
      <c r="X170" s="69"/>
    </row>
    <row r="171" spans="1:24" ht="33" customHeight="1" x14ac:dyDescent="0.15">
      <c r="A171" s="9" t="str">
        <f ca="1">IFERROR(__xludf.DUMMYFUNCTION("""COMPUTED_VALUE"""),"Tammineni Rajasree Indira priyadarshini ")</f>
        <v xml:space="preserve">Tammineni Rajasree Indira priyadarshini </v>
      </c>
      <c r="B171" s="9" t="str">
        <f ca="1">IFERROR(__xludf.DUMMYFUNCTION("""COMPUTED_VALUE"""),"19331A05H0 ")</f>
        <v xml:space="preserve">19331A05H0 </v>
      </c>
      <c r="C171" s="9" t="str">
        <f ca="1">IFERROR(__xludf.DUMMYFUNCTION("""COMPUTED_VALUE"""),"AICTE")</f>
        <v>AICTE</v>
      </c>
      <c r="D171" s="9" t="str">
        <f ca="1">IFERROR(__xludf.DUMMYFUNCTION("""COMPUTED_VALUE"""),"10 weeks")</f>
        <v>10 weeks</v>
      </c>
      <c r="E171" s="72">
        <f ca="1">IFERROR(__xludf.DUMMYFUNCTION("""COMPUTED_VALUE"""),44485)</f>
        <v>44485</v>
      </c>
      <c r="F171" s="72">
        <f ca="1">IFERROR(__xludf.DUMMYFUNCTION("""COMPUTED_VALUE"""),44548)</f>
        <v>44548</v>
      </c>
      <c r="G171" s="9" t="str">
        <f ca="1">IFERROR(__xludf.DUMMYFUNCTION("""COMPUTED_VALUE"""),"No")</f>
        <v>No</v>
      </c>
      <c r="H171" s="9" t="str">
        <f ca="1">IFERROR(__xludf.DUMMYFUNCTION("""COMPUTED_VALUE"""),"No")</f>
        <v>No</v>
      </c>
      <c r="I171" s="9">
        <f ca="1">IFERROR(__xludf.DUMMYFUNCTION("""COMPUTED_VALUE"""),0)</f>
        <v>0</v>
      </c>
      <c r="J171" s="73" t="str">
        <f ca="1">IFERROR(__xludf.DUMMYFUNCTION("""COMPUTED_VALUE"""),"https://drive.google.com/open?id=12_srua-2bN288erbcYac-deqxTpCBmIW")</f>
        <v>https://drive.google.com/open?id=12_srua-2bN288erbcYac-deqxTpCBmIW</v>
      </c>
      <c r="K171" s="9" t="str">
        <f ca="1">IFERROR(__xludf.DUMMYFUNCTION("""COMPUTED_VALUE"""),"2019-2023")</f>
        <v>2019-2023</v>
      </c>
      <c r="L171" s="9" t="str">
        <f ca="1">IFERROR(__xludf.DUMMYFUNCTION("""COMPUTED_VALUE"""),"S3: Student Internships")</f>
        <v>S3: Student Internships</v>
      </c>
      <c r="M171" s="9" t="str">
        <f ca="1">IFERROR(__xludf.DUMMYFUNCTION("""COMPUTED_VALUE"""),"indiradarshini126@gmail.com")</f>
        <v>indiradarshini126@gmail.com</v>
      </c>
      <c r="N171" s="9" t="str">
        <f ca="1">IFERROR(__xludf.DUMMYFUNCTION("""COMPUTED_VALUE"""),"SEM-6")</f>
        <v>SEM-6</v>
      </c>
      <c r="O171" s="9"/>
      <c r="P171" s="9"/>
      <c r="Q171" s="9"/>
      <c r="R171" s="9"/>
      <c r="S171" s="9"/>
      <c r="T171" s="9"/>
      <c r="U171" s="9"/>
      <c r="V171" s="9"/>
      <c r="W171" s="9"/>
      <c r="X171" s="9"/>
    </row>
    <row r="172" spans="1:24" ht="33" customHeight="1" x14ac:dyDescent="0.15">
      <c r="A172" s="69" t="str">
        <f ca="1">IFERROR(__xludf.DUMMYFUNCTION("""COMPUTED_VALUE"""),"BUDDHARAJU  SANJANA ")</f>
        <v xml:space="preserve">BUDDHARAJU  SANJANA </v>
      </c>
      <c r="B172" s="69" t="str">
        <f ca="1">IFERROR(__xludf.DUMMYFUNCTION("""COMPUTED_VALUE"""),"19331A0526 ")</f>
        <v xml:space="preserve">19331A0526 </v>
      </c>
      <c r="C172" s="69" t="str">
        <f ca="1">IFERROR(__xludf.DUMMYFUNCTION("""COMPUTED_VALUE"""),"AICTE")</f>
        <v>AICTE</v>
      </c>
      <c r="D172" s="69" t="str">
        <f ca="1">IFERROR(__xludf.DUMMYFUNCTION("""COMPUTED_VALUE"""),"3 months")</f>
        <v>3 months</v>
      </c>
      <c r="E172" s="74">
        <f ca="1">IFERROR(__xludf.DUMMYFUNCTION("""COMPUTED_VALUE"""),44492)</f>
        <v>44492</v>
      </c>
      <c r="F172" s="74">
        <f ca="1">IFERROR(__xludf.DUMMYFUNCTION("""COMPUTED_VALUE"""),44548)</f>
        <v>44548</v>
      </c>
      <c r="G172" s="69" t="str">
        <f ca="1">IFERROR(__xludf.DUMMYFUNCTION("""COMPUTED_VALUE"""),"No")</f>
        <v>No</v>
      </c>
      <c r="H172" s="69" t="str">
        <f ca="1">IFERROR(__xludf.DUMMYFUNCTION("""COMPUTED_VALUE"""),"No")</f>
        <v>No</v>
      </c>
      <c r="I172" s="69">
        <f ca="1">IFERROR(__xludf.DUMMYFUNCTION("""COMPUTED_VALUE"""),0)</f>
        <v>0</v>
      </c>
      <c r="J172" s="75" t="str">
        <f ca="1">IFERROR(__xludf.DUMMYFUNCTION("""COMPUTED_VALUE"""),"https://drive.google.com/open?id=1q70iM5ZuSozWqArmkj9LmZgssRwVJcUV")</f>
        <v>https://drive.google.com/open?id=1q70iM5ZuSozWqArmkj9LmZgssRwVJcUV</v>
      </c>
      <c r="K172" s="69" t="str">
        <f ca="1">IFERROR(__xludf.DUMMYFUNCTION("""COMPUTED_VALUE"""),"2019-2023")</f>
        <v>2019-2023</v>
      </c>
      <c r="L172" s="69" t="str">
        <f ca="1">IFERROR(__xludf.DUMMYFUNCTION("""COMPUTED_VALUE"""),"S3: Student Internships")</f>
        <v>S3: Student Internships</v>
      </c>
      <c r="M172" s="69" t="str">
        <f ca="1">IFERROR(__xludf.DUMMYFUNCTION("""COMPUTED_VALUE"""),"sanjanab5j@gmail.com")</f>
        <v>sanjanab5j@gmail.com</v>
      </c>
      <c r="N172" s="69" t="str">
        <f ca="1">IFERROR(__xludf.DUMMYFUNCTION("""COMPUTED_VALUE"""),"SEM-6")</f>
        <v>SEM-6</v>
      </c>
      <c r="O172" s="69"/>
      <c r="P172" s="69"/>
      <c r="Q172" s="69"/>
      <c r="R172" s="69"/>
      <c r="S172" s="69"/>
      <c r="T172" s="69"/>
      <c r="U172" s="69"/>
      <c r="V172" s="69"/>
      <c r="W172" s="69"/>
      <c r="X172" s="69"/>
    </row>
    <row r="173" spans="1:24" ht="33" customHeight="1" x14ac:dyDescent="0.15">
      <c r="A173" s="9" t="str">
        <f ca="1">IFERROR(__xludf.DUMMYFUNCTION("""COMPUTED_VALUE"""),"Tammineni Rajasree Indira priyadarshini ")</f>
        <v xml:space="preserve">Tammineni Rajasree Indira priyadarshini </v>
      </c>
      <c r="B173" s="9" t="str">
        <f ca="1">IFERROR(__xludf.DUMMYFUNCTION("""COMPUTED_VALUE"""),"19331A05H0 ")</f>
        <v xml:space="preserve">19331A05H0 </v>
      </c>
      <c r="C173" s="9" t="str">
        <f ca="1">IFERROR(__xludf.DUMMYFUNCTION("""COMPUTED_VALUE"""),"MVGR college of engineering ")</f>
        <v xml:space="preserve">MVGR college of engineering </v>
      </c>
      <c r="D173" s="9" t="str">
        <f ca="1">IFERROR(__xludf.DUMMYFUNCTION("""COMPUTED_VALUE"""),"4 weeks")</f>
        <v>4 weeks</v>
      </c>
      <c r="E173" s="72">
        <f ca="1">IFERROR(__xludf.DUMMYFUNCTION("""COMPUTED_VALUE"""),44338)</f>
        <v>44338</v>
      </c>
      <c r="F173" s="72">
        <f ca="1">IFERROR(__xludf.DUMMYFUNCTION("""COMPUTED_VALUE"""),44367)</f>
        <v>44367</v>
      </c>
      <c r="G173" s="9" t="str">
        <f ca="1">IFERROR(__xludf.DUMMYFUNCTION("""COMPUTED_VALUE"""),"No")</f>
        <v>No</v>
      </c>
      <c r="H173" s="9" t="str">
        <f ca="1">IFERROR(__xludf.DUMMYFUNCTION("""COMPUTED_VALUE"""),"No")</f>
        <v>No</v>
      </c>
      <c r="I173" s="9">
        <f ca="1">IFERROR(__xludf.DUMMYFUNCTION("""COMPUTED_VALUE"""),0)</f>
        <v>0</v>
      </c>
      <c r="J173" s="73" t="str">
        <f ca="1">IFERROR(__xludf.DUMMYFUNCTION("""COMPUTED_VALUE"""),"https://drive.google.com/open?id=1W-GEi_AHJJKbI5qy-Xka1C4tkYjzijrv")</f>
        <v>https://drive.google.com/open?id=1W-GEi_AHJJKbI5qy-Xka1C4tkYjzijrv</v>
      </c>
      <c r="K173" s="9" t="str">
        <f ca="1">IFERROR(__xludf.DUMMYFUNCTION("""COMPUTED_VALUE"""),"2019-2023")</f>
        <v>2019-2023</v>
      </c>
      <c r="L173" s="9" t="str">
        <f ca="1">IFERROR(__xludf.DUMMYFUNCTION("""COMPUTED_VALUE"""),"S3: Student Internships")</f>
        <v>S3: Student Internships</v>
      </c>
      <c r="M173" s="9" t="str">
        <f ca="1">IFERROR(__xludf.DUMMYFUNCTION("""COMPUTED_VALUE"""),"indiradarshini126@gmail.com")</f>
        <v>indiradarshini126@gmail.com</v>
      </c>
      <c r="N173" s="9" t="str">
        <f ca="1">IFERROR(__xludf.DUMMYFUNCTION("""COMPUTED_VALUE"""),"SEM-6")</f>
        <v>SEM-6</v>
      </c>
      <c r="O173" s="9"/>
      <c r="P173" s="9"/>
      <c r="Q173" s="9"/>
      <c r="R173" s="9"/>
      <c r="S173" s="9"/>
      <c r="T173" s="9"/>
      <c r="U173" s="9"/>
      <c r="V173" s="9"/>
      <c r="W173" s="9"/>
      <c r="X173" s="9"/>
    </row>
    <row r="174" spans="1:24" ht="33" customHeight="1" x14ac:dyDescent="0.15">
      <c r="A174" s="69" t="str">
        <f ca="1">IFERROR(__xludf.DUMMYFUNCTION("""COMPUTED_VALUE"""),"Kalyampudi Sravani")</f>
        <v>Kalyampudi Sravani</v>
      </c>
      <c r="B174" s="69" t="str">
        <f ca="1">IFERROR(__xludf.DUMMYFUNCTION("""COMPUTED_VALUE"""),"20331A0579")</f>
        <v>20331A0579</v>
      </c>
      <c r="C174" s="69" t="str">
        <f ca="1">IFERROR(__xludf.DUMMYFUNCTION("""COMPUTED_VALUE"""),"Red Hat")</f>
        <v>Red Hat</v>
      </c>
      <c r="D174" s="69" t="str">
        <f ca="1">IFERROR(__xludf.DUMMYFUNCTION("""COMPUTED_VALUE"""),"2 months")</f>
        <v>2 months</v>
      </c>
      <c r="E174" s="74">
        <f ca="1">IFERROR(__xludf.DUMMYFUNCTION("""COMPUTED_VALUE"""),44470)</f>
        <v>44470</v>
      </c>
      <c r="F174" s="74">
        <f ca="1">IFERROR(__xludf.DUMMYFUNCTION("""COMPUTED_VALUE"""),44531)</f>
        <v>44531</v>
      </c>
      <c r="G174" s="69" t="str">
        <f ca="1">IFERROR(__xludf.DUMMYFUNCTION("""COMPUTED_VALUE"""),"No")</f>
        <v>No</v>
      </c>
      <c r="H174" s="69" t="str">
        <f ca="1">IFERROR(__xludf.DUMMYFUNCTION("""COMPUTED_VALUE"""),"No")</f>
        <v>No</v>
      </c>
      <c r="I174" s="69">
        <f ca="1">IFERROR(__xludf.DUMMYFUNCTION("""COMPUTED_VALUE"""),0)</f>
        <v>0</v>
      </c>
      <c r="J174" s="75" t="str">
        <f ca="1">IFERROR(__xludf.DUMMYFUNCTION("""COMPUTED_VALUE"""),"https://drive.google.com/open?id=1w7Nn7fnaelGzhVWNrJIoFAwtxc99uNTN")</f>
        <v>https://drive.google.com/open?id=1w7Nn7fnaelGzhVWNrJIoFAwtxc99uNTN</v>
      </c>
      <c r="K174" s="69" t="str">
        <f ca="1">IFERROR(__xludf.DUMMYFUNCTION("""COMPUTED_VALUE"""),"2020-2024")</f>
        <v>2020-2024</v>
      </c>
      <c r="L174" s="69" t="str">
        <f ca="1">IFERROR(__xludf.DUMMYFUNCTION("""COMPUTED_VALUE"""),"S3: Student Internships")</f>
        <v>S3: Student Internships</v>
      </c>
      <c r="M174" s="69" t="str">
        <f ca="1">IFERROR(__xludf.DUMMYFUNCTION("""COMPUTED_VALUE"""),"sravanikalyampudi@gmail.com")</f>
        <v>sravanikalyampudi@gmail.com</v>
      </c>
      <c r="N174" s="69" t="str">
        <f ca="1">IFERROR(__xludf.DUMMYFUNCTION("""COMPUTED_VALUE"""),"SEM-4")</f>
        <v>SEM-4</v>
      </c>
      <c r="O174" s="69"/>
      <c r="P174" s="69"/>
      <c r="Q174" s="69"/>
      <c r="R174" s="69"/>
      <c r="S174" s="69"/>
      <c r="T174" s="69"/>
      <c r="U174" s="69"/>
      <c r="V174" s="69"/>
      <c r="W174" s="69"/>
      <c r="X174" s="69"/>
    </row>
    <row r="175" spans="1:24" ht="33" customHeight="1" x14ac:dyDescent="0.15">
      <c r="A175" s="69" t="str">
        <f ca="1">IFERROR(__xludf.DUMMYFUNCTION("""COMPUTED_VALUE"""),"KANDULA VARSHINI")</f>
        <v>KANDULA VARSHINI</v>
      </c>
      <c r="B175" s="69" t="str">
        <f ca="1">IFERROR(__xludf.DUMMYFUNCTION("""COMPUTED_VALUE"""),"19331A0572")</f>
        <v>19331A0572</v>
      </c>
      <c r="C175" s="69" t="str">
        <f ca="1">IFERROR(__xludf.DUMMYFUNCTION("""COMPUTED_VALUE"""),"AICTE")</f>
        <v>AICTE</v>
      </c>
      <c r="D175" s="69" t="str">
        <f ca="1">IFERROR(__xludf.DUMMYFUNCTION("""COMPUTED_VALUE"""),"10 weeks")</f>
        <v>10 weeks</v>
      </c>
      <c r="E175" s="74">
        <f ca="1">IFERROR(__xludf.DUMMYFUNCTION("""COMPUTED_VALUE"""),44492)</f>
        <v>44492</v>
      </c>
      <c r="F175" s="74">
        <f ca="1">IFERROR(__xludf.DUMMYFUNCTION("""COMPUTED_VALUE"""),44548)</f>
        <v>44548</v>
      </c>
      <c r="G175" s="69" t="str">
        <f ca="1">IFERROR(__xludf.DUMMYFUNCTION("""COMPUTED_VALUE"""),"No")</f>
        <v>No</v>
      </c>
      <c r="H175" s="69" t="str">
        <f ca="1">IFERROR(__xludf.DUMMYFUNCTION("""COMPUTED_VALUE"""),"No")</f>
        <v>No</v>
      </c>
      <c r="I175" s="69">
        <f ca="1">IFERROR(__xludf.DUMMYFUNCTION("""COMPUTED_VALUE"""),0)</f>
        <v>0</v>
      </c>
      <c r="J175" s="75" t="str">
        <f ca="1">IFERROR(__xludf.DUMMYFUNCTION("""COMPUTED_VALUE"""),"https://drive.google.com/open?id=1RiYNFJLyXRcHF4OU9iWJ_kKYyQDAByBf")</f>
        <v>https://drive.google.com/open?id=1RiYNFJLyXRcHF4OU9iWJ_kKYyQDAByBf</v>
      </c>
      <c r="K175" s="69" t="str">
        <f ca="1">IFERROR(__xludf.DUMMYFUNCTION("""COMPUTED_VALUE"""),"2019-2023")</f>
        <v>2019-2023</v>
      </c>
      <c r="L175" s="69" t="str">
        <f ca="1">IFERROR(__xludf.DUMMYFUNCTION("""COMPUTED_VALUE"""),"S3: Student Internships")</f>
        <v>S3: Student Internships</v>
      </c>
      <c r="M175" s="69" t="str">
        <f ca="1">IFERROR(__xludf.DUMMYFUNCTION("""COMPUTED_VALUE"""),"kandhulavarshini@gmail.com")</f>
        <v>kandhulavarshini@gmail.com</v>
      </c>
      <c r="N175" s="69" t="str">
        <f ca="1">IFERROR(__xludf.DUMMYFUNCTION("""COMPUTED_VALUE"""),"SEM-6")</f>
        <v>SEM-6</v>
      </c>
      <c r="O175" s="69"/>
      <c r="P175" s="69"/>
      <c r="Q175" s="69"/>
      <c r="R175" s="69"/>
      <c r="S175" s="69"/>
      <c r="T175" s="69"/>
      <c r="U175" s="69"/>
      <c r="V175" s="69"/>
      <c r="W175" s="69"/>
      <c r="X175" s="69"/>
    </row>
    <row r="176" spans="1:24" ht="33" customHeight="1" x14ac:dyDescent="0.15">
      <c r="A176" s="9" t="str">
        <f ca="1">IFERROR(__xludf.DUMMYFUNCTION("""COMPUTED_VALUE"""),"Lekkala Pavani ")</f>
        <v xml:space="preserve">Lekkala Pavani </v>
      </c>
      <c r="B176" s="9" t="str">
        <f ca="1">IFERROR(__xludf.DUMMYFUNCTION("""COMPUTED_VALUE"""),"20331A05A2 ")</f>
        <v xml:space="preserve">20331A05A2 </v>
      </c>
      <c r="C176" s="9" t="str">
        <f ca="1">IFERROR(__xludf.DUMMYFUNCTION("""COMPUTED_VALUE"""),"Red Hat")</f>
        <v>Red Hat</v>
      </c>
      <c r="D176" s="9" t="str">
        <f ca="1">IFERROR(__xludf.DUMMYFUNCTION("""COMPUTED_VALUE"""),"2 months")</f>
        <v>2 months</v>
      </c>
      <c r="E176" s="72">
        <f ca="1">IFERROR(__xludf.DUMMYFUNCTION("""COMPUTED_VALUE"""),44470)</f>
        <v>44470</v>
      </c>
      <c r="F176" s="72">
        <f ca="1">IFERROR(__xludf.DUMMYFUNCTION("""COMPUTED_VALUE"""),44531)</f>
        <v>44531</v>
      </c>
      <c r="G176" s="9" t="str">
        <f ca="1">IFERROR(__xludf.DUMMYFUNCTION("""COMPUTED_VALUE"""),"No")</f>
        <v>No</v>
      </c>
      <c r="H176" s="9" t="str">
        <f ca="1">IFERROR(__xludf.DUMMYFUNCTION("""COMPUTED_VALUE"""),"No")</f>
        <v>No</v>
      </c>
      <c r="I176" s="9">
        <f ca="1">IFERROR(__xludf.DUMMYFUNCTION("""COMPUTED_VALUE"""),0)</f>
        <v>0</v>
      </c>
      <c r="J176" s="73" t="str">
        <f ca="1">IFERROR(__xludf.DUMMYFUNCTION("""COMPUTED_VALUE"""),"https://drive.google.com/open?id=1d53Z83IH6uTnP6_e1rTc7B2rYFvzwbgs")</f>
        <v>https://drive.google.com/open?id=1d53Z83IH6uTnP6_e1rTc7B2rYFvzwbgs</v>
      </c>
      <c r="K176" s="9" t="str">
        <f ca="1">IFERROR(__xludf.DUMMYFUNCTION("""COMPUTED_VALUE"""),"2020-2024")</f>
        <v>2020-2024</v>
      </c>
      <c r="L176" s="9" t="str">
        <f ca="1">IFERROR(__xludf.DUMMYFUNCTION("""COMPUTED_VALUE"""),"S3: Student Internships")</f>
        <v>S3: Student Internships</v>
      </c>
      <c r="M176" s="9" t="str">
        <f ca="1">IFERROR(__xludf.DUMMYFUNCTION("""COMPUTED_VALUE"""),"pavani.leela15@gmail.com")</f>
        <v>pavani.leela15@gmail.com</v>
      </c>
      <c r="N176" s="9" t="str">
        <f ca="1">IFERROR(__xludf.DUMMYFUNCTION("""COMPUTED_VALUE"""),"SEM-4")</f>
        <v>SEM-4</v>
      </c>
      <c r="O176" s="9"/>
      <c r="P176" s="9"/>
      <c r="Q176" s="9"/>
      <c r="R176" s="9"/>
      <c r="S176" s="9"/>
      <c r="T176" s="9"/>
      <c r="U176" s="9"/>
      <c r="V176" s="9"/>
      <c r="W176" s="9"/>
      <c r="X176" s="9"/>
    </row>
    <row r="177" spans="1:24" ht="33" customHeight="1" x14ac:dyDescent="0.15">
      <c r="A177" s="9" t="str">
        <f ca="1">IFERROR(__xludf.DUMMYFUNCTION("""COMPUTED_VALUE"""),"Jaswanth Vajrapu")</f>
        <v>Jaswanth Vajrapu</v>
      </c>
      <c r="B177" s="9" t="str">
        <f ca="1">IFERROR(__xludf.DUMMYFUNCTION("""COMPUTED_VALUE"""),"18331A05G5")</f>
        <v>18331A05G5</v>
      </c>
      <c r="C177" s="9" t="str">
        <f ca="1">IFERROR(__xludf.DUMMYFUNCTION("""COMPUTED_VALUE"""),"Virtusa")</f>
        <v>Virtusa</v>
      </c>
      <c r="D177" s="9" t="str">
        <f ca="1">IFERROR(__xludf.DUMMYFUNCTION("""COMPUTED_VALUE"""),"3 Months")</f>
        <v>3 Months</v>
      </c>
      <c r="E177" s="72">
        <f ca="1">IFERROR(__xludf.DUMMYFUNCTION("""COMPUTED_VALUE"""),44547)</f>
        <v>44547</v>
      </c>
      <c r="F177" s="72">
        <f ca="1">IFERROR(__xludf.DUMMYFUNCTION("""COMPUTED_VALUE"""),44651)</f>
        <v>44651</v>
      </c>
      <c r="G177" s="9" t="str">
        <f ca="1">IFERROR(__xludf.DUMMYFUNCTION("""COMPUTED_VALUE"""),"Yes")</f>
        <v>Yes</v>
      </c>
      <c r="H177" s="9" t="str">
        <f ca="1">IFERROR(__xludf.DUMMYFUNCTION("""COMPUTED_VALUE"""),"No")</f>
        <v>No</v>
      </c>
      <c r="I177" s="9">
        <f ca="1">IFERROR(__xludf.DUMMYFUNCTION("""COMPUTED_VALUE"""),5000)</f>
        <v>5000</v>
      </c>
      <c r="J177" s="73" t="str">
        <f ca="1">IFERROR(__xludf.DUMMYFUNCTION("""COMPUTED_VALUE"""),"https://drive.google.com/open?id=1f94s200c2aJ8-D01M1jsKM_f5UVJQI4P")</f>
        <v>https://drive.google.com/open?id=1f94s200c2aJ8-D01M1jsKM_f5UVJQI4P</v>
      </c>
      <c r="K177" s="9" t="str">
        <f ca="1">IFERROR(__xludf.DUMMYFUNCTION("""COMPUTED_VALUE"""),"2018-2022")</f>
        <v>2018-2022</v>
      </c>
      <c r="L177" s="9" t="str">
        <f ca="1">IFERROR(__xludf.DUMMYFUNCTION("""COMPUTED_VALUE"""),"S3: Student Internships")</f>
        <v>S3: Student Internships</v>
      </c>
      <c r="M177" s="9" t="str">
        <f ca="1">IFERROR(__xludf.DUMMYFUNCTION("""COMPUTED_VALUE"""),"jaswanth.vjp13@gmail.com")</f>
        <v>jaswanth.vjp13@gmail.com</v>
      </c>
      <c r="N177" s="9" t="str">
        <f ca="1">IFERROR(__xludf.DUMMYFUNCTION("""COMPUTED_VALUE"""),"SEM-7")</f>
        <v>SEM-7</v>
      </c>
      <c r="O177" s="9"/>
      <c r="P177" s="9"/>
      <c r="Q177" s="9"/>
      <c r="R177" s="9"/>
      <c r="S177" s="9"/>
      <c r="T177" s="9"/>
      <c r="U177" s="9"/>
      <c r="V177" s="9"/>
      <c r="W177" s="9"/>
      <c r="X177" s="9"/>
    </row>
    <row r="178" spans="1:24" ht="33" customHeight="1" x14ac:dyDescent="0.15">
      <c r="A178" s="9" t="str">
        <f ca="1">IFERROR(__xludf.DUMMYFUNCTION("""COMPUTED_VALUE"""),"Harshit Dhanuka")</f>
        <v>Harshit Dhanuka</v>
      </c>
      <c r="B178" s="9" t="str">
        <f ca="1">IFERROR(__xludf.DUMMYFUNCTION("""COMPUTED_VALUE"""),"20331A0571")</f>
        <v>20331A0571</v>
      </c>
      <c r="C178" s="9" t="str">
        <f ca="1">IFERROR(__xludf.DUMMYFUNCTION("""COMPUTED_VALUE"""),"Red Hat Enterprise")</f>
        <v>Red Hat Enterprise</v>
      </c>
      <c r="D178" s="9" t="str">
        <f ca="1">IFERROR(__xludf.DUMMYFUNCTION("""COMPUTED_VALUE"""),"10 weeks")</f>
        <v>10 weeks</v>
      </c>
      <c r="E178" s="72">
        <f ca="1">IFERROR(__xludf.DUMMYFUNCTION("""COMPUTED_VALUE"""),44483)</f>
        <v>44483</v>
      </c>
      <c r="F178" s="72">
        <f ca="1">IFERROR(__xludf.DUMMYFUNCTION("""COMPUTED_VALUE"""),44561)</f>
        <v>44561</v>
      </c>
      <c r="G178" s="9" t="str">
        <f ca="1">IFERROR(__xludf.DUMMYFUNCTION("""COMPUTED_VALUE"""),"No")</f>
        <v>No</v>
      </c>
      <c r="H178" s="9" t="str">
        <f ca="1">IFERROR(__xludf.DUMMYFUNCTION("""COMPUTED_VALUE"""),"No")</f>
        <v>No</v>
      </c>
      <c r="I178" s="9">
        <f ca="1">IFERROR(__xludf.DUMMYFUNCTION("""COMPUTED_VALUE"""),0)</f>
        <v>0</v>
      </c>
      <c r="J178" s="73" t="str">
        <f ca="1">IFERROR(__xludf.DUMMYFUNCTION("""COMPUTED_VALUE"""),"https://drive.google.com/open?id=1KKGtaq5GZLret3IA_PBGmysy9nnWrfqb")</f>
        <v>https://drive.google.com/open?id=1KKGtaq5GZLret3IA_PBGmysy9nnWrfqb</v>
      </c>
      <c r="K178" s="9" t="str">
        <f ca="1">IFERROR(__xludf.DUMMYFUNCTION("""COMPUTED_VALUE"""),"2020-2024")</f>
        <v>2020-2024</v>
      </c>
      <c r="L178" s="9" t="str">
        <f ca="1">IFERROR(__xludf.DUMMYFUNCTION("""COMPUTED_VALUE"""),"S3: Student Internships")</f>
        <v>S3: Student Internships</v>
      </c>
      <c r="M178" s="9" t="str">
        <f ca="1">IFERROR(__xludf.DUMMYFUNCTION("""COMPUTED_VALUE"""),"harshitdhanuka92@gmail.com")</f>
        <v>harshitdhanuka92@gmail.com</v>
      </c>
      <c r="N178" s="9" t="str">
        <f ca="1">IFERROR(__xludf.DUMMYFUNCTION("""COMPUTED_VALUE"""),"SEM-4")</f>
        <v>SEM-4</v>
      </c>
      <c r="O178" s="9"/>
      <c r="P178" s="9"/>
      <c r="Q178" s="9"/>
      <c r="R178" s="9"/>
      <c r="S178" s="9"/>
      <c r="T178" s="9"/>
      <c r="U178" s="9"/>
      <c r="V178" s="9"/>
      <c r="W178" s="9"/>
      <c r="X178" s="9"/>
    </row>
    <row r="179" spans="1:24" ht="33" customHeight="1" x14ac:dyDescent="0.15">
      <c r="A179" s="69" t="str">
        <f ca="1">IFERROR(__xludf.DUMMYFUNCTION("""COMPUTED_VALUE"""),"KARRI SUBBARAO VINEETH")</f>
        <v>KARRI SUBBARAO VINEETH</v>
      </c>
      <c r="B179" s="69" t="str">
        <f ca="1">IFERROR(__xludf.DUMMYFUNCTION("""COMPUTED_VALUE"""),"19331A0575")</f>
        <v>19331A0575</v>
      </c>
      <c r="C179" s="69" t="str">
        <f ca="1">IFERROR(__xludf.DUMMYFUNCTION("""COMPUTED_VALUE"""),"Robotic process automation virtual internship")</f>
        <v>Robotic process automation virtual internship</v>
      </c>
      <c r="D179" s="69" t="str">
        <f ca="1">IFERROR(__xludf.DUMMYFUNCTION("""COMPUTED_VALUE"""),"2 months")</f>
        <v>2 months</v>
      </c>
      <c r="E179" s="74">
        <f ca="1">IFERROR(__xludf.DUMMYFUNCTION("""COMPUTED_VALUE"""),44470)</f>
        <v>44470</v>
      </c>
      <c r="F179" s="74">
        <f ca="1">IFERROR(__xludf.DUMMYFUNCTION("""COMPUTED_VALUE"""),44539)</f>
        <v>44539</v>
      </c>
      <c r="G179" s="69" t="str">
        <f ca="1">IFERROR(__xludf.DUMMYFUNCTION("""COMPUTED_VALUE"""),"No")</f>
        <v>No</v>
      </c>
      <c r="H179" s="69" t="str">
        <f ca="1">IFERROR(__xludf.DUMMYFUNCTION("""COMPUTED_VALUE"""),"No")</f>
        <v>No</v>
      </c>
      <c r="I179" s="69">
        <f ca="1">IFERROR(__xludf.DUMMYFUNCTION("""COMPUTED_VALUE"""),0)</f>
        <v>0</v>
      </c>
      <c r="J179" s="75" t="str">
        <f ca="1">IFERROR(__xludf.DUMMYFUNCTION("""COMPUTED_VALUE"""),"https://drive.google.com/open?id=1X5-dMidjBHdOyo90FwgFkdU_7hTrD6iR")</f>
        <v>https://drive.google.com/open?id=1X5-dMidjBHdOyo90FwgFkdU_7hTrD6iR</v>
      </c>
      <c r="K179" s="69" t="str">
        <f ca="1">IFERROR(__xludf.DUMMYFUNCTION("""COMPUTED_VALUE"""),"2019-2023")</f>
        <v>2019-2023</v>
      </c>
      <c r="L179" s="69" t="str">
        <f ca="1">IFERROR(__xludf.DUMMYFUNCTION("""COMPUTED_VALUE"""),"S3: Student Internships")</f>
        <v>S3: Student Internships</v>
      </c>
      <c r="M179" s="69" t="str">
        <f ca="1">IFERROR(__xludf.DUMMYFUNCTION("""COMPUTED_VALUE"""),"karri.vineeth24@gmail.com")</f>
        <v>karri.vineeth24@gmail.com</v>
      </c>
      <c r="N179" s="69" t="str">
        <f ca="1">IFERROR(__xludf.DUMMYFUNCTION("""COMPUTED_VALUE"""),"SEM-6")</f>
        <v>SEM-6</v>
      </c>
      <c r="O179" s="69"/>
      <c r="P179" s="69"/>
      <c r="Q179" s="69"/>
      <c r="R179" s="69"/>
      <c r="S179" s="69"/>
      <c r="T179" s="69"/>
      <c r="U179" s="69"/>
      <c r="V179" s="69"/>
      <c r="W179" s="69"/>
      <c r="X179" s="69"/>
    </row>
    <row r="180" spans="1:24" ht="33" customHeight="1" x14ac:dyDescent="0.15">
      <c r="A180" s="9" t="str">
        <f ca="1">IFERROR(__xludf.DUMMYFUNCTION("""COMPUTED_VALUE"""),"NAIK SAMPATH SRINATH")</f>
        <v>NAIK SAMPATH SRINATH</v>
      </c>
      <c r="B180" s="9" t="str">
        <f ca="1">IFERROR(__xludf.DUMMYFUNCTION("""COMPUTED_VALUE"""),"19331A05B5")</f>
        <v>19331A05B5</v>
      </c>
      <c r="C180" s="9" t="str">
        <f ca="1">IFERROR(__xludf.DUMMYFUNCTION("""COMPUTED_VALUE"""),"ROBOTIC PROCESS AUTOMATION VIRTUAL INTERNSHIP")</f>
        <v>ROBOTIC PROCESS AUTOMATION VIRTUAL INTERNSHIP</v>
      </c>
      <c r="D180" s="9" t="str">
        <f ca="1">IFERROR(__xludf.DUMMYFUNCTION("""COMPUTED_VALUE"""),"2 months")</f>
        <v>2 months</v>
      </c>
      <c r="E180" s="72">
        <f ca="1">IFERROR(__xludf.DUMMYFUNCTION("""COMPUTED_VALUE"""),44470)</f>
        <v>44470</v>
      </c>
      <c r="F180" s="72">
        <f ca="1">IFERROR(__xludf.DUMMYFUNCTION("""COMPUTED_VALUE"""),44539)</f>
        <v>44539</v>
      </c>
      <c r="G180" s="9" t="str">
        <f ca="1">IFERROR(__xludf.DUMMYFUNCTION("""COMPUTED_VALUE"""),"No")</f>
        <v>No</v>
      </c>
      <c r="H180" s="9" t="str">
        <f ca="1">IFERROR(__xludf.DUMMYFUNCTION("""COMPUTED_VALUE"""),"No")</f>
        <v>No</v>
      </c>
      <c r="I180" s="9">
        <f ca="1">IFERROR(__xludf.DUMMYFUNCTION("""COMPUTED_VALUE"""),0)</f>
        <v>0</v>
      </c>
      <c r="J180" s="73" t="str">
        <f ca="1">IFERROR(__xludf.DUMMYFUNCTION("""COMPUTED_VALUE"""),"https://drive.google.com/open?id=191m4Py2VmJsLXOuKESJH2Y4SC417zdZa")</f>
        <v>https://drive.google.com/open?id=191m4Py2VmJsLXOuKESJH2Y4SC417zdZa</v>
      </c>
      <c r="K180" s="9" t="str">
        <f ca="1">IFERROR(__xludf.DUMMYFUNCTION("""COMPUTED_VALUE"""),"2019-2023")</f>
        <v>2019-2023</v>
      </c>
      <c r="L180" s="9" t="str">
        <f ca="1">IFERROR(__xludf.DUMMYFUNCTION("""COMPUTED_VALUE"""),"S3: Student Internships")</f>
        <v>S3: Student Internships</v>
      </c>
      <c r="M180" s="9" t="str">
        <f ca="1">IFERROR(__xludf.DUMMYFUNCTION("""COMPUTED_VALUE"""),"dubla1503@gmail.com")</f>
        <v>dubla1503@gmail.com</v>
      </c>
      <c r="N180" s="9" t="str">
        <f ca="1">IFERROR(__xludf.DUMMYFUNCTION("""COMPUTED_VALUE"""),"SEM-6")</f>
        <v>SEM-6</v>
      </c>
      <c r="O180" s="9"/>
      <c r="P180" s="9"/>
      <c r="Q180" s="9"/>
      <c r="R180" s="9"/>
      <c r="S180" s="9"/>
      <c r="T180" s="9"/>
      <c r="U180" s="9"/>
      <c r="V180" s="9"/>
      <c r="W180" s="9"/>
      <c r="X180" s="9"/>
    </row>
    <row r="181" spans="1:24" ht="33" customHeight="1" x14ac:dyDescent="0.15">
      <c r="A181" s="69" t="str">
        <f ca="1">IFERROR(__xludf.DUMMYFUNCTION("""COMPUTED_VALUE"""),"Gorsa Uma Mahesh")</f>
        <v>Gorsa Uma Mahesh</v>
      </c>
      <c r="B181" s="69" t="str">
        <f ca="1">IFERROR(__xludf.DUMMYFUNCTION("""COMPUTED_VALUE"""),"18331A0550")</f>
        <v>18331A0550</v>
      </c>
      <c r="C181" s="69" t="str">
        <f ca="1">IFERROR(__xludf.DUMMYFUNCTION("""COMPUTED_VALUE"""),"Capgemini")</f>
        <v>Capgemini</v>
      </c>
      <c r="D181" s="69" t="str">
        <f ca="1">IFERROR(__xludf.DUMMYFUNCTION("""COMPUTED_VALUE"""),"3 Months")</f>
        <v>3 Months</v>
      </c>
      <c r="E181" s="74">
        <f ca="1">IFERROR(__xludf.DUMMYFUNCTION("""COMPUTED_VALUE"""),44622)</f>
        <v>44622</v>
      </c>
      <c r="F181" s="74">
        <f ca="1">IFERROR(__xludf.DUMMYFUNCTION("""COMPUTED_VALUE"""),44708)</f>
        <v>44708</v>
      </c>
      <c r="G181" s="69" t="str">
        <f ca="1">IFERROR(__xludf.DUMMYFUNCTION("""COMPUTED_VALUE"""),"No")</f>
        <v>No</v>
      </c>
      <c r="H181" s="69" t="str">
        <f ca="1">IFERROR(__xludf.DUMMYFUNCTION("""COMPUTED_VALUE"""),"No")</f>
        <v>No</v>
      </c>
      <c r="I181" s="69">
        <f ca="1">IFERROR(__xludf.DUMMYFUNCTION("""COMPUTED_VALUE"""),0)</f>
        <v>0</v>
      </c>
      <c r="J181" s="75" t="str">
        <f ca="1">IFERROR(__xludf.DUMMYFUNCTION("""COMPUTED_VALUE"""),"https://drive.google.com/open?id=1dum9P0ybRNMtzfRuAqmPvSgnf5YbCylF")</f>
        <v>https://drive.google.com/open?id=1dum9P0ybRNMtzfRuAqmPvSgnf5YbCylF</v>
      </c>
      <c r="K181" s="69" t="str">
        <f ca="1">IFERROR(__xludf.DUMMYFUNCTION("""COMPUTED_VALUE"""),"2018-2022")</f>
        <v>2018-2022</v>
      </c>
      <c r="L181" s="69" t="str">
        <f ca="1">IFERROR(__xludf.DUMMYFUNCTION("""COMPUTED_VALUE"""),"S3: Student Internships")</f>
        <v>S3: Student Internships</v>
      </c>
      <c r="M181" s="69" t="str">
        <f ca="1">IFERROR(__xludf.DUMMYFUNCTION("""COMPUTED_VALUE"""),"gorsaumamahesh@gmail.com")</f>
        <v>gorsaumamahesh@gmail.com</v>
      </c>
      <c r="N181" s="69" t="str">
        <f ca="1">IFERROR(__xludf.DUMMYFUNCTION("""COMPUTED_VALUE"""),"SEM-8")</f>
        <v>SEM-8</v>
      </c>
      <c r="O181" s="69"/>
      <c r="P181" s="69"/>
      <c r="Q181" s="69"/>
      <c r="R181" s="69"/>
      <c r="S181" s="69"/>
      <c r="T181" s="69"/>
      <c r="U181" s="69"/>
      <c r="V181" s="69"/>
      <c r="W181" s="69"/>
      <c r="X181" s="69"/>
    </row>
    <row r="182" spans="1:24" ht="33" customHeight="1" x14ac:dyDescent="0.15">
      <c r="A182" s="69" t="str">
        <f ca="1">IFERROR(__xludf.DUMMYFUNCTION("""COMPUTED_VALUE"""),"Mohammed Salman")</f>
        <v>Mohammed Salman</v>
      </c>
      <c r="B182" s="69" t="str">
        <f ca="1">IFERROR(__xludf.DUMMYFUNCTION("""COMPUTED_VALUE"""),"19331A05A8")</f>
        <v>19331A05A8</v>
      </c>
      <c r="C182" s="69" t="str">
        <f ca="1">IFERROR(__xludf.DUMMYFUNCTION("""COMPUTED_VALUE"""),"AICTE")</f>
        <v>AICTE</v>
      </c>
      <c r="D182" s="69" t="str">
        <f ca="1">IFERROR(__xludf.DUMMYFUNCTION("""COMPUTED_VALUE"""),"2 months")</f>
        <v>2 months</v>
      </c>
      <c r="E182" s="74">
        <f ca="1">IFERROR(__xludf.DUMMYFUNCTION("""COMPUTED_VALUE"""),44470)</f>
        <v>44470</v>
      </c>
      <c r="F182" s="74">
        <f ca="1">IFERROR(__xludf.DUMMYFUNCTION("""COMPUTED_VALUE"""),44561)</f>
        <v>44561</v>
      </c>
      <c r="G182" s="69" t="str">
        <f ca="1">IFERROR(__xludf.DUMMYFUNCTION("""COMPUTED_VALUE"""),"No")</f>
        <v>No</v>
      </c>
      <c r="H182" s="69" t="str">
        <f ca="1">IFERROR(__xludf.DUMMYFUNCTION("""COMPUTED_VALUE"""),"No")</f>
        <v>No</v>
      </c>
      <c r="I182" s="69">
        <f ca="1">IFERROR(__xludf.DUMMYFUNCTION("""COMPUTED_VALUE"""),0)</f>
        <v>0</v>
      </c>
      <c r="J182" s="75" t="str">
        <f ca="1">IFERROR(__xludf.DUMMYFUNCTION("""COMPUTED_VALUE"""),"https://drive.google.com/open?id=1zGU_nScoebuJRKY58U95WF0gjYoSO5rU")</f>
        <v>https://drive.google.com/open?id=1zGU_nScoebuJRKY58U95WF0gjYoSO5rU</v>
      </c>
      <c r="K182" s="69" t="str">
        <f ca="1">IFERROR(__xludf.DUMMYFUNCTION("""COMPUTED_VALUE"""),"2019-2023")</f>
        <v>2019-2023</v>
      </c>
      <c r="L182" s="69" t="str">
        <f ca="1">IFERROR(__xludf.DUMMYFUNCTION("""COMPUTED_VALUE"""),"S3: Student Internships")</f>
        <v>S3: Student Internships</v>
      </c>
      <c r="M182" s="69" t="str">
        <f ca="1">IFERROR(__xludf.DUMMYFUNCTION("""COMPUTED_VALUE"""),"wolverinemds7@gmail.com")</f>
        <v>wolverinemds7@gmail.com</v>
      </c>
      <c r="N182" s="69" t="str">
        <f ca="1">IFERROR(__xludf.DUMMYFUNCTION("""COMPUTED_VALUE"""),"SEM-5")</f>
        <v>SEM-5</v>
      </c>
      <c r="O182" s="69"/>
      <c r="P182" s="69"/>
      <c r="Q182" s="69"/>
      <c r="R182" s="69"/>
      <c r="S182" s="69"/>
      <c r="T182" s="69"/>
      <c r="U182" s="69"/>
      <c r="V182" s="69"/>
      <c r="W182" s="69"/>
      <c r="X182" s="69"/>
    </row>
    <row r="183" spans="1:24" ht="33" customHeight="1" x14ac:dyDescent="0.15">
      <c r="A183" s="69" t="str">
        <f ca="1">IFERROR(__xludf.DUMMYFUNCTION("""COMPUTED_VALUE"""),"Mandhapati Jagannadha Rohit Varma")</f>
        <v>Mandhapati Jagannadha Rohit Varma</v>
      </c>
      <c r="B183" s="69" t="str">
        <f ca="1">IFERROR(__xludf.DUMMYFUNCTION("""COMPUTED_VALUE"""),"19331A05A3")</f>
        <v>19331A05A3</v>
      </c>
      <c r="C183" s="69" t="str">
        <f ca="1">IFERROR(__xludf.DUMMYFUNCTION("""COMPUTED_VALUE"""),"AICTE")</f>
        <v>AICTE</v>
      </c>
      <c r="D183" s="69" t="str">
        <f ca="1">IFERROR(__xludf.DUMMYFUNCTION("""COMPUTED_VALUE"""),"2 months")</f>
        <v>2 months</v>
      </c>
      <c r="E183" s="74">
        <f ca="1">IFERROR(__xludf.DUMMYFUNCTION("""COMPUTED_VALUE"""),44470)</f>
        <v>44470</v>
      </c>
      <c r="F183" s="74">
        <f ca="1">IFERROR(__xludf.DUMMYFUNCTION("""COMPUTED_VALUE"""),44550)</f>
        <v>44550</v>
      </c>
      <c r="G183" s="69" t="str">
        <f ca="1">IFERROR(__xludf.DUMMYFUNCTION("""COMPUTED_VALUE"""),"No")</f>
        <v>No</v>
      </c>
      <c r="H183" s="69" t="str">
        <f ca="1">IFERROR(__xludf.DUMMYFUNCTION("""COMPUTED_VALUE"""),"No")</f>
        <v>No</v>
      </c>
      <c r="I183" s="69">
        <f ca="1">IFERROR(__xludf.DUMMYFUNCTION("""COMPUTED_VALUE"""),0)</f>
        <v>0</v>
      </c>
      <c r="J183" s="75" t="str">
        <f ca="1">IFERROR(__xludf.DUMMYFUNCTION("""COMPUTED_VALUE"""),"https://drive.google.com/open?id=1RitpCA1NL59Cr98CXpUkHL0g0_OdEVqI")</f>
        <v>https://drive.google.com/open?id=1RitpCA1NL59Cr98CXpUkHL0g0_OdEVqI</v>
      </c>
      <c r="K183" s="69" t="str">
        <f ca="1">IFERROR(__xludf.DUMMYFUNCTION("""COMPUTED_VALUE"""),"2019-2023")</f>
        <v>2019-2023</v>
      </c>
      <c r="L183" s="69" t="str">
        <f ca="1">IFERROR(__xludf.DUMMYFUNCTION("""COMPUTED_VALUE"""),"S3: Student Internships")</f>
        <v>S3: Student Internships</v>
      </c>
      <c r="M183" s="69" t="str">
        <f ca="1">IFERROR(__xludf.DUMMYFUNCTION("""COMPUTED_VALUE"""),"rohitvarmaanrk@gmail.com")</f>
        <v>rohitvarmaanrk@gmail.com</v>
      </c>
      <c r="N183" s="69" t="str">
        <f ca="1">IFERROR(__xludf.DUMMYFUNCTION("""COMPUTED_VALUE"""),"SEM-6")</f>
        <v>SEM-6</v>
      </c>
      <c r="O183" s="69"/>
      <c r="P183" s="69"/>
      <c r="Q183" s="69"/>
      <c r="R183" s="69"/>
      <c r="S183" s="69"/>
      <c r="T183" s="69"/>
      <c r="U183" s="69"/>
      <c r="V183" s="69"/>
      <c r="W183" s="69"/>
      <c r="X183" s="69"/>
    </row>
    <row r="184" spans="1:24" ht="33" customHeight="1" x14ac:dyDescent="0.15">
      <c r="A184" s="69" t="str">
        <f ca="1">IFERROR(__xludf.DUMMYFUNCTION("""COMPUTED_VALUE"""),"Manchukonda Gopala krishna ")</f>
        <v xml:space="preserve">Manchukonda Gopala krishna </v>
      </c>
      <c r="B184" s="69" t="str">
        <f ca="1">IFERROR(__xludf.DUMMYFUNCTION("""COMPUTED_VALUE"""),"19331A05A2")</f>
        <v>19331A05A2</v>
      </c>
      <c r="C184" s="69" t="str">
        <f ca="1">IFERROR(__xludf.DUMMYFUNCTION("""COMPUTED_VALUE"""),"AICTE")</f>
        <v>AICTE</v>
      </c>
      <c r="D184" s="69" t="str">
        <f ca="1">IFERROR(__xludf.DUMMYFUNCTION("""COMPUTED_VALUE"""),"2 months ")</f>
        <v xml:space="preserve">2 months </v>
      </c>
      <c r="E184" s="74">
        <f ca="1">IFERROR(__xludf.DUMMYFUNCTION("""COMPUTED_VALUE"""),44470)</f>
        <v>44470</v>
      </c>
      <c r="F184" s="74">
        <f ca="1">IFERROR(__xludf.DUMMYFUNCTION("""COMPUTED_VALUE"""),44561)</f>
        <v>44561</v>
      </c>
      <c r="G184" s="69" t="str">
        <f ca="1">IFERROR(__xludf.DUMMYFUNCTION("""COMPUTED_VALUE"""),"No")</f>
        <v>No</v>
      </c>
      <c r="H184" s="69" t="str">
        <f ca="1">IFERROR(__xludf.DUMMYFUNCTION("""COMPUTED_VALUE"""),"No")</f>
        <v>No</v>
      </c>
      <c r="I184" s="69">
        <f ca="1">IFERROR(__xludf.DUMMYFUNCTION("""COMPUTED_VALUE"""),0)</f>
        <v>0</v>
      </c>
      <c r="J184" s="75" t="str">
        <f ca="1">IFERROR(__xludf.DUMMYFUNCTION("""COMPUTED_VALUE"""),"https://drive.google.com/open?id=1yyjxs7slZUtmGPGTAvILaie_xjyJu5v0")</f>
        <v>https://drive.google.com/open?id=1yyjxs7slZUtmGPGTAvILaie_xjyJu5v0</v>
      </c>
      <c r="K184" s="69" t="str">
        <f ca="1">IFERROR(__xludf.DUMMYFUNCTION("""COMPUTED_VALUE"""),"2019-2023")</f>
        <v>2019-2023</v>
      </c>
      <c r="L184" s="69" t="str">
        <f ca="1">IFERROR(__xludf.DUMMYFUNCTION("""COMPUTED_VALUE"""),"S3: Student Internships")</f>
        <v>S3: Student Internships</v>
      </c>
      <c r="M184" s="69" t="str">
        <f ca="1">IFERROR(__xludf.DUMMYFUNCTION("""COMPUTED_VALUE"""),"gkrishna6932@gmail.com")</f>
        <v>gkrishna6932@gmail.com</v>
      </c>
      <c r="N184" s="69" t="str">
        <f ca="1">IFERROR(__xludf.DUMMYFUNCTION("""COMPUTED_VALUE"""),"SEM-6")</f>
        <v>SEM-6</v>
      </c>
      <c r="O184" s="69"/>
      <c r="P184" s="69"/>
      <c r="Q184" s="69"/>
      <c r="R184" s="69"/>
      <c r="S184" s="69"/>
      <c r="T184" s="69"/>
      <c r="U184" s="69"/>
      <c r="V184" s="69"/>
      <c r="W184" s="69"/>
      <c r="X184" s="69"/>
    </row>
    <row r="185" spans="1:24" ht="33" customHeight="1" x14ac:dyDescent="0.15">
      <c r="A185" s="69" t="str">
        <f ca="1">IFERROR(__xludf.DUMMYFUNCTION("""COMPUTED_VALUE"""),"KANTUBHUKTA HEMANTH")</f>
        <v>KANTUBHUKTA HEMANTH</v>
      </c>
      <c r="B185" s="69" t="str">
        <f ca="1">IFERROR(__xludf.DUMMYFUNCTION("""COMPUTED_VALUE"""),"19331A0573")</f>
        <v>19331A0573</v>
      </c>
      <c r="C185" s="69" t="str">
        <f ca="1">IFERROR(__xludf.DUMMYFUNCTION("""COMPUTED_VALUE"""),"AICTE")</f>
        <v>AICTE</v>
      </c>
      <c r="D185" s="69" t="str">
        <f ca="1">IFERROR(__xludf.DUMMYFUNCTION("""COMPUTED_VALUE"""),"10 Weeks")</f>
        <v>10 Weeks</v>
      </c>
      <c r="E185" s="74">
        <f ca="1">IFERROR(__xludf.DUMMYFUNCTION("""COMPUTED_VALUE"""),44470)</f>
        <v>44470</v>
      </c>
      <c r="F185" s="74">
        <f ca="1">IFERROR(__xludf.DUMMYFUNCTION("""COMPUTED_VALUE"""),44561)</f>
        <v>44561</v>
      </c>
      <c r="G185" s="69" t="str">
        <f ca="1">IFERROR(__xludf.DUMMYFUNCTION("""COMPUTED_VALUE"""),"No")</f>
        <v>No</v>
      </c>
      <c r="H185" s="69" t="str">
        <f ca="1">IFERROR(__xludf.DUMMYFUNCTION("""COMPUTED_VALUE"""),"No")</f>
        <v>No</v>
      </c>
      <c r="I185" s="69">
        <f ca="1">IFERROR(__xludf.DUMMYFUNCTION("""COMPUTED_VALUE"""),0)</f>
        <v>0</v>
      </c>
      <c r="J185" s="75" t="str">
        <f ca="1">IFERROR(__xludf.DUMMYFUNCTION("""COMPUTED_VALUE"""),"https://drive.google.com/open?id=17iKZtZHoNF9lo8JjU7KDmXE4178ozFA8")</f>
        <v>https://drive.google.com/open?id=17iKZtZHoNF9lo8JjU7KDmXE4178ozFA8</v>
      </c>
      <c r="K185" s="69" t="str">
        <f ca="1">IFERROR(__xludf.DUMMYFUNCTION("""COMPUTED_VALUE"""),"2019-2023")</f>
        <v>2019-2023</v>
      </c>
      <c r="L185" s="69" t="str">
        <f ca="1">IFERROR(__xludf.DUMMYFUNCTION("""COMPUTED_VALUE"""),"S3: Student Internships")</f>
        <v>S3: Student Internships</v>
      </c>
      <c r="M185" s="69" t="str">
        <f ca="1">IFERROR(__xludf.DUMMYFUNCTION("""COMPUTED_VALUE"""),"hemanthkantubhukta2232@gmail.com")</f>
        <v>hemanthkantubhukta2232@gmail.com</v>
      </c>
      <c r="N185" s="69" t="str">
        <f ca="1">IFERROR(__xludf.DUMMYFUNCTION("""COMPUTED_VALUE"""),"SEM-6")</f>
        <v>SEM-6</v>
      </c>
      <c r="O185" s="69"/>
      <c r="P185" s="69"/>
      <c r="Q185" s="69"/>
      <c r="R185" s="69"/>
      <c r="S185" s="69"/>
      <c r="T185" s="69"/>
      <c r="U185" s="69"/>
      <c r="V185" s="69"/>
      <c r="W185" s="69"/>
      <c r="X185" s="69"/>
    </row>
    <row r="186" spans="1:24" ht="33" customHeight="1" x14ac:dyDescent="0.15">
      <c r="A186" s="69" t="str">
        <f ca="1">IFERROR(__xludf.DUMMYFUNCTION("""COMPUTED_VALUE"""),"TARAKESWARA THATU NAIDU MADDALA ")</f>
        <v xml:space="preserve">TARAKESWARA THATU NAIDU MADDALA </v>
      </c>
      <c r="B186" s="69" t="str">
        <f ca="1">IFERROR(__xludf.DUMMYFUNCTION("""COMPUTED_VALUE"""),"19331A0597")</f>
        <v>19331A0597</v>
      </c>
      <c r="C186" s="69" t="str">
        <f ca="1">IFERROR(__xludf.DUMMYFUNCTION("""COMPUTED_VALUE"""),"AICTE")</f>
        <v>AICTE</v>
      </c>
      <c r="D186" s="69" t="str">
        <f ca="1">IFERROR(__xludf.DUMMYFUNCTION("""COMPUTED_VALUE"""),"2 months")</f>
        <v>2 months</v>
      </c>
      <c r="E186" s="74">
        <f ca="1">IFERROR(__xludf.DUMMYFUNCTION("""COMPUTED_VALUE"""),44470)</f>
        <v>44470</v>
      </c>
      <c r="F186" s="74">
        <f ca="1">IFERROR(__xludf.DUMMYFUNCTION("""COMPUTED_VALUE"""),44550)</f>
        <v>44550</v>
      </c>
      <c r="G186" s="69" t="str">
        <f ca="1">IFERROR(__xludf.DUMMYFUNCTION("""COMPUTED_VALUE"""),"No")</f>
        <v>No</v>
      </c>
      <c r="H186" s="69" t="str">
        <f ca="1">IFERROR(__xludf.DUMMYFUNCTION("""COMPUTED_VALUE"""),"No")</f>
        <v>No</v>
      </c>
      <c r="I186" s="69">
        <f ca="1">IFERROR(__xludf.DUMMYFUNCTION("""COMPUTED_VALUE"""),0)</f>
        <v>0</v>
      </c>
      <c r="J186" s="75" t="str">
        <f ca="1">IFERROR(__xludf.DUMMYFUNCTION("""COMPUTED_VALUE"""),"https://drive.google.com/open?id=1TPECwCKNhGQy2a6nSAQeDdhd6N0lrh9U")</f>
        <v>https://drive.google.com/open?id=1TPECwCKNhGQy2a6nSAQeDdhd6N0lrh9U</v>
      </c>
      <c r="K186" s="69" t="str">
        <f ca="1">IFERROR(__xludf.DUMMYFUNCTION("""COMPUTED_VALUE"""),"2019-2023")</f>
        <v>2019-2023</v>
      </c>
      <c r="L186" s="69" t="str">
        <f ca="1">IFERROR(__xludf.DUMMYFUNCTION("""COMPUTED_VALUE"""),"S3: Student Internships")</f>
        <v>S3: Student Internships</v>
      </c>
      <c r="M186" s="69" t="str">
        <f ca="1">IFERROR(__xludf.DUMMYFUNCTION("""COMPUTED_VALUE"""),"maddalatharakesh@gmail.com")</f>
        <v>maddalatharakesh@gmail.com</v>
      </c>
      <c r="N186" s="69" t="str">
        <f ca="1">IFERROR(__xludf.DUMMYFUNCTION("""COMPUTED_VALUE"""),"SEM-6")</f>
        <v>SEM-6</v>
      </c>
      <c r="O186" s="69"/>
      <c r="P186" s="69"/>
      <c r="Q186" s="69"/>
      <c r="R186" s="69"/>
      <c r="S186" s="69"/>
      <c r="T186" s="69"/>
      <c r="U186" s="69"/>
      <c r="V186" s="69"/>
      <c r="W186" s="69"/>
      <c r="X186" s="69"/>
    </row>
    <row r="187" spans="1:24" ht="33" customHeight="1" x14ac:dyDescent="0.15">
      <c r="A187" s="69" t="str">
        <f ca="1">IFERROR(__xludf.DUMMYFUNCTION("""COMPUTED_VALUE"""),"Varsha Mamidipaka")</f>
        <v>Varsha Mamidipaka</v>
      </c>
      <c r="B187" s="69" t="str">
        <f ca="1">IFERROR(__xludf.DUMMYFUNCTION("""COMPUTED_VALUE"""),"18331A0592")</f>
        <v>18331A0592</v>
      </c>
      <c r="C187" s="69" t="str">
        <f ca="1">IFERROR(__xludf.DUMMYFUNCTION("""COMPUTED_VALUE"""),"Wipro")</f>
        <v>Wipro</v>
      </c>
      <c r="D187" s="69" t="str">
        <f ca="1">IFERROR(__xludf.DUMMYFUNCTION("""COMPUTED_VALUE"""),"3 months")</f>
        <v>3 months</v>
      </c>
      <c r="E187" s="74">
        <f ca="1">IFERROR(__xludf.DUMMYFUNCTION("""COMPUTED_VALUE"""),44642)</f>
        <v>44642</v>
      </c>
      <c r="F187" s="74">
        <f ca="1">IFERROR(__xludf.DUMMYFUNCTION("""COMPUTED_VALUE"""),44735)</f>
        <v>44735</v>
      </c>
      <c r="G187" s="69" t="str">
        <f ca="1">IFERROR(__xludf.DUMMYFUNCTION("""COMPUTED_VALUE"""),"No")</f>
        <v>No</v>
      </c>
      <c r="H187" s="69" t="str">
        <f ca="1">IFERROR(__xludf.DUMMYFUNCTION("""COMPUTED_VALUE"""),"No")</f>
        <v>No</v>
      </c>
      <c r="I187" s="69">
        <f ca="1">IFERROR(__xludf.DUMMYFUNCTION("""COMPUTED_VALUE"""),0)</f>
        <v>0</v>
      </c>
      <c r="J187" s="75" t="str">
        <f ca="1">IFERROR(__xludf.DUMMYFUNCTION("""COMPUTED_VALUE"""),"https://drive.google.com/open?id=1oHtKKhDC4KQnMG3E3JF_YFX-BuInEMDt")</f>
        <v>https://drive.google.com/open?id=1oHtKKhDC4KQnMG3E3JF_YFX-BuInEMDt</v>
      </c>
      <c r="K187" s="69" t="str">
        <f ca="1">IFERROR(__xludf.DUMMYFUNCTION("""COMPUTED_VALUE"""),"2018-2022")</f>
        <v>2018-2022</v>
      </c>
      <c r="L187" s="69" t="str">
        <f ca="1">IFERROR(__xludf.DUMMYFUNCTION("""COMPUTED_VALUE"""),"S3: Student Internships")</f>
        <v>S3: Student Internships</v>
      </c>
      <c r="M187" s="69" t="str">
        <f ca="1">IFERROR(__xludf.DUMMYFUNCTION("""COMPUTED_VALUE"""),"bhuvanavarsha7701@gmail.com")</f>
        <v>bhuvanavarsha7701@gmail.com</v>
      </c>
      <c r="N187" s="69" t="str">
        <f ca="1">IFERROR(__xludf.DUMMYFUNCTION("""COMPUTED_VALUE"""),"SEM-8")</f>
        <v>SEM-8</v>
      </c>
      <c r="O187" s="69"/>
      <c r="P187" s="69"/>
      <c r="Q187" s="69"/>
      <c r="R187" s="69"/>
      <c r="S187" s="69"/>
      <c r="T187" s="69"/>
      <c r="U187" s="69"/>
      <c r="V187" s="69"/>
      <c r="W187" s="69"/>
      <c r="X187" s="69"/>
    </row>
    <row r="188" spans="1:24" ht="33" customHeight="1" x14ac:dyDescent="0.15">
      <c r="A188" s="69" t="str">
        <f ca="1">IFERROR(__xludf.DUMMYFUNCTION("""COMPUTED_VALUE"""),"MAHESH KUCHETTI ")</f>
        <v xml:space="preserve">MAHESH KUCHETTI </v>
      </c>
      <c r="B188" s="69" t="str">
        <f ca="1">IFERROR(__xludf.DUMMYFUNCTION("""COMPUTED_VALUE"""),"19331A0588")</f>
        <v>19331A0588</v>
      </c>
      <c r="C188" s="69" t="str">
        <f ca="1">IFERROR(__xludf.DUMMYFUNCTION("""COMPUTED_VALUE"""),"AICTE")</f>
        <v>AICTE</v>
      </c>
      <c r="D188" s="69" t="str">
        <f ca="1">IFERROR(__xludf.DUMMYFUNCTION("""COMPUTED_VALUE"""),"2 months")</f>
        <v>2 months</v>
      </c>
      <c r="E188" s="74">
        <f ca="1">IFERROR(__xludf.DUMMYFUNCTION("""COMPUTED_VALUE"""),44470)</f>
        <v>44470</v>
      </c>
      <c r="F188" s="74">
        <f ca="1">IFERROR(__xludf.DUMMYFUNCTION("""COMPUTED_VALUE"""),44550)</f>
        <v>44550</v>
      </c>
      <c r="G188" s="69" t="str">
        <f ca="1">IFERROR(__xludf.DUMMYFUNCTION("""COMPUTED_VALUE"""),"No")</f>
        <v>No</v>
      </c>
      <c r="H188" s="69" t="str">
        <f ca="1">IFERROR(__xludf.DUMMYFUNCTION("""COMPUTED_VALUE"""),"No")</f>
        <v>No</v>
      </c>
      <c r="I188" s="69">
        <f ca="1">IFERROR(__xludf.DUMMYFUNCTION("""COMPUTED_VALUE"""),0)</f>
        <v>0</v>
      </c>
      <c r="J188" s="75" t="str">
        <f ca="1">IFERROR(__xludf.DUMMYFUNCTION("""COMPUTED_VALUE"""),"https://drive.google.com/open?id=1gELbIpdDUVgmmrD4wFp7AgfsDpkZGuio")</f>
        <v>https://drive.google.com/open?id=1gELbIpdDUVgmmrD4wFp7AgfsDpkZGuio</v>
      </c>
      <c r="K188" s="69" t="str">
        <f ca="1">IFERROR(__xludf.DUMMYFUNCTION("""COMPUTED_VALUE"""),"2019-2023")</f>
        <v>2019-2023</v>
      </c>
      <c r="L188" s="69" t="str">
        <f ca="1">IFERROR(__xludf.DUMMYFUNCTION("""COMPUTED_VALUE"""),"S3: Student Internships")</f>
        <v>S3: Student Internships</v>
      </c>
      <c r="M188" s="69" t="str">
        <f ca="1">IFERROR(__xludf.DUMMYFUNCTION("""COMPUTED_VALUE"""),"maheshkuchetti01@gmail.com")</f>
        <v>maheshkuchetti01@gmail.com</v>
      </c>
      <c r="N188" s="69" t="str">
        <f ca="1">IFERROR(__xludf.DUMMYFUNCTION("""COMPUTED_VALUE"""),"SEM-6")</f>
        <v>SEM-6</v>
      </c>
      <c r="O188" s="69"/>
      <c r="P188" s="69"/>
      <c r="Q188" s="69"/>
      <c r="R188" s="69"/>
      <c r="S188" s="69"/>
      <c r="T188" s="69"/>
      <c r="U188" s="69"/>
      <c r="V188" s="69"/>
      <c r="W188" s="69"/>
      <c r="X188" s="69"/>
    </row>
    <row r="189" spans="1:24" ht="33" customHeight="1" x14ac:dyDescent="0.15">
      <c r="A189" s="69" t="str">
        <f ca="1">IFERROR(__xludf.DUMMYFUNCTION("""COMPUTED_VALUE"""),"Kurella venkata surya sailesh ")</f>
        <v xml:space="preserve">Kurella venkata surya sailesh </v>
      </c>
      <c r="B189" s="69" t="str">
        <f ca="1">IFERROR(__xludf.DUMMYFUNCTION("""COMPUTED_VALUE"""),"19331A0593")</f>
        <v>19331A0593</v>
      </c>
      <c r="C189" s="69" t="str">
        <f ca="1">IFERROR(__xludf.DUMMYFUNCTION("""COMPUTED_VALUE"""),"AICTE")</f>
        <v>AICTE</v>
      </c>
      <c r="D189" s="69" t="str">
        <f ca="1">IFERROR(__xludf.DUMMYFUNCTION("""COMPUTED_VALUE"""),"2 months")</f>
        <v>2 months</v>
      </c>
      <c r="E189" s="74">
        <f ca="1">IFERROR(__xludf.DUMMYFUNCTION("""COMPUTED_VALUE"""),44470)</f>
        <v>44470</v>
      </c>
      <c r="F189" s="74">
        <f ca="1">IFERROR(__xludf.DUMMYFUNCTION("""COMPUTED_VALUE"""),44550)</f>
        <v>44550</v>
      </c>
      <c r="G189" s="69" t="str">
        <f ca="1">IFERROR(__xludf.DUMMYFUNCTION("""COMPUTED_VALUE"""),"No")</f>
        <v>No</v>
      </c>
      <c r="H189" s="69" t="str">
        <f ca="1">IFERROR(__xludf.DUMMYFUNCTION("""COMPUTED_VALUE"""),"No")</f>
        <v>No</v>
      </c>
      <c r="I189" s="69">
        <f ca="1">IFERROR(__xludf.DUMMYFUNCTION("""COMPUTED_VALUE"""),0)</f>
        <v>0</v>
      </c>
      <c r="J189" s="75" t="str">
        <f ca="1">IFERROR(__xludf.DUMMYFUNCTION("""COMPUTED_VALUE"""),"https://drive.google.com/open?id=1qID5BX52jnZtKx535FHOvcM-YdZpLWUB")</f>
        <v>https://drive.google.com/open?id=1qID5BX52jnZtKx535FHOvcM-YdZpLWUB</v>
      </c>
      <c r="K189" s="69" t="str">
        <f ca="1">IFERROR(__xludf.DUMMYFUNCTION("""COMPUTED_VALUE"""),"2019-2023")</f>
        <v>2019-2023</v>
      </c>
      <c r="L189" s="69" t="str">
        <f ca="1">IFERROR(__xludf.DUMMYFUNCTION("""COMPUTED_VALUE"""),"S3: Student Internships")</f>
        <v>S3: Student Internships</v>
      </c>
      <c r="M189" s="69" t="str">
        <f ca="1">IFERROR(__xludf.DUMMYFUNCTION("""COMPUTED_VALUE"""),"suryasailesh422@gmail.com")</f>
        <v>suryasailesh422@gmail.com</v>
      </c>
      <c r="N189" s="69" t="str">
        <f ca="1">IFERROR(__xludf.DUMMYFUNCTION("""COMPUTED_VALUE"""),"SEM-6")</f>
        <v>SEM-6</v>
      </c>
      <c r="O189" s="69"/>
      <c r="P189" s="69"/>
      <c r="Q189" s="69"/>
      <c r="R189" s="69"/>
      <c r="S189" s="69"/>
      <c r="T189" s="69"/>
      <c r="U189" s="69"/>
      <c r="V189" s="69"/>
      <c r="W189" s="69"/>
      <c r="X189" s="69"/>
    </row>
    <row r="190" spans="1:24" ht="33" customHeight="1" x14ac:dyDescent="0.15">
      <c r="A190" s="9" t="str">
        <f ca="1">IFERROR(__xludf.DUMMYFUNCTION("""COMPUTED_VALUE"""),"Nandella Pranavi Prathyusha")</f>
        <v>Nandella Pranavi Prathyusha</v>
      </c>
      <c r="B190" s="9" t="str">
        <f ca="1">IFERROR(__xludf.DUMMYFUNCTION("""COMPUTED_VALUE"""),"18331A05A8")</f>
        <v>18331A05A8</v>
      </c>
      <c r="C190" s="9" t="str">
        <f ca="1">IFERROR(__xludf.DUMMYFUNCTION("""COMPUTED_VALUE"""),"AICTE")</f>
        <v>AICTE</v>
      </c>
      <c r="D190" s="9" t="str">
        <f ca="1">IFERROR(__xludf.DUMMYFUNCTION("""COMPUTED_VALUE"""),"10 weeks")</f>
        <v>10 weeks</v>
      </c>
      <c r="E190" s="72">
        <f ca="1">IFERROR(__xludf.DUMMYFUNCTION("""COMPUTED_VALUE"""),44470)</f>
        <v>44470</v>
      </c>
      <c r="F190" s="72">
        <f ca="1">IFERROR(__xludf.DUMMYFUNCTION("""COMPUTED_VALUE"""),44561)</f>
        <v>44561</v>
      </c>
      <c r="G190" s="9" t="str">
        <f ca="1">IFERROR(__xludf.DUMMYFUNCTION("""COMPUTED_VALUE"""),"No")</f>
        <v>No</v>
      </c>
      <c r="H190" s="9" t="str">
        <f ca="1">IFERROR(__xludf.DUMMYFUNCTION("""COMPUTED_VALUE"""),"No")</f>
        <v>No</v>
      </c>
      <c r="I190" s="9">
        <f ca="1">IFERROR(__xludf.DUMMYFUNCTION("""COMPUTED_VALUE"""),0)</f>
        <v>0</v>
      </c>
      <c r="J190" s="73" t="str">
        <f ca="1">IFERROR(__xludf.DUMMYFUNCTION("""COMPUTED_VALUE"""),"https://drive.google.com/open?id=1Z921VLVGL4V-DzPO2qWrsy_sJnIhsHaG")</f>
        <v>https://drive.google.com/open?id=1Z921VLVGL4V-DzPO2qWrsy_sJnIhsHaG</v>
      </c>
      <c r="K190" s="9" t="str">
        <f ca="1">IFERROR(__xludf.DUMMYFUNCTION("""COMPUTED_VALUE"""),"2018-2022")</f>
        <v>2018-2022</v>
      </c>
      <c r="L190" s="9" t="str">
        <f ca="1">IFERROR(__xludf.DUMMYFUNCTION("""COMPUTED_VALUE"""),"S3: Student Internships")</f>
        <v>S3: Student Internships</v>
      </c>
      <c r="M190" s="9" t="str">
        <f ca="1">IFERROR(__xludf.DUMMYFUNCTION("""COMPUTED_VALUE"""),"pranaviprathyusha1@gmail.com")</f>
        <v>pranaviprathyusha1@gmail.com</v>
      </c>
      <c r="N190" s="9" t="str">
        <f ca="1">IFERROR(__xludf.DUMMYFUNCTION("""COMPUTED_VALUE"""),"SEM-7")</f>
        <v>SEM-7</v>
      </c>
      <c r="O190" s="9"/>
      <c r="P190" s="9"/>
      <c r="Q190" s="9"/>
      <c r="R190" s="9"/>
      <c r="S190" s="9"/>
      <c r="T190" s="9"/>
      <c r="U190" s="9"/>
      <c r="V190" s="9"/>
      <c r="W190" s="9"/>
      <c r="X190" s="9"/>
    </row>
    <row r="191" spans="1:24" ht="33" customHeight="1" x14ac:dyDescent="0.15">
      <c r="A191" s="69" t="str">
        <f ca="1">IFERROR(__xludf.DUMMYFUNCTION("""COMPUTED_VALUE"""),"Nalluri sai kiran")</f>
        <v>Nalluri sai kiran</v>
      </c>
      <c r="B191" s="69" t="str">
        <f ca="1">IFERROR(__xludf.DUMMYFUNCTION("""COMPUTED_VALUE"""),"19331A05B8")</f>
        <v>19331A05B8</v>
      </c>
      <c r="C191" s="69" t="str">
        <f ca="1">IFERROR(__xludf.DUMMYFUNCTION("""COMPUTED_VALUE"""),"Blue Prism")</f>
        <v>Blue Prism</v>
      </c>
      <c r="D191" s="69" t="str">
        <f ca="1">IFERROR(__xludf.DUMMYFUNCTION("""COMPUTED_VALUE"""),"2 months")</f>
        <v>2 months</v>
      </c>
      <c r="E191" s="74">
        <f ca="1">IFERROR(__xludf.DUMMYFUNCTION("""COMPUTED_VALUE"""),44470)</f>
        <v>44470</v>
      </c>
      <c r="F191" s="74">
        <f ca="1">IFERROR(__xludf.DUMMYFUNCTION("""COMPUTED_VALUE"""),44550)</f>
        <v>44550</v>
      </c>
      <c r="G191" s="69" t="str">
        <f ca="1">IFERROR(__xludf.DUMMYFUNCTION("""COMPUTED_VALUE"""),"No")</f>
        <v>No</v>
      </c>
      <c r="H191" s="69" t="str">
        <f ca="1">IFERROR(__xludf.DUMMYFUNCTION("""COMPUTED_VALUE"""),"No")</f>
        <v>No</v>
      </c>
      <c r="I191" s="69">
        <f ca="1">IFERROR(__xludf.DUMMYFUNCTION("""COMPUTED_VALUE"""),0)</f>
        <v>0</v>
      </c>
      <c r="J191" s="75" t="str">
        <f ca="1">IFERROR(__xludf.DUMMYFUNCTION("""COMPUTED_VALUE"""),"https://drive.google.com/open?id=10l0klJaXRSSdkEThk-FQbIrJc2ryY74D")</f>
        <v>https://drive.google.com/open?id=10l0klJaXRSSdkEThk-FQbIrJc2ryY74D</v>
      </c>
      <c r="K191" s="69" t="str">
        <f ca="1">IFERROR(__xludf.DUMMYFUNCTION("""COMPUTED_VALUE"""),"2019-2023")</f>
        <v>2019-2023</v>
      </c>
      <c r="L191" s="69" t="str">
        <f ca="1">IFERROR(__xludf.DUMMYFUNCTION("""COMPUTED_VALUE"""),"S3: Student Internships")</f>
        <v>S3: Student Internships</v>
      </c>
      <c r="M191" s="69" t="str">
        <f ca="1">IFERROR(__xludf.DUMMYFUNCTION("""COMPUTED_VALUE"""),"nsaikiran2411@gmail.com")</f>
        <v>nsaikiran2411@gmail.com</v>
      </c>
      <c r="N191" s="69" t="str">
        <f ca="1">IFERROR(__xludf.DUMMYFUNCTION("""COMPUTED_VALUE"""),"SEM-6")</f>
        <v>SEM-6</v>
      </c>
      <c r="O191" s="69"/>
      <c r="P191" s="69"/>
      <c r="Q191" s="69"/>
      <c r="R191" s="69"/>
      <c r="S191" s="69"/>
      <c r="T191" s="69"/>
      <c r="U191" s="69"/>
      <c r="V191" s="69"/>
      <c r="W191" s="69"/>
      <c r="X191" s="69"/>
    </row>
    <row r="192" spans="1:24" ht="33" customHeight="1" x14ac:dyDescent="0.15">
      <c r="A192" s="9" t="str">
        <f ca="1">IFERROR(__xludf.DUMMYFUNCTION("""COMPUTED_VALUE"""),"KILLI SARATHKUMAR")</f>
        <v>KILLI SARATHKUMAR</v>
      </c>
      <c r="B192" s="9" t="str">
        <f ca="1">IFERROR(__xludf.DUMMYFUNCTION("""COMPUTED_VALUE"""),"20331A0584")</f>
        <v>20331A0584</v>
      </c>
      <c r="C192" s="9" t="str">
        <f ca="1">IFERROR(__xludf.DUMMYFUNCTION("""COMPUTED_VALUE"""),"Red hat academy")</f>
        <v>Red hat academy</v>
      </c>
      <c r="D192" s="9" t="str">
        <f ca="1">IFERROR(__xludf.DUMMYFUNCTION("""COMPUTED_VALUE"""),"10 weeks")</f>
        <v>10 weeks</v>
      </c>
      <c r="E192" s="72">
        <f ca="1">IFERROR(__xludf.DUMMYFUNCTION("""COMPUTED_VALUE"""),44604)</f>
        <v>44604</v>
      </c>
      <c r="F192" s="72">
        <f ca="1">IFERROR(__xludf.DUMMYFUNCTION("""COMPUTED_VALUE"""),44662)</f>
        <v>44662</v>
      </c>
      <c r="G192" s="9" t="str">
        <f ca="1">IFERROR(__xludf.DUMMYFUNCTION("""COMPUTED_VALUE"""),"No")</f>
        <v>No</v>
      </c>
      <c r="H192" s="9" t="str">
        <f ca="1">IFERROR(__xludf.DUMMYFUNCTION("""COMPUTED_VALUE"""),"No")</f>
        <v>No</v>
      </c>
      <c r="I192" s="9">
        <f ca="1">IFERROR(__xludf.DUMMYFUNCTION("""COMPUTED_VALUE"""),0)</f>
        <v>0</v>
      </c>
      <c r="J192" s="73" t="str">
        <f ca="1">IFERROR(__xludf.DUMMYFUNCTION("""COMPUTED_VALUE"""),"https://drive.google.com/open?id=1gXIqBnIb77E5lKLFiRe5c4MzKWMG64dB")</f>
        <v>https://drive.google.com/open?id=1gXIqBnIb77E5lKLFiRe5c4MzKWMG64dB</v>
      </c>
      <c r="K192" s="9" t="str">
        <f ca="1">IFERROR(__xludf.DUMMYFUNCTION("""COMPUTED_VALUE"""),"2020-2024")</f>
        <v>2020-2024</v>
      </c>
      <c r="L192" s="9" t="str">
        <f ca="1">IFERROR(__xludf.DUMMYFUNCTION("""COMPUTED_VALUE"""),"S3: Student Internships")</f>
        <v>S3: Student Internships</v>
      </c>
      <c r="M192" s="9" t="str">
        <f ca="1">IFERROR(__xludf.DUMMYFUNCTION("""COMPUTED_VALUE"""),"sarathramkilli2003@gmail.com")</f>
        <v>sarathramkilli2003@gmail.com</v>
      </c>
      <c r="N192" s="9" t="str">
        <f ca="1">IFERROR(__xludf.DUMMYFUNCTION("""COMPUTED_VALUE"""),"SEM-4")</f>
        <v>SEM-4</v>
      </c>
      <c r="O192" s="9"/>
      <c r="P192" s="9"/>
      <c r="Q192" s="9"/>
      <c r="R192" s="9"/>
      <c r="S192" s="9"/>
      <c r="T192" s="9"/>
      <c r="U192" s="9"/>
      <c r="V192" s="9"/>
      <c r="W192" s="9"/>
      <c r="X192" s="9"/>
    </row>
    <row r="193" spans="1:24" ht="33" customHeight="1" x14ac:dyDescent="0.15">
      <c r="A193" s="9" t="str">
        <f ca="1">IFERROR(__xludf.DUMMYFUNCTION("""COMPUTED_VALUE"""),"INDRANI KOTTEDA ")</f>
        <v xml:space="preserve">INDRANI KOTTEDA </v>
      </c>
      <c r="B193" s="9" t="str">
        <f ca="1">IFERROR(__xludf.DUMMYFUNCTION("""COMPUTED_VALUE"""),"19331A0586")</f>
        <v>19331A0586</v>
      </c>
      <c r="C193" s="9" t="str">
        <f ca="1">IFERROR(__xludf.DUMMYFUNCTION("""COMPUTED_VALUE"""),"MVGR college of engineering ")</f>
        <v xml:space="preserve">MVGR college of engineering </v>
      </c>
      <c r="D193" s="9" t="str">
        <f ca="1">IFERROR(__xludf.DUMMYFUNCTION("""COMPUTED_VALUE"""),"10 weeks ")</f>
        <v xml:space="preserve">10 weeks </v>
      </c>
      <c r="E193" s="72">
        <f ca="1">IFERROR(__xludf.DUMMYFUNCTION("""COMPUTED_VALUE"""),44492)</f>
        <v>44492</v>
      </c>
      <c r="F193" s="72">
        <f ca="1">IFERROR(__xludf.DUMMYFUNCTION("""COMPUTED_VALUE"""),44548)</f>
        <v>44548</v>
      </c>
      <c r="G193" s="9" t="str">
        <f ca="1">IFERROR(__xludf.DUMMYFUNCTION("""COMPUTED_VALUE"""),"No")</f>
        <v>No</v>
      </c>
      <c r="H193" s="9" t="str">
        <f ca="1">IFERROR(__xludf.DUMMYFUNCTION("""COMPUTED_VALUE"""),"No")</f>
        <v>No</v>
      </c>
      <c r="I193" s="9">
        <f ca="1">IFERROR(__xludf.DUMMYFUNCTION("""COMPUTED_VALUE"""),0)</f>
        <v>0</v>
      </c>
      <c r="J193" s="73" t="str">
        <f ca="1">IFERROR(__xludf.DUMMYFUNCTION("""COMPUTED_VALUE"""),"https://drive.google.com/open?id=1ICG5ETUUMpFPZmUS2biNZdsjGYFpT4m6")</f>
        <v>https://drive.google.com/open?id=1ICG5ETUUMpFPZmUS2biNZdsjGYFpT4m6</v>
      </c>
      <c r="K193" s="9" t="str">
        <f ca="1">IFERROR(__xludf.DUMMYFUNCTION("""COMPUTED_VALUE"""),"2019-2023")</f>
        <v>2019-2023</v>
      </c>
      <c r="L193" s="9" t="str">
        <f ca="1">IFERROR(__xludf.DUMMYFUNCTION("""COMPUTED_VALUE"""),"S3: Student Internships")</f>
        <v>S3: Student Internships</v>
      </c>
      <c r="M193" s="9" t="str">
        <f ca="1">IFERROR(__xludf.DUMMYFUNCTION("""COMPUTED_VALUE"""),"indranikotteda@gmail.com")</f>
        <v>indranikotteda@gmail.com</v>
      </c>
      <c r="N193" s="9" t="str">
        <f ca="1">IFERROR(__xludf.DUMMYFUNCTION("""COMPUTED_VALUE"""),"SEM-6")</f>
        <v>SEM-6</v>
      </c>
      <c r="O193" s="9"/>
      <c r="P193" s="9"/>
      <c r="Q193" s="9"/>
      <c r="R193" s="9"/>
      <c r="S193" s="9"/>
      <c r="T193" s="9"/>
      <c r="U193" s="9"/>
      <c r="V193" s="9"/>
      <c r="W193" s="9"/>
      <c r="X193" s="9"/>
    </row>
    <row r="194" spans="1:24" ht="33" customHeight="1" x14ac:dyDescent="0.15">
      <c r="A194" s="9" t="str">
        <f ca="1">IFERROR(__xludf.DUMMYFUNCTION("""COMPUTED_VALUE"""),"KILLI SARATHKUMAR")</f>
        <v>KILLI SARATHKUMAR</v>
      </c>
      <c r="B194" s="9" t="str">
        <f ca="1">IFERROR(__xludf.DUMMYFUNCTION("""COMPUTED_VALUE"""),"20331A0584")</f>
        <v>20331A0584</v>
      </c>
      <c r="C194" s="9" t="str">
        <f ca="1">IFERROR(__xludf.DUMMYFUNCTION("""COMPUTED_VALUE"""),"Red hat academy")</f>
        <v>Red hat academy</v>
      </c>
      <c r="D194" s="9" t="str">
        <f ca="1">IFERROR(__xludf.DUMMYFUNCTION("""COMPUTED_VALUE"""),"10 weeks")</f>
        <v>10 weeks</v>
      </c>
      <c r="E194" s="72">
        <f ca="1">IFERROR(__xludf.DUMMYFUNCTION("""COMPUTED_VALUE"""),44604)</f>
        <v>44604</v>
      </c>
      <c r="F194" s="72">
        <f ca="1">IFERROR(__xludf.DUMMYFUNCTION("""COMPUTED_VALUE"""),44662)</f>
        <v>44662</v>
      </c>
      <c r="G194" s="9" t="str">
        <f ca="1">IFERROR(__xludf.DUMMYFUNCTION("""COMPUTED_VALUE"""),"No")</f>
        <v>No</v>
      </c>
      <c r="H194" s="9" t="str">
        <f ca="1">IFERROR(__xludf.DUMMYFUNCTION("""COMPUTED_VALUE"""),"No")</f>
        <v>No</v>
      </c>
      <c r="I194" s="9">
        <f ca="1">IFERROR(__xludf.DUMMYFUNCTION("""COMPUTED_VALUE"""),0)</f>
        <v>0</v>
      </c>
      <c r="J194" s="73" t="str">
        <f ca="1">IFERROR(__xludf.DUMMYFUNCTION("""COMPUTED_VALUE"""),"https://drive.google.com/open?id=1S1-BYvEPshWpIzn5DuM-EWLn8stU29xW")</f>
        <v>https://drive.google.com/open?id=1S1-BYvEPshWpIzn5DuM-EWLn8stU29xW</v>
      </c>
      <c r="K194" s="9" t="str">
        <f ca="1">IFERROR(__xludf.DUMMYFUNCTION("""COMPUTED_VALUE"""),"2020-2024")</f>
        <v>2020-2024</v>
      </c>
      <c r="L194" s="9" t="str">
        <f ca="1">IFERROR(__xludf.DUMMYFUNCTION("""COMPUTED_VALUE"""),"S3: Student Internships")</f>
        <v>S3: Student Internships</v>
      </c>
      <c r="M194" s="9" t="str">
        <f ca="1">IFERROR(__xludf.DUMMYFUNCTION("""COMPUTED_VALUE"""),"sarathramkilli2003@gmail.com")</f>
        <v>sarathramkilli2003@gmail.com</v>
      </c>
      <c r="N194" s="9" t="str">
        <f ca="1">IFERROR(__xludf.DUMMYFUNCTION("""COMPUTED_VALUE"""),"SEM-4")</f>
        <v>SEM-4</v>
      </c>
      <c r="O194" s="9"/>
      <c r="P194" s="9"/>
      <c r="Q194" s="9"/>
      <c r="R194" s="9"/>
      <c r="S194" s="9"/>
      <c r="T194" s="9"/>
      <c r="U194" s="9"/>
      <c r="V194" s="9"/>
      <c r="W194" s="9"/>
      <c r="X194" s="9"/>
    </row>
    <row r="195" spans="1:24" ht="33" customHeight="1" x14ac:dyDescent="0.15">
      <c r="A195" s="9" t="str">
        <f ca="1">IFERROR(__xludf.DUMMYFUNCTION("""COMPUTED_VALUE"""),"Mora Sruthi ")</f>
        <v xml:space="preserve">Mora Sruthi </v>
      </c>
      <c r="B195" s="9" t="str">
        <f ca="1">IFERROR(__xludf.DUMMYFUNCTION("""COMPUTED_VALUE"""),"20331A05B4")</f>
        <v>20331A05B4</v>
      </c>
      <c r="C195" s="9" t="str">
        <f ca="1">IFERROR(__xludf.DUMMYFUNCTION("""COMPUTED_VALUE"""),"NDG")</f>
        <v>NDG</v>
      </c>
      <c r="D195" s="9" t="str">
        <f ca="1">IFERROR(__xludf.DUMMYFUNCTION("""COMPUTED_VALUE"""),"2 months")</f>
        <v>2 months</v>
      </c>
      <c r="E195" s="72">
        <f ca="1">IFERROR(__xludf.DUMMYFUNCTION("""COMPUTED_VALUE"""),44594)</f>
        <v>44594</v>
      </c>
      <c r="F195" s="72">
        <f ca="1">IFERROR(__xludf.DUMMYFUNCTION("""COMPUTED_VALUE"""),44654)</f>
        <v>44654</v>
      </c>
      <c r="G195" s="9" t="str">
        <f ca="1">IFERROR(__xludf.DUMMYFUNCTION("""COMPUTED_VALUE"""),"No")</f>
        <v>No</v>
      </c>
      <c r="H195" s="9" t="str">
        <f ca="1">IFERROR(__xludf.DUMMYFUNCTION("""COMPUTED_VALUE"""),"No")</f>
        <v>No</v>
      </c>
      <c r="I195" s="9">
        <f ca="1">IFERROR(__xludf.DUMMYFUNCTION("""COMPUTED_VALUE"""),0)</f>
        <v>0</v>
      </c>
      <c r="J195" s="73" t="str">
        <f ca="1">IFERROR(__xludf.DUMMYFUNCTION("""COMPUTED_VALUE"""),"https://drive.google.com/open?id=1_EleP57M2daRqNWwka5lH_XUVG8M_4Sl")</f>
        <v>https://drive.google.com/open?id=1_EleP57M2daRqNWwka5lH_XUVG8M_4Sl</v>
      </c>
      <c r="K195" s="9" t="str">
        <f ca="1">IFERROR(__xludf.DUMMYFUNCTION("""COMPUTED_VALUE"""),"2020-2024")</f>
        <v>2020-2024</v>
      </c>
      <c r="L195" s="9" t="str">
        <f ca="1">IFERROR(__xludf.DUMMYFUNCTION("""COMPUTED_VALUE"""),"S3: Student Internships")</f>
        <v>S3: Student Internships</v>
      </c>
      <c r="M195" s="9" t="str">
        <f ca="1">IFERROR(__xludf.DUMMYFUNCTION("""COMPUTED_VALUE"""),"sruthimora5@gmail.com")</f>
        <v>sruthimora5@gmail.com</v>
      </c>
      <c r="N195" s="9" t="str">
        <f ca="1">IFERROR(__xludf.DUMMYFUNCTION("""COMPUTED_VALUE"""),"SEM-4")</f>
        <v>SEM-4</v>
      </c>
      <c r="O195" s="9"/>
      <c r="P195" s="9"/>
      <c r="Q195" s="9"/>
      <c r="R195" s="9"/>
      <c r="S195" s="9"/>
      <c r="T195" s="9"/>
      <c r="U195" s="9"/>
      <c r="V195" s="9"/>
      <c r="W195" s="9"/>
      <c r="X195" s="9"/>
    </row>
    <row r="196" spans="1:24" ht="33" customHeight="1" x14ac:dyDescent="0.15">
      <c r="A196" s="9" t="str">
        <f ca="1">IFERROR(__xludf.DUMMYFUNCTION("""COMPUTED_VALUE"""),"Mora Sruthi ")</f>
        <v xml:space="preserve">Mora Sruthi </v>
      </c>
      <c r="B196" s="9" t="str">
        <f ca="1">IFERROR(__xludf.DUMMYFUNCTION("""COMPUTED_VALUE"""),"20331A05B4")</f>
        <v>20331A05B4</v>
      </c>
      <c r="C196" s="9" t="str">
        <f ca="1">IFERROR(__xludf.DUMMYFUNCTION("""COMPUTED_VALUE"""),"Cisco")</f>
        <v>Cisco</v>
      </c>
      <c r="D196" s="9" t="str">
        <f ca="1">IFERROR(__xludf.DUMMYFUNCTION("""COMPUTED_VALUE"""),"2 months")</f>
        <v>2 months</v>
      </c>
      <c r="E196" s="72">
        <f ca="1">IFERROR(__xludf.DUMMYFUNCTION("""COMPUTED_VALUE"""),44378)</f>
        <v>44378</v>
      </c>
      <c r="F196" s="72">
        <f ca="1">IFERROR(__xludf.DUMMYFUNCTION("""COMPUTED_VALUE"""),44440)</f>
        <v>44440</v>
      </c>
      <c r="G196" s="9" t="str">
        <f ca="1">IFERROR(__xludf.DUMMYFUNCTION("""COMPUTED_VALUE"""),"No")</f>
        <v>No</v>
      </c>
      <c r="H196" s="9" t="str">
        <f ca="1">IFERROR(__xludf.DUMMYFUNCTION("""COMPUTED_VALUE"""),"No")</f>
        <v>No</v>
      </c>
      <c r="I196" s="9">
        <f ca="1">IFERROR(__xludf.DUMMYFUNCTION("""COMPUTED_VALUE"""),0)</f>
        <v>0</v>
      </c>
      <c r="J196" s="73" t="str">
        <f ca="1">IFERROR(__xludf.DUMMYFUNCTION("""COMPUTED_VALUE"""),"https://drive.google.com/open?id=1q7SXNXWpRzlvsNkvYUhAmGQcta1nQIeb")</f>
        <v>https://drive.google.com/open?id=1q7SXNXWpRzlvsNkvYUhAmGQcta1nQIeb</v>
      </c>
      <c r="K196" s="9" t="str">
        <f ca="1">IFERROR(__xludf.DUMMYFUNCTION("""COMPUTED_VALUE"""),"2020-2024")</f>
        <v>2020-2024</v>
      </c>
      <c r="L196" s="9" t="str">
        <f ca="1">IFERROR(__xludf.DUMMYFUNCTION("""COMPUTED_VALUE"""),"S3: Student Internships")</f>
        <v>S3: Student Internships</v>
      </c>
      <c r="M196" s="9" t="str">
        <f ca="1">IFERROR(__xludf.DUMMYFUNCTION("""COMPUTED_VALUE"""),"sruthimora5@gmail.com")</f>
        <v>sruthimora5@gmail.com</v>
      </c>
      <c r="N196" s="9" t="str">
        <f ca="1">IFERROR(__xludf.DUMMYFUNCTION("""COMPUTED_VALUE"""),"SEM-4")</f>
        <v>SEM-4</v>
      </c>
      <c r="O196" s="9"/>
      <c r="P196" s="9"/>
      <c r="Q196" s="9"/>
      <c r="R196" s="9"/>
      <c r="S196" s="9"/>
      <c r="T196" s="9"/>
      <c r="U196" s="9"/>
      <c r="V196" s="9"/>
      <c r="W196" s="9"/>
      <c r="X196" s="9"/>
    </row>
    <row r="197" spans="1:24" ht="33" customHeight="1" x14ac:dyDescent="0.15">
      <c r="A197" s="9" t="str">
        <f ca="1">IFERROR(__xludf.DUMMYFUNCTION("""COMPUTED_VALUE"""),"Nadimpalli Lakshmi Jyothsna ")</f>
        <v xml:space="preserve">Nadimpalli Lakshmi Jyothsna </v>
      </c>
      <c r="B197" s="9" t="str">
        <f ca="1">IFERROR(__xludf.DUMMYFUNCTION("""COMPUTED_VALUE"""),"20331A05C1 ")</f>
        <v xml:space="preserve">20331A05C1 </v>
      </c>
      <c r="C197" s="9" t="str">
        <f ca="1">IFERROR(__xludf.DUMMYFUNCTION("""COMPUTED_VALUE"""),"Linux")</f>
        <v>Linux</v>
      </c>
      <c r="D197" s="9" t="str">
        <f ca="1">IFERROR(__xludf.DUMMYFUNCTION("""COMPUTED_VALUE"""),"3 months")</f>
        <v>3 months</v>
      </c>
      <c r="E197" s="72">
        <f ca="1">IFERROR(__xludf.DUMMYFUNCTION("""COMPUTED_VALUE"""),44470)</f>
        <v>44470</v>
      </c>
      <c r="F197" s="72">
        <f ca="1">IFERROR(__xludf.DUMMYFUNCTION("""COMPUTED_VALUE"""),44561)</f>
        <v>44561</v>
      </c>
      <c r="G197" s="9" t="str">
        <f ca="1">IFERROR(__xludf.DUMMYFUNCTION("""COMPUTED_VALUE"""),"No")</f>
        <v>No</v>
      </c>
      <c r="H197" s="9" t="str">
        <f ca="1">IFERROR(__xludf.DUMMYFUNCTION("""COMPUTED_VALUE"""),"No")</f>
        <v>No</v>
      </c>
      <c r="I197" s="9">
        <f ca="1">IFERROR(__xludf.DUMMYFUNCTION("""COMPUTED_VALUE"""),0)</f>
        <v>0</v>
      </c>
      <c r="J197" s="73" t="str">
        <f ca="1">IFERROR(__xludf.DUMMYFUNCTION("""COMPUTED_VALUE"""),"https://drive.google.com/open?id=1-aRoU-1z9hogdqcWkPsTaYGqXpYYH-WD")</f>
        <v>https://drive.google.com/open?id=1-aRoU-1z9hogdqcWkPsTaYGqXpYYH-WD</v>
      </c>
      <c r="K197" s="9" t="str">
        <f ca="1">IFERROR(__xludf.DUMMYFUNCTION("""COMPUTED_VALUE"""),"2020-2024")</f>
        <v>2020-2024</v>
      </c>
      <c r="L197" s="9" t="str">
        <f ca="1">IFERROR(__xludf.DUMMYFUNCTION("""COMPUTED_VALUE"""),"S3: Student Internships")</f>
        <v>S3: Student Internships</v>
      </c>
      <c r="M197" s="9" t="str">
        <f ca="1">IFERROR(__xludf.DUMMYFUNCTION("""COMPUTED_VALUE"""),"nljyothsna828@gmail.com")</f>
        <v>nljyothsna828@gmail.com</v>
      </c>
      <c r="N197" s="9" t="str">
        <f ca="1">IFERROR(__xludf.DUMMYFUNCTION("""COMPUTED_VALUE"""),"SEM-4")</f>
        <v>SEM-4</v>
      </c>
      <c r="O197" s="9"/>
      <c r="P197" s="9"/>
      <c r="Q197" s="9"/>
      <c r="R197" s="9"/>
      <c r="S197" s="9"/>
      <c r="T197" s="9"/>
      <c r="U197" s="9"/>
      <c r="V197" s="9"/>
      <c r="W197" s="9"/>
      <c r="X197" s="9"/>
    </row>
    <row r="198" spans="1:24" ht="33" customHeight="1" x14ac:dyDescent="0.15">
      <c r="A198" s="9" t="str">
        <f ca="1">IFERROR(__xludf.DUMMYFUNCTION("""COMPUTED_VALUE"""),"Nadimpalli Lakshmi Jyothsna ")</f>
        <v xml:space="preserve">Nadimpalli Lakshmi Jyothsna </v>
      </c>
      <c r="B198" s="9" t="str">
        <f ca="1">IFERROR(__xludf.DUMMYFUNCTION("""COMPUTED_VALUE"""),"20331A05C1 ")</f>
        <v xml:space="preserve">20331A05C1 </v>
      </c>
      <c r="C198" s="9" t="str">
        <f ca="1">IFERROR(__xludf.DUMMYFUNCTION("""COMPUTED_VALUE"""),"Cisco")</f>
        <v>Cisco</v>
      </c>
      <c r="D198" s="9" t="str">
        <f ca="1">IFERROR(__xludf.DUMMYFUNCTION("""COMPUTED_VALUE"""),"2 months")</f>
        <v>2 months</v>
      </c>
      <c r="E198" s="72">
        <f ca="1">IFERROR(__xludf.DUMMYFUNCTION("""COMPUTED_VALUE"""),44378)</f>
        <v>44378</v>
      </c>
      <c r="F198" s="72">
        <f ca="1">IFERROR(__xludf.DUMMYFUNCTION("""COMPUTED_VALUE"""),44469)</f>
        <v>44469</v>
      </c>
      <c r="G198" s="9" t="str">
        <f ca="1">IFERROR(__xludf.DUMMYFUNCTION("""COMPUTED_VALUE"""),"No")</f>
        <v>No</v>
      </c>
      <c r="H198" s="9" t="str">
        <f ca="1">IFERROR(__xludf.DUMMYFUNCTION("""COMPUTED_VALUE"""),"No")</f>
        <v>No</v>
      </c>
      <c r="I198" s="9">
        <f ca="1">IFERROR(__xludf.DUMMYFUNCTION("""COMPUTED_VALUE"""),0)</f>
        <v>0</v>
      </c>
      <c r="J198" s="73" t="str">
        <f ca="1">IFERROR(__xludf.DUMMYFUNCTION("""COMPUTED_VALUE"""),"https://drive.google.com/open?id=1-obNgY-hXWC3p2U3pOjG1UNPfhYv-yOg")</f>
        <v>https://drive.google.com/open?id=1-obNgY-hXWC3p2U3pOjG1UNPfhYv-yOg</v>
      </c>
      <c r="K198" s="9" t="str">
        <f ca="1">IFERROR(__xludf.DUMMYFUNCTION("""COMPUTED_VALUE"""),"2020-2024")</f>
        <v>2020-2024</v>
      </c>
      <c r="L198" s="9" t="str">
        <f ca="1">IFERROR(__xludf.DUMMYFUNCTION("""COMPUTED_VALUE"""),"S3: Student Internships")</f>
        <v>S3: Student Internships</v>
      </c>
      <c r="M198" s="9" t="str">
        <f ca="1">IFERROR(__xludf.DUMMYFUNCTION("""COMPUTED_VALUE"""),"nljyothsna828@gmail.com")</f>
        <v>nljyothsna828@gmail.com</v>
      </c>
      <c r="N198" s="9" t="str">
        <f ca="1">IFERROR(__xludf.DUMMYFUNCTION("""COMPUTED_VALUE"""),"SEM-4")</f>
        <v>SEM-4</v>
      </c>
      <c r="O198" s="9"/>
      <c r="P198" s="9"/>
      <c r="Q198" s="9"/>
      <c r="R198" s="9"/>
      <c r="S198" s="9"/>
      <c r="T198" s="9"/>
      <c r="U198" s="9"/>
      <c r="V198" s="9"/>
      <c r="W198" s="9"/>
      <c r="X198" s="9"/>
    </row>
    <row r="199" spans="1:24" ht="33" customHeight="1" x14ac:dyDescent="0.15">
      <c r="A199" s="9" t="str">
        <f ca="1">IFERROR(__xludf.DUMMYFUNCTION("""COMPUTED_VALUE"""),"Sai Gayathri Latchipatula")</f>
        <v>Sai Gayathri Latchipatula</v>
      </c>
      <c r="B199" s="9" t="str">
        <f ca="1">IFERROR(__xludf.DUMMYFUNCTION("""COMPUTED_VALUE"""),"18331A0587")</f>
        <v>18331A0587</v>
      </c>
      <c r="C199" s="9" t="str">
        <f ca="1">IFERROR(__xludf.DUMMYFUNCTION("""COMPUTED_VALUE"""),"Eduskills")</f>
        <v>Eduskills</v>
      </c>
      <c r="D199" s="9" t="str">
        <f ca="1">IFERROR(__xludf.DUMMYFUNCTION("""COMPUTED_VALUE"""),"3 months")</f>
        <v>3 months</v>
      </c>
      <c r="E199" s="72">
        <f ca="1">IFERROR(__xludf.DUMMYFUNCTION("""COMPUTED_VALUE"""),44476)</f>
        <v>44476</v>
      </c>
      <c r="F199" s="72">
        <f ca="1">IFERROR(__xludf.DUMMYFUNCTION("""COMPUTED_VALUE"""),44557)</f>
        <v>44557</v>
      </c>
      <c r="G199" s="9" t="str">
        <f ca="1">IFERROR(__xludf.DUMMYFUNCTION("""COMPUTED_VALUE"""),"No")</f>
        <v>No</v>
      </c>
      <c r="H199" s="9" t="str">
        <f ca="1">IFERROR(__xludf.DUMMYFUNCTION("""COMPUTED_VALUE"""),"No")</f>
        <v>No</v>
      </c>
      <c r="I199" s="9">
        <f ca="1">IFERROR(__xludf.DUMMYFUNCTION("""COMPUTED_VALUE"""),0)</f>
        <v>0</v>
      </c>
      <c r="J199" s="73" t="str">
        <f ca="1">IFERROR(__xludf.DUMMYFUNCTION("""COMPUTED_VALUE"""),"https://drive.google.com/open?id=1FxVftOJQbMTy39xSDZVUrPs4_qt5jlpM")</f>
        <v>https://drive.google.com/open?id=1FxVftOJQbMTy39xSDZVUrPs4_qt5jlpM</v>
      </c>
      <c r="K199" s="9" t="str">
        <f ca="1">IFERROR(__xludf.DUMMYFUNCTION("""COMPUTED_VALUE"""),"2018-2022")</f>
        <v>2018-2022</v>
      </c>
      <c r="L199" s="9" t="str">
        <f ca="1">IFERROR(__xludf.DUMMYFUNCTION("""COMPUTED_VALUE"""),"S3: Student Internships")</f>
        <v>S3: Student Internships</v>
      </c>
      <c r="M199" s="9" t="str">
        <f ca="1">IFERROR(__xludf.DUMMYFUNCTION("""COMPUTED_VALUE"""),"latchipatulasaigayathri@gmail.com")</f>
        <v>latchipatulasaigayathri@gmail.com</v>
      </c>
      <c r="N199" s="9" t="str">
        <f ca="1">IFERROR(__xludf.DUMMYFUNCTION("""COMPUTED_VALUE"""),"SEM-8")</f>
        <v>SEM-8</v>
      </c>
      <c r="O199" s="9"/>
      <c r="P199" s="9"/>
      <c r="Q199" s="9"/>
      <c r="R199" s="9"/>
      <c r="S199" s="9"/>
      <c r="T199" s="9"/>
      <c r="U199" s="9"/>
      <c r="V199" s="9"/>
      <c r="W199" s="9"/>
      <c r="X199" s="9"/>
    </row>
    <row r="200" spans="1:24" ht="33" customHeight="1" x14ac:dyDescent="0.1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</row>
    <row r="201" spans="1:24" ht="33" customHeight="1" x14ac:dyDescent="0.1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</row>
    <row r="202" spans="1:24" ht="33" customHeight="1" x14ac:dyDescent="0.1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</row>
    <row r="203" spans="1:24" ht="33" customHeight="1" x14ac:dyDescent="0.1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</row>
    <row r="204" spans="1:24" ht="33" customHeight="1" x14ac:dyDescent="0.1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</row>
    <row r="205" spans="1:24" ht="33" customHeight="1" x14ac:dyDescent="0.1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</row>
    <row r="206" spans="1:24" ht="33" customHeight="1" x14ac:dyDescent="0.1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</row>
    <row r="207" spans="1:24" ht="33" customHeight="1" x14ac:dyDescent="0.1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</row>
    <row r="208" spans="1:24" ht="33" customHeight="1" x14ac:dyDescent="0.1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</row>
    <row r="209" spans="1:24" ht="33" customHeight="1" x14ac:dyDescent="0.1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</row>
    <row r="210" spans="1:24" ht="33" customHeight="1" x14ac:dyDescent="0.1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</row>
    <row r="211" spans="1:24" ht="33" customHeight="1" x14ac:dyDescent="0.1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</row>
    <row r="212" spans="1:24" ht="33" customHeight="1" x14ac:dyDescent="0.1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</row>
    <row r="213" spans="1:24" ht="33" customHeight="1" x14ac:dyDescent="0.1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</row>
    <row r="214" spans="1:24" ht="33" customHeight="1" x14ac:dyDescent="0.1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</row>
    <row r="215" spans="1:24" ht="33" customHeight="1" x14ac:dyDescent="0.1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</row>
    <row r="216" spans="1:24" ht="33" customHeight="1" x14ac:dyDescent="0.1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</row>
    <row r="217" spans="1:24" ht="33" customHeight="1" x14ac:dyDescent="0.1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</row>
    <row r="218" spans="1:24" ht="33" customHeight="1" x14ac:dyDescent="0.1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</row>
    <row r="219" spans="1:24" ht="33" customHeight="1" x14ac:dyDescent="0.1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</row>
    <row r="220" spans="1:24" ht="33" customHeight="1" x14ac:dyDescent="0.1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</row>
    <row r="221" spans="1:24" ht="33" customHeight="1" x14ac:dyDescent="0.1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</row>
    <row r="222" spans="1:24" ht="33" customHeight="1" x14ac:dyDescent="0.1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</row>
    <row r="223" spans="1:24" ht="33" customHeight="1" x14ac:dyDescent="0.1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</row>
    <row r="224" spans="1:24" ht="33" customHeight="1" x14ac:dyDescent="0.1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</row>
    <row r="225" spans="1:24" ht="33" customHeight="1" x14ac:dyDescent="0.1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</row>
    <row r="226" spans="1:24" ht="33" customHeight="1" x14ac:dyDescent="0.1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</row>
    <row r="227" spans="1:24" ht="33" customHeight="1" x14ac:dyDescent="0.1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</row>
    <row r="228" spans="1:24" ht="33" customHeight="1" x14ac:dyDescent="0.1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</row>
    <row r="229" spans="1:24" ht="33" customHeight="1" x14ac:dyDescent="0.1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</row>
    <row r="230" spans="1:24" ht="33" customHeight="1" x14ac:dyDescent="0.1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</row>
    <row r="231" spans="1:24" ht="33" customHeight="1" x14ac:dyDescent="0.1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</row>
    <row r="232" spans="1:24" ht="33" customHeight="1" x14ac:dyDescent="0.1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</row>
    <row r="233" spans="1:24" ht="33" customHeight="1" x14ac:dyDescent="0.1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</row>
    <row r="234" spans="1:24" ht="33" customHeight="1" x14ac:dyDescent="0.1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</row>
    <row r="235" spans="1:24" ht="33" customHeight="1" x14ac:dyDescent="0.1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</row>
    <row r="236" spans="1:24" ht="33" customHeight="1" x14ac:dyDescent="0.1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</row>
    <row r="237" spans="1:24" ht="33" customHeight="1" x14ac:dyDescent="0.1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</row>
    <row r="238" spans="1:24" ht="33" customHeight="1" x14ac:dyDescent="0.1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</row>
    <row r="239" spans="1:24" ht="33" customHeight="1" x14ac:dyDescent="0.1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</row>
    <row r="240" spans="1:24" ht="33" customHeight="1" x14ac:dyDescent="0.1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</row>
    <row r="241" spans="1:24" ht="33" customHeight="1" x14ac:dyDescent="0.1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</row>
    <row r="242" spans="1:24" ht="33" customHeight="1" x14ac:dyDescent="0.1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</row>
    <row r="243" spans="1:24" ht="33" customHeight="1" x14ac:dyDescent="0.1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</row>
    <row r="244" spans="1:24" ht="33" customHeight="1" x14ac:dyDescent="0.1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</row>
    <row r="245" spans="1:24" ht="33" customHeight="1" x14ac:dyDescent="0.1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</row>
    <row r="246" spans="1:24" ht="33" customHeight="1" x14ac:dyDescent="0.1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</row>
    <row r="247" spans="1:24" ht="33" customHeight="1" x14ac:dyDescent="0.1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</row>
    <row r="248" spans="1:24" ht="33" customHeight="1" x14ac:dyDescent="0.1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</row>
    <row r="249" spans="1:24" ht="33" customHeight="1" x14ac:dyDescent="0.1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</row>
    <row r="250" spans="1:24" ht="33" customHeight="1" x14ac:dyDescent="0.1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</row>
    <row r="251" spans="1:24" ht="33" customHeight="1" x14ac:dyDescent="0.1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</row>
    <row r="252" spans="1:24" ht="33" customHeight="1" x14ac:dyDescent="0.1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</row>
    <row r="253" spans="1:24" ht="33" customHeight="1" x14ac:dyDescent="0.1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</row>
    <row r="254" spans="1:24" ht="33" customHeight="1" x14ac:dyDescent="0.1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</row>
    <row r="255" spans="1:24" ht="33" customHeight="1" x14ac:dyDescent="0.1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</row>
    <row r="256" spans="1:24" ht="33" customHeight="1" x14ac:dyDescent="0.1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</row>
    <row r="257" spans="1:24" ht="33" customHeight="1" x14ac:dyDescent="0.1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</row>
    <row r="258" spans="1:24" ht="33" customHeight="1" x14ac:dyDescent="0.1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</row>
    <row r="259" spans="1:24" ht="33" customHeight="1" x14ac:dyDescent="0.1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</row>
    <row r="260" spans="1:24" ht="33" customHeight="1" x14ac:dyDescent="0.1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</row>
    <row r="261" spans="1:24" ht="33" customHeight="1" x14ac:dyDescent="0.1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</row>
    <row r="262" spans="1:24" ht="33" customHeight="1" x14ac:dyDescent="0.1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</row>
    <row r="263" spans="1:24" ht="33" customHeight="1" x14ac:dyDescent="0.1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</row>
    <row r="264" spans="1:24" ht="33" customHeight="1" x14ac:dyDescent="0.1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</row>
    <row r="265" spans="1:24" ht="33" customHeight="1" x14ac:dyDescent="0.1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</row>
    <row r="266" spans="1:24" ht="33" customHeight="1" x14ac:dyDescent="0.1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</row>
    <row r="267" spans="1:24" ht="33" customHeight="1" x14ac:dyDescent="0.1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</row>
    <row r="268" spans="1:24" ht="33" customHeight="1" x14ac:dyDescent="0.1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</row>
    <row r="269" spans="1:24" ht="33" customHeight="1" x14ac:dyDescent="0.1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</row>
    <row r="270" spans="1:24" ht="33" customHeight="1" x14ac:dyDescent="0.1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</row>
    <row r="271" spans="1:24" ht="33" customHeight="1" x14ac:dyDescent="0.1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</row>
    <row r="272" spans="1:24" ht="33" customHeight="1" x14ac:dyDescent="0.1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</row>
    <row r="273" spans="1:24" ht="33" customHeight="1" x14ac:dyDescent="0.1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</row>
    <row r="274" spans="1:24" ht="33" customHeight="1" x14ac:dyDescent="0.1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</row>
    <row r="275" spans="1:24" ht="33" customHeight="1" x14ac:dyDescent="0.1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</row>
    <row r="276" spans="1:24" ht="33" customHeight="1" x14ac:dyDescent="0.1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</row>
    <row r="277" spans="1:24" ht="33" customHeight="1" x14ac:dyDescent="0.1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</row>
    <row r="278" spans="1:24" ht="33" customHeight="1" x14ac:dyDescent="0.1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</row>
    <row r="279" spans="1:24" ht="33" customHeight="1" x14ac:dyDescent="0.1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</row>
    <row r="280" spans="1:24" ht="33" customHeight="1" x14ac:dyDescent="0.1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</row>
    <row r="281" spans="1:24" ht="33" customHeight="1" x14ac:dyDescent="0.1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</row>
    <row r="282" spans="1:24" ht="33" customHeight="1" x14ac:dyDescent="0.1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</row>
    <row r="283" spans="1:24" ht="33" customHeight="1" x14ac:dyDescent="0.1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</row>
    <row r="284" spans="1:24" ht="33" customHeight="1" x14ac:dyDescent="0.1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</row>
    <row r="285" spans="1:24" ht="33" customHeight="1" x14ac:dyDescent="0.1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</row>
    <row r="286" spans="1:24" ht="33" customHeight="1" x14ac:dyDescent="0.1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</row>
    <row r="287" spans="1:24" ht="33" customHeight="1" x14ac:dyDescent="0.1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</row>
    <row r="288" spans="1:24" ht="33" customHeight="1" x14ac:dyDescent="0.1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</row>
    <row r="289" spans="1:24" ht="33" customHeight="1" x14ac:dyDescent="0.1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</row>
    <row r="290" spans="1:24" ht="33" customHeight="1" x14ac:dyDescent="0.1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</row>
    <row r="291" spans="1:24" ht="33" customHeight="1" x14ac:dyDescent="0.1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</row>
    <row r="292" spans="1:24" ht="33" customHeight="1" x14ac:dyDescent="0.1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</row>
    <row r="293" spans="1:24" ht="33" customHeight="1" x14ac:dyDescent="0.1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</row>
    <row r="294" spans="1:24" ht="33" customHeight="1" x14ac:dyDescent="0.1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</row>
    <row r="295" spans="1:24" ht="33" customHeight="1" x14ac:dyDescent="0.1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</row>
    <row r="296" spans="1:24" ht="33" customHeight="1" x14ac:dyDescent="0.1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</row>
    <row r="297" spans="1:24" ht="33" customHeight="1" x14ac:dyDescent="0.1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</row>
    <row r="298" spans="1:24" ht="33" customHeight="1" x14ac:dyDescent="0.1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</row>
    <row r="299" spans="1:24" ht="33" customHeight="1" x14ac:dyDescent="0.1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</row>
    <row r="300" spans="1:24" ht="33" customHeight="1" x14ac:dyDescent="0.1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</row>
    <row r="301" spans="1:24" ht="33" customHeight="1" x14ac:dyDescent="0.1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</row>
    <row r="302" spans="1:24" ht="33" customHeight="1" x14ac:dyDescent="0.1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</row>
    <row r="303" spans="1:24" ht="33" customHeight="1" x14ac:dyDescent="0.1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</row>
    <row r="304" spans="1:24" ht="33" customHeight="1" x14ac:dyDescent="0.1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</row>
    <row r="305" spans="1:24" ht="33" customHeight="1" x14ac:dyDescent="0.1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</row>
    <row r="306" spans="1:24" ht="33" customHeight="1" x14ac:dyDescent="0.1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</row>
    <row r="307" spans="1:24" ht="33" customHeight="1" x14ac:dyDescent="0.1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</row>
    <row r="308" spans="1:24" ht="33" customHeight="1" x14ac:dyDescent="0.1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</row>
    <row r="309" spans="1:24" ht="33" customHeight="1" x14ac:dyDescent="0.1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</row>
    <row r="310" spans="1:24" ht="33" customHeight="1" x14ac:dyDescent="0.1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</row>
    <row r="311" spans="1:24" ht="33" customHeight="1" x14ac:dyDescent="0.1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</row>
    <row r="312" spans="1:24" ht="33" customHeight="1" x14ac:dyDescent="0.1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</row>
    <row r="313" spans="1:24" ht="33" customHeight="1" x14ac:dyDescent="0.1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</row>
    <row r="314" spans="1:24" ht="33" customHeight="1" x14ac:dyDescent="0.1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</row>
    <row r="315" spans="1:24" ht="33" customHeight="1" x14ac:dyDescent="0.1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</row>
    <row r="316" spans="1:24" ht="33" customHeight="1" x14ac:dyDescent="0.1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</row>
    <row r="317" spans="1:24" ht="33" customHeight="1" x14ac:dyDescent="0.1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</row>
    <row r="318" spans="1:24" ht="33" customHeight="1" x14ac:dyDescent="0.1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</row>
    <row r="319" spans="1:24" ht="33" customHeight="1" x14ac:dyDescent="0.1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</row>
    <row r="320" spans="1:24" ht="33" customHeight="1" x14ac:dyDescent="0.1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</row>
    <row r="321" spans="1:24" ht="33" customHeight="1" x14ac:dyDescent="0.1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</row>
    <row r="322" spans="1:24" ht="33" customHeight="1" x14ac:dyDescent="0.1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</row>
    <row r="323" spans="1:24" ht="33" customHeight="1" x14ac:dyDescent="0.1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</row>
    <row r="324" spans="1:24" ht="33" customHeight="1" x14ac:dyDescent="0.1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</row>
    <row r="325" spans="1:24" ht="33" customHeight="1" x14ac:dyDescent="0.1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</row>
    <row r="326" spans="1:24" ht="33" customHeight="1" x14ac:dyDescent="0.1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</row>
    <row r="327" spans="1:24" ht="33" customHeight="1" x14ac:dyDescent="0.1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</row>
    <row r="328" spans="1:24" ht="33" customHeight="1" x14ac:dyDescent="0.1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</row>
    <row r="329" spans="1:24" ht="33" customHeight="1" x14ac:dyDescent="0.1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</row>
    <row r="330" spans="1:24" ht="33" customHeight="1" x14ac:dyDescent="0.1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</row>
    <row r="331" spans="1:24" ht="33" customHeight="1" x14ac:dyDescent="0.1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</row>
    <row r="332" spans="1:24" ht="33" customHeight="1" x14ac:dyDescent="0.1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</row>
    <row r="333" spans="1:24" ht="33" customHeight="1" x14ac:dyDescent="0.1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</row>
    <row r="334" spans="1:24" ht="33" customHeight="1" x14ac:dyDescent="0.1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</row>
    <row r="335" spans="1:24" ht="33" customHeight="1" x14ac:dyDescent="0.1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</row>
    <row r="336" spans="1:24" ht="33" customHeight="1" x14ac:dyDescent="0.1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</row>
    <row r="337" spans="1:24" ht="33" customHeight="1" x14ac:dyDescent="0.1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</row>
    <row r="338" spans="1:24" ht="33" customHeight="1" x14ac:dyDescent="0.1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</row>
    <row r="339" spans="1:24" ht="33" customHeight="1" x14ac:dyDescent="0.1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</row>
    <row r="340" spans="1:24" ht="33" customHeight="1" x14ac:dyDescent="0.1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</row>
    <row r="341" spans="1:24" ht="33" customHeight="1" x14ac:dyDescent="0.1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</row>
    <row r="342" spans="1:24" ht="33" customHeight="1" x14ac:dyDescent="0.1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</row>
    <row r="343" spans="1:24" ht="33" customHeight="1" x14ac:dyDescent="0.1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</row>
    <row r="344" spans="1:24" ht="33" customHeight="1" x14ac:dyDescent="0.1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</row>
    <row r="345" spans="1:24" ht="33" customHeight="1" x14ac:dyDescent="0.1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</row>
    <row r="346" spans="1:24" ht="33" customHeight="1" x14ac:dyDescent="0.1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</row>
    <row r="347" spans="1:24" ht="33" customHeight="1" x14ac:dyDescent="0.1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</row>
    <row r="348" spans="1:24" ht="33" customHeight="1" x14ac:dyDescent="0.1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</row>
    <row r="349" spans="1:24" ht="33" customHeight="1" x14ac:dyDescent="0.1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</row>
    <row r="350" spans="1:24" ht="33" customHeight="1" x14ac:dyDescent="0.1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</row>
    <row r="351" spans="1:24" ht="33" customHeight="1" x14ac:dyDescent="0.1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</row>
    <row r="352" spans="1:24" ht="33" customHeight="1" x14ac:dyDescent="0.1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</row>
    <row r="353" spans="1:24" ht="33" customHeight="1" x14ac:dyDescent="0.1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</row>
    <row r="354" spans="1:24" ht="33" customHeight="1" x14ac:dyDescent="0.1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</row>
    <row r="355" spans="1:24" ht="33" customHeight="1" x14ac:dyDescent="0.1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</row>
    <row r="356" spans="1:24" ht="33" customHeight="1" x14ac:dyDescent="0.1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</row>
    <row r="357" spans="1:24" ht="33" customHeight="1" x14ac:dyDescent="0.1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</row>
    <row r="358" spans="1:24" ht="33" customHeight="1" x14ac:dyDescent="0.1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</row>
    <row r="359" spans="1:24" ht="33" customHeight="1" x14ac:dyDescent="0.1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</row>
    <row r="360" spans="1:24" ht="33" customHeight="1" x14ac:dyDescent="0.1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</row>
    <row r="361" spans="1:24" ht="33" customHeight="1" x14ac:dyDescent="0.1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</row>
    <row r="362" spans="1:24" ht="33" customHeight="1" x14ac:dyDescent="0.1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</row>
    <row r="363" spans="1:24" ht="33" customHeight="1" x14ac:dyDescent="0.1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</row>
    <row r="364" spans="1:24" ht="33" customHeight="1" x14ac:dyDescent="0.1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</row>
    <row r="365" spans="1:24" ht="33" customHeight="1" x14ac:dyDescent="0.1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</row>
    <row r="366" spans="1:24" ht="33" customHeight="1" x14ac:dyDescent="0.1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</row>
    <row r="367" spans="1:24" ht="33" customHeight="1" x14ac:dyDescent="0.1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</row>
    <row r="368" spans="1:24" ht="33" customHeight="1" x14ac:dyDescent="0.1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</row>
    <row r="369" spans="1:24" ht="33" customHeight="1" x14ac:dyDescent="0.1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</row>
    <row r="370" spans="1:24" ht="33" customHeight="1" x14ac:dyDescent="0.1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</row>
    <row r="371" spans="1:24" ht="33" customHeight="1" x14ac:dyDescent="0.1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</row>
    <row r="372" spans="1:24" ht="33" customHeight="1" x14ac:dyDescent="0.1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</row>
    <row r="373" spans="1:24" ht="33" customHeight="1" x14ac:dyDescent="0.1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</row>
    <row r="374" spans="1:24" ht="33" customHeight="1" x14ac:dyDescent="0.1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</row>
    <row r="375" spans="1:24" ht="33" customHeight="1" x14ac:dyDescent="0.1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</row>
    <row r="376" spans="1:24" ht="33" customHeight="1" x14ac:dyDescent="0.1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</row>
    <row r="377" spans="1:24" ht="33" customHeight="1" x14ac:dyDescent="0.1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</row>
    <row r="378" spans="1:24" ht="33" customHeight="1" x14ac:dyDescent="0.1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</row>
    <row r="379" spans="1:24" ht="33" customHeight="1" x14ac:dyDescent="0.1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</row>
    <row r="380" spans="1:24" ht="33" customHeight="1" x14ac:dyDescent="0.1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</row>
    <row r="381" spans="1:24" ht="33" customHeight="1" x14ac:dyDescent="0.1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</row>
    <row r="382" spans="1:24" ht="33" customHeight="1" x14ac:dyDescent="0.1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</row>
    <row r="383" spans="1:24" ht="33" customHeight="1" x14ac:dyDescent="0.1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</row>
    <row r="384" spans="1:24" ht="33" customHeight="1" x14ac:dyDescent="0.1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</row>
    <row r="385" spans="1:24" ht="33" customHeight="1" x14ac:dyDescent="0.1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</row>
    <row r="386" spans="1:24" ht="33" customHeight="1" x14ac:dyDescent="0.1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</row>
    <row r="387" spans="1:24" ht="33" customHeight="1" x14ac:dyDescent="0.1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</row>
    <row r="388" spans="1:24" ht="33" customHeight="1" x14ac:dyDescent="0.1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</row>
    <row r="389" spans="1:24" ht="33" customHeight="1" x14ac:dyDescent="0.1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</row>
    <row r="390" spans="1:24" ht="33" customHeight="1" x14ac:dyDescent="0.1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</row>
    <row r="391" spans="1:24" ht="33" customHeight="1" x14ac:dyDescent="0.1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</row>
    <row r="392" spans="1:24" ht="33" customHeight="1" x14ac:dyDescent="0.1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</row>
    <row r="393" spans="1:24" ht="33" customHeight="1" x14ac:dyDescent="0.1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</row>
    <row r="394" spans="1:24" ht="33" customHeight="1" x14ac:dyDescent="0.1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</row>
    <row r="395" spans="1:24" ht="33" customHeight="1" x14ac:dyDescent="0.1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</row>
    <row r="396" spans="1:24" ht="33" customHeight="1" x14ac:dyDescent="0.1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</row>
    <row r="397" spans="1:24" ht="33" customHeight="1" x14ac:dyDescent="0.1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</row>
    <row r="398" spans="1:24" ht="33" customHeight="1" x14ac:dyDescent="0.1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</row>
    <row r="399" spans="1:24" ht="33" customHeight="1" x14ac:dyDescent="0.1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</row>
    <row r="400" spans="1:24" ht="33" customHeight="1" x14ac:dyDescent="0.1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</row>
    <row r="401" spans="1:24" ht="33" customHeight="1" x14ac:dyDescent="0.1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</row>
    <row r="402" spans="1:24" ht="33" customHeight="1" x14ac:dyDescent="0.1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</row>
    <row r="403" spans="1:24" ht="33" customHeight="1" x14ac:dyDescent="0.1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</row>
    <row r="404" spans="1:24" ht="33" customHeight="1" x14ac:dyDescent="0.1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</row>
    <row r="405" spans="1:24" ht="33" customHeight="1" x14ac:dyDescent="0.1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</row>
    <row r="406" spans="1:24" ht="33" customHeight="1" x14ac:dyDescent="0.1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</row>
    <row r="407" spans="1:24" ht="33" customHeight="1" x14ac:dyDescent="0.1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</row>
    <row r="408" spans="1:24" ht="33" customHeight="1" x14ac:dyDescent="0.1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</row>
    <row r="409" spans="1:24" ht="33" customHeight="1" x14ac:dyDescent="0.1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</row>
    <row r="410" spans="1:24" ht="33" customHeight="1" x14ac:dyDescent="0.1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</row>
    <row r="411" spans="1:24" ht="33" customHeight="1" x14ac:dyDescent="0.1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</row>
    <row r="412" spans="1:24" ht="33" customHeight="1" x14ac:dyDescent="0.1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</row>
    <row r="413" spans="1:24" ht="33" customHeight="1" x14ac:dyDescent="0.1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</row>
    <row r="414" spans="1:24" ht="33" customHeight="1" x14ac:dyDescent="0.1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</row>
    <row r="415" spans="1:24" ht="33" customHeight="1" x14ac:dyDescent="0.1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</row>
    <row r="416" spans="1:24" ht="33" customHeight="1" x14ac:dyDescent="0.1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</row>
    <row r="417" spans="1:24" ht="33" customHeight="1" x14ac:dyDescent="0.1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</row>
    <row r="418" spans="1:24" ht="33" customHeight="1" x14ac:dyDescent="0.1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</row>
    <row r="419" spans="1:24" ht="33" customHeight="1" x14ac:dyDescent="0.1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</row>
    <row r="420" spans="1:24" ht="33" customHeight="1" x14ac:dyDescent="0.1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</row>
    <row r="421" spans="1:24" ht="33" customHeight="1" x14ac:dyDescent="0.1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</row>
    <row r="422" spans="1:24" ht="33" customHeight="1" x14ac:dyDescent="0.1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</row>
    <row r="423" spans="1:24" ht="33" customHeight="1" x14ac:dyDescent="0.1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</row>
    <row r="424" spans="1:24" ht="33" customHeight="1" x14ac:dyDescent="0.1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</row>
    <row r="425" spans="1:24" ht="33" customHeight="1" x14ac:dyDescent="0.1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</row>
    <row r="426" spans="1:24" ht="33" customHeight="1" x14ac:dyDescent="0.1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</row>
    <row r="427" spans="1:24" ht="33" customHeight="1" x14ac:dyDescent="0.1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</row>
    <row r="428" spans="1:24" ht="33" customHeight="1" x14ac:dyDescent="0.1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</row>
    <row r="429" spans="1:24" ht="33" customHeight="1" x14ac:dyDescent="0.1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</row>
    <row r="430" spans="1:24" ht="33" customHeight="1" x14ac:dyDescent="0.1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</row>
    <row r="431" spans="1:24" ht="33" customHeight="1" x14ac:dyDescent="0.1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</row>
    <row r="432" spans="1:24" ht="33" customHeight="1" x14ac:dyDescent="0.1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</row>
    <row r="433" spans="1:24" ht="33" customHeight="1" x14ac:dyDescent="0.1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</row>
    <row r="434" spans="1:24" ht="33" customHeight="1" x14ac:dyDescent="0.1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</row>
    <row r="435" spans="1:24" ht="33" customHeight="1" x14ac:dyDescent="0.1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</row>
    <row r="436" spans="1:24" ht="33" customHeight="1" x14ac:dyDescent="0.1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</row>
    <row r="437" spans="1:24" ht="33" customHeight="1" x14ac:dyDescent="0.1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</row>
    <row r="438" spans="1:24" ht="33" customHeight="1" x14ac:dyDescent="0.1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</row>
    <row r="439" spans="1:24" ht="33" customHeight="1" x14ac:dyDescent="0.1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</row>
    <row r="440" spans="1:24" ht="33" customHeight="1" x14ac:dyDescent="0.1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</row>
    <row r="441" spans="1:24" ht="33" customHeight="1" x14ac:dyDescent="0.1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</row>
    <row r="442" spans="1:24" ht="33" customHeight="1" x14ac:dyDescent="0.1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</row>
    <row r="443" spans="1:24" ht="33" customHeight="1" x14ac:dyDescent="0.1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</row>
    <row r="444" spans="1:24" ht="33" customHeight="1" x14ac:dyDescent="0.1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</row>
    <row r="445" spans="1:24" ht="33" customHeight="1" x14ac:dyDescent="0.1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</row>
    <row r="446" spans="1:24" ht="33" customHeight="1" x14ac:dyDescent="0.1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</row>
    <row r="447" spans="1:24" ht="33" customHeight="1" x14ac:dyDescent="0.1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</row>
    <row r="448" spans="1:24" ht="33" customHeight="1" x14ac:dyDescent="0.1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</row>
    <row r="449" spans="1:24" ht="33" customHeight="1" x14ac:dyDescent="0.1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</row>
    <row r="450" spans="1:24" ht="33" customHeight="1" x14ac:dyDescent="0.1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</row>
    <row r="451" spans="1:24" ht="33" customHeight="1" x14ac:dyDescent="0.1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</row>
    <row r="452" spans="1:24" ht="33" customHeight="1" x14ac:dyDescent="0.1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</row>
    <row r="453" spans="1:24" ht="33" customHeight="1" x14ac:dyDescent="0.1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</row>
    <row r="454" spans="1:24" ht="33" customHeight="1" x14ac:dyDescent="0.1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</row>
    <row r="455" spans="1:24" ht="33" customHeight="1" x14ac:dyDescent="0.1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</row>
    <row r="456" spans="1:24" ht="33" customHeight="1" x14ac:dyDescent="0.1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</row>
    <row r="457" spans="1:24" ht="33" customHeight="1" x14ac:dyDescent="0.1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</row>
    <row r="458" spans="1:24" ht="33" customHeight="1" x14ac:dyDescent="0.1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</row>
    <row r="459" spans="1:24" ht="33" customHeight="1" x14ac:dyDescent="0.1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</row>
    <row r="460" spans="1:24" ht="33" customHeight="1" x14ac:dyDescent="0.1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</row>
    <row r="461" spans="1:24" ht="33" customHeight="1" x14ac:dyDescent="0.1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</row>
    <row r="462" spans="1:24" ht="33" customHeight="1" x14ac:dyDescent="0.1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</row>
    <row r="463" spans="1:24" ht="33" customHeight="1" x14ac:dyDescent="0.1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</row>
    <row r="464" spans="1:24" ht="33" customHeight="1" x14ac:dyDescent="0.1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</row>
    <row r="465" spans="1:24" ht="33" customHeight="1" x14ac:dyDescent="0.1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</row>
    <row r="466" spans="1:24" ht="33" customHeight="1" x14ac:dyDescent="0.1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</row>
    <row r="467" spans="1:24" ht="33" customHeight="1" x14ac:dyDescent="0.1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</row>
    <row r="468" spans="1:24" ht="33" customHeight="1" x14ac:dyDescent="0.1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</row>
    <row r="469" spans="1:24" ht="33" customHeight="1" x14ac:dyDescent="0.1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</row>
    <row r="470" spans="1:24" ht="33" customHeight="1" x14ac:dyDescent="0.1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</row>
    <row r="471" spans="1:24" ht="33" customHeight="1" x14ac:dyDescent="0.1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</row>
    <row r="472" spans="1:24" ht="33" customHeight="1" x14ac:dyDescent="0.1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</row>
    <row r="473" spans="1:24" ht="33" customHeight="1" x14ac:dyDescent="0.1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</row>
    <row r="474" spans="1:24" ht="33" customHeight="1" x14ac:dyDescent="0.1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</row>
    <row r="475" spans="1:24" ht="33" customHeight="1" x14ac:dyDescent="0.1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</row>
    <row r="476" spans="1:24" ht="33" customHeight="1" x14ac:dyDescent="0.1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</row>
    <row r="477" spans="1:24" ht="33" customHeight="1" x14ac:dyDescent="0.1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</row>
    <row r="478" spans="1:24" ht="33" customHeight="1" x14ac:dyDescent="0.1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</row>
    <row r="479" spans="1:24" ht="33" customHeight="1" x14ac:dyDescent="0.1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</row>
    <row r="480" spans="1:24" ht="33" customHeight="1" x14ac:dyDescent="0.1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</row>
    <row r="481" spans="1:24" ht="33" customHeight="1" x14ac:dyDescent="0.1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</row>
    <row r="482" spans="1:24" ht="33" customHeight="1" x14ac:dyDescent="0.1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</row>
    <row r="483" spans="1:24" ht="33" customHeight="1" x14ac:dyDescent="0.1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</row>
    <row r="484" spans="1:24" ht="33" customHeight="1" x14ac:dyDescent="0.1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</row>
    <row r="485" spans="1:24" ht="33" customHeight="1" x14ac:dyDescent="0.1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</row>
    <row r="486" spans="1:24" ht="33" customHeight="1" x14ac:dyDescent="0.1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</row>
    <row r="487" spans="1:24" ht="33" customHeight="1" x14ac:dyDescent="0.1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</row>
    <row r="488" spans="1:24" ht="33" customHeight="1" x14ac:dyDescent="0.1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</row>
    <row r="489" spans="1:24" ht="33" customHeight="1" x14ac:dyDescent="0.1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</row>
    <row r="490" spans="1:24" ht="33" customHeight="1" x14ac:dyDescent="0.1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</row>
    <row r="491" spans="1:24" ht="33" customHeight="1" x14ac:dyDescent="0.1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</row>
    <row r="492" spans="1:24" ht="33" customHeight="1" x14ac:dyDescent="0.1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</row>
    <row r="493" spans="1:24" ht="33" customHeight="1" x14ac:dyDescent="0.1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</row>
    <row r="494" spans="1:24" ht="33" customHeight="1" x14ac:dyDescent="0.1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</row>
    <row r="495" spans="1:24" ht="33" customHeight="1" x14ac:dyDescent="0.1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</row>
    <row r="496" spans="1:24" ht="33" customHeight="1" x14ac:dyDescent="0.1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</row>
    <row r="497" spans="1:24" ht="33" customHeight="1" x14ac:dyDescent="0.1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</row>
    <row r="498" spans="1:24" ht="33" customHeight="1" x14ac:dyDescent="0.1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</row>
    <row r="499" spans="1:24" ht="33" customHeight="1" x14ac:dyDescent="0.1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</row>
    <row r="500" spans="1:24" ht="33" customHeight="1" x14ac:dyDescent="0.1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</row>
    <row r="501" spans="1:24" ht="33" customHeight="1" x14ac:dyDescent="0.1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</row>
    <row r="502" spans="1:24" ht="33" customHeight="1" x14ac:dyDescent="0.1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</row>
    <row r="503" spans="1:24" ht="33" customHeight="1" x14ac:dyDescent="0.1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</row>
    <row r="504" spans="1:24" ht="33" customHeight="1" x14ac:dyDescent="0.1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</row>
    <row r="505" spans="1:24" ht="33" customHeight="1" x14ac:dyDescent="0.1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</row>
    <row r="506" spans="1:24" ht="33" customHeight="1" x14ac:dyDescent="0.1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</row>
    <row r="507" spans="1:24" ht="33" customHeight="1" x14ac:dyDescent="0.1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</row>
    <row r="508" spans="1:24" ht="33" customHeight="1" x14ac:dyDescent="0.1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</row>
    <row r="509" spans="1:24" ht="33" customHeight="1" x14ac:dyDescent="0.1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</row>
    <row r="510" spans="1:24" ht="33" customHeight="1" x14ac:dyDescent="0.1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</row>
    <row r="511" spans="1:24" ht="33" customHeight="1" x14ac:dyDescent="0.1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</row>
    <row r="512" spans="1:24" ht="33" customHeight="1" x14ac:dyDescent="0.1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</row>
    <row r="513" spans="1:24" ht="33" customHeight="1" x14ac:dyDescent="0.1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</row>
    <row r="514" spans="1:24" ht="33" customHeight="1" x14ac:dyDescent="0.1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</row>
    <row r="515" spans="1:24" ht="33" customHeight="1" x14ac:dyDescent="0.1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</row>
    <row r="516" spans="1:24" ht="33" customHeight="1" x14ac:dyDescent="0.1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</row>
    <row r="517" spans="1:24" ht="33" customHeight="1" x14ac:dyDescent="0.1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</row>
    <row r="518" spans="1:24" ht="33" customHeight="1" x14ac:dyDescent="0.1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</row>
    <row r="519" spans="1:24" ht="33" customHeight="1" x14ac:dyDescent="0.1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</row>
    <row r="520" spans="1:24" ht="33" customHeight="1" x14ac:dyDescent="0.1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</row>
    <row r="521" spans="1:24" ht="33" customHeight="1" x14ac:dyDescent="0.1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</row>
    <row r="522" spans="1:24" ht="33" customHeight="1" x14ac:dyDescent="0.1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</row>
    <row r="523" spans="1:24" ht="33" customHeight="1" x14ac:dyDescent="0.1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</row>
    <row r="524" spans="1:24" ht="33" customHeight="1" x14ac:dyDescent="0.1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</row>
    <row r="525" spans="1:24" ht="33" customHeight="1" x14ac:dyDescent="0.1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</row>
    <row r="526" spans="1:24" ht="33" customHeight="1" x14ac:dyDescent="0.1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</row>
    <row r="527" spans="1:24" ht="33" customHeight="1" x14ac:dyDescent="0.1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</row>
    <row r="528" spans="1:24" ht="33" customHeight="1" x14ac:dyDescent="0.1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</row>
    <row r="529" spans="1:24" ht="33" customHeight="1" x14ac:dyDescent="0.1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</row>
    <row r="530" spans="1:24" ht="33" customHeight="1" x14ac:dyDescent="0.1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</row>
    <row r="531" spans="1:24" ht="33" customHeight="1" x14ac:dyDescent="0.1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</row>
    <row r="532" spans="1:24" ht="33" customHeight="1" x14ac:dyDescent="0.1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</row>
    <row r="533" spans="1:24" ht="33" customHeight="1" x14ac:dyDescent="0.1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</row>
    <row r="534" spans="1:24" ht="33" customHeight="1" x14ac:dyDescent="0.1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</row>
    <row r="535" spans="1:24" ht="33" customHeight="1" x14ac:dyDescent="0.1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</row>
    <row r="536" spans="1:24" ht="33" customHeight="1" x14ac:dyDescent="0.1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</row>
    <row r="537" spans="1:24" ht="33" customHeight="1" x14ac:dyDescent="0.1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</row>
    <row r="538" spans="1:24" ht="33" customHeight="1" x14ac:dyDescent="0.1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</row>
    <row r="539" spans="1:24" ht="33" customHeight="1" x14ac:dyDescent="0.1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</row>
    <row r="540" spans="1:24" ht="33" customHeight="1" x14ac:dyDescent="0.1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</row>
    <row r="541" spans="1:24" ht="33" customHeight="1" x14ac:dyDescent="0.1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</row>
    <row r="542" spans="1:24" ht="33" customHeight="1" x14ac:dyDescent="0.1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</row>
    <row r="543" spans="1:24" ht="33" customHeight="1" x14ac:dyDescent="0.1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</row>
    <row r="544" spans="1:24" ht="33" customHeight="1" x14ac:dyDescent="0.1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</row>
    <row r="545" spans="1:24" ht="33" customHeight="1" x14ac:dyDescent="0.1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</row>
    <row r="546" spans="1:24" ht="33" customHeight="1" x14ac:dyDescent="0.1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</row>
    <row r="547" spans="1:24" ht="33" customHeight="1" x14ac:dyDescent="0.1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</row>
    <row r="548" spans="1:24" ht="33" customHeight="1" x14ac:dyDescent="0.1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</row>
    <row r="549" spans="1:24" ht="33" customHeight="1" x14ac:dyDescent="0.1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</row>
    <row r="550" spans="1:24" ht="33" customHeight="1" x14ac:dyDescent="0.1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</row>
    <row r="551" spans="1:24" ht="33" customHeight="1" x14ac:dyDescent="0.1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</row>
    <row r="552" spans="1:24" ht="33" customHeight="1" x14ac:dyDescent="0.1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</row>
    <row r="553" spans="1:24" ht="33" customHeight="1" x14ac:dyDescent="0.1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</row>
    <row r="554" spans="1:24" ht="33" customHeight="1" x14ac:dyDescent="0.1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</row>
    <row r="555" spans="1:24" ht="33" customHeight="1" x14ac:dyDescent="0.1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</row>
    <row r="556" spans="1:24" ht="33" customHeight="1" x14ac:dyDescent="0.1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</row>
    <row r="557" spans="1:24" ht="33" customHeight="1" x14ac:dyDescent="0.1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</row>
    <row r="558" spans="1:24" ht="33" customHeight="1" x14ac:dyDescent="0.1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</row>
    <row r="559" spans="1:24" ht="33" customHeight="1" x14ac:dyDescent="0.1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</row>
    <row r="560" spans="1:24" ht="33" customHeight="1" x14ac:dyDescent="0.1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</row>
    <row r="561" spans="1:24" ht="33" customHeight="1" x14ac:dyDescent="0.1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</row>
    <row r="562" spans="1:24" ht="33" customHeight="1" x14ac:dyDescent="0.1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</row>
    <row r="563" spans="1:24" ht="33" customHeight="1" x14ac:dyDescent="0.1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</row>
    <row r="564" spans="1:24" ht="33" customHeight="1" x14ac:dyDescent="0.1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</row>
    <row r="565" spans="1:24" ht="33" customHeight="1" x14ac:dyDescent="0.1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</row>
    <row r="566" spans="1:24" ht="33" customHeight="1" x14ac:dyDescent="0.1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</row>
    <row r="567" spans="1:24" ht="33" customHeight="1" x14ac:dyDescent="0.1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</row>
    <row r="568" spans="1:24" ht="33" customHeight="1" x14ac:dyDescent="0.1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</row>
    <row r="569" spans="1:24" ht="33" customHeight="1" x14ac:dyDescent="0.1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</row>
    <row r="570" spans="1:24" ht="33" customHeight="1" x14ac:dyDescent="0.1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</row>
    <row r="571" spans="1:24" ht="33" customHeight="1" x14ac:dyDescent="0.1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</row>
    <row r="572" spans="1:24" ht="33" customHeight="1" x14ac:dyDescent="0.1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</row>
    <row r="573" spans="1:24" ht="33" customHeight="1" x14ac:dyDescent="0.1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</row>
    <row r="574" spans="1:24" ht="33" customHeight="1" x14ac:dyDescent="0.1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</row>
    <row r="575" spans="1:24" ht="33" customHeight="1" x14ac:dyDescent="0.1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</row>
    <row r="576" spans="1:24" ht="33" customHeight="1" x14ac:dyDescent="0.1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</row>
    <row r="577" spans="1:24" ht="33" customHeight="1" x14ac:dyDescent="0.1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</row>
    <row r="578" spans="1:24" ht="33" customHeight="1" x14ac:dyDescent="0.1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</row>
    <row r="579" spans="1:24" ht="33" customHeight="1" x14ac:dyDescent="0.1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</row>
    <row r="580" spans="1:24" ht="33" customHeight="1" x14ac:dyDescent="0.1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</row>
    <row r="581" spans="1:24" ht="33" customHeight="1" x14ac:dyDescent="0.1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</row>
    <row r="582" spans="1:24" ht="33" customHeight="1" x14ac:dyDescent="0.1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</row>
    <row r="583" spans="1:24" ht="33" customHeight="1" x14ac:dyDescent="0.1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</row>
    <row r="584" spans="1:24" ht="33" customHeight="1" x14ac:dyDescent="0.1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</row>
    <row r="585" spans="1:24" ht="33" customHeight="1" x14ac:dyDescent="0.1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</row>
    <row r="586" spans="1:24" ht="33" customHeight="1" x14ac:dyDescent="0.1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</row>
    <row r="587" spans="1:24" ht="33" customHeight="1" x14ac:dyDescent="0.1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</row>
    <row r="588" spans="1:24" ht="33" customHeight="1" x14ac:dyDescent="0.1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</row>
    <row r="589" spans="1:24" ht="33" customHeight="1" x14ac:dyDescent="0.1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</row>
    <row r="590" spans="1:24" ht="33" customHeight="1" x14ac:dyDescent="0.1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</row>
    <row r="591" spans="1:24" ht="33" customHeight="1" x14ac:dyDescent="0.1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</row>
    <row r="592" spans="1:24" ht="33" customHeight="1" x14ac:dyDescent="0.1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</row>
    <row r="593" spans="1:24" ht="33" customHeight="1" x14ac:dyDescent="0.1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</row>
    <row r="594" spans="1:24" ht="33" customHeight="1" x14ac:dyDescent="0.1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</row>
    <row r="595" spans="1:24" ht="33" customHeight="1" x14ac:dyDescent="0.1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</row>
    <row r="596" spans="1:24" ht="33" customHeight="1" x14ac:dyDescent="0.1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</row>
    <row r="597" spans="1:24" ht="33" customHeight="1" x14ac:dyDescent="0.1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</row>
    <row r="598" spans="1:24" ht="33" customHeight="1" x14ac:dyDescent="0.1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</row>
    <row r="599" spans="1:24" ht="33" customHeight="1" x14ac:dyDescent="0.1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</row>
    <row r="600" spans="1:24" ht="33" customHeight="1" x14ac:dyDescent="0.1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</row>
    <row r="601" spans="1:24" ht="33" customHeight="1" x14ac:dyDescent="0.1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</row>
    <row r="602" spans="1:24" ht="33" customHeight="1" x14ac:dyDescent="0.1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</row>
    <row r="603" spans="1:24" ht="33" customHeight="1" x14ac:dyDescent="0.1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</row>
    <row r="604" spans="1:24" ht="33" customHeight="1" x14ac:dyDescent="0.1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</row>
    <row r="605" spans="1:24" ht="33" customHeight="1" x14ac:dyDescent="0.1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</row>
    <row r="606" spans="1:24" ht="33" customHeight="1" x14ac:dyDescent="0.1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</row>
    <row r="607" spans="1:24" ht="33" customHeight="1" x14ac:dyDescent="0.1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</row>
    <row r="608" spans="1:24" ht="33" customHeight="1" x14ac:dyDescent="0.1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</row>
    <row r="609" spans="1:24" ht="33" customHeight="1" x14ac:dyDescent="0.1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</row>
    <row r="610" spans="1:24" ht="33" customHeight="1" x14ac:dyDescent="0.1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</row>
    <row r="611" spans="1:24" ht="33" customHeight="1" x14ac:dyDescent="0.1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</row>
    <row r="612" spans="1:24" ht="33" customHeight="1" x14ac:dyDescent="0.1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</row>
    <row r="613" spans="1:24" ht="33" customHeight="1" x14ac:dyDescent="0.1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</row>
    <row r="614" spans="1:24" ht="33" customHeight="1" x14ac:dyDescent="0.1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</row>
    <row r="615" spans="1:24" ht="33" customHeight="1" x14ac:dyDescent="0.1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</row>
    <row r="616" spans="1:24" ht="33" customHeight="1" x14ac:dyDescent="0.1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</row>
    <row r="617" spans="1:24" ht="33" customHeight="1" x14ac:dyDescent="0.1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</row>
    <row r="618" spans="1:24" ht="33" customHeight="1" x14ac:dyDescent="0.1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</row>
    <row r="619" spans="1:24" ht="33" customHeight="1" x14ac:dyDescent="0.1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</row>
    <row r="620" spans="1:24" ht="33" customHeight="1" x14ac:dyDescent="0.1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</row>
    <row r="621" spans="1:24" ht="33" customHeight="1" x14ac:dyDescent="0.1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</row>
    <row r="622" spans="1:24" ht="33" customHeight="1" x14ac:dyDescent="0.1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</row>
    <row r="623" spans="1:24" ht="33" customHeight="1" x14ac:dyDescent="0.1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</row>
    <row r="624" spans="1:24" ht="33" customHeight="1" x14ac:dyDescent="0.1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</row>
    <row r="625" spans="1:24" ht="33" customHeight="1" x14ac:dyDescent="0.1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</row>
    <row r="626" spans="1:24" ht="33" customHeight="1" x14ac:dyDescent="0.1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</row>
    <row r="627" spans="1:24" ht="33" customHeight="1" x14ac:dyDescent="0.1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</row>
    <row r="628" spans="1:24" ht="33" customHeight="1" x14ac:dyDescent="0.1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</row>
    <row r="629" spans="1:24" ht="33" customHeight="1" x14ac:dyDescent="0.1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</row>
    <row r="630" spans="1:24" ht="33" customHeight="1" x14ac:dyDescent="0.1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</row>
    <row r="631" spans="1:24" ht="33" customHeight="1" x14ac:dyDescent="0.1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</row>
    <row r="632" spans="1:24" ht="33" customHeight="1" x14ac:dyDescent="0.1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</row>
    <row r="633" spans="1:24" ht="33" customHeight="1" x14ac:dyDescent="0.1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</row>
    <row r="634" spans="1:24" ht="33" customHeight="1" x14ac:dyDescent="0.1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</row>
    <row r="635" spans="1:24" ht="33" customHeight="1" x14ac:dyDescent="0.1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</row>
    <row r="636" spans="1:24" ht="33" customHeight="1" x14ac:dyDescent="0.1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</row>
    <row r="637" spans="1:24" ht="33" customHeight="1" x14ac:dyDescent="0.1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</row>
    <row r="638" spans="1:24" ht="33" customHeight="1" x14ac:dyDescent="0.1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</row>
    <row r="639" spans="1:24" ht="33" customHeight="1" x14ac:dyDescent="0.1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</row>
    <row r="640" spans="1:24" ht="33" customHeight="1" x14ac:dyDescent="0.1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</row>
    <row r="641" spans="1:24" ht="33" customHeight="1" x14ac:dyDescent="0.1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</row>
    <row r="642" spans="1:24" ht="33" customHeight="1" x14ac:dyDescent="0.1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</row>
    <row r="643" spans="1:24" ht="33" customHeight="1" x14ac:dyDescent="0.1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</row>
    <row r="644" spans="1:24" ht="33" customHeight="1" x14ac:dyDescent="0.1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</row>
    <row r="645" spans="1:24" ht="33" customHeight="1" x14ac:dyDescent="0.1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</row>
    <row r="646" spans="1:24" ht="33" customHeight="1" x14ac:dyDescent="0.1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</row>
    <row r="647" spans="1:24" ht="33" customHeight="1" x14ac:dyDescent="0.1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</row>
    <row r="648" spans="1:24" ht="33" customHeight="1" x14ac:dyDescent="0.1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</row>
    <row r="649" spans="1:24" ht="33" customHeight="1" x14ac:dyDescent="0.1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</row>
    <row r="650" spans="1:24" ht="33" customHeight="1" x14ac:dyDescent="0.1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</row>
    <row r="651" spans="1:24" ht="33" customHeight="1" x14ac:dyDescent="0.1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</row>
    <row r="652" spans="1:24" ht="33" customHeight="1" x14ac:dyDescent="0.1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</row>
    <row r="653" spans="1:24" ht="33" customHeight="1" x14ac:dyDescent="0.1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</row>
    <row r="654" spans="1:24" ht="33" customHeight="1" x14ac:dyDescent="0.1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</row>
    <row r="655" spans="1:24" ht="33" customHeight="1" x14ac:dyDescent="0.1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</row>
    <row r="656" spans="1:24" ht="33" customHeight="1" x14ac:dyDescent="0.1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</row>
    <row r="657" spans="1:24" ht="33" customHeight="1" x14ac:dyDescent="0.1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</row>
    <row r="658" spans="1:24" ht="33" customHeight="1" x14ac:dyDescent="0.1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</row>
    <row r="659" spans="1:24" ht="33" customHeight="1" x14ac:dyDescent="0.1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</row>
    <row r="660" spans="1:24" ht="33" customHeight="1" x14ac:dyDescent="0.1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</row>
    <row r="661" spans="1:24" ht="33" customHeight="1" x14ac:dyDescent="0.1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</row>
    <row r="662" spans="1:24" ht="33" customHeight="1" x14ac:dyDescent="0.1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</row>
    <row r="663" spans="1:24" ht="33" customHeight="1" x14ac:dyDescent="0.1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</row>
    <row r="664" spans="1:24" ht="33" customHeight="1" x14ac:dyDescent="0.1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</row>
    <row r="665" spans="1:24" ht="33" customHeight="1" x14ac:dyDescent="0.1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</row>
    <row r="666" spans="1:24" ht="33" customHeight="1" x14ac:dyDescent="0.1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</row>
    <row r="667" spans="1:24" ht="33" customHeight="1" x14ac:dyDescent="0.1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</row>
    <row r="668" spans="1:24" ht="33" customHeight="1" x14ac:dyDescent="0.1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</row>
    <row r="669" spans="1:24" ht="33" customHeight="1" x14ac:dyDescent="0.1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</row>
    <row r="670" spans="1:24" ht="33" customHeight="1" x14ac:dyDescent="0.1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</row>
    <row r="671" spans="1:24" ht="33" customHeight="1" x14ac:dyDescent="0.1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</row>
    <row r="672" spans="1:24" ht="33" customHeight="1" x14ac:dyDescent="0.1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</row>
    <row r="673" spans="1:24" ht="33" customHeight="1" x14ac:dyDescent="0.1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</row>
    <row r="674" spans="1:24" ht="33" customHeight="1" x14ac:dyDescent="0.1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</row>
    <row r="675" spans="1:24" ht="33" customHeight="1" x14ac:dyDescent="0.1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</row>
    <row r="676" spans="1:24" ht="33" customHeight="1" x14ac:dyDescent="0.1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</row>
    <row r="677" spans="1:24" ht="33" customHeight="1" x14ac:dyDescent="0.1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</row>
    <row r="678" spans="1:24" ht="33" customHeight="1" x14ac:dyDescent="0.1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</row>
    <row r="679" spans="1:24" ht="33" customHeight="1" x14ac:dyDescent="0.1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</row>
    <row r="680" spans="1:24" ht="33" customHeight="1" x14ac:dyDescent="0.1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</row>
    <row r="681" spans="1:24" ht="33" customHeight="1" x14ac:dyDescent="0.1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</row>
    <row r="682" spans="1:24" ht="33" customHeight="1" x14ac:dyDescent="0.1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</row>
    <row r="683" spans="1:24" ht="33" customHeight="1" x14ac:dyDescent="0.1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</row>
    <row r="684" spans="1:24" ht="33" customHeight="1" x14ac:dyDescent="0.1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</row>
    <row r="685" spans="1:24" ht="33" customHeight="1" x14ac:dyDescent="0.1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</row>
    <row r="686" spans="1:24" ht="33" customHeight="1" x14ac:dyDescent="0.1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</row>
    <row r="687" spans="1:24" ht="33" customHeight="1" x14ac:dyDescent="0.1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</row>
    <row r="688" spans="1:24" ht="33" customHeight="1" x14ac:dyDescent="0.1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</row>
    <row r="689" spans="1:24" ht="33" customHeight="1" x14ac:dyDescent="0.1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</row>
    <row r="690" spans="1:24" ht="33" customHeight="1" x14ac:dyDescent="0.1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</row>
    <row r="691" spans="1:24" ht="33" customHeight="1" x14ac:dyDescent="0.1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</row>
    <row r="692" spans="1:24" ht="33" customHeight="1" x14ac:dyDescent="0.1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</row>
    <row r="693" spans="1:24" ht="33" customHeight="1" x14ac:dyDescent="0.1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</row>
    <row r="694" spans="1:24" ht="33" customHeight="1" x14ac:dyDescent="0.1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</row>
    <row r="695" spans="1:24" ht="33" customHeight="1" x14ac:dyDescent="0.1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</row>
    <row r="696" spans="1:24" ht="33" customHeight="1" x14ac:dyDescent="0.1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</row>
    <row r="697" spans="1:24" ht="33" customHeight="1" x14ac:dyDescent="0.1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</row>
    <row r="698" spans="1:24" ht="33" customHeight="1" x14ac:dyDescent="0.1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</row>
    <row r="699" spans="1:24" ht="33" customHeight="1" x14ac:dyDescent="0.1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</row>
    <row r="700" spans="1:24" ht="33" customHeight="1" x14ac:dyDescent="0.1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</row>
    <row r="701" spans="1:24" ht="33" customHeight="1" x14ac:dyDescent="0.1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</row>
    <row r="702" spans="1:24" ht="33" customHeight="1" x14ac:dyDescent="0.1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</row>
    <row r="703" spans="1:24" ht="33" customHeight="1" x14ac:dyDescent="0.1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</row>
    <row r="704" spans="1:24" ht="33" customHeight="1" x14ac:dyDescent="0.1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</row>
    <row r="705" spans="1:24" ht="33" customHeight="1" x14ac:dyDescent="0.1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</row>
    <row r="706" spans="1:24" ht="33" customHeight="1" x14ac:dyDescent="0.1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</row>
    <row r="707" spans="1:24" ht="33" customHeight="1" x14ac:dyDescent="0.1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</row>
    <row r="708" spans="1:24" ht="33" customHeight="1" x14ac:dyDescent="0.1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</row>
    <row r="709" spans="1:24" ht="33" customHeight="1" x14ac:dyDescent="0.1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</row>
    <row r="710" spans="1:24" ht="33" customHeight="1" x14ac:dyDescent="0.1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</row>
    <row r="711" spans="1:24" ht="33" customHeight="1" x14ac:dyDescent="0.1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</row>
    <row r="712" spans="1:24" ht="33" customHeight="1" x14ac:dyDescent="0.1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</row>
    <row r="713" spans="1:24" ht="33" customHeight="1" x14ac:dyDescent="0.1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</row>
    <row r="714" spans="1:24" ht="33" customHeight="1" x14ac:dyDescent="0.1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</row>
    <row r="715" spans="1:24" ht="33" customHeight="1" x14ac:dyDescent="0.1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</row>
    <row r="716" spans="1:24" ht="33" customHeight="1" x14ac:dyDescent="0.1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</row>
    <row r="717" spans="1:24" ht="33" customHeight="1" x14ac:dyDescent="0.1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</row>
    <row r="718" spans="1:24" ht="33" customHeight="1" x14ac:dyDescent="0.1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</row>
    <row r="719" spans="1:24" ht="33" customHeight="1" x14ac:dyDescent="0.1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</row>
    <row r="720" spans="1:24" ht="33" customHeight="1" x14ac:dyDescent="0.1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</row>
    <row r="721" spans="1:24" ht="33" customHeight="1" x14ac:dyDescent="0.1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</row>
    <row r="722" spans="1:24" ht="33" customHeight="1" x14ac:dyDescent="0.1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</row>
    <row r="723" spans="1:24" ht="33" customHeight="1" x14ac:dyDescent="0.1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</row>
    <row r="724" spans="1:24" ht="33" customHeight="1" x14ac:dyDescent="0.1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</row>
    <row r="725" spans="1:24" ht="33" customHeight="1" x14ac:dyDescent="0.1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</row>
    <row r="726" spans="1:24" ht="33" customHeight="1" x14ac:dyDescent="0.1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</row>
    <row r="727" spans="1:24" ht="33" customHeight="1" x14ac:dyDescent="0.1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</row>
    <row r="728" spans="1:24" ht="33" customHeight="1" x14ac:dyDescent="0.1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</row>
    <row r="729" spans="1:24" ht="33" customHeight="1" x14ac:dyDescent="0.1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</row>
    <row r="730" spans="1:24" ht="33" customHeight="1" x14ac:dyDescent="0.1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</row>
    <row r="731" spans="1:24" ht="33" customHeight="1" x14ac:dyDescent="0.1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</row>
    <row r="732" spans="1:24" ht="33" customHeight="1" x14ac:dyDescent="0.1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</row>
    <row r="733" spans="1:24" ht="33" customHeight="1" x14ac:dyDescent="0.1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</row>
    <row r="734" spans="1:24" ht="33" customHeight="1" x14ac:dyDescent="0.1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</row>
    <row r="735" spans="1:24" ht="33" customHeight="1" x14ac:dyDescent="0.1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</row>
    <row r="736" spans="1:24" ht="33" customHeight="1" x14ac:dyDescent="0.1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</row>
    <row r="737" spans="1:24" ht="33" customHeight="1" x14ac:dyDescent="0.1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</row>
    <row r="738" spans="1:24" ht="33" customHeight="1" x14ac:dyDescent="0.1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</row>
    <row r="739" spans="1:24" ht="33" customHeight="1" x14ac:dyDescent="0.1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</row>
    <row r="740" spans="1:24" ht="33" customHeight="1" x14ac:dyDescent="0.1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</row>
    <row r="741" spans="1:24" ht="33" customHeight="1" x14ac:dyDescent="0.1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</row>
    <row r="742" spans="1:24" ht="33" customHeight="1" x14ac:dyDescent="0.1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</row>
    <row r="743" spans="1:24" ht="33" customHeight="1" x14ac:dyDescent="0.1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</row>
    <row r="744" spans="1:24" ht="33" customHeight="1" x14ac:dyDescent="0.1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</row>
    <row r="745" spans="1:24" ht="33" customHeight="1" x14ac:dyDescent="0.1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</row>
    <row r="746" spans="1:24" ht="33" customHeight="1" x14ac:dyDescent="0.1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</row>
    <row r="747" spans="1:24" ht="33" customHeight="1" x14ac:dyDescent="0.1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</row>
    <row r="748" spans="1:24" ht="33" customHeight="1" x14ac:dyDescent="0.1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</row>
    <row r="749" spans="1:24" ht="33" customHeight="1" x14ac:dyDescent="0.1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</row>
    <row r="750" spans="1:24" ht="33" customHeight="1" x14ac:dyDescent="0.1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</row>
    <row r="751" spans="1:24" ht="33" customHeight="1" x14ac:dyDescent="0.1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</row>
    <row r="752" spans="1:24" ht="33" customHeight="1" x14ac:dyDescent="0.1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</row>
    <row r="753" spans="1:24" ht="33" customHeight="1" x14ac:dyDescent="0.1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</row>
    <row r="754" spans="1:24" ht="33" customHeight="1" x14ac:dyDescent="0.1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</row>
    <row r="755" spans="1:24" ht="33" customHeight="1" x14ac:dyDescent="0.1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</row>
    <row r="756" spans="1:24" ht="33" customHeight="1" x14ac:dyDescent="0.1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</row>
    <row r="757" spans="1:24" ht="33" customHeight="1" x14ac:dyDescent="0.1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</row>
    <row r="758" spans="1:24" ht="33" customHeight="1" x14ac:dyDescent="0.1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</row>
    <row r="759" spans="1:24" ht="33" customHeight="1" x14ac:dyDescent="0.1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</row>
    <row r="760" spans="1:24" ht="33" customHeight="1" x14ac:dyDescent="0.1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</row>
    <row r="761" spans="1:24" ht="33" customHeight="1" x14ac:dyDescent="0.1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</row>
    <row r="762" spans="1:24" ht="33" customHeight="1" x14ac:dyDescent="0.1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</row>
    <row r="763" spans="1:24" ht="33" customHeight="1" x14ac:dyDescent="0.1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</row>
    <row r="764" spans="1:24" ht="33" customHeight="1" x14ac:dyDescent="0.1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</row>
    <row r="765" spans="1:24" ht="33" customHeight="1" x14ac:dyDescent="0.1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</row>
    <row r="766" spans="1:24" ht="33" customHeight="1" x14ac:dyDescent="0.1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</row>
    <row r="767" spans="1:24" ht="33" customHeight="1" x14ac:dyDescent="0.1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</row>
    <row r="768" spans="1:24" ht="33" customHeight="1" x14ac:dyDescent="0.1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</row>
    <row r="769" spans="1:24" ht="33" customHeight="1" x14ac:dyDescent="0.1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</row>
    <row r="770" spans="1:24" ht="33" customHeight="1" x14ac:dyDescent="0.1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</row>
    <row r="771" spans="1:24" ht="33" customHeight="1" x14ac:dyDescent="0.1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</row>
    <row r="772" spans="1:24" ht="33" customHeight="1" x14ac:dyDescent="0.1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</row>
    <row r="773" spans="1:24" ht="33" customHeight="1" x14ac:dyDescent="0.1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</row>
    <row r="774" spans="1:24" ht="33" customHeight="1" x14ac:dyDescent="0.1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</row>
    <row r="775" spans="1:24" ht="33" customHeight="1" x14ac:dyDescent="0.1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</row>
    <row r="776" spans="1:24" ht="33" customHeight="1" x14ac:dyDescent="0.1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</row>
    <row r="777" spans="1:24" ht="33" customHeight="1" x14ac:dyDescent="0.1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</row>
    <row r="778" spans="1:24" ht="33" customHeight="1" x14ac:dyDescent="0.1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</row>
    <row r="779" spans="1:24" ht="33" customHeight="1" x14ac:dyDescent="0.1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</row>
    <row r="780" spans="1:24" ht="33" customHeight="1" x14ac:dyDescent="0.1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</row>
    <row r="781" spans="1:24" ht="33" customHeight="1" x14ac:dyDescent="0.1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</row>
    <row r="782" spans="1:24" ht="33" customHeight="1" x14ac:dyDescent="0.1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</row>
    <row r="783" spans="1:24" ht="33" customHeight="1" x14ac:dyDescent="0.1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</row>
    <row r="784" spans="1:24" ht="33" customHeight="1" x14ac:dyDescent="0.1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</row>
    <row r="785" spans="1:24" ht="33" customHeight="1" x14ac:dyDescent="0.1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</row>
    <row r="786" spans="1:24" ht="33" customHeight="1" x14ac:dyDescent="0.1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</row>
    <row r="787" spans="1:24" ht="33" customHeight="1" x14ac:dyDescent="0.1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</row>
    <row r="788" spans="1:24" ht="33" customHeight="1" x14ac:dyDescent="0.1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</row>
    <row r="789" spans="1:24" ht="33" customHeight="1" x14ac:dyDescent="0.1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</row>
    <row r="790" spans="1:24" ht="33" customHeight="1" x14ac:dyDescent="0.1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</row>
    <row r="791" spans="1:24" ht="33" customHeight="1" x14ac:dyDescent="0.1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</row>
    <row r="792" spans="1:24" ht="33" customHeight="1" x14ac:dyDescent="0.1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</row>
    <row r="793" spans="1:24" ht="33" customHeight="1" x14ac:dyDescent="0.1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</row>
    <row r="794" spans="1:24" ht="33" customHeight="1" x14ac:dyDescent="0.1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</row>
    <row r="795" spans="1:24" ht="33" customHeight="1" x14ac:dyDescent="0.1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</row>
    <row r="796" spans="1:24" ht="33" customHeight="1" x14ac:dyDescent="0.1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</row>
    <row r="797" spans="1:24" ht="33" customHeight="1" x14ac:dyDescent="0.1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</row>
    <row r="798" spans="1:24" ht="33" customHeight="1" x14ac:dyDescent="0.1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</row>
    <row r="799" spans="1:24" ht="33" customHeight="1" x14ac:dyDescent="0.1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</row>
    <row r="800" spans="1:24" ht="33" customHeight="1" x14ac:dyDescent="0.1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</row>
    <row r="801" spans="1:24" ht="33" customHeight="1" x14ac:dyDescent="0.1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</row>
    <row r="802" spans="1:24" ht="33" customHeight="1" x14ac:dyDescent="0.1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</row>
    <row r="803" spans="1:24" ht="33" customHeight="1" x14ac:dyDescent="0.1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</row>
    <row r="804" spans="1:24" ht="33" customHeight="1" x14ac:dyDescent="0.1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</row>
    <row r="805" spans="1:24" ht="33" customHeight="1" x14ac:dyDescent="0.1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</row>
    <row r="806" spans="1:24" ht="33" customHeight="1" x14ac:dyDescent="0.1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</row>
    <row r="807" spans="1:24" ht="33" customHeight="1" x14ac:dyDescent="0.1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</row>
    <row r="808" spans="1:24" ht="33" customHeight="1" x14ac:dyDescent="0.1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</row>
    <row r="809" spans="1:24" ht="33" customHeight="1" x14ac:dyDescent="0.1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</row>
    <row r="810" spans="1:24" ht="33" customHeight="1" x14ac:dyDescent="0.1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</row>
    <row r="811" spans="1:24" ht="33" customHeight="1" x14ac:dyDescent="0.1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</row>
    <row r="812" spans="1:24" ht="33" customHeight="1" x14ac:dyDescent="0.1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</row>
    <row r="813" spans="1:24" ht="33" customHeight="1" x14ac:dyDescent="0.1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</row>
    <row r="814" spans="1:24" ht="33" customHeight="1" x14ac:dyDescent="0.1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</row>
    <row r="815" spans="1:24" ht="33" customHeight="1" x14ac:dyDescent="0.1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</row>
    <row r="816" spans="1:24" ht="33" customHeight="1" x14ac:dyDescent="0.1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</row>
    <row r="817" spans="1:24" ht="33" customHeight="1" x14ac:dyDescent="0.1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</row>
    <row r="818" spans="1:24" ht="33" customHeight="1" x14ac:dyDescent="0.1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</row>
    <row r="819" spans="1:24" ht="33" customHeight="1" x14ac:dyDescent="0.1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</row>
    <row r="820" spans="1:24" ht="33" customHeight="1" x14ac:dyDescent="0.1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</row>
    <row r="821" spans="1:24" ht="33" customHeight="1" x14ac:dyDescent="0.1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</row>
    <row r="822" spans="1:24" ht="33" customHeight="1" x14ac:dyDescent="0.1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</row>
    <row r="823" spans="1:24" ht="33" customHeight="1" x14ac:dyDescent="0.1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</row>
    <row r="824" spans="1:24" ht="33" customHeight="1" x14ac:dyDescent="0.1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</row>
    <row r="825" spans="1:24" ht="33" customHeight="1" x14ac:dyDescent="0.1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</row>
    <row r="826" spans="1:24" ht="33" customHeight="1" x14ac:dyDescent="0.1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</row>
    <row r="827" spans="1:24" ht="33" customHeight="1" x14ac:dyDescent="0.1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</row>
    <row r="828" spans="1:24" ht="33" customHeight="1" x14ac:dyDescent="0.1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</row>
    <row r="829" spans="1:24" ht="33" customHeight="1" x14ac:dyDescent="0.1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</row>
    <row r="830" spans="1:24" ht="33" customHeight="1" x14ac:dyDescent="0.1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</row>
    <row r="831" spans="1:24" ht="33" customHeight="1" x14ac:dyDescent="0.1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</row>
    <row r="832" spans="1:24" ht="33" customHeight="1" x14ac:dyDescent="0.1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</row>
    <row r="833" spans="1:24" ht="33" customHeight="1" x14ac:dyDescent="0.1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</row>
    <row r="834" spans="1:24" ht="33" customHeight="1" x14ac:dyDescent="0.1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</row>
    <row r="835" spans="1:24" ht="33" customHeight="1" x14ac:dyDescent="0.1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</row>
    <row r="836" spans="1:24" ht="33" customHeight="1" x14ac:dyDescent="0.1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</row>
    <row r="837" spans="1:24" ht="33" customHeight="1" x14ac:dyDescent="0.1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</row>
    <row r="838" spans="1:24" ht="33" customHeight="1" x14ac:dyDescent="0.1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</row>
    <row r="839" spans="1:24" ht="33" customHeight="1" x14ac:dyDescent="0.1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</row>
    <row r="840" spans="1:24" ht="33" customHeight="1" x14ac:dyDescent="0.1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</row>
    <row r="841" spans="1:24" ht="33" customHeight="1" x14ac:dyDescent="0.1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</row>
    <row r="842" spans="1:24" ht="33" customHeight="1" x14ac:dyDescent="0.1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</row>
    <row r="843" spans="1:24" ht="33" customHeight="1" x14ac:dyDescent="0.1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</row>
    <row r="844" spans="1:24" ht="33" customHeight="1" x14ac:dyDescent="0.1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</row>
    <row r="845" spans="1:24" ht="33" customHeight="1" x14ac:dyDescent="0.1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</row>
    <row r="846" spans="1:24" ht="33" customHeight="1" x14ac:dyDescent="0.1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</row>
    <row r="847" spans="1:24" ht="33" customHeight="1" x14ac:dyDescent="0.1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</row>
    <row r="848" spans="1:24" ht="33" customHeight="1" x14ac:dyDescent="0.1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</row>
    <row r="849" spans="1:24" ht="33" customHeight="1" x14ac:dyDescent="0.1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</row>
    <row r="850" spans="1:24" ht="33" customHeight="1" x14ac:dyDescent="0.1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</row>
    <row r="851" spans="1:24" ht="33" customHeight="1" x14ac:dyDescent="0.1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</row>
    <row r="852" spans="1:24" ht="33" customHeight="1" x14ac:dyDescent="0.1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</row>
    <row r="853" spans="1:24" ht="33" customHeight="1" x14ac:dyDescent="0.1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</row>
    <row r="854" spans="1:24" ht="33" customHeight="1" x14ac:dyDescent="0.1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</row>
    <row r="855" spans="1:24" ht="33" customHeight="1" x14ac:dyDescent="0.1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</row>
    <row r="856" spans="1:24" ht="33" customHeight="1" x14ac:dyDescent="0.1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</row>
    <row r="857" spans="1:24" ht="33" customHeight="1" x14ac:dyDescent="0.1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</row>
    <row r="858" spans="1:24" ht="33" customHeight="1" x14ac:dyDescent="0.1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</row>
    <row r="859" spans="1:24" ht="33" customHeight="1" x14ac:dyDescent="0.1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</row>
    <row r="860" spans="1:24" ht="33" customHeight="1" x14ac:dyDescent="0.1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</row>
    <row r="861" spans="1:24" ht="33" customHeight="1" x14ac:dyDescent="0.1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</row>
    <row r="862" spans="1:24" ht="33" customHeight="1" x14ac:dyDescent="0.1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</row>
    <row r="863" spans="1:24" ht="33" customHeight="1" x14ac:dyDescent="0.1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</row>
    <row r="864" spans="1:24" ht="33" customHeight="1" x14ac:dyDescent="0.1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</row>
    <row r="865" spans="1:24" ht="33" customHeight="1" x14ac:dyDescent="0.1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</row>
    <row r="866" spans="1:24" ht="33" customHeight="1" x14ac:dyDescent="0.1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</row>
    <row r="867" spans="1:24" ht="33" customHeight="1" x14ac:dyDescent="0.1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</row>
    <row r="868" spans="1:24" ht="33" customHeight="1" x14ac:dyDescent="0.1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</row>
    <row r="869" spans="1:24" ht="33" customHeight="1" x14ac:dyDescent="0.1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</row>
    <row r="870" spans="1:24" ht="33" customHeight="1" x14ac:dyDescent="0.1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</row>
    <row r="871" spans="1:24" ht="33" customHeight="1" x14ac:dyDescent="0.1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</row>
    <row r="872" spans="1:24" ht="33" customHeight="1" x14ac:dyDescent="0.1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</row>
    <row r="873" spans="1:24" ht="33" customHeight="1" x14ac:dyDescent="0.1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</row>
    <row r="874" spans="1:24" ht="33" customHeight="1" x14ac:dyDescent="0.1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</row>
    <row r="875" spans="1:24" ht="33" customHeight="1" x14ac:dyDescent="0.1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</row>
    <row r="876" spans="1:24" ht="33" customHeight="1" x14ac:dyDescent="0.1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</row>
    <row r="877" spans="1:24" ht="33" customHeight="1" x14ac:dyDescent="0.1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</row>
    <row r="878" spans="1:24" ht="33" customHeight="1" x14ac:dyDescent="0.1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</row>
    <row r="879" spans="1:24" ht="33" customHeight="1" x14ac:dyDescent="0.1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</row>
    <row r="880" spans="1:24" ht="33" customHeight="1" x14ac:dyDescent="0.1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</row>
    <row r="881" spans="1:24" ht="33" customHeight="1" x14ac:dyDescent="0.1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</row>
    <row r="882" spans="1:24" ht="33" customHeight="1" x14ac:dyDescent="0.1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</row>
    <row r="883" spans="1:24" ht="33" customHeight="1" x14ac:dyDescent="0.1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</row>
    <row r="884" spans="1:24" ht="33" customHeight="1" x14ac:dyDescent="0.1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</row>
    <row r="885" spans="1:24" ht="33" customHeight="1" x14ac:dyDescent="0.1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</row>
    <row r="886" spans="1:24" ht="33" customHeight="1" x14ac:dyDescent="0.1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</row>
    <row r="887" spans="1:24" ht="33" customHeight="1" x14ac:dyDescent="0.1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</row>
    <row r="888" spans="1:24" ht="33" customHeight="1" x14ac:dyDescent="0.1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</row>
    <row r="889" spans="1:24" ht="33" customHeight="1" x14ac:dyDescent="0.1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</row>
    <row r="890" spans="1:24" ht="33" customHeight="1" x14ac:dyDescent="0.1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</row>
    <row r="891" spans="1:24" ht="33" customHeight="1" x14ac:dyDescent="0.1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</row>
    <row r="892" spans="1:24" ht="33" customHeight="1" x14ac:dyDescent="0.1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</row>
    <row r="893" spans="1:24" ht="33" customHeight="1" x14ac:dyDescent="0.1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</row>
    <row r="894" spans="1:24" ht="33" customHeight="1" x14ac:dyDescent="0.1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</row>
    <row r="895" spans="1:24" ht="33" customHeight="1" x14ac:dyDescent="0.1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</row>
    <row r="896" spans="1:24" ht="33" customHeight="1" x14ac:dyDescent="0.1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</row>
    <row r="897" spans="1:24" ht="33" customHeight="1" x14ac:dyDescent="0.1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</row>
    <row r="898" spans="1:24" ht="33" customHeight="1" x14ac:dyDescent="0.1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</row>
    <row r="899" spans="1:24" ht="33" customHeight="1" x14ac:dyDescent="0.1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</row>
    <row r="900" spans="1:24" ht="33" customHeight="1" x14ac:dyDescent="0.1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</row>
    <row r="901" spans="1:24" ht="33" customHeight="1" x14ac:dyDescent="0.1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</row>
    <row r="902" spans="1:24" ht="33" customHeight="1" x14ac:dyDescent="0.1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</row>
    <row r="903" spans="1:24" ht="33" customHeight="1" x14ac:dyDescent="0.1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</row>
    <row r="904" spans="1:24" ht="33" customHeight="1" x14ac:dyDescent="0.1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</row>
    <row r="905" spans="1:24" ht="33" customHeight="1" x14ac:dyDescent="0.1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</row>
    <row r="906" spans="1:24" ht="33" customHeight="1" x14ac:dyDescent="0.1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</row>
    <row r="907" spans="1:24" ht="33" customHeight="1" x14ac:dyDescent="0.1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</row>
    <row r="908" spans="1:24" ht="33" customHeight="1" x14ac:dyDescent="0.1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</row>
    <row r="909" spans="1:24" ht="33" customHeight="1" x14ac:dyDescent="0.1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</row>
    <row r="910" spans="1:24" ht="33" customHeight="1" x14ac:dyDescent="0.1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</row>
    <row r="911" spans="1:24" ht="33" customHeight="1" x14ac:dyDescent="0.1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</row>
    <row r="912" spans="1:24" ht="33" customHeight="1" x14ac:dyDescent="0.1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</row>
    <row r="913" spans="1:24" ht="33" customHeight="1" x14ac:dyDescent="0.1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</row>
    <row r="914" spans="1:24" ht="33" customHeight="1" x14ac:dyDescent="0.1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</row>
    <row r="915" spans="1:24" ht="33" customHeight="1" x14ac:dyDescent="0.1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</row>
    <row r="916" spans="1:24" ht="33" customHeight="1" x14ac:dyDescent="0.1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</row>
    <row r="917" spans="1:24" ht="33" customHeight="1" x14ac:dyDescent="0.1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</row>
    <row r="918" spans="1:24" ht="33" customHeight="1" x14ac:dyDescent="0.1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</row>
    <row r="919" spans="1:24" ht="33" customHeight="1" x14ac:dyDescent="0.1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</row>
    <row r="920" spans="1:24" ht="33" customHeight="1" x14ac:dyDescent="0.1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</row>
    <row r="921" spans="1:24" ht="33" customHeight="1" x14ac:dyDescent="0.1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</row>
    <row r="922" spans="1:24" ht="33" customHeight="1" x14ac:dyDescent="0.1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</row>
    <row r="923" spans="1:24" ht="33" customHeight="1" x14ac:dyDescent="0.1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</row>
    <row r="924" spans="1:24" ht="33" customHeight="1" x14ac:dyDescent="0.1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</row>
    <row r="925" spans="1:24" ht="33" customHeight="1" x14ac:dyDescent="0.1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</row>
    <row r="926" spans="1:24" ht="33" customHeight="1" x14ac:dyDescent="0.1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</row>
    <row r="927" spans="1:24" ht="33" customHeight="1" x14ac:dyDescent="0.1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</row>
    <row r="928" spans="1:24" ht="33" customHeight="1" x14ac:dyDescent="0.1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</row>
    <row r="929" spans="1:24" ht="33" customHeight="1" x14ac:dyDescent="0.1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</row>
    <row r="930" spans="1:24" ht="33" customHeight="1" x14ac:dyDescent="0.1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</row>
    <row r="931" spans="1:24" ht="33" customHeight="1" x14ac:dyDescent="0.1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</row>
    <row r="932" spans="1:24" ht="33" customHeight="1" x14ac:dyDescent="0.1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</row>
    <row r="933" spans="1:24" ht="33" customHeight="1" x14ac:dyDescent="0.1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</row>
    <row r="934" spans="1:24" ht="33" customHeight="1" x14ac:dyDescent="0.1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</row>
    <row r="935" spans="1:24" ht="33" customHeight="1" x14ac:dyDescent="0.1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</row>
    <row r="936" spans="1:24" ht="33" customHeight="1" x14ac:dyDescent="0.1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</row>
    <row r="937" spans="1:24" ht="33" customHeight="1" x14ac:dyDescent="0.1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</row>
    <row r="938" spans="1:24" ht="33" customHeight="1" x14ac:dyDescent="0.1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</row>
    <row r="939" spans="1:24" ht="33" customHeight="1" x14ac:dyDescent="0.1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</row>
    <row r="940" spans="1:24" ht="33" customHeight="1" x14ac:dyDescent="0.1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</row>
    <row r="941" spans="1:24" ht="33" customHeight="1" x14ac:dyDescent="0.1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</row>
    <row r="942" spans="1:24" ht="33" customHeight="1" x14ac:dyDescent="0.1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</row>
    <row r="943" spans="1:24" ht="33" customHeight="1" x14ac:dyDescent="0.1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</row>
    <row r="944" spans="1:24" ht="33" customHeight="1" x14ac:dyDescent="0.1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</row>
    <row r="945" spans="1:24" ht="33" customHeight="1" x14ac:dyDescent="0.1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</row>
    <row r="946" spans="1:24" ht="33" customHeight="1" x14ac:dyDescent="0.1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</row>
    <row r="947" spans="1:24" ht="33" customHeight="1" x14ac:dyDescent="0.1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</row>
    <row r="948" spans="1:24" ht="33" customHeight="1" x14ac:dyDescent="0.1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</row>
    <row r="949" spans="1:24" ht="33" customHeight="1" x14ac:dyDescent="0.1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</row>
    <row r="950" spans="1:24" ht="33" customHeight="1" x14ac:dyDescent="0.1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</row>
    <row r="951" spans="1:24" ht="33" customHeight="1" x14ac:dyDescent="0.1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</row>
    <row r="952" spans="1:24" ht="33" customHeight="1" x14ac:dyDescent="0.1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</row>
    <row r="953" spans="1:24" ht="33" customHeight="1" x14ac:dyDescent="0.1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</row>
    <row r="954" spans="1:24" ht="33" customHeight="1" x14ac:dyDescent="0.1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</row>
    <row r="955" spans="1:24" ht="33" customHeight="1" x14ac:dyDescent="0.1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</row>
    <row r="956" spans="1:24" ht="33" customHeight="1" x14ac:dyDescent="0.1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</row>
    <row r="957" spans="1:24" ht="33" customHeight="1" x14ac:dyDescent="0.1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</row>
    <row r="958" spans="1:24" ht="33" customHeight="1" x14ac:dyDescent="0.1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</row>
    <row r="959" spans="1:24" ht="33" customHeight="1" x14ac:dyDescent="0.1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</row>
    <row r="960" spans="1:24" ht="33" customHeight="1" x14ac:dyDescent="0.1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</row>
    <row r="961" spans="1:24" ht="33" customHeight="1" x14ac:dyDescent="0.1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</row>
    <row r="962" spans="1:24" ht="33" customHeight="1" x14ac:dyDescent="0.1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</row>
    <row r="963" spans="1:24" ht="33" customHeight="1" x14ac:dyDescent="0.1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</row>
    <row r="964" spans="1:24" ht="33" customHeight="1" x14ac:dyDescent="0.1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</row>
    <row r="965" spans="1:24" ht="33" customHeight="1" x14ac:dyDescent="0.1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</row>
    <row r="966" spans="1:24" ht="33" customHeight="1" x14ac:dyDescent="0.1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</row>
    <row r="967" spans="1:24" ht="33" customHeight="1" x14ac:dyDescent="0.1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</row>
    <row r="968" spans="1:24" ht="33" customHeight="1" x14ac:dyDescent="0.1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</row>
    <row r="969" spans="1:24" ht="33" customHeight="1" x14ac:dyDescent="0.1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</row>
    <row r="970" spans="1:24" ht="33" customHeight="1" x14ac:dyDescent="0.1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</row>
    <row r="971" spans="1:24" ht="33" customHeight="1" x14ac:dyDescent="0.1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</row>
    <row r="972" spans="1:24" ht="33" customHeight="1" x14ac:dyDescent="0.1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</row>
    <row r="973" spans="1:24" ht="33" customHeight="1" x14ac:dyDescent="0.1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</row>
    <row r="974" spans="1:24" ht="33" customHeight="1" x14ac:dyDescent="0.1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</row>
    <row r="975" spans="1:24" ht="33" customHeight="1" x14ac:dyDescent="0.1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</row>
    <row r="976" spans="1:24" ht="33" customHeight="1" x14ac:dyDescent="0.1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</row>
    <row r="977" spans="1:24" ht="33" customHeight="1" x14ac:dyDescent="0.1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</row>
    <row r="978" spans="1:24" ht="33" customHeight="1" x14ac:dyDescent="0.1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</row>
    <row r="979" spans="1:24" ht="33" customHeight="1" x14ac:dyDescent="0.1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</row>
    <row r="980" spans="1:24" ht="33" customHeight="1" x14ac:dyDescent="0.1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</row>
    <row r="981" spans="1:24" ht="33" customHeight="1" x14ac:dyDescent="0.1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</row>
    <row r="982" spans="1:24" ht="33" customHeight="1" x14ac:dyDescent="0.1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</row>
    <row r="983" spans="1:24" ht="33" customHeight="1" x14ac:dyDescent="0.1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</row>
    <row r="984" spans="1:24" ht="33" customHeight="1" x14ac:dyDescent="0.1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</row>
    <row r="985" spans="1:24" ht="33" customHeight="1" x14ac:dyDescent="0.1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</row>
    <row r="986" spans="1:24" ht="33" customHeight="1" x14ac:dyDescent="0.1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</row>
    <row r="987" spans="1:24" ht="33" customHeight="1" x14ac:dyDescent="0.1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</row>
    <row r="988" spans="1:24" ht="33" customHeight="1" x14ac:dyDescent="0.1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</row>
    <row r="989" spans="1:24" ht="33" customHeight="1" x14ac:dyDescent="0.1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</row>
    <row r="990" spans="1:24" ht="33" customHeight="1" x14ac:dyDescent="0.1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</row>
    <row r="991" spans="1:24" ht="33" customHeight="1" x14ac:dyDescent="0.1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</row>
    <row r="992" spans="1:24" ht="33" customHeight="1" x14ac:dyDescent="0.1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</row>
    <row r="993" spans="1:24" ht="33" customHeight="1" x14ac:dyDescent="0.1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</row>
    <row r="994" spans="1:24" ht="33" customHeight="1" x14ac:dyDescent="0.1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</row>
    <row r="995" spans="1:24" ht="33" customHeight="1" x14ac:dyDescent="0.1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</row>
  </sheetData>
  <customSheetViews>
    <customSheetView guid="{B7E71E30-8C1B-44F2-8CCD-898BEED9B302}" filter="1" showAutoFilter="1">
      <pageMargins left="0.7" right="0.7" top="0.75" bottom="0.75" header="0.3" footer="0.3"/>
      <autoFilter ref="A1:X187" xr:uid="{786F3954-AF9E-1847-B74F-8A92D9CD4E18}">
        <filterColumn colId="1">
          <filters>
            <filter val="18331A0502"/>
            <filter val="18331A0504"/>
            <filter val="18331A0513"/>
            <filter val="18331A0514"/>
            <filter val="18331A0515"/>
            <filter val="18331A0516"/>
            <filter val="18331A0517"/>
            <filter val="18331A0525"/>
            <filter val="18331A0527"/>
            <filter val="18331A0528"/>
            <filter val="18331A0530"/>
            <filter val="18331A0531"/>
            <filter val="18331A0535"/>
            <filter val="18331A0538"/>
            <filter val="18331A0540"/>
            <filter val="18331A0541"/>
            <filter val="18331A0542"/>
            <filter val="18331A0543"/>
            <filter val="18331A0544"/>
            <filter val="18331A0549"/>
            <filter val="18331A0550"/>
            <filter val="18331A0551"/>
            <filter val="18331A0555"/>
            <filter val="18331A0557"/>
            <filter val="18331A0559"/>
            <filter val="18331A0560"/>
            <filter val="18331A0561"/>
            <filter val="18331A0562"/>
            <filter val="18331A0563"/>
            <filter val="18331A0565"/>
            <filter val="18331A0571"/>
            <filter val="18331A0573"/>
            <filter val="18331A0580"/>
            <filter val="18331A0583"/>
            <filter val="18331A0584"/>
            <filter val="18331A0585"/>
            <filter val="18331A0588"/>
            <filter val="18331A0590"/>
            <filter val="18331A0591"/>
            <filter val="18331A0592"/>
            <filter val="18331A0593"/>
            <filter val="18331A0595"/>
            <filter val="18331A0596"/>
            <filter val="18331A0597"/>
            <filter val="18331A0598"/>
            <filter val="18331A05A2"/>
            <filter val="18331A05A3"/>
            <filter val="18331A05C3"/>
            <filter val="18331A05C5"/>
            <filter val="18331A05C6"/>
            <filter val="18331A05D1"/>
            <filter val="18331A05D3"/>
            <filter val="18331A05D4"/>
            <filter val="18331A05D5"/>
            <filter val="18331A05D9"/>
            <filter val="18331A05E9"/>
            <filter val="18331A05F0"/>
            <filter val="18331A05F6"/>
            <filter val="18331A05F9"/>
            <filter val="18331A05G0"/>
            <filter val="18331A05G1"/>
            <filter val="18331A05G3"/>
            <filter val="18331A05G4"/>
            <filter val="18331A05G5"/>
            <filter val="18331A05G7"/>
            <filter val="18331A05H2"/>
            <filter val="18331A05H4"/>
            <filter val="18331A05H5"/>
            <filter val="18331A05H6"/>
            <filter val="18331A05H8"/>
            <filter val="183331A0543"/>
            <filter val="18831A0561"/>
            <filter val="19331A0501"/>
            <filter val="19331A0517"/>
            <filter val="19331A0523"/>
            <filter val="19331A0525"/>
            <filter val="19331A0526"/>
            <filter val="19331A0535"/>
            <filter val="19331A0537"/>
            <filter val="19331A0541"/>
            <filter val="19331A0555"/>
            <filter val="19331A0558"/>
            <filter val="19331A0572"/>
            <filter val="19331A0573"/>
            <filter val="19331A0575"/>
            <filter val="19331A0594"/>
            <filter val="19331A0597"/>
            <filter val="19331A05A2"/>
            <filter val="19331A05A3"/>
            <filter val="19331A05A8"/>
            <filter val="19331A05A9"/>
            <filter val="19331A05B5"/>
            <filter val="19331A05B7"/>
            <filter val="19331A05D4"/>
            <filter val="19331A05E6"/>
            <filter val="19331A05E7"/>
            <filter val="19331A05G1"/>
            <filter val="19331A05H0"/>
            <filter val="19331A05H1"/>
            <filter val="19331A05I1"/>
            <filter val="19335A0503"/>
            <filter val="19335A0504"/>
            <filter val="19335A0505"/>
            <filter val="19335A0506"/>
            <filter val="19335A0509"/>
            <filter val="19335A0513"/>
            <filter val="19335A0515"/>
            <filter val="19335A0516"/>
            <filter val="19335A0517"/>
            <filter val="19335A0518"/>
            <filter val="19335A0519"/>
            <filter val="20331A0571"/>
            <filter val="20331A0574"/>
            <filter val="20331A0579"/>
            <filter val="20331A05A9"/>
          </filters>
        </filterColumn>
      </autoFilter>
    </customSheetView>
  </customSheetViews>
  <hyperlinks>
    <hyperlink ref="J2" r:id="rId1" display="https://drive.google.com/open?id=18tBNcfZaqHL51fcmdpFuOp4AHku-Sq8d" xr:uid="{00000000-0004-0000-0400-000000000000}"/>
    <hyperlink ref="J3" r:id="rId2" display="https://drive.google.com/open?id=1KMcNy8oz1aK5J5G9aU2Se0gUADC6l5Ra" xr:uid="{00000000-0004-0000-0400-000001000000}"/>
    <hyperlink ref="J4" r:id="rId3" display="https://drive.google.com/open?id=1QPnvEQXm9CbOANLie0JsDZIWVPyOyVKW" xr:uid="{00000000-0004-0000-0400-000002000000}"/>
    <hyperlink ref="J5" r:id="rId4" display="https://drive.google.com/open?id=1v0PJfUgzklpFem93YovVNEesCalXmLlk" xr:uid="{00000000-0004-0000-0400-000003000000}"/>
    <hyperlink ref="J6" r:id="rId5" display="https://drive.google.com/open?id=1mgQJ7PVKKoZmV-qGrfd_y3l9_VsLB2Xd" xr:uid="{00000000-0004-0000-0400-000004000000}"/>
    <hyperlink ref="J7" r:id="rId6" display="https://drive.google.com/open?id=1MvkXMoGjwziiWPG0OmXyCZDmkQEV6b6_" xr:uid="{00000000-0004-0000-0400-000005000000}"/>
    <hyperlink ref="J8" r:id="rId7" display="https://drive.google.com/open?id=1VnotBEkB8oNas5leG5dtem61RtWiI3Ml" xr:uid="{00000000-0004-0000-0400-000006000000}"/>
    <hyperlink ref="J9" r:id="rId8" display="https://drive.google.com/open?id=12y2JfnPITi1EgRwDeBbP2weo5du5Dfw_" xr:uid="{00000000-0004-0000-0400-000007000000}"/>
    <hyperlink ref="J10" r:id="rId9" display="https://drive.google.com/open?id=19o5Qm4OqpYUbu8u3Ot2KY7B0CHQfQKNe" xr:uid="{00000000-0004-0000-0400-000008000000}"/>
    <hyperlink ref="J11" r:id="rId10" display="https://drive.google.com/open?id=18-E87WQWNLxgSe6O5CdCHwihnb5pegwi" xr:uid="{00000000-0004-0000-0400-000009000000}"/>
    <hyperlink ref="J12" r:id="rId11" display="https://drive.google.com/open?id=1rz9AnQm86uagR_pAMig6v7gRhPmsjPD5" xr:uid="{00000000-0004-0000-0400-00000A000000}"/>
    <hyperlink ref="J13" r:id="rId12" display="https://drive.google.com/open?id=1hifjuFihTXKbIiF-5nCra9V0PPc36URt" xr:uid="{00000000-0004-0000-0400-00000B000000}"/>
    <hyperlink ref="J14" r:id="rId13" display="https://drive.google.com/open?id=1CeOQ59qmlzNyT1Esv4h5TV6_GBYNxX3G" xr:uid="{00000000-0004-0000-0400-00000C000000}"/>
    <hyperlink ref="J15" r:id="rId14" display="https://drive.google.com/open?id=1iHQ_OzGdGwvuj_6h5n4_UoHjYIdeFruP" xr:uid="{00000000-0004-0000-0400-00000D000000}"/>
    <hyperlink ref="J16" r:id="rId15" display="https://drive.google.com/open?id=1ziKEhcb8WGR6GcExGyLs1lCuko-zHEY-" xr:uid="{00000000-0004-0000-0400-00000E000000}"/>
    <hyperlink ref="J17" r:id="rId16" display="https://drive.google.com/open?id=12iVb3sqWGWkU7FaU42aPFyT_SieeG7QH" xr:uid="{00000000-0004-0000-0400-00000F000000}"/>
    <hyperlink ref="J18" r:id="rId17" display="https://drive.google.com/open?id=1rf12jICt3hys1pme1JN7hTvyeY64jQ6o" xr:uid="{00000000-0004-0000-0400-000010000000}"/>
    <hyperlink ref="J19" r:id="rId18" display="https://drive.google.com/open?id=1e6ubDzw6OCuboHa_eyBRGvgpGre_nTHs" xr:uid="{00000000-0004-0000-0400-000011000000}"/>
    <hyperlink ref="J20" r:id="rId19" display="https://drive.google.com/open?id=1nEPbTa1t2UWNNR8RZde4eRKLEX8WqBpZ" xr:uid="{00000000-0004-0000-0400-000012000000}"/>
    <hyperlink ref="J21" r:id="rId20" display="https://drive.google.com/open?id=1hYqGjr9QMT_lw_DWcv9xguMH_Dqhm_0P" xr:uid="{00000000-0004-0000-0400-000013000000}"/>
    <hyperlink ref="J22" r:id="rId21" display="https://drive.google.com/open?id=1TAH1SbQQA-KZ2zRXCfxGzvrNvcAAWpPd" xr:uid="{00000000-0004-0000-0400-000014000000}"/>
    <hyperlink ref="J23" r:id="rId22" display="https://drive.google.com/open?id=1LuMxZ-WwCiFoEhTdZYsi4aKvomUYNSG1" xr:uid="{00000000-0004-0000-0400-000015000000}"/>
    <hyperlink ref="J24" r:id="rId23" display="https://drive.google.com/open?id=1Ypb6w_HDPXntjJUJ4tTBW_VXaSaaBTlB" xr:uid="{00000000-0004-0000-0400-000016000000}"/>
    <hyperlink ref="J25" r:id="rId24" display="https://drive.google.com/open?id=1_o4CsmjyYrEXDlK98Mo745yDuPAPbOyo" xr:uid="{00000000-0004-0000-0400-000017000000}"/>
    <hyperlink ref="J26" r:id="rId25" display="https://drive.google.com/open?id=1GDwNFQwwbcvfERxsS__5FKPalkASwhN9" xr:uid="{00000000-0004-0000-0400-000018000000}"/>
    <hyperlink ref="J27" r:id="rId26" display="https://drive.google.com/open?id=1Nr448mqqr1NBrnVWdEOvPsyTfKkRoX6E" xr:uid="{00000000-0004-0000-0400-000019000000}"/>
    <hyperlink ref="J28" r:id="rId27" display="https://drive.google.com/open?id=1wt9s597GXQ644bd2PXLfHEfaSSeztFVo" xr:uid="{00000000-0004-0000-0400-00001A000000}"/>
    <hyperlink ref="J29" r:id="rId28" display="https://drive.google.com/open?id=1f0LvrIQaf3gHFF_9bh-qodDIZzGE6k5J" xr:uid="{00000000-0004-0000-0400-00001B000000}"/>
    <hyperlink ref="J30" r:id="rId29" display="https://drive.google.com/open?id=1KSJLjeKsDdThgf6G9SNIh-_WIZEN-1Be" xr:uid="{00000000-0004-0000-0400-00001C000000}"/>
    <hyperlink ref="J31" r:id="rId30" display="https://drive.google.com/open?id=1kghyJdNeldS3J2SiTzRELjTjV3CbYhOw" xr:uid="{00000000-0004-0000-0400-00001D000000}"/>
    <hyperlink ref="J32" r:id="rId31" display="https://drive.google.com/open?id=1rH9_Xv4bqvDtpQ9t64MpU_vTDvA5hrFu" xr:uid="{00000000-0004-0000-0400-00001E000000}"/>
    <hyperlink ref="J33" r:id="rId32" display="https://drive.google.com/open?id=1Q2FKudakYyie6V-kEbVzxtvuNVTgPpRj" xr:uid="{00000000-0004-0000-0400-00001F000000}"/>
    <hyperlink ref="J34" r:id="rId33" display="https://drive.google.com/open?id=1o80YrSS6nw-p4ji1xpt0DwyY0GaDNIcM" xr:uid="{00000000-0004-0000-0400-000020000000}"/>
    <hyperlink ref="J35" r:id="rId34" display="https://drive.google.com/open?id=1sBRIOvnXlhUEOwhmWjBi2OIKVVyG4RDh" xr:uid="{00000000-0004-0000-0400-000021000000}"/>
    <hyperlink ref="J36" r:id="rId35" display="https://drive.google.com/open?id=13oDkQ5eszOIASYc_IZHqIC-kEbAMo6TT" xr:uid="{00000000-0004-0000-0400-000022000000}"/>
    <hyperlink ref="J37" r:id="rId36" display="https://drive.google.com/open?id=1gXlcLwDfPm-ZNDcW9x18d9Dv5fS8zPdT" xr:uid="{00000000-0004-0000-0400-000023000000}"/>
    <hyperlink ref="J38" r:id="rId37" display="https://drive.google.com/open?id=1VuTH7Tgo0Pk_ScTpkx1b4YGJX5R6P5Zn" xr:uid="{00000000-0004-0000-0400-000024000000}"/>
    <hyperlink ref="J39" r:id="rId38" display="https://drive.google.com/open?id=1nbfLYFI3vQYDxQ8JKspWb0auP9vnyZst" xr:uid="{00000000-0004-0000-0400-000025000000}"/>
    <hyperlink ref="J40" r:id="rId39" display="https://drive.google.com/open?id=1L8QvenQSbBbS_qby0dpkOU-60lBMdQqT" xr:uid="{00000000-0004-0000-0400-000026000000}"/>
    <hyperlink ref="J41" r:id="rId40" display="https://drive.google.com/open?id=19ICyEx7TvltSMYYTihknjAb2kVuwFTJ0" xr:uid="{00000000-0004-0000-0400-000027000000}"/>
    <hyperlink ref="J42" r:id="rId41" display="https://drive.google.com/open?id=1xXaz0acVeXLlZtQK5bAkaIcj6gP9tmUW" xr:uid="{00000000-0004-0000-0400-000028000000}"/>
    <hyperlink ref="J43" r:id="rId42" display="https://drive.google.com/open?id=1yhkjwAcobRnGlwhZoJOOSTwHDCLEjMxE" xr:uid="{00000000-0004-0000-0400-000029000000}"/>
    <hyperlink ref="J44" r:id="rId43" display="https://drive.google.com/open?id=1ng0Lk9SymFgR_16TJjdbejLvtYazcoUx" xr:uid="{00000000-0004-0000-0400-00002A000000}"/>
    <hyperlink ref="J45" r:id="rId44" display="https://drive.google.com/open?id=1BGZMlDUnSEgkcWuFeTdo9Q6hmkRpWqxk" xr:uid="{00000000-0004-0000-0400-00002B000000}"/>
    <hyperlink ref="J46" r:id="rId45" display="https://drive.google.com/open?id=1uKBfJz5WRxQys5M72Brb5OK10qcss7FK" xr:uid="{00000000-0004-0000-0400-00002C000000}"/>
    <hyperlink ref="J47" r:id="rId46" display="https://drive.google.com/open?id=1cOOeFbzfVa259sAWKf5ChvDZd0ox5haj" xr:uid="{00000000-0004-0000-0400-00002D000000}"/>
    <hyperlink ref="J48" r:id="rId47" display="https://drive.google.com/open?id=1GJg-pY3JFa2WpVzh2cHEFtzk64MkRwv4" xr:uid="{00000000-0004-0000-0400-00002E000000}"/>
    <hyperlink ref="J49" r:id="rId48" display="https://drive.google.com/open?id=1ZdqbZz3jeUF3M_MYrqnTTtzHJAcp2G98" xr:uid="{00000000-0004-0000-0400-00002F000000}"/>
    <hyperlink ref="J50" r:id="rId49" display="https://drive.google.com/open?id=1JlXIlbw3LU4pvglwII582towmfSEFhKP" xr:uid="{00000000-0004-0000-0400-000030000000}"/>
    <hyperlink ref="J51" r:id="rId50" display="https://drive.google.com/open?id=1lEpwiKvCdwRIeNr-XYFINLTXzsZygfTe" xr:uid="{00000000-0004-0000-0400-000031000000}"/>
    <hyperlink ref="J52" r:id="rId51" display="https://drive.google.com/open?id=17IrdOrM5riUDlK7k5Np6O4fQSFI_YiLU" xr:uid="{00000000-0004-0000-0400-000032000000}"/>
    <hyperlink ref="J53" r:id="rId52" display="https://drive.google.com/open?id=1wwqvYj7G8Hq9WXoUmmD6Idk6NYqHxAoX" xr:uid="{00000000-0004-0000-0400-000033000000}"/>
    <hyperlink ref="J54" r:id="rId53" display="https://drive.google.com/open?id=1ZeIF1osrfps_pQKFLERPH1SofXyLhKVp" xr:uid="{00000000-0004-0000-0400-000034000000}"/>
    <hyperlink ref="J55" r:id="rId54" display="https://drive.google.com/open?id=1XYSKZ49HqIeghBbtItkh5MlLKQtpA4P9" xr:uid="{00000000-0004-0000-0400-000035000000}"/>
    <hyperlink ref="J56" r:id="rId55" display="https://drive.google.com/open?id=1EmvpTa5j_6na-7NvTE7ZmRtnvUJ1ecxS" xr:uid="{00000000-0004-0000-0400-000036000000}"/>
    <hyperlink ref="J57" r:id="rId56" display="https://drive.google.com/open?id=1MlxCiiHa-jCKLhW0mp25BWHjk-pxLFWX" xr:uid="{00000000-0004-0000-0400-000037000000}"/>
    <hyperlink ref="J58" r:id="rId57" display="https://drive.google.com/open?id=1Qkly311R7TArLslRUrk4QxzeuF6u8THT" xr:uid="{00000000-0004-0000-0400-000038000000}"/>
    <hyperlink ref="J59" r:id="rId58" display="https://drive.google.com/open?id=1OtmRwww0kHx5VNyzxRZUw9VdnrJnpqf0" xr:uid="{00000000-0004-0000-0400-000039000000}"/>
    <hyperlink ref="J60" r:id="rId59" display="https://drive.google.com/open?id=1C_pOOqVb4BweyXOmoWqjvKoBG_jRZya9" xr:uid="{00000000-0004-0000-0400-00003A000000}"/>
    <hyperlink ref="J61" r:id="rId60" display="https://drive.google.com/open?id=1jMO4xex9aLpQ4Gd4CThhIclPonr9dDQn" xr:uid="{00000000-0004-0000-0400-00003B000000}"/>
    <hyperlink ref="J62" r:id="rId61" display="https://drive.google.com/open?id=1JaMGYAXjB8A_wX0xWqvSLF4SkKfTv8wQ" xr:uid="{00000000-0004-0000-0400-00003C000000}"/>
    <hyperlink ref="J63" r:id="rId62" display="https://drive.google.com/open?id=1mmIxRh7KV6AuPrt8ko_SCJfjgabXIUqI" xr:uid="{00000000-0004-0000-0400-00003D000000}"/>
    <hyperlink ref="J64" r:id="rId63" display="https://drive.google.com/open?id=1P_kXvTodQgrAxLcYoHJL7hFzaXkWsdjp" xr:uid="{00000000-0004-0000-0400-00003E000000}"/>
    <hyperlink ref="J65" r:id="rId64" display="https://drive.google.com/open?id=1Xd2y5nlg-K0Q_Dueeqz6RuQsBFdomNzX" xr:uid="{00000000-0004-0000-0400-00003F000000}"/>
    <hyperlink ref="J66" r:id="rId65" display="https://drive.google.com/open?id=1KiMO9-8cXk6324UORr6IxuY-KUyyORrZ" xr:uid="{00000000-0004-0000-0400-000040000000}"/>
    <hyperlink ref="J67" r:id="rId66" display="https://drive.google.com/open?id=1Fn17WcnzXqqx_gbD7qzad0N3XQCVJX-T" xr:uid="{00000000-0004-0000-0400-000041000000}"/>
    <hyperlink ref="J68" r:id="rId67" display="https://drive.google.com/open?id=1cyFS3Sp1zfHCceCD48s7AXEP-jYbJ1bb" xr:uid="{00000000-0004-0000-0400-000042000000}"/>
    <hyperlink ref="J69" r:id="rId68" display="https://drive.google.com/open?id=1jfXVxuerdSjvFtlEZeWYwfurTz0AqxaO" xr:uid="{00000000-0004-0000-0400-000043000000}"/>
    <hyperlink ref="J70" r:id="rId69" display="https://drive.google.com/open?id=1iaMcD70_naH6KRFWv5NG0ZCyOjxcUoAW" xr:uid="{00000000-0004-0000-0400-000044000000}"/>
    <hyperlink ref="J71" r:id="rId70" display="https://drive.google.com/open?id=13EvQ81i34w8bEj766A-Fa-CyNC1ob9za" xr:uid="{00000000-0004-0000-0400-000045000000}"/>
    <hyperlink ref="J72" r:id="rId71" display="https://drive.google.com/open?id=1l9MmNe4Fq8SyQw1-9vTljhFxhOoq0gf_" xr:uid="{00000000-0004-0000-0400-000046000000}"/>
    <hyperlink ref="J73" r:id="rId72" display="https://drive.google.com/open?id=1vqeGJy-iKtS4guA_6gnC5j3DBV2QdXDU" xr:uid="{00000000-0004-0000-0400-000047000000}"/>
    <hyperlink ref="J74" r:id="rId73" display="https://drive.google.com/open?id=1bRPpbfZ6VF2nNspGaENIdFCxpIgOX3Wf" xr:uid="{00000000-0004-0000-0400-000048000000}"/>
    <hyperlink ref="J75" r:id="rId74" display="https://drive.google.com/open?id=193Wgb8wmC7lrSq_ixj5T9weuc-l9Xeb8" xr:uid="{00000000-0004-0000-0400-000049000000}"/>
    <hyperlink ref="J76" r:id="rId75" display="https://drive.google.com/open?id=13U9yk399AL7BvTvwZ1ytE-le7410_VoI" xr:uid="{00000000-0004-0000-0400-00004A000000}"/>
    <hyperlink ref="J77" r:id="rId76" display="https://drive.google.com/open?id=1Ul6j1tdopkDnXwGZ284vPMkX5WE8h6-k" xr:uid="{00000000-0004-0000-0400-00004B000000}"/>
    <hyperlink ref="J78" r:id="rId77" display="https://drive.google.com/open?id=1zD8mOZDCOPlEwskVEI9iFlOwZiKFVwqA" xr:uid="{00000000-0004-0000-0400-00004C000000}"/>
    <hyperlink ref="J79" r:id="rId78" display="https://drive.google.com/open?id=1DmPs353d-h_k805KpRM5_WLtihWEXRzd" xr:uid="{00000000-0004-0000-0400-00004D000000}"/>
    <hyperlink ref="J80" r:id="rId79" display="https://drive.google.com/open?id=1GMChl2S9RjFtG0f56onc7V-grHCA0_D-" xr:uid="{00000000-0004-0000-0400-00004E000000}"/>
    <hyperlink ref="J81" r:id="rId80" display="https://drive.google.com/open?id=185yq5reXH52Tg4xzEngzlZp5G3H3apQs" xr:uid="{00000000-0004-0000-0400-00004F000000}"/>
    <hyperlink ref="J82" r:id="rId81" display="https://drive.google.com/open?id=1V-ZHoqUtAElJvV2UCSkugzD7cF6D22cX" xr:uid="{00000000-0004-0000-0400-000050000000}"/>
    <hyperlink ref="J83" r:id="rId82" display="https://drive.google.com/open?id=1XQxkvsPZxMq63zzQhpUlzZHGT-30Giml" xr:uid="{00000000-0004-0000-0400-000051000000}"/>
    <hyperlink ref="J84" r:id="rId83" display="https://drive.google.com/open?id=1lThSYHiqJHzqahEuh_3YUwc0a9q2IBhp" xr:uid="{00000000-0004-0000-0400-000052000000}"/>
    <hyperlink ref="J85" r:id="rId84" display="https://drive.google.com/open?id=1DeZf8Izquo12knJ7xhM8jkqs47vI9VAG" xr:uid="{00000000-0004-0000-0400-000053000000}"/>
    <hyperlink ref="J86" r:id="rId85" display="https://drive.google.com/open?id=1gKXf64OaYsX91n6YGp_dwGAQ9rb5W9na" xr:uid="{00000000-0004-0000-0400-000054000000}"/>
    <hyperlink ref="J87" r:id="rId86" display="https://drive.google.com/open?id=1R_crjsy8Lbn26MMooTRDEIdrtwv0l2F0" xr:uid="{00000000-0004-0000-0400-000055000000}"/>
    <hyperlink ref="J88" r:id="rId87" display="https://drive.google.com/open?id=1iT_54ac8mHt0eNjUvGQm683y9KsMKAtY" xr:uid="{00000000-0004-0000-0400-000056000000}"/>
    <hyperlink ref="J89" r:id="rId88" display="https://drive.google.com/open?id=1pWiCeUui6TF-dBkqKuF1k9wm-ZuQPQmy" xr:uid="{00000000-0004-0000-0400-000057000000}"/>
    <hyperlink ref="J90" r:id="rId89" display="https://drive.google.com/open?id=1oBsoHCUqyikc8mDOXNplplxNdc8rspMh" xr:uid="{00000000-0004-0000-0400-000058000000}"/>
    <hyperlink ref="J91" r:id="rId90" display="https://drive.google.com/open?id=1GcsdzqCzF19-5ITW2e-Qg41q-oUQdwCy" xr:uid="{00000000-0004-0000-0400-000059000000}"/>
    <hyperlink ref="J92" r:id="rId91" display="https://drive.google.com/open?id=1MMJqoGur-eMCf_7hAzgs-uyOed9kNdHH" xr:uid="{00000000-0004-0000-0400-00005A000000}"/>
    <hyperlink ref="J93" r:id="rId92" display="https://drive.google.com/open?id=1A2vochcJvGrHoDWXY64uTyxO0dapzj9a" xr:uid="{00000000-0004-0000-0400-00005B000000}"/>
    <hyperlink ref="J94" r:id="rId93" display="https://drive.google.com/open?id=1rABfJUKRpSqleWAVpC2T3MOprLuyLyPa" xr:uid="{00000000-0004-0000-0400-00005C000000}"/>
    <hyperlink ref="J95" r:id="rId94" display="https://drive.google.com/open?id=1alC3TptgmchgQ0Ov9CEIfYpn5FubFyJL" xr:uid="{00000000-0004-0000-0400-00005D000000}"/>
    <hyperlink ref="J96" r:id="rId95" display="https://drive.google.com/open?id=1Jbbts9ceS-YQiXZrGgp3WKwz8lNH1LZO" xr:uid="{00000000-0004-0000-0400-00005E000000}"/>
    <hyperlink ref="J97" r:id="rId96" display="https://drive.google.com/open?id=18oE2vDGu9afNUFdwWn5qMx4nqei6-7E9" xr:uid="{00000000-0004-0000-0400-00005F000000}"/>
    <hyperlink ref="J98" r:id="rId97" display="https://drive.google.com/open?id=18rsWLMQxRgogo3XfG981SyQXesg61x9O" xr:uid="{00000000-0004-0000-0400-000060000000}"/>
    <hyperlink ref="J99" r:id="rId98" display="https://drive.google.com/open?id=1YFVlenXh3kc0nHj0cl5g9MGId9HzR25u" xr:uid="{00000000-0004-0000-0400-000061000000}"/>
    <hyperlink ref="J100" r:id="rId99" display="https://drive.google.com/open?id=10PSNFfo7CjwjQLY7Gx8EcRI6qf5g1DH5" xr:uid="{00000000-0004-0000-0400-000062000000}"/>
    <hyperlink ref="J101" r:id="rId100" display="https://drive.google.com/open?id=1Cf5Nc45YCsAU9q1zOQiHHUx4XaxKGJuX" xr:uid="{00000000-0004-0000-0400-000063000000}"/>
    <hyperlink ref="J102" r:id="rId101" display="https://drive.google.com/open?id=16K0OjAGBT3DmHR5mzjJrBu_od50A5jWJ" xr:uid="{00000000-0004-0000-0400-000064000000}"/>
    <hyperlink ref="J103" r:id="rId102" display="https://drive.google.com/open?id=17si7cirUmJndpGWo3GtEYCMGrK38dDoV" xr:uid="{00000000-0004-0000-0400-000065000000}"/>
    <hyperlink ref="J104" r:id="rId103" display="https://drive.google.com/open?id=1Dj1IHiJpi9Lf7RMiYSSBntVBnyCoemGO" xr:uid="{00000000-0004-0000-0400-000066000000}"/>
    <hyperlink ref="J105" r:id="rId104" display="https://drive.google.com/open?id=1tjRps7JVzvJ4U_8NLhIsGXmohocnwFRC" xr:uid="{00000000-0004-0000-0400-000067000000}"/>
    <hyperlink ref="J106" r:id="rId105" display="https://drive.google.com/open?id=1x1vPPgHRokfeWxX4IGrK3rtEMoNuxZ4y" xr:uid="{00000000-0004-0000-0400-000068000000}"/>
    <hyperlink ref="J107" r:id="rId106" display="https://drive.google.com/open?id=1o8ldw801tLElIfAhRl2UosClrwPyDlUF" xr:uid="{00000000-0004-0000-0400-000069000000}"/>
    <hyperlink ref="J108" r:id="rId107" display="https://drive.google.com/open?id=1OcrvTBzPmFZ0bGCM7fryutUkjhGhJYh5" xr:uid="{00000000-0004-0000-0400-00006A000000}"/>
    <hyperlink ref="J109" r:id="rId108" display="https://drive.google.com/open?id=1xIIq1nYwFHorwLkBW_zDqAC1A5tdIh8Q" xr:uid="{00000000-0004-0000-0400-00006B000000}"/>
    <hyperlink ref="J110" r:id="rId109" display="https://drive.google.com/open?id=1jQmw3Ie7xSNvHnUNz9e96ERK-Ud-Slz5" xr:uid="{00000000-0004-0000-0400-00006C000000}"/>
    <hyperlink ref="J111" r:id="rId110" display="https://drive.google.com/open?id=1XJ6SeZ_hy3OjpGyqWE0RO2fvlFNqQ9wb" xr:uid="{00000000-0004-0000-0400-00006D000000}"/>
    <hyperlink ref="J112" r:id="rId111" display="https://drive.google.com/open?id=1lSazFEIzDqFFXObzM2CoBuKoIgGVlXCw" xr:uid="{00000000-0004-0000-0400-00006E000000}"/>
    <hyperlink ref="J113" r:id="rId112" display="https://drive.google.com/open?id=1ML-AQBPz_j8-clf9teLqwOuIGI7Dcpfg" xr:uid="{00000000-0004-0000-0400-00006F000000}"/>
    <hyperlink ref="J114" r:id="rId113" display="https://drive.google.com/open?id=1yt2Df3VcW_0AB69NaxXNmKcQZRhjv1TI" xr:uid="{00000000-0004-0000-0400-000070000000}"/>
    <hyperlink ref="J115" r:id="rId114" display="https://drive.google.com/open?id=10vYy2yRzwiezw6ByqFwZcrerK8gpogGu" xr:uid="{00000000-0004-0000-0400-000071000000}"/>
    <hyperlink ref="J116" r:id="rId115" display="https://drive.google.com/open?id=1ULzhn86Os22MLlFB0nnAUp6trn1SlqXA" xr:uid="{00000000-0004-0000-0400-000072000000}"/>
    <hyperlink ref="J117" r:id="rId116" display="https://drive.google.com/open?id=1cr5DGy03nmFmZFMxy1SU8HLUYkTAtxEu" xr:uid="{00000000-0004-0000-0400-000073000000}"/>
    <hyperlink ref="J118" r:id="rId117" display="https://drive.google.com/open?id=1_7V9WKQdECrYmJ4B1k45Qyokl2hvYj3d" xr:uid="{00000000-0004-0000-0400-000074000000}"/>
    <hyperlink ref="J119" r:id="rId118" display="https://drive.google.com/open?id=1vinEl0B5tg4rSvGazB6MyvSNVNZm97dS" xr:uid="{00000000-0004-0000-0400-000075000000}"/>
    <hyperlink ref="J120" r:id="rId119" display="https://drive.google.com/open?id=1U4zNBqKNThAe54o7icr_2AYBW3oeP86E" xr:uid="{00000000-0004-0000-0400-000076000000}"/>
    <hyperlink ref="J121" r:id="rId120" display="https://drive.google.com/open?id=1RW0cM3DT5GM0oQ8k3Q0cM-pY3Bkzk4xa" xr:uid="{00000000-0004-0000-0400-000077000000}"/>
    <hyperlink ref="J122" r:id="rId121" display="https://drive.google.com/open?id=1I10ymDocU9KshULXlkbs_MaLEpV-PeAS" xr:uid="{00000000-0004-0000-0400-000078000000}"/>
    <hyperlink ref="J123" r:id="rId122" display="https://drive.google.com/open?id=1Nd4eGUqv6sSL8MquViyInvt8UdolPuv1" xr:uid="{00000000-0004-0000-0400-000079000000}"/>
    <hyperlink ref="J124" r:id="rId123" display="https://drive.google.com/open?id=16zd3VBlO3IdfTICh8JOvZbYDTeh7-442" xr:uid="{00000000-0004-0000-0400-00007A000000}"/>
    <hyperlink ref="J125" r:id="rId124" display="https://drive.google.com/open?id=1M6-zSpYjgfr0BASlp2QUzn_c4XjO8T6i" xr:uid="{00000000-0004-0000-0400-00007B000000}"/>
    <hyperlink ref="J126" r:id="rId125" display="https://drive.google.com/open?id=19zlUndQh5pJmKfNO2-EjhssTuaVWZjGL" xr:uid="{00000000-0004-0000-0400-00007C000000}"/>
    <hyperlink ref="J127" r:id="rId126" display="https://drive.google.com/open?id=1QL9q--_GVEuGWpOC3zPdAKUT_Ha5rhv-" xr:uid="{00000000-0004-0000-0400-00007D000000}"/>
    <hyperlink ref="J128" r:id="rId127" display="https://drive.google.com/open?id=1mYUOK3K-F97GEKgt0CtUJvMCj1Ut9iVR" xr:uid="{00000000-0004-0000-0400-00007E000000}"/>
    <hyperlink ref="J129" r:id="rId128" display="https://drive.google.com/open?id=1cURO-VXsTbK6ZoZ8HDDxXySavbQV-XEM" xr:uid="{00000000-0004-0000-0400-00007F000000}"/>
    <hyperlink ref="J130" r:id="rId129" display="https://drive.google.com/open?id=1sAcrYSuEOcOeoIFyHDZBVlmlqck3MYDm" xr:uid="{00000000-0004-0000-0400-000080000000}"/>
    <hyperlink ref="J131" r:id="rId130" display="https://drive.google.com/open?id=1XIuR7daUWGUMTat-Yoq0W9bWN3UpHpcf" xr:uid="{00000000-0004-0000-0400-000081000000}"/>
    <hyperlink ref="J132" r:id="rId131" display="https://drive.google.com/open?id=1xGu6fOJRvDMwRLBNU3Kd0Ulose5pqrjf" xr:uid="{00000000-0004-0000-0400-000082000000}"/>
    <hyperlink ref="J133" r:id="rId132" display="https://drive.google.com/open?id=11dwcyzHKey-Qjswz26kVyFcRmb_znhxm" xr:uid="{00000000-0004-0000-0400-000083000000}"/>
    <hyperlink ref="J134" r:id="rId133" display="https://drive.google.com/open?id=1McGay_zEnuYV7_C0DLAirQ8wZ8zoD7xk" xr:uid="{00000000-0004-0000-0400-000084000000}"/>
    <hyperlink ref="J135" r:id="rId134" display="https://drive.google.com/open?id=1BM7zfaq9nhB2UA45kz0lUnEv5gHDG3Gd" xr:uid="{00000000-0004-0000-0400-000085000000}"/>
    <hyperlink ref="J136" r:id="rId135" display="https://drive.google.com/open?id=1C15t6nORIzHNmH0Srb6akMdRBN_UHjiv" xr:uid="{00000000-0004-0000-0400-000086000000}"/>
    <hyperlink ref="J137" r:id="rId136" display="https://drive.google.com/open?id=15jQXeRCr_UZiP-hfR59DPeR33fQ64tnE" xr:uid="{00000000-0004-0000-0400-000087000000}"/>
    <hyperlink ref="J138" r:id="rId137" display="https://drive.google.com/open?id=1pwG9BM12sfB_tRjhDTqD7cY1CDD1QwDY" xr:uid="{00000000-0004-0000-0400-000088000000}"/>
    <hyperlink ref="J139" r:id="rId138" display="https://drive.google.com/open?id=1W_NOCuAPkMT5-7uZY2yLpkRH3sDF2yBb" xr:uid="{00000000-0004-0000-0400-000089000000}"/>
    <hyperlink ref="J140" r:id="rId139" display="https://drive.google.com/open?id=1Tg_9Zl6ggrHhx7AJjufvYTUhaC5608Su" xr:uid="{00000000-0004-0000-0400-00008A000000}"/>
    <hyperlink ref="J141" r:id="rId140" display="https://drive.google.com/open?id=1tVbui3IpKcHFKD1bNKAkcM4ru9WczXoG" xr:uid="{00000000-0004-0000-0400-00008B000000}"/>
    <hyperlink ref="J142" r:id="rId141" display="https://drive.google.com/open?id=1F7iTjzsHnuIodbVpb33cwJfk7_1LM-9l" xr:uid="{00000000-0004-0000-0400-00008C000000}"/>
    <hyperlink ref="J143" r:id="rId142" display="https://drive.google.com/open?id=13J5UeAwZr8LZBFvHLWWmLBzpzuvdaHp2" xr:uid="{00000000-0004-0000-0400-00008D000000}"/>
    <hyperlink ref="J144" r:id="rId143" display="https://drive.google.com/open?id=1W3oP3DP3rBsp9RzvPebwIkHwjDigEuNA" xr:uid="{00000000-0004-0000-0400-00008E000000}"/>
    <hyperlink ref="J145" r:id="rId144" display="https://drive.google.com/open?id=1rlyRDaJkOzJm8bRKFhsUN4GOZtLeTbfr" xr:uid="{00000000-0004-0000-0400-00008F000000}"/>
    <hyperlink ref="J146" r:id="rId145" display="https://drive.google.com/open?id=1Vxws7ZxDedUtYqFillrfxBzIEcuaxcWk" xr:uid="{00000000-0004-0000-0400-000090000000}"/>
    <hyperlink ref="J147" r:id="rId146" display="https://drive.google.com/open?id=1jHinSiZ9D-5a7iuvZ8of0MssCzGQHKS6" xr:uid="{00000000-0004-0000-0400-000091000000}"/>
    <hyperlink ref="J148" r:id="rId147" display="https://drive.google.com/open?id=1Q7aSFHIxNaHu-8QlEtAsaIFUj0e-lslA" xr:uid="{00000000-0004-0000-0400-000092000000}"/>
    <hyperlink ref="J149" r:id="rId148" display="https://drive.google.com/open?id=1OdCqgTpFdMXyL2wGRwlzJQF7OcVDOTkQ" xr:uid="{00000000-0004-0000-0400-000093000000}"/>
    <hyperlink ref="J150" r:id="rId149" display="https://drive.google.com/open?id=1HhDM8hSHUy6Hc125dGJEBpi8IbmayzsU" xr:uid="{00000000-0004-0000-0400-000094000000}"/>
    <hyperlink ref="J151" r:id="rId150" display="https://drive.google.com/open?id=1vLiS16Riy3Hj4jFCZrDTX0Cb76lK2kbJ" xr:uid="{00000000-0004-0000-0400-000095000000}"/>
    <hyperlink ref="J152" r:id="rId151" display="https://drive.google.com/open?id=1AEoFVZCs9R_i8Uv2eghRNXDGCyuNGV0o" xr:uid="{00000000-0004-0000-0400-000096000000}"/>
    <hyperlink ref="J153" r:id="rId152" display="https://drive.google.com/open?id=1zIw39WOTbilnopqS8otfGZVLqjHOITzf" xr:uid="{00000000-0004-0000-0400-000097000000}"/>
    <hyperlink ref="J154" r:id="rId153" display="https://drive.google.com/open?id=1hkVUsy0h-xVJYXHA9uKl-06xHAobIvjm" xr:uid="{00000000-0004-0000-0400-000098000000}"/>
    <hyperlink ref="J155" r:id="rId154" display="https://drive.google.com/open?id=1yglCYVQ199qx5k15o7caTfXUWiGv0Jfi" xr:uid="{00000000-0004-0000-0400-000099000000}"/>
    <hyperlink ref="J156" r:id="rId155" display="https://drive.google.com/open?id=1Wd9ZHAz5yyCDZGziuamZ_KhEPJWFqAfM" xr:uid="{00000000-0004-0000-0400-00009A000000}"/>
    <hyperlink ref="J157" r:id="rId156" display="https://drive.google.com/open?id=18seBZorcjr3O70OKP_3pPmnzYScR3v6i" xr:uid="{00000000-0004-0000-0400-00009B000000}"/>
    <hyperlink ref="J158" r:id="rId157" display="https://drive.google.com/open?id=16c7c1M1MusHqa3fgQVXKq9D00j0pivXc" xr:uid="{00000000-0004-0000-0400-00009C000000}"/>
    <hyperlink ref="J159" r:id="rId158" display="https://drive.google.com/open?id=1Np-pIt1IdoqAq_K8OBZRls1Bm7DjtjSq" xr:uid="{00000000-0004-0000-0400-00009D000000}"/>
    <hyperlink ref="J160" r:id="rId159" display="https://drive.google.com/open?id=1JN1omyDFwhZ6DQdL14ffHMt9A0htX21g" xr:uid="{00000000-0004-0000-0400-00009E000000}"/>
    <hyperlink ref="J161" r:id="rId160" display="https://drive.google.com/open?id=1fkfNt3Enmx67ukXQijvhGeQwlv7OqiGp" xr:uid="{00000000-0004-0000-0400-00009F000000}"/>
    <hyperlink ref="J162" r:id="rId161" display="https://drive.google.com/open?id=11tvcZC2B6NAxoyFWA5BgpbovXc-a3Nv7" xr:uid="{00000000-0004-0000-0400-0000A0000000}"/>
    <hyperlink ref="J163" r:id="rId162" display="https://drive.google.com/open?id=1iebwTBXwTYrugaMqKMKl6bj1uGidMTeG" xr:uid="{00000000-0004-0000-0400-0000A1000000}"/>
    <hyperlink ref="J164" r:id="rId163" display="https://drive.google.com/open?id=1zG2hfJx1FiAxx-aMGpfLompju4QVYhBE" xr:uid="{00000000-0004-0000-0400-0000A2000000}"/>
    <hyperlink ref="J165" r:id="rId164" display="https://drive.google.com/open?id=1S0p5CNARv6AIh0jkY2b963wPxgWr77iY" xr:uid="{00000000-0004-0000-0400-0000A3000000}"/>
    <hyperlink ref="J166" r:id="rId165" display="https://drive.google.com/open?id=1eAZkMaFzM15aJQj0CiTTAt64qhQxtlMe" xr:uid="{00000000-0004-0000-0400-0000A4000000}"/>
    <hyperlink ref="J167" r:id="rId166" display="https://drive.google.com/open?id=1xgzZEYjYgnECYBJzQfcqwASeVfjyLZC-" xr:uid="{00000000-0004-0000-0400-0000A5000000}"/>
    <hyperlink ref="J168" r:id="rId167" display="https://drive.google.com/open?id=1JyesfyG9sdretzSNeYQ2p7xsGi1Vlmbs" xr:uid="{00000000-0004-0000-0400-0000A6000000}"/>
    <hyperlink ref="J169" r:id="rId168" display="https://drive.google.com/open?id=1Yom3pKy4Tkgt9RrqNFbH2LIJ7nyblof1" xr:uid="{00000000-0004-0000-0400-0000A7000000}"/>
    <hyperlink ref="J170" r:id="rId169" display="https://drive.google.com/open?id=1D9VJrTOe4CseoWGyhcXBEAT02CSp62P6" xr:uid="{00000000-0004-0000-0400-0000A8000000}"/>
    <hyperlink ref="J171" r:id="rId170" display="https://drive.google.com/open?id=12_srua-2bN288erbcYac-deqxTpCBmIW" xr:uid="{00000000-0004-0000-0400-0000A9000000}"/>
    <hyperlink ref="J172" r:id="rId171" display="https://drive.google.com/open?id=1q70iM5ZuSozWqArmkj9LmZgssRwVJcUV" xr:uid="{00000000-0004-0000-0400-0000AA000000}"/>
    <hyperlink ref="J173" r:id="rId172" display="https://drive.google.com/open?id=1W-GEi_AHJJKbI5qy-Xka1C4tkYjzijrv" xr:uid="{00000000-0004-0000-0400-0000AB000000}"/>
    <hyperlink ref="J174" r:id="rId173" display="https://drive.google.com/open?id=1w7Nn7fnaelGzhVWNrJIoFAwtxc99uNTN" xr:uid="{00000000-0004-0000-0400-0000AC000000}"/>
    <hyperlink ref="J175" r:id="rId174" display="https://drive.google.com/open?id=1RiYNFJLyXRcHF4OU9iWJ_kKYyQDAByBf" xr:uid="{00000000-0004-0000-0400-0000AD000000}"/>
    <hyperlink ref="J176" r:id="rId175" display="https://drive.google.com/open?id=1d53Z83IH6uTnP6_e1rTc7B2rYFvzwbgs" xr:uid="{00000000-0004-0000-0400-0000AE000000}"/>
    <hyperlink ref="J177" r:id="rId176" display="https://drive.google.com/open?id=1f94s200c2aJ8-D01M1jsKM_f5UVJQI4P" xr:uid="{00000000-0004-0000-0400-0000AF000000}"/>
    <hyperlink ref="J178" r:id="rId177" display="https://drive.google.com/open?id=1KKGtaq5GZLret3IA_PBGmysy9nnWrfqb" xr:uid="{00000000-0004-0000-0400-0000B0000000}"/>
    <hyperlink ref="J179" r:id="rId178" display="https://drive.google.com/open?id=1X5-dMidjBHdOyo90FwgFkdU_7hTrD6iR" xr:uid="{00000000-0004-0000-0400-0000B1000000}"/>
    <hyperlink ref="J180" r:id="rId179" display="https://drive.google.com/open?id=191m4Py2VmJsLXOuKESJH2Y4SC417zdZa" xr:uid="{00000000-0004-0000-0400-0000B2000000}"/>
    <hyperlink ref="J181" r:id="rId180" display="https://drive.google.com/open?id=1dum9P0ybRNMtzfRuAqmPvSgnf5YbCylF" xr:uid="{00000000-0004-0000-0400-0000B3000000}"/>
    <hyperlink ref="J182" r:id="rId181" display="https://drive.google.com/open?id=1zGU_nScoebuJRKY58U95WF0gjYoSO5rU" xr:uid="{00000000-0004-0000-0400-0000B4000000}"/>
    <hyperlink ref="J183" r:id="rId182" display="https://drive.google.com/open?id=1RitpCA1NL59Cr98CXpUkHL0g0_OdEVqI" xr:uid="{00000000-0004-0000-0400-0000B5000000}"/>
    <hyperlink ref="J184" r:id="rId183" display="https://drive.google.com/open?id=1yyjxs7slZUtmGPGTAvILaie_xjyJu5v0" xr:uid="{00000000-0004-0000-0400-0000B6000000}"/>
    <hyperlink ref="J185" r:id="rId184" display="https://drive.google.com/open?id=17iKZtZHoNF9lo8JjU7KDmXE4178ozFA8" xr:uid="{00000000-0004-0000-0400-0000B7000000}"/>
    <hyperlink ref="J186" r:id="rId185" display="https://drive.google.com/open?id=1TPECwCKNhGQy2a6nSAQeDdhd6N0lrh9U" xr:uid="{00000000-0004-0000-0400-0000B8000000}"/>
    <hyperlink ref="J187" r:id="rId186" display="https://drive.google.com/open?id=1oHtKKhDC4KQnMG3E3JF_YFX-BuInEMDt" xr:uid="{00000000-0004-0000-0400-0000B9000000}"/>
    <hyperlink ref="J188" r:id="rId187" display="https://drive.google.com/open?id=1gELbIpdDUVgmmrD4wFp7AgfsDpkZGuio" xr:uid="{00000000-0004-0000-0400-0000BA000000}"/>
    <hyperlink ref="J189" r:id="rId188" display="https://drive.google.com/open?id=1qID5BX52jnZtKx535FHOvcM-YdZpLWUB" xr:uid="{00000000-0004-0000-0400-0000BB000000}"/>
    <hyperlink ref="J190" r:id="rId189" display="https://drive.google.com/open?id=1Z921VLVGL4V-DzPO2qWrsy_sJnIhsHaG" xr:uid="{00000000-0004-0000-0400-0000BC000000}"/>
    <hyperlink ref="J191" r:id="rId190" display="https://drive.google.com/open?id=10l0klJaXRSSdkEThk-FQbIrJc2ryY74D" xr:uid="{00000000-0004-0000-0400-0000BD000000}"/>
    <hyperlink ref="J192" r:id="rId191" display="https://drive.google.com/open?id=1gXIqBnIb77E5lKLFiRe5c4MzKWMG64dB" xr:uid="{00000000-0004-0000-0400-0000BE000000}"/>
    <hyperlink ref="J193" r:id="rId192" display="https://drive.google.com/open?id=1ICG5ETUUMpFPZmUS2biNZdsjGYFpT4m6" xr:uid="{00000000-0004-0000-0400-0000BF000000}"/>
    <hyperlink ref="J194" r:id="rId193" display="https://drive.google.com/open?id=1S1-BYvEPshWpIzn5DuM-EWLn8stU29xW" xr:uid="{00000000-0004-0000-0400-0000C0000000}"/>
    <hyperlink ref="J195" r:id="rId194" display="https://drive.google.com/open?id=1_EleP57M2daRqNWwka5lH_XUVG8M_4Sl" xr:uid="{00000000-0004-0000-0400-0000C1000000}"/>
    <hyperlink ref="J196" r:id="rId195" display="https://drive.google.com/open?id=1q7SXNXWpRzlvsNkvYUhAmGQcta1nQIeb" xr:uid="{00000000-0004-0000-0400-0000C2000000}"/>
    <hyperlink ref="J197" r:id="rId196" display="https://drive.google.com/open?id=1-aRoU-1z9hogdqcWkPsTaYGqXpYYH-WD" xr:uid="{00000000-0004-0000-0400-0000C3000000}"/>
    <hyperlink ref="J198" r:id="rId197" display="https://drive.google.com/open?id=1-obNgY-hXWC3p2U3pOjG1UNPfhYv-yOg" xr:uid="{00000000-0004-0000-0400-0000C4000000}"/>
    <hyperlink ref="J199" r:id="rId198" display="https://drive.google.com/open?id=1FxVftOJQbMTy39xSDZVUrPs4_qt5jlpM" xr:uid="{00000000-0004-0000-0400-0000C5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Y996"/>
  <sheetViews>
    <sheetView workbookViewId="0"/>
  </sheetViews>
  <sheetFormatPr baseColWidth="10" defaultColWidth="12.6640625" defaultRowHeight="15.75" customHeight="1" x14ac:dyDescent="0.15"/>
  <cols>
    <col min="1" max="1" width="21.6640625" customWidth="1"/>
    <col min="2" max="2" width="10.83203125" customWidth="1"/>
    <col min="3" max="3" width="54.1640625" customWidth="1"/>
    <col min="4" max="4" width="43.83203125" customWidth="1"/>
    <col min="5" max="5" width="8.83203125" customWidth="1"/>
    <col min="6" max="7" width="9.33203125" customWidth="1"/>
    <col min="8" max="8" width="10.83203125" customWidth="1"/>
    <col min="9" max="9" width="5" customWidth="1"/>
    <col min="10" max="10" width="18.1640625" customWidth="1"/>
    <col min="11" max="11" width="63.83203125" customWidth="1"/>
    <col min="12" max="12" width="15.1640625" customWidth="1"/>
    <col min="13" max="13" width="21.33203125" customWidth="1"/>
    <col min="14" max="14" width="25.6640625" customWidth="1"/>
    <col min="15" max="15" width="10.1640625" customWidth="1"/>
  </cols>
  <sheetData>
    <row r="1" spans="1:25" ht="26.25" customHeight="1" x14ac:dyDescent="0.15">
      <c r="A1" s="76" t="s">
        <v>25</v>
      </c>
      <c r="B1" s="76" t="s">
        <v>26</v>
      </c>
      <c r="C1" s="77" t="s">
        <v>61</v>
      </c>
      <c r="D1" s="76" t="s">
        <v>3882</v>
      </c>
      <c r="E1" s="76" t="s">
        <v>63</v>
      </c>
      <c r="F1" s="76" t="s">
        <v>55</v>
      </c>
      <c r="G1" s="76" t="s">
        <v>56</v>
      </c>
      <c r="H1" s="76" t="s">
        <v>64</v>
      </c>
      <c r="I1" s="76" t="s">
        <v>81</v>
      </c>
      <c r="J1" s="76" t="s">
        <v>66</v>
      </c>
      <c r="K1" s="76" t="s">
        <v>67</v>
      </c>
      <c r="L1" s="15" t="s">
        <v>24</v>
      </c>
      <c r="M1" s="14" t="s">
        <v>1</v>
      </c>
      <c r="N1" s="15" t="s">
        <v>113</v>
      </c>
      <c r="O1" s="15" t="s">
        <v>114</v>
      </c>
      <c r="P1" s="9"/>
      <c r="Q1" s="9"/>
      <c r="R1" s="9"/>
      <c r="S1" s="9"/>
      <c r="T1" s="9"/>
      <c r="U1" s="9"/>
      <c r="V1" s="9"/>
      <c r="W1" s="9"/>
      <c r="X1" s="9"/>
      <c r="Y1" s="9"/>
    </row>
    <row r="2" spans="1:25" ht="26.25" customHeight="1" x14ac:dyDescent="0.15">
      <c r="A2" s="9" t="str">
        <f ca="1">IFERROR(__xludf.DUMMYFUNCTION("QUERY(MasterData!A1:NK11244,""select AX,AY,AZ,BA,BB,BC,BD,BE,BF,BG,BH,B,C,FL,FM where C='S4: Student Certifications'"",0)"),"Boddapati Rajesh")</f>
        <v>Boddapati Rajesh</v>
      </c>
      <c r="B2" s="9" t="str">
        <f ca="1">IFERROR(__xludf.DUMMYFUNCTION("""COMPUTED_VALUE"""),"18331A0515")</f>
        <v>18331A0515</v>
      </c>
      <c r="C2" s="78" t="str">
        <f ca="1">IFERROR(__xludf.DUMMYFUNCTION("""COMPUTED_VALUE"""),"C Tutorial Course")</f>
        <v>C Tutorial Course</v>
      </c>
      <c r="D2" s="9" t="str">
        <f ca="1">IFERROR(__xludf.DUMMYFUNCTION("""COMPUTED_VALUE"""),"Solo learn ")</f>
        <v xml:space="preserve">Solo learn </v>
      </c>
      <c r="E2" s="9" t="str">
        <f ca="1">IFERROR(__xludf.DUMMYFUNCTION("""COMPUTED_VALUE"""),"Indefinite")</f>
        <v>Indefinite</v>
      </c>
      <c r="F2" s="79">
        <f ca="1">IFERROR(__xludf.DUMMYFUNCTION("""COMPUTED_VALUE"""),43573)</f>
        <v>43573</v>
      </c>
      <c r="G2" s="79">
        <f ca="1">IFERROR(__xludf.DUMMYFUNCTION("""COMPUTED_VALUE"""),43573)</f>
        <v>43573</v>
      </c>
      <c r="H2" s="72">
        <f ca="1">IFERROR(__xludf.DUMMYFUNCTION("""COMPUTED_VALUE"""),43573)</f>
        <v>43573</v>
      </c>
      <c r="I2" s="80">
        <f ca="1">IFERROR(__xludf.DUMMYFUNCTION("""COMPUTED_VALUE"""),100)</f>
        <v>100</v>
      </c>
      <c r="J2" s="9" t="str">
        <f ca="1">IFERROR(__xludf.DUMMYFUNCTION("""COMPUTED_VALUE"""),"Self learning")</f>
        <v>Self learning</v>
      </c>
      <c r="K2" s="73" t="str">
        <f ca="1">IFERROR(__xludf.DUMMYFUNCTION("""COMPUTED_VALUE"""),"https://drive.google.com/open?id=14eo9gXW8eOYIUYK44iYmyknAgotMtBCt")</f>
        <v>https://drive.google.com/open?id=14eo9gXW8eOYIUYK44iYmyknAgotMtBCt</v>
      </c>
      <c r="L2" s="9" t="str">
        <f ca="1">IFERROR(__xludf.DUMMYFUNCTION("""COMPUTED_VALUE"""),"2018-2022")</f>
        <v>2018-2022</v>
      </c>
      <c r="M2" s="9" t="str">
        <f ca="1">IFERROR(__xludf.DUMMYFUNCTION("""COMPUTED_VALUE"""),"S4: Student Certifications")</f>
        <v>S4: Student Certifications</v>
      </c>
      <c r="N2" s="9" t="str">
        <f ca="1">IFERROR(__xludf.DUMMYFUNCTION("""COMPUTED_VALUE"""),"rajeshboddapati37@gmail.com")</f>
        <v>rajeshboddapati37@gmail.com</v>
      </c>
      <c r="O2" s="9" t="str">
        <f ca="1">IFERROR(__xludf.DUMMYFUNCTION("""COMPUTED_VALUE"""),"SEM-7")</f>
        <v>SEM-7</v>
      </c>
      <c r="P2" s="9"/>
      <c r="Q2" s="9"/>
      <c r="R2" s="9"/>
      <c r="S2" s="9"/>
      <c r="T2" s="9"/>
      <c r="U2" s="9"/>
      <c r="V2" s="9"/>
      <c r="W2" s="9"/>
      <c r="X2" s="9"/>
      <c r="Y2" s="9"/>
    </row>
    <row r="3" spans="1:25" ht="26.25" customHeight="1" x14ac:dyDescent="0.15">
      <c r="A3" s="9" t="str">
        <f ca="1">IFERROR(__xludf.DUMMYFUNCTION("""COMPUTED_VALUE"""),"Boddapati Rajesh")</f>
        <v>Boddapati Rajesh</v>
      </c>
      <c r="B3" s="9" t="str">
        <f ca="1">IFERROR(__xludf.DUMMYFUNCTION("""COMPUTED_VALUE"""),"18331A0515")</f>
        <v>18331A0515</v>
      </c>
      <c r="C3" s="78" t="str">
        <f ca="1">IFERROR(__xludf.DUMMYFUNCTION("""COMPUTED_VALUE"""),"AWS Academy Graduate")</f>
        <v>AWS Academy Graduate</v>
      </c>
      <c r="D3" s="9" t="str">
        <f ca="1">IFERROR(__xludf.DUMMYFUNCTION("""COMPUTED_VALUE"""),"Canvas")</f>
        <v>Canvas</v>
      </c>
      <c r="E3" s="9" t="str">
        <f ca="1">IFERROR(__xludf.DUMMYFUNCTION("""COMPUTED_VALUE"""),"30")</f>
        <v>30</v>
      </c>
      <c r="F3" s="79">
        <f ca="1">IFERROR(__xludf.DUMMYFUNCTION("""COMPUTED_VALUE"""),44489)</f>
        <v>44489</v>
      </c>
      <c r="G3" s="79">
        <f ca="1">IFERROR(__xludf.DUMMYFUNCTION("""COMPUTED_VALUE"""),44542)</f>
        <v>44542</v>
      </c>
      <c r="H3" s="72">
        <f ca="1">IFERROR(__xludf.DUMMYFUNCTION("""COMPUTED_VALUE"""),44663)</f>
        <v>44663</v>
      </c>
      <c r="I3" s="80">
        <f ca="1">IFERROR(__xludf.DUMMYFUNCTION("""COMPUTED_VALUE"""),100)</f>
        <v>100</v>
      </c>
      <c r="J3" s="9" t="str">
        <f ca="1">IFERROR(__xludf.DUMMYFUNCTION("""COMPUTED_VALUE"""),"P. Ravi Kiran Varma")</f>
        <v>P. Ravi Kiran Varma</v>
      </c>
      <c r="K3" s="73" t="str">
        <f ca="1">IFERROR(__xludf.DUMMYFUNCTION("""COMPUTED_VALUE"""),"https://drive.google.com/open?id=17F5rPbYSDTPITykm_JNA5_0jp_oZ9XnU")</f>
        <v>https://drive.google.com/open?id=17F5rPbYSDTPITykm_JNA5_0jp_oZ9XnU</v>
      </c>
      <c r="L3" s="9" t="str">
        <f ca="1">IFERROR(__xludf.DUMMYFUNCTION("""COMPUTED_VALUE"""),"2018-2022")</f>
        <v>2018-2022</v>
      </c>
      <c r="M3" s="9" t="str">
        <f ca="1">IFERROR(__xludf.DUMMYFUNCTION("""COMPUTED_VALUE"""),"S4: Student Certifications")</f>
        <v>S4: Student Certifications</v>
      </c>
      <c r="N3" s="9" t="str">
        <f ca="1">IFERROR(__xludf.DUMMYFUNCTION("""COMPUTED_VALUE"""),"rajeshboddapati37@gmail.com")</f>
        <v>rajeshboddapati37@gmail.com</v>
      </c>
      <c r="O3" s="9" t="str">
        <f ca="1">IFERROR(__xludf.DUMMYFUNCTION("""COMPUTED_VALUE"""),"SEM-8")</f>
        <v>SEM-8</v>
      </c>
      <c r="P3" s="9"/>
      <c r="Q3" s="9"/>
      <c r="R3" s="9"/>
      <c r="S3" s="9"/>
      <c r="T3" s="9"/>
      <c r="U3" s="9"/>
      <c r="V3" s="9"/>
      <c r="W3" s="9"/>
      <c r="X3" s="9"/>
      <c r="Y3" s="9"/>
    </row>
    <row r="4" spans="1:25" ht="26.25" customHeight="1" x14ac:dyDescent="0.15">
      <c r="A4" s="9" t="str">
        <f ca="1">IFERROR(__xludf.DUMMYFUNCTION("""COMPUTED_VALUE"""),"Joshini Sabbavarapu")</f>
        <v>Joshini Sabbavarapu</v>
      </c>
      <c r="B4" s="9" t="str">
        <f ca="1">IFERROR(__xludf.DUMMYFUNCTION("""COMPUTED_VALUE"""),"19335A0515")</f>
        <v>19335A0515</v>
      </c>
      <c r="C4" s="78" t="str">
        <f ca="1">IFERROR(__xludf.DUMMYFUNCTION("""COMPUTED_VALUE"""),"Introduction To Networks")</f>
        <v>Introduction To Networks</v>
      </c>
      <c r="D4" s="9" t="str">
        <f ca="1">IFERROR(__xludf.DUMMYFUNCTION("""COMPUTED_VALUE"""),"CISCO")</f>
        <v>CISCO</v>
      </c>
      <c r="E4" s="9" t="str">
        <f ca="1">IFERROR(__xludf.DUMMYFUNCTION("""COMPUTED_VALUE""")," 2 months")</f>
        <v xml:space="preserve"> 2 months</v>
      </c>
      <c r="F4" s="79">
        <f ca="1">IFERROR(__xludf.DUMMYFUNCTION("""COMPUTED_VALUE"""),44317)</f>
        <v>44317</v>
      </c>
      <c r="G4" s="79">
        <f ca="1">IFERROR(__xludf.DUMMYFUNCTION("""COMPUTED_VALUE"""),44373)</f>
        <v>44373</v>
      </c>
      <c r="H4" s="72">
        <f ca="1">IFERROR(__xludf.DUMMYFUNCTION("""COMPUTED_VALUE"""),44375)</f>
        <v>44375</v>
      </c>
      <c r="I4" s="80">
        <f ca="1">IFERROR(__xludf.DUMMYFUNCTION("""COMPUTED_VALUE"""),86)</f>
        <v>86</v>
      </c>
      <c r="J4" s="9" t="str">
        <f ca="1">IFERROR(__xludf.DUMMYFUNCTION("""COMPUTED_VALUE"""),"Subba Raju K V")</f>
        <v>Subba Raju K V</v>
      </c>
      <c r="K4" s="73" t="str">
        <f ca="1">IFERROR(__xludf.DUMMYFUNCTION("""COMPUTED_VALUE"""),"https://drive.google.com/open?id=1gwdqE6sXsNJcPK7gyGzJeWLjYnJvNtJD")</f>
        <v>https://drive.google.com/open?id=1gwdqE6sXsNJcPK7gyGzJeWLjYnJvNtJD</v>
      </c>
      <c r="L4" s="9" t="str">
        <f ca="1">IFERROR(__xludf.DUMMYFUNCTION("""COMPUTED_VALUE"""),"2018-2022")</f>
        <v>2018-2022</v>
      </c>
      <c r="M4" s="9" t="str">
        <f ca="1">IFERROR(__xludf.DUMMYFUNCTION("""COMPUTED_VALUE"""),"S4: Student Certifications")</f>
        <v>S4: Student Certifications</v>
      </c>
      <c r="N4" s="9" t="str">
        <f ca="1">IFERROR(__xludf.DUMMYFUNCTION("""COMPUTED_VALUE"""),"joshini747@gmail.com")</f>
        <v>joshini747@gmail.com</v>
      </c>
      <c r="O4" s="9" t="str">
        <f ca="1">IFERROR(__xludf.DUMMYFUNCTION("""COMPUTED_VALUE"""),"SEM-5")</f>
        <v>SEM-5</v>
      </c>
      <c r="P4" s="9"/>
      <c r="Q4" s="9"/>
      <c r="R4" s="9"/>
      <c r="S4" s="9"/>
      <c r="T4" s="9"/>
      <c r="U4" s="9"/>
      <c r="V4" s="9"/>
      <c r="W4" s="9"/>
      <c r="X4" s="9"/>
      <c r="Y4" s="9"/>
    </row>
    <row r="5" spans="1:25" ht="26.25" customHeight="1" x14ac:dyDescent="0.15">
      <c r="A5" s="9" t="str">
        <f ca="1">IFERROR(__xludf.DUMMYFUNCTION("""COMPUTED_VALUE"""),"BUKA  PRUDHVI RAJ")</f>
        <v>BUKA  PRUDHVI RAJ</v>
      </c>
      <c r="B5" s="9" t="str">
        <f ca="1">IFERROR(__xludf.DUMMYFUNCTION("""COMPUTED_VALUE"""),"19335A0503")</f>
        <v>19335A0503</v>
      </c>
      <c r="C5" s="78" t="str">
        <f ca="1">IFERROR(__xludf.DUMMYFUNCTION("""COMPUTED_VALUE"""),"Introduction To Networks")</f>
        <v>Introduction To Networks</v>
      </c>
      <c r="D5" s="9" t="str">
        <f ca="1">IFERROR(__xludf.DUMMYFUNCTION("""COMPUTED_VALUE"""),"CISCO")</f>
        <v>CISCO</v>
      </c>
      <c r="E5" s="9" t="str">
        <f ca="1">IFERROR(__xludf.DUMMYFUNCTION("""COMPUTED_VALUE"""),"2 months")</f>
        <v>2 months</v>
      </c>
      <c r="F5" s="79">
        <f ca="1">IFERROR(__xludf.DUMMYFUNCTION("""COMPUTED_VALUE"""),44317)</f>
        <v>44317</v>
      </c>
      <c r="G5" s="79">
        <f ca="1">IFERROR(__xludf.DUMMYFUNCTION("""COMPUTED_VALUE"""),44373)</f>
        <v>44373</v>
      </c>
      <c r="H5" s="72">
        <f ca="1">IFERROR(__xludf.DUMMYFUNCTION("""COMPUTED_VALUE"""),44375)</f>
        <v>44375</v>
      </c>
      <c r="I5" s="80">
        <f ca="1">IFERROR(__xludf.DUMMYFUNCTION("""COMPUTED_VALUE"""),86)</f>
        <v>86</v>
      </c>
      <c r="J5" s="9" t="str">
        <f ca="1">IFERROR(__xludf.DUMMYFUNCTION("""COMPUTED_VALUE"""),"Subba Raju K V")</f>
        <v>Subba Raju K V</v>
      </c>
      <c r="K5" s="73" t="str">
        <f ca="1">IFERROR(__xludf.DUMMYFUNCTION("""COMPUTED_VALUE"""),"https://drive.google.com/open?id=1e27Wps8S69r38ou72yivHyRDm3jqGar8")</f>
        <v>https://drive.google.com/open?id=1e27Wps8S69r38ou72yivHyRDm3jqGar8</v>
      </c>
      <c r="L5" s="9" t="str">
        <f ca="1">IFERROR(__xludf.DUMMYFUNCTION("""COMPUTED_VALUE"""),"2018-2022")</f>
        <v>2018-2022</v>
      </c>
      <c r="M5" s="9" t="str">
        <f ca="1">IFERROR(__xludf.DUMMYFUNCTION("""COMPUTED_VALUE"""),"S4: Student Certifications")</f>
        <v>S4: Student Certifications</v>
      </c>
      <c r="N5" s="9" t="str">
        <f ca="1">IFERROR(__xludf.DUMMYFUNCTION("""COMPUTED_VALUE"""),"prudhviraj.buka99@gmail.com")</f>
        <v>prudhviraj.buka99@gmail.com</v>
      </c>
      <c r="O5" s="9" t="str">
        <f ca="1">IFERROR(__xludf.DUMMYFUNCTION("""COMPUTED_VALUE"""),"SEM-5")</f>
        <v>SEM-5</v>
      </c>
      <c r="P5" s="9"/>
      <c r="Q5" s="9"/>
      <c r="R5" s="9"/>
      <c r="S5" s="9"/>
      <c r="T5" s="9"/>
      <c r="U5" s="9"/>
      <c r="V5" s="9"/>
      <c r="W5" s="9"/>
      <c r="X5" s="9"/>
      <c r="Y5" s="9"/>
    </row>
    <row r="6" spans="1:25" ht="26.25" customHeight="1" x14ac:dyDescent="0.15">
      <c r="A6" s="9" t="str">
        <f ca="1">IFERROR(__xludf.DUMMYFUNCTION("""COMPUTED_VALUE"""),"Boddapati Rajesh")</f>
        <v>Boddapati Rajesh</v>
      </c>
      <c r="B6" s="9" t="str">
        <f ca="1">IFERROR(__xludf.DUMMYFUNCTION("""COMPUTED_VALUE"""),"18331A0515")</f>
        <v>18331A0515</v>
      </c>
      <c r="C6" s="78" t="str">
        <f ca="1">IFERROR(__xludf.DUMMYFUNCTION("""COMPUTED_VALUE"""),"Programming for Everybody")</f>
        <v>Programming for Everybody</v>
      </c>
      <c r="D6" s="9" t="str">
        <f ca="1">IFERROR(__xludf.DUMMYFUNCTION("""COMPUTED_VALUE"""),"Coursera")</f>
        <v>Coursera</v>
      </c>
      <c r="E6" s="9" t="str">
        <f ca="1">IFERROR(__xludf.DUMMYFUNCTION("""COMPUTED_VALUE"""),"Indefinite")</f>
        <v>Indefinite</v>
      </c>
      <c r="F6" s="79">
        <f ca="1">IFERROR(__xludf.DUMMYFUNCTION("""COMPUTED_VALUE"""),43945)</f>
        <v>43945</v>
      </c>
      <c r="G6" s="79">
        <f ca="1">IFERROR(__xludf.DUMMYFUNCTION("""COMPUTED_VALUE"""),43945)</f>
        <v>43945</v>
      </c>
      <c r="H6" s="72">
        <f ca="1">IFERROR(__xludf.DUMMYFUNCTION("""COMPUTED_VALUE"""),43945)</f>
        <v>43945</v>
      </c>
      <c r="I6" s="80">
        <f ca="1">IFERROR(__xludf.DUMMYFUNCTION("""COMPUTED_VALUE"""),100)</f>
        <v>100</v>
      </c>
      <c r="J6" s="9" t="str">
        <f ca="1">IFERROR(__xludf.DUMMYFUNCTION("""COMPUTED_VALUE"""),"Self learning")</f>
        <v>Self learning</v>
      </c>
      <c r="K6" s="73" t="str">
        <f ca="1">IFERROR(__xludf.DUMMYFUNCTION("""COMPUTED_VALUE"""),"https://drive.google.com/open?id=1B4eqhT6xtlTOUszrwY6nfoBTshlHSD4l")</f>
        <v>https://drive.google.com/open?id=1B4eqhT6xtlTOUszrwY6nfoBTshlHSD4l</v>
      </c>
      <c r="L6" s="9" t="str">
        <f ca="1">IFERROR(__xludf.DUMMYFUNCTION("""COMPUTED_VALUE"""),"2018-2022")</f>
        <v>2018-2022</v>
      </c>
      <c r="M6" s="9" t="str">
        <f ca="1">IFERROR(__xludf.DUMMYFUNCTION("""COMPUTED_VALUE"""),"S4: Student Certifications")</f>
        <v>S4: Student Certifications</v>
      </c>
      <c r="N6" s="9" t="str">
        <f ca="1">IFERROR(__xludf.DUMMYFUNCTION("""COMPUTED_VALUE"""),"rajeshboddapati37@gmail.com")</f>
        <v>rajeshboddapati37@gmail.com</v>
      </c>
      <c r="O6" s="9" t="str">
        <f ca="1">IFERROR(__xludf.DUMMYFUNCTION("""COMPUTED_VALUE"""),"SEM-8")</f>
        <v>SEM-8</v>
      </c>
      <c r="P6" s="9"/>
      <c r="Q6" s="9"/>
      <c r="R6" s="9"/>
      <c r="S6" s="9"/>
      <c r="T6" s="9"/>
      <c r="U6" s="9"/>
      <c r="V6" s="9"/>
      <c r="W6" s="9"/>
      <c r="X6" s="9"/>
      <c r="Y6" s="9"/>
    </row>
    <row r="7" spans="1:25" ht="26.25" customHeight="1" x14ac:dyDescent="0.15">
      <c r="A7" s="9" t="str">
        <f ca="1">IFERROR(__xludf.DUMMYFUNCTION("""COMPUTED_VALUE"""),"Joshini Sabbavarapu")</f>
        <v>Joshini Sabbavarapu</v>
      </c>
      <c r="B7" s="9" t="str">
        <f ca="1">IFERROR(__xludf.DUMMYFUNCTION("""COMPUTED_VALUE"""),"19335A0515")</f>
        <v>19335A0515</v>
      </c>
      <c r="C7" s="78" t="str">
        <f ca="1">IFERROR(__xludf.DUMMYFUNCTION("""COMPUTED_VALUE"""),"Programming Essentials in Python")</f>
        <v>Programming Essentials in Python</v>
      </c>
      <c r="D7" s="9" t="str">
        <f ca="1">IFERROR(__xludf.DUMMYFUNCTION("""COMPUTED_VALUE"""),"CISCO")</f>
        <v>CISCO</v>
      </c>
      <c r="E7" s="9" t="str">
        <f ca="1">IFERROR(__xludf.DUMMYFUNCTION("""COMPUTED_VALUE"""),"2months")</f>
        <v>2months</v>
      </c>
      <c r="F7" s="79">
        <f ca="1">IFERROR(__xludf.DUMMYFUNCTION("""COMPUTED_VALUE"""),44320)</f>
        <v>44320</v>
      </c>
      <c r="G7" s="79">
        <f ca="1">IFERROR(__xludf.DUMMYFUNCTION("""COMPUTED_VALUE"""),44377)</f>
        <v>44377</v>
      </c>
      <c r="H7" s="72">
        <f ca="1">IFERROR(__xludf.DUMMYFUNCTION("""COMPUTED_VALUE"""),44379)</f>
        <v>44379</v>
      </c>
      <c r="I7" s="80">
        <f ca="1">IFERROR(__xludf.DUMMYFUNCTION("""COMPUTED_VALUE"""),89)</f>
        <v>89</v>
      </c>
      <c r="J7" s="9" t="str">
        <f ca="1">IFERROR(__xludf.DUMMYFUNCTION("""COMPUTED_VALUE"""),"Subba Raju K  V")</f>
        <v>Subba Raju K  V</v>
      </c>
      <c r="K7" s="73" t="str">
        <f ca="1">IFERROR(__xludf.DUMMYFUNCTION("""COMPUTED_VALUE"""),"https://drive.google.com/open?id=10uhrouQE2aJzqQfW3d72BRVy0pAyt6B0")</f>
        <v>https://drive.google.com/open?id=10uhrouQE2aJzqQfW3d72BRVy0pAyt6B0</v>
      </c>
      <c r="L7" s="9" t="str">
        <f ca="1">IFERROR(__xludf.DUMMYFUNCTION("""COMPUTED_VALUE"""),"2018-2022")</f>
        <v>2018-2022</v>
      </c>
      <c r="M7" s="9" t="str">
        <f ca="1">IFERROR(__xludf.DUMMYFUNCTION("""COMPUTED_VALUE"""),"S4: Student Certifications")</f>
        <v>S4: Student Certifications</v>
      </c>
      <c r="N7" s="9" t="str">
        <f ca="1">IFERROR(__xludf.DUMMYFUNCTION("""COMPUTED_VALUE"""),"joshini747@gmail.com")</f>
        <v>joshini747@gmail.com</v>
      </c>
      <c r="O7" s="9" t="str">
        <f ca="1">IFERROR(__xludf.DUMMYFUNCTION("""COMPUTED_VALUE"""),"SEM-5")</f>
        <v>SEM-5</v>
      </c>
      <c r="P7" s="9"/>
      <c r="Q7" s="9"/>
      <c r="R7" s="9"/>
      <c r="S7" s="9"/>
      <c r="T7" s="9"/>
      <c r="U7" s="9"/>
      <c r="V7" s="9"/>
      <c r="W7" s="9"/>
      <c r="X7" s="9"/>
      <c r="Y7" s="9"/>
    </row>
    <row r="8" spans="1:25" ht="26.25" customHeight="1" x14ac:dyDescent="0.15">
      <c r="A8" s="9" t="str">
        <f ca="1">IFERROR(__xludf.DUMMYFUNCTION("""COMPUTED_VALUE"""),"Joshini Sabbavarapu")</f>
        <v>Joshini Sabbavarapu</v>
      </c>
      <c r="B8" s="9" t="str">
        <f ca="1">IFERROR(__xludf.DUMMYFUNCTION("""COMPUTED_VALUE"""),"19335A0515")</f>
        <v>19335A0515</v>
      </c>
      <c r="C8" s="78" t="str">
        <f ca="1">IFERROR(__xludf.DUMMYFUNCTION("""COMPUTED_VALUE"""),"Cybersecurity Essentials")</f>
        <v>Cybersecurity Essentials</v>
      </c>
      <c r="D8" s="9" t="str">
        <f ca="1">IFERROR(__xludf.DUMMYFUNCTION("""COMPUTED_VALUE"""),"CISCO")</f>
        <v>CISCO</v>
      </c>
      <c r="E8" s="9" t="str">
        <f ca="1">IFERROR(__xludf.DUMMYFUNCTION("""COMPUTED_VALUE"""),"2 months")</f>
        <v>2 months</v>
      </c>
      <c r="F8" s="79">
        <f ca="1">IFERROR(__xludf.DUMMYFUNCTION("""COMPUTED_VALUE"""),44321)</f>
        <v>44321</v>
      </c>
      <c r="G8" s="79">
        <f ca="1">IFERROR(__xludf.DUMMYFUNCTION("""COMPUTED_VALUE"""),44376)</f>
        <v>44376</v>
      </c>
      <c r="H8" s="72">
        <f ca="1">IFERROR(__xludf.DUMMYFUNCTION("""COMPUTED_VALUE"""),44381)</f>
        <v>44381</v>
      </c>
      <c r="I8" s="80">
        <f ca="1">IFERROR(__xludf.DUMMYFUNCTION("""COMPUTED_VALUE"""),88)</f>
        <v>88</v>
      </c>
      <c r="J8" s="9" t="str">
        <f ca="1">IFERROR(__xludf.DUMMYFUNCTION("""COMPUTED_VALUE"""),"Subba Raju K V")</f>
        <v>Subba Raju K V</v>
      </c>
      <c r="K8" s="73" t="str">
        <f ca="1">IFERROR(__xludf.DUMMYFUNCTION("""COMPUTED_VALUE"""),"https://drive.google.com/open?id=1Mac7rF7rgHOPwkrJYolg2b5WVbaFmM4I")</f>
        <v>https://drive.google.com/open?id=1Mac7rF7rgHOPwkrJYolg2b5WVbaFmM4I</v>
      </c>
      <c r="L8" s="9" t="str">
        <f ca="1">IFERROR(__xludf.DUMMYFUNCTION("""COMPUTED_VALUE"""),"2018-2022")</f>
        <v>2018-2022</v>
      </c>
      <c r="M8" s="9" t="str">
        <f ca="1">IFERROR(__xludf.DUMMYFUNCTION("""COMPUTED_VALUE"""),"S4: Student Certifications")</f>
        <v>S4: Student Certifications</v>
      </c>
      <c r="N8" s="9" t="str">
        <f ca="1">IFERROR(__xludf.DUMMYFUNCTION("""COMPUTED_VALUE"""),"joshini747@gmail.com")</f>
        <v>joshini747@gmail.com</v>
      </c>
      <c r="O8" s="9" t="str">
        <f ca="1">IFERROR(__xludf.DUMMYFUNCTION("""COMPUTED_VALUE"""),"SEM-5")</f>
        <v>SEM-5</v>
      </c>
      <c r="P8" s="9"/>
      <c r="Q8" s="9"/>
      <c r="R8" s="9"/>
      <c r="S8" s="9"/>
      <c r="T8" s="9"/>
      <c r="U8" s="9"/>
      <c r="V8" s="9"/>
      <c r="W8" s="9"/>
      <c r="X8" s="9"/>
      <c r="Y8" s="9"/>
    </row>
    <row r="9" spans="1:25" ht="26.25" customHeight="1" x14ac:dyDescent="0.15">
      <c r="A9" s="9" t="str">
        <f ca="1">IFERROR(__xludf.DUMMYFUNCTION("""COMPUTED_VALUE"""),"BUKA  PRUDHVI RAJ")</f>
        <v>BUKA  PRUDHVI RAJ</v>
      </c>
      <c r="B9" s="9" t="str">
        <f ca="1">IFERROR(__xludf.DUMMYFUNCTION("""COMPUTED_VALUE"""),"19335A0503")</f>
        <v>19335A0503</v>
      </c>
      <c r="C9" s="78" t="str">
        <f ca="1">IFERROR(__xludf.DUMMYFUNCTION("""COMPUTED_VALUE"""),"Programming Essentials in Python")</f>
        <v>Programming Essentials in Python</v>
      </c>
      <c r="D9" s="9" t="str">
        <f ca="1">IFERROR(__xludf.DUMMYFUNCTION("""COMPUTED_VALUE"""),"CISCO")</f>
        <v>CISCO</v>
      </c>
      <c r="E9" s="9" t="str">
        <f ca="1">IFERROR(__xludf.DUMMYFUNCTION("""COMPUTED_VALUE"""),"2 months")</f>
        <v>2 months</v>
      </c>
      <c r="F9" s="79">
        <f ca="1">IFERROR(__xludf.DUMMYFUNCTION("""COMPUTED_VALUE"""),44323)</f>
        <v>44323</v>
      </c>
      <c r="G9" s="79">
        <f ca="1">IFERROR(__xludf.DUMMYFUNCTION("""COMPUTED_VALUE"""),44376)</f>
        <v>44376</v>
      </c>
      <c r="H9" s="72">
        <f ca="1">IFERROR(__xludf.DUMMYFUNCTION("""COMPUTED_VALUE"""),44379)</f>
        <v>44379</v>
      </c>
      <c r="I9" s="80">
        <f ca="1">IFERROR(__xludf.DUMMYFUNCTION("""COMPUTED_VALUE"""),84)</f>
        <v>84</v>
      </c>
      <c r="J9" s="9" t="str">
        <f ca="1">IFERROR(__xludf.DUMMYFUNCTION("""COMPUTED_VALUE"""),"Subba Raju K V")</f>
        <v>Subba Raju K V</v>
      </c>
      <c r="K9" s="73" t="str">
        <f ca="1">IFERROR(__xludf.DUMMYFUNCTION("""COMPUTED_VALUE"""),"https://drive.google.com/open?id=1sfxhRoYOsW8VWhJuHLcbG3HvHaFmXux_")</f>
        <v>https://drive.google.com/open?id=1sfxhRoYOsW8VWhJuHLcbG3HvHaFmXux_</v>
      </c>
      <c r="L9" s="9" t="str">
        <f ca="1">IFERROR(__xludf.DUMMYFUNCTION("""COMPUTED_VALUE"""),"2018-2022")</f>
        <v>2018-2022</v>
      </c>
      <c r="M9" s="9" t="str">
        <f ca="1">IFERROR(__xludf.DUMMYFUNCTION("""COMPUTED_VALUE"""),"S4: Student Certifications")</f>
        <v>S4: Student Certifications</v>
      </c>
      <c r="N9" s="9" t="str">
        <f ca="1">IFERROR(__xludf.DUMMYFUNCTION("""COMPUTED_VALUE"""),"prudhviraj.buka99@gmail.com")</f>
        <v>prudhviraj.buka99@gmail.com</v>
      </c>
      <c r="O9" s="9" t="str">
        <f ca="1">IFERROR(__xludf.DUMMYFUNCTION("""COMPUTED_VALUE"""),"SEM-5")</f>
        <v>SEM-5</v>
      </c>
      <c r="P9" s="9"/>
      <c r="Q9" s="9"/>
      <c r="R9" s="9"/>
      <c r="S9" s="9"/>
      <c r="T9" s="9"/>
      <c r="U9" s="9"/>
      <c r="V9" s="9"/>
      <c r="W9" s="9"/>
      <c r="X9" s="9"/>
      <c r="Y9" s="9"/>
    </row>
    <row r="10" spans="1:25" ht="26.25" customHeight="1" x14ac:dyDescent="0.15">
      <c r="A10" s="9" t="str">
        <f ca="1">IFERROR(__xludf.DUMMYFUNCTION("""COMPUTED_VALUE"""),"Joshini Sabbavarapu")</f>
        <v>Joshini Sabbavarapu</v>
      </c>
      <c r="B10" s="9" t="str">
        <f ca="1">IFERROR(__xludf.DUMMYFUNCTION("""COMPUTED_VALUE"""),"19335A0515")</f>
        <v>19335A0515</v>
      </c>
      <c r="C10" s="78" t="str">
        <f ca="1">IFERROR(__xludf.DUMMYFUNCTION("""COMPUTED_VALUE"""),"Introduction to IoT")</f>
        <v>Introduction to IoT</v>
      </c>
      <c r="D10" s="9" t="str">
        <f ca="1">IFERROR(__xludf.DUMMYFUNCTION("""COMPUTED_VALUE"""),"CISCO")</f>
        <v>CISCO</v>
      </c>
      <c r="E10" s="9" t="str">
        <f ca="1">IFERROR(__xludf.DUMMYFUNCTION("""COMPUTED_VALUE"""),"2 months")</f>
        <v>2 months</v>
      </c>
      <c r="F10" s="79">
        <f ca="1">IFERROR(__xludf.DUMMYFUNCTION("""COMPUTED_VALUE"""),44323)</f>
        <v>44323</v>
      </c>
      <c r="G10" s="79">
        <f ca="1">IFERROR(__xludf.DUMMYFUNCTION("""COMPUTED_VALUE"""),44376)</f>
        <v>44376</v>
      </c>
      <c r="H10" s="72">
        <f ca="1">IFERROR(__xludf.DUMMYFUNCTION("""COMPUTED_VALUE"""),44379)</f>
        <v>44379</v>
      </c>
      <c r="I10" s="80">
        <f ca="1">IFERROR(__xludf.DUMMYFUNCTION("""COMPUTED_VALUE"""),88)</f>
        <v>88</v>
      </c>
      <c r="J10" s="9" t="str">
        <f ca="1">IFERROR(__xludf.DUMMYFUNCTION("""COMPUTED_VALUE"""),"Subba Raju K V")</f>
        <v>Subba Raju K V</v>
      </c>
      <c r="K10" s="73" t="str">
        <f ca="1">IFERROR(__xludf.DUMMYFUNCTION("""COMPUTED_VALUE"""),"https://drive.google.com/open?id=1KqskbhHVrDUN2HojQEHtK5JZwT3Tmxoz")</f>
        <v>https://drive.google.com/open?id=1KqskbhHVrDUN2HojQEHtK5JZwT3Tmxoz</v>
      </c>
      <c r="L10" s="9" t="str">
        <f ca="1">IFERROR(__xludf.DUMMYFUNCTION("""COMPUTED_VALUE"""),"2018-2022")</f>
        <v>2018-2022</v>
      </c>
      <c r="M10" s="9" t="str">
        <f ca="1">IFERROR(__xludf.DUMMYFUNCTION("""COMPUTED_VALUE"""),"S4: Student Certifications")</f>
        <v>S4: Student Certifications</v>
      </c>
      <c r="N10" s="9" t="str">
        <f ca="1">IFERROR(__xludf.DUMMYFUNCTION("""COMPUTED_VALUE"""),"joshini747@gmail.com")</f>
        <v>joshini747@gmail.com</v>
      </c>
      <c r="O10" s="9" t="str">
        <f ca="1">IFERROR(__xludf.DUMMYFUNCTION("""COMPUTED_VALUE"""),"SEM-5")</f>
        <v>SEM-5</v>
      </c>
      <c r="P10" s="9"/>
      <c r="Q10" s="9"/>
      <c r="R10" s="9"/>
      <c r="S10" s="9"/>
      <c r="T10" s="9"/>
      <c r="U10" s="9"/>
      <c r="V10" s="9"/>
      <c r="W10" s="9"/>
      <c r="X10" s="9"/>
      <c r="Y10" s="9"/>
    </row>
    <row r="11" spans="1:25" ht="26.25" customHeight="1" x14ac:dyDescent="0.15">
      <c r="A11" s="9" t="str">
        <f ca="1">IFERROR(__xludf.DUMMYFUNCTION("""COMPUTED_VALUE"""),"Joshini Sabbavarapu")</f>
        <v>Joshini Sabbavarapu</v>
      </c>
      <c r="B11" s="9" t="str">
        <f ca="1">IFERROR(__xludf.DUMMYFUNCTION("""COMPUTED_VALUE"""),"19335A0515")</f>
        <v>19335A0515</v>
      </c>
      <c r="C11" s="78" t="str">
        <f ca="1">IFERROR(__xludf.DUMMYFUNCTION("""COMPUTED_VALUE"""),"Introduction to Packet Tracer")</f>
        <v>Introduction to Packet Tracer</v>
      </c>
      <c r="D11" s="9" t="str">
        <f ca="1">IFERROR(__xludf.DUMMYFUNCTION("""COMPUTED_VALUE"""),"CISCO")</f>
        <v>CISCO</v>
      </c>
      <c r="E11" s="9" t="str">
        <f ca="1">IFERROR(__xludf.DUMMYFUNCTION("""COMPUTED_VALUE"""),"2 months")</f>
        <v>2 months</v>
      </c>
      <c r="F11" s="79">
        <f ca="1">IFERROR(__xludf.DUMMYFUNCTION("""COMPUTED_VALUE"""),44319)</f>
        <v>44319</v>
      </c>
      <c r="G11" s="79">
        <f ca="1">IFERROR(__xludf.DUMMYFUNCTION("""COMPUTED_VALUE"""),44376)</f>
        <v>44376</v>
      </c>
      <c r="H11" s="72">
        <f ca="1">IFERROR(__xludf.DUMMYFUNCTION("""COMPUTED_VALUE"""),44382)</f>
        <v>44382</v>
      </c>
      <c r="I11" s="80">
        <f ca="1">IFERROR(__xludf.DUMMYFUNCTION("""COMPUTED_VALUE"""),87)</f>
        <v>87</v>
      </c>
      <c r="J11" s="9" t="str">
        <f ca="1">IFERROR(__xludf.DUMMYFUNCTION("""COMPUTED_VALUE"""),"Subba Raju K V")</f>
        <v>Subba Raju K V</v>
      </c>
      <c r="K11" s="73" t="str">
        <f ca="1">IFERROR(__xludf.DUMMYFUNCTION("""COMPUTED_VALUE"""),"https://drive.google.com/open?id=1cIMtORVa3wnEsp897bTMvo0w3xH7ckoV")</f>
        <v>https://drive.google.com/open?id=1cIMtORVa3wnEsp897bTMvo0w3xH7ckoV</v>
      </c>
      <c r="L11" s="9" t="str">
        <f ca="1">IFERROR(__xludf.DUMMYFUNCTION("""COMPUTED_VALUE"""),"2018-2022")</f>
        <v>2018-2022</v>
      </c>
      <c r="M11" s="9" t="str">
        <f ca="1">IFERROR(__xludf.DUMMYFUNCTION("""COMPUTED_VALUE"""),"S4: Student Certifications")</f>
        <v>S4: Student Certifications</v>
      </c>
      <c r="N11" s="9" t="str">
        <f ca="1">IFERROR(__xludf.DUMMYFUNCTION("""COMPUTED_VALUE"""),"joshini747@gmail.com")</f>
        <v>joshini747@gmail.com</v>
      </c>
      <c r="O11" s="9" t="str">
        <f ca="1">IFERROR(__xludf.DUMMYFUNCTION("""COMPUTED_VALUE"""),"SEM-5")</f>
        <v>SEM-5</v>
      </c>
      <c r="P11" s="9"/>
      <c r="Q11" s="9"/>
      <c r="R11" s="9"/>
      <c r="S11" s="9"/>
      <c r="T11" s="9"/>
      <c r="U11" s="9"/>
      <c r="V11" s="9"/>
      <c r="W11" s="9"/>
      <c r="X11" s="9"/>
      <c r="Y11" s="9"/>
    </row>
    <row r="12" spans="1:25" ht="26.25" customHeight="1" x14ac:dyDescent="0.15">
      <c r="A12" s="9" t="str">
        <f ca="1">IFERROR(__xludf.DUMMYFUNCTION("""COMPUTED_VALUE"""),"BUKA  PRUDHVI RAJ")</f>
        <v>BUKA  PRUDHVI RAJ</v>
      </c>
      <c r="B12" s="9" t="str">
        <f ca="1">IFERROR(__xludf.DUMMYFUNCTION("""COMPUTED_VALUE"""),"19335A0503")</f>
        <v>19335A0503</v>
      </c>
      <c r="C12" s="78" t="str">
        <f ca="1">IFERROR(__xludf.DUMMYFUNCTION("""COMPUTED_VALUE"""),"Cybersecurity Essentials")</f>
        <v>Cybersecurity Essentials</v>
      </c>
      <c r="D12" s="9" t="str">
        <f ca="1">IFERROR(__xludf.DUMMYFUNCTION("""COMPUTED_VALUE"""),"CISCO")</f>
        <v>CISCO</v>
      </c>
      <c r="E12" s="9" t="str">
        <f ca="1">IFERROR(__xludf.DUMMYFUNCTION("""COMPUTED_VALUE"""),"2 months")</f>
        <v>2 months</v>
      </c>
      <c r="F12" s="79">
        <f ca="1">IFERROR(__xludf.DUMMYFUNCTION("""COMPUTED_VALUE"""),44348)</f>
        <v>44348</v>
      </c>
      <c r="G12" s="79">
        <f ca="1">IFERROR(__xludf.DUMMYFUNCTION("""COMPUTED_VALUE"""),44403)</f>
        <v>44403</v>
      </c>
      <c r="H12" s="72">
        <f ca="1">IFERROR(__xludf.DUMMYFUNCTION("""COMPUTED_VALUE"""),44404)</f>
        <v>44404</v>
      </c>
      <c r="I12" s="80">
        <f ca="1">IFERROR(__xludf.DUMMYFUNCTION("""COMPUTED_VALUE"""),86)</f>
        <v>86</v>
      </c>
      <c r="J12" s="9" t="str">
        <f ca="1">IFERROR(__xludf.DUMMYFUNCTION("""COMPUTED_VALUE"""),"Subba Raju K V")</f>
        <v>Subba Raju K V</v>
      </c>
      <c r="K12" s="73" t="str">
        <f ca="1">IFERROR(__xludf.DUMMYFUNCTION("""COMPUTED_VALUE"""),"https://drive.google.com/open?id=1u3KBvWfE8m3AhT0STmxwE86UySa-Bsr1")</f>
        <v>https://drive.google.com/open?id=1u3KBvWfE8m3AhT0STmxwE86UySa-Bsr1</v>
      </c>
      <c r="L12" s="9" t="str">
        <f ca="1">IFERROR(__xludf.DUMMYFUNCTION("""COMPUTED_VALUE"""),"2018-2022")</f>
        <v>2018-2022</v>
      </c>
      <c r="M12" s="9" t="str">
        <f ca="1">IFERROR(__xludf.DUMMYFUNCTION("""COMPUTED_VALUE"""),"S4: Student Certifications")</f>
        <v>S4: Student Certifications</v>
      </c>
      <c r="N12" s="9" t="str">
        <f ca="1">IFERROR(__xludf.DUMMYFUNCTION("""COMPUTED_VALUE"""),"prudhviraj.buka99@gmail.com")</f>
        <v>prudhviraj.buka99@gmail.com</v>
      </c>
      <c r="O12" s="9" t="str">
        <f ca="1">IFERROR(__xludf.DUMMYFUNCTION("""COMPUTED_VALUE"""),"SEM-5")</f>
        <v>SEM-5</v>
      </c>
      <c r="P12" s="9"/>
      <c r="Q12" s="9"/>
      <c r="R12" s="9"/>
      <c r="S12" s="9"/>
      <c r="T12" s="9"/>
      <c r="U12" s="9"/>
      <c r="V12" s="9"/>
      <c r="W12" s="9"/>
      <c r="X12" s="9"/>
      <c r="Y12" s="9"/>
    </row>
    <row r="13" spans="1:25" ht="26.25" customHeight="1" x14ac:dyDescent="0.15">
      <c r="A13" s="9" t="str">
        <f ca="1">IFERROR(__xludf.DUMMYFUNCTION("""COMPUTED_VALUE"""),"BUKA  PRUDHVI RAJ")</f>
        <v>BUKA  PRUDHVI RAJ</v>
      </c>
      <c r="B13" s="9" t="str">
        <f ca="1">IFERROR(__xludf.DUMMYFUNCTION("""COMPUTED_VALUE"""),"19335A0503")</f>
        <v>19335A0503</v>
      </c>
      <c r="C13" s="78" t="str">
        <f ca="1">IFERROR(__xludf.DUMMYFUNCTION("""COMPUTED_VALUE"""),"Introduction to IoT")</f>
        <v>Introduction to IoT</v>
      </c>
      <c r="D13" s="9" t="str">
        <f ca="1">IFERROR(__xludf.DUMMYFUNCTION("""COMPUTED_VALUE"""),"CISCO")</f>
        <v>CISCO</v>
      </c>
      <c r="E13" s="9" t="str">
        <f ca="1">IFERROR(__xludf.DUMMYFUNCTION("""COMPUTED_VALUE"""),"2 months")</f>
        <v>2 months</v>
      </c>
      <c r="F13" s="79">
        <f ca="1">IFERROR(__xludf.DUMMYFUNCTION("""COMPUTED_VALUE"""),44320)</f>
        <v>44320</v>
      </c>
      <c r="G13" s="79">
        <f ca="1">IFERROR(__xludf.DUMMYFUNCTION("""COMPUTED_VALUE"""),44376)</f>
        <v>44376</v>
      </c>
      <c r="H13" s="72">
        <f ca="1">IFERROR(__xludf.DUMMYFUNCTION("""COMPUTED_VALUE"""),44383)</f>
        <v>44383</v>
      </c>
      <c r="I13" s="80">
        <f ca="1">IFERROR(__xludf.DUMMYFUNCTION("""COMPUTED_VALUE"""),86)</f>
        <v>86</v>
      </c>
      <c r="J13" s="9" t="str">
        <f ca="1">IFERROR(__xludf.DUMMYFUNCTION("""COMPUTED_VALUE"""),"Subba Raju K V")</f>
        <v>Subba Raju K V</v>
      </c>
      <c r="K13" s="73" t="str">
        <f ca="1">IFERROR(__xludf.DUMMYFUNCTION("""COMPUTED_VALUE"""),"https://drive.google.com/open?id=1kdGC3HxK8cyPhg5MkQpXA8YVXgwBKdYF")</f>
        <v>https://drive.google.com/open?id=1kdGC3HxK8cyPhg5MkQpXA8YVXgwBKdYF</v>
      </c>
      <c r="L13" s="9" t="str">
        <f ca="1">IFERROR(__xludf.DUMMYFUNCTION("""COMPUTED_VALUE"""),"2018-2022")</f>
        <v>2018-2022</v>
      </c>
      <c r="M13" s="9" t="str">
        <f ca="1">IFERROR(__xludf.DUMMYFUNCTION("""COMPUTED_VALUE"""),"S4: Student Certifications")</f>
        <v>S4: Student Certifications</v>
      </c>
      <c r="N13" s="9" t="str">
        <f ca="1">IFERROR(__xludf.DUMMYFUNCTION("""COMPUTED_VALUE"""),"prudhviraj.buka99@gmail.com")</f>
        <v>prudhviraj.buka99@gmail.com</v>
      </c>
      <c r="O13" s="9" t="str">
        <f ca="1">IFERROR(__xludf.DUMMYFUNCTION("""COMPUTED_VALUE"""),"SEM-5")</f>
        <v>SEM-5</v>
      </c>
      <c r="P13" s="9"/>
      <c r="Q13" s="9"/>
      <c r="R13" s="9"/>
      <c r="S13" s="9"/>
      <c r="T13" s="9"/>
      <c r="U13" s="9"/>
      <c r="V13" s="9"/>
      <c r="W13" s="9"/>
      <c r="X13" s="9"/>
      <c r="Y13" s="9"/>
    </row>
    <row r="14" spans="1:25" ht="26.25" customHeight="1" x14ac:dyDescent="0.15">
      <c r="A14" s="9" t="str">
        <f ca="1">IFERROR(__xludf.DUMMYFUNCTION("""COMPUTED_VALUE"""),"BUKA  PRUDHVI RAJ")</f>
        <v>BUKA  PRUDHVI RAJ</v>
      </c>
      <c r="B14" s="9" t="str">
        <f ca="1">IFERROR(__xludf.DUMMYFUNCTION("""COMPUTED_VALUE"""),"19335A0503")</f>
        <v>19335A0503</v>
      </c>
      <c r="C14" s="78" t="str">
        <f ca="1">IFERROR(__xludf.DUMMYFUNCTION("""COMPUTED_VALUE"""),"Introduction to Packet Tracer")</f>
        <v>Introduction to Packet Tracer</v>
      </c>
      <c r="D14" s="9" t="str">
        <f ca="1">IFERROR(__xludf.DUMMYFUNCTION("""COMPUTED_VALUE"""),"CISCO")</f>
        <v>CISCO</v>
      </c>
      <c r="E14" s="9" t="str">
        <f ca="1">IFERROR(__xludf.DUMMYFUNCTION("""COMPUTED_VALUE"""),"2months")</f>
        <v>2months</v>
      </c>
      <c r="F14" s="79">
        <f ca="1">IFERROR(__xludf.DUMMYFUNCTION("""COMPUTED_VALUE"""),44328)</f>
        <v>44328</v>
      </c>
      <c r="G14" s="79">
        <f ca="1">IFERROR(__xludf.DUMMYFUNCTION("""COMPUTED_VALUE"""),44376)</f>
        <v>44376</v>
      </c>
      <c r="H14" s="72">
        <f ca="1">IFERROR(__xludf.DUMMYFUNCTION("""COMPUTED_VALUE"""),44383)</f>
        <v>44383</v>
      </c>
      <c r="I14" s="80">
        <f ca="1">IFERROR(__xludf.DUMMYFUNCTION("""COMPUTED_VALUE"""),86)</f>
        <v>86</v>
      </c>
      <c r="J14" s="9" t="str">
        <f ca="1">IFERROR(__xludf.DUMMYFUNCTION("""COMPUTED_VALUE"""),"Subba Raju K V")</f>
        <v>Subba Raju K V</v>
      </c>
      <c r="K14" s="73" t="str">
        <f ca="1">IFERROR(__xludf.DUMMYFUNCTION("""COMPUTED_VALUE"""),"https://drive.google.com/open?id=1TQNt9O5qvayRmvqgmj3pkfr5flOfdDtl")</f>
        <v>https://drive.google.com/open?id=1TQNt9O5qvayRmvqgmj3pkfr5flOfdDtl</v>
      </c>
      <c r="L14" s="9" t="str">
        <f ca="1">IFERROR(__xludf.DUMMYFUNCTION("""COMPUTED_VALUE"""),"2018-2022")</f>
        <v>2018-2022</v>
      </c>
      <c r="M14" s="9" t="str">
        <f ca="1">IFERROR(__xludf.DUMMYFUNCTION("""COMPUTED_VALUE"""),"S4: Student Certifications")</f>
        <v>S4: Student Certifications</v>
      </c>
      <c r="N14" s="9" t="str">
        <f ca="1">IFERROR(__xludf.DUMMYFUNCTION("""COMPUTED_VALUE"""),"prudhviraj.buka99@gmail.com")</f>
        <v>prudhviraj.buka99@gmail.com</v>
      </c>
      <c r="O14" s="9" t="str">
        <f ca="1">IFERROR(__xludf.DUMMYFUNCTION("""COMPUTED_VALUE"""),"SEM-5")</f>
        <v>SEM-5</v>
      </c>
      <c r="P14" s="9"/>
      <c r="Q14" s="9"/>
      <c r="R14" s="9"/>
      <c r="S14" s="9"/>
      <c r="T14" s="9"/>
      <c r="U14" s="9"/>
      <c r="V14" s="9"/>
      <c r="W14" s="9"/>
      <c r="X14" s="9"/>
      <c r="Y14" s="9"/>
    </row>
    <row r="15" spans="1:25" ht="26.25" customHeight="1" x14ac:dyDescent="0.15">
      <c r="A15" s="9" t="str">
        <f ca="1">IFERROR(__xludf.DUMMYFUNCTION("""COMPUTED_VALUE"""),"Joshini Sabbavarapu")</f>
        <v>Joshini Sabbavarapu</v>
      </c>
      <c r="B15" s="9" t="str">
        <f ca="1">IFERROR(__xludf.DUMMYFUNCTION("""COMPUTED_VALUE"""),"19335A0515")</f>
        <v>19335A0515</v>
      </c>
      <c r="C15" s="78" t="str">
        <f ca="1">IFERROR(__xludf.DUMMYFUNCTION("""COMPUTED_VALUE"""),"Programming for Python")</f>
        <v>Programming for Python</v>
      </c>
      <c r="D15" s="9" t="str">
        <f ca="1">IFERROR(__xludf.DUMMYFUNCTION("""COMPUTED_VALUE"""),"Coursera")</f>
        <v>Coursera</v>
      </c>
      <c r="E15" s="9" t="str">
        <f ca="1">IFERROR(__xludf.DUMMYFUNCTION("""COMPUTED_VALUE"""),"2 months")</f>
        <v>2 months</v>
      </c>
      <c r="F15" s="79">
        <f ca="1">IFERROR(__xludf.DUMMYFUNCTION("""COMPUTED_VALUE"""),43868)</f>
        <v>43868</v>
      </c>
      <c r="G15" s="79">
        <f ca="1">IFERROR(__xludf.DUMMYFUNCTION("""COMPUTED_VALUE"""),43937)</f>
        <v>43937</v>
      </c>
      <c r="H15" s="72">
        <f ca="1">IFERROR(__xludf.DUMMYFUNCTION("""COMPUTED_VALUE"""),43942)</f>
        <v>43942</v>
      </c>
      <c r="I15" s="80">
        <f ca="1">IFERROR(__xludf.DUMMYFUNCTION("""COMPUTED_VALUE"""),96)</f>
        <v>96</v>
      </c>
      <c r="J15" s="9" t="str">
        <f ca="1">IFERROR(__xludf.DUMMYFUNCTION("""COMPUTED_VALUE"""),".")</f>
        <v>.</v>
      </c>
      <c r="K15" s="73" t="str">
        <f ca="1">IFERROR(__xludf.DUMMYFUNCTION("""COMPUTED_VALUE"""),"https://drive.google.com/open?id=1oq2V-UqMhKBxHOEtz1AKdg2zDHkd5tBq")</f>
        <v>https://drive.google.com/open?id=1oq2V-UqMhKBxHOEtz1AKdg2zDHkd5tBq</v>
      </c>
      <c r="L15" s="9" t="str">
        <f ca="1">IFERROR(__xludf.DUMMYFUNCTION("""COMPUTED_VALUE"""),"2018-2022")</f>
        <v>2018-2022</v>
      </c>
      <c r="M15" s="9" t="str">
        <f ca="1">IFERROR(__xludf.DUMMYFUNCTION("""COMPUTED_VALUE"""),"S4: Student Certifications")</f>
        <v>S4: Student Certifications</v>
      </c>
      <c r="N15" s="9" t="str">
        <f ca="1">IFERROR(__xludf.DUMMYFUNCTION("""COMPUTED_VALUE"""),"joshini747@gmail.com")</f>
        <v>joshini747@gmail.com</v>
      </c>
      <c r="O15" s="9" t="str">
        <f ca="1">IFERROR(__xludf.DUMMYFUNCTION("""COMPUTED_VALUE"""),"SEM-4")</f>
        <v>SEM-4</v>
      </c>
      <c r="P15" s="9"/>
      <c r="Q15" s="9"/>
      <c r="R15" s="9"/>
      <c r="S15" s="9"/>
      <c r="T15" s="9"/>
      <c r="U15" s="9"/>
      <c r="V15" s="9"/>
      <c r="W15" s="9"/>
      <c r="X15" s="9"/>
      <c r="Y15" s="9"/>
    </row>
    <row r="16" spans="1:25" ht="26.25" customHeight="1" x14ac:dyDescent="0.15">
      <c r="A16" s="9" t="str">
        <f ca="1">IFERROR(__xludf.DUMMYFUNCTION("""COMPUTED_VALUE"""),"Joshini Sabbavarapu")</f>
        <v>Joshini Sabbavarapu</v>
      </c>
      <c r="B16" s="9" t="str">
        <f ca="1">IFERROR(__xludf.DUMMYFUNCTION("""COMPUTED_VALUE"""),"19335A0515")</f>
        <v>19335A0515</v>
      </c>
      <c r="C16" s="78" t="str">
        <f ca="1">IFERROR(__xludf.DUMMYFUNCTION("""COMPUTED_VALUE"""),"what is data science")</f>
        <v>what is data science</v>
      </c>
      <c r="D16" s="9" t="str">
        <f ca="1">IFERROR(__xludf.DUMMYFUNCTION("""COMPUTED_VALUE"""),"Coursera")</f>
        <v>Coursera</v>
      </c>
      <c r="E16" s="9" t="str">
        <f ca="1">IFERROR(__xludf.DUMMYFUNCTION("""COMPUTED_VALUE"""),"2 months")</f>
        <v>2 months</v>
      </c>
      <c r="F16" s="79">
        <f ca="1">IFERROR(__xludf.DUMMYFUNCTION("""COMPUTED_VALUE"""),43866)</f>
        <v>43866</v>
      </c>
      <c r="G16" s="79">
        <f ca="1">IFERROR(__xludf.DUMMYFUNCTION("""COMPUTED_VALUE"""),43922)</f>
        <v>43922</v>
      </c>
      <c r="H16" s="72">
        <f ca="1">IFERROR(__xludf.DUMMYFUNCTION("""COMPUTED_VALUE"""),43924)</f>
        <v>43924</v>
      </c>
      <c r="I16" s="80">
        <f ca="1">IFERROR(__xludf.DUMMYFUNCTION("""COMPUTED_VALUE"""),96)</f>
        <v>96</v>
      </c>
      <c r="J16" s="9" t="str">
        <f ca="1">IFERROR(__xludf.DUMMYFUNCTION("""COMPUTED_VALUE"""),".")</f>
        <v>.</v>
      </c>
      <c r="K16" s="73" t="str">
        <f ca="1">IFERROR(__xludf.DUMMYFUNCTION("""COMPUTED_VALUE"""),"https://drive.google.com/open?id=13TAkbd6WvVwYJiXluYi4yvFFwTDCz6uT")</f>
        <v>https://drive.google.com/open?id=13TAkbd6WvVwYJiXluYi4yvFFwTDCz6uT</v>
      </c>
      <c r="L16" s="9" t="str">
        <f ca="1">IFERROR(__xludf.DUMMYFUNCTION("""COMPUTED_VALUE"""),"2018-2022")</f>
        <v>2018-2022</v>
      </c>
      <c r="M16" s="9" t="str">
        <f ca="1">IFERROR(__xludf.DUMMYFUNCTION("""COMPUTED_VALUE"""),"S4: Student Certifications")</f>
        <v>S4: Student Certifications</v>
      </c>
      <c r="N16" s="9" t="str">
        <f ca="1">IFERROR(__xludf.DUMMYFUNCTION("""COMPUTED_VALUE"""),"joshini747@gmail.com")</f>
        <v>joshini747@gmail.com</v>
      </c>
      <c r="O16" s="9" t="str">
        <f ca="1">IFERROR(__xludf.DUMMYFUNCTION("""COMPUTED_VALUE"""),"SEM-4")</f>
        <v>SEM-4</v>
      </c>
      <c r="P16" s="9"/>
      <c r="Q16" s="9"/>
      <c r="R16" s="9"/>
      <c r="S16" s="9"/>
      <c r="T16" s="9"/>
      <c r="U16" s="9"/>
      <c r="V16" s="9"/>
      <c r="W16" s="9"/>
      <c r="X16" s="9"/>
      <c r="Y16" s="9"/>
    </row>
    <row r="17" spans="1:25" ht="26.25" customHeight="1" x14ac:dyDescent="0.15">
      <c r="A17" s="9" t="str">
        <f ca="1">IFERROR(__xludf.DUMMYFUNCTION("""COMPUTED_VALUE"""),"BUKA  PRUDHVI RAJ")</f>
        <v>BUKA  PRUDHVI RAJ</v>
      </c>
      <c r="B17" s="9" t="str">
        <f ca="1">IFERROR(__xludf.DUMMYFUNCTION("""COMPUTED_VALUE"""),"19335A0503")</f>
        <v>19335A0503</v>
      </c>
      <c r="C17" s="78" t="str">
        <f ca="1">IFERROR(__xludf.DUMMYFUNCTION("""COMPUTED_VALUE"""),"What is Data Science")</f>
        <v>What is Data Science</v>
      </c>
      <c r="D17" s="9" t="str">
        <f ca="1">IFERROR(__xludf.DUMMYFUNCTION("""COMPUTED_VALUE"""),"Coursera")</f>
        <v>Coursera</v>
      </c>
      <c r="E17" s="9" t="str">
        <f ca="1">IFERROR(__xludf.DUMMYFUNCTION("""COMPUTED_VALUE"""),"2  months")</f>
        <v>2  months</v>
      </c>
      <c r="F17" s="79">
        <f ca="1">IFERROR(__xludf.DUMMYFUNCTION("""COMPUTED_VALUE"""),43864)</f>
        <v>43864</v>
      </c>
      <c r="G17" s="79">
        <f ca="1">IFERROR(__xludf.DUMMYFUNCTION("""COMPUTED_VALUE"""),43920)</f>
        <v>43920</v>
      </c>
      <c r="H17" s="72">
        <f ca="1">IFERROR(__xludf.DUMMYFUNCTION("""COMPUTED_VALUE"""),43923)</f>
        <v>43923</v>
      </c>
      <c r="I17" s="80">
        <f ca="1">IFERROR(__xludf.DUMMYFUNCTION("""COMPUTED_VALUE"""),92)</f>
        <v>92</v>
      </c>
      <c r="J17" s="9" t="str">
        <f ca="1">IFERROR(__xludf.DUMMYFUNCTION("""COMPUTED_VALUE"""),".")</f>
        <v>.</v>
      </c>
      <c r="K17" s="73" t="str">
        <f ca="1">IFERROR(__xludf.DUMMYFUNCTION("""COMPUTED_VALUE"""),"https://drive.google.com/open?id=1ig_8iP1h4iycn08YAtmzeVSpDUbm7gtY")</f>
        <v>https://drive.google.com/open?id=1ig_8iP1h4iycn08YAtmzeVSpDUbm7gtY</v>
      </c>
      <c r="L17" s="9" t="str">
        <f ca="1">IFERROR(__xludf.DUMMYFUNCTION("""COMPUTED_VALUE"""),"2018-2022")</f>
        <v>2018-2022</v>
      </c>
      <c r="M17" s="9" t="str">
        <f ca="1">IFERROR(__xludf.DUMMYFUNCTION("""COMPUTED_VALUE"""),"S4: Student Certifications")</f>
        <v>S4: Student Certifications</v>
      </c>
      <c r="N17" s="9" t="str">
        <f ca="1">IFERROR(__xludf.DUMMYFUNCTION("""COMPUTED_VALUE"""),"prudhviraj.buka99@gmail.com")</f>
        <v>prudhviraj.buka99@gmail.com</v>
      </c>
      <c r="O17" s="9" t="str">
        <f ca="1">IFERROR(__xludf.DUMMYFUNCTION("""COMPUTED_VALUE"""),"SEM-4")</f>
        <v>SEM-4</v>
      </c>
      <c r="P17" s="9"/>
      <c r="Q17" s="9"/>
      <c r="R17" s="9"/>
      <c r="S17" s="9"/>
      <c r="T17" s="9"/>
      <c r="U17" s="9"/>
      <c r="V17" s="9"/>
      <c r="W17" s="9"/>
      <c r="X17" s="9"/>
      <c r="Y17" s="9"/>
    </row>
    <row r="18" spans="1:25" ht="26.25" customHeight="1" x14ac:dyDescent="0.15">
      <c r="A18" s="9" t="str">
        <f ca="1">IFERROR(__xludf.DUMMYFUNCTION("""COMPUTED_VALUE"""),"BUKA  PRUDHVI RAJ")</f>
        <v>BUKA  PRUDHVI RAJ</v>
      </c>
      <c r="B18" s="9" t="str">
        <f ca="1">IFERROR(__xludf.DUMMYFUNCTION("""COMPUTED_VALUE"""),"19335A0503")</f>
        <v>19335A0503</v>
      </c>
      <c r="C18" s="78" t="str">
        <f ca="1">IFERROR(__xludf.DUMMYFUNCTION("""COMPUTED_VALUE"""),"Programming for Everybody")</f>
        <v>Programming for Everybody</v>
      </c>
      <c r="D18" s="9" t="str">
        <f ca="1">IFERROR(__xludf.DUMMYFUNCTION("""COMPUTED_VALUE"""),"Couursera")</f>
        <v>Couursera</v>
      </c>
      <c r="E18" s="9" t="str">
        <f ca="1">IFERROR(__xludf.DUMMYFUNCTION("""COMPUTED_VALUE"""),"2 months")</f>
        <v>2 months</v>
      </c>
      <c r="F18" s="79">
        <f ca="1">IFERROR(__xludf.DUMMYFUNCTION("""COMPUTED_VALUE"""),43865)</f>
        <v>43865</v>
      </c>
      <c r="G18" s="79">
        <f ca="1">IFERROR(__xludf.DUMMYFUNCTION("""COMPUTED_VALUE"""),43920)</f>
        <v>43920</v>
      </c>
      <c r="H18" s="72">
        <f ca="1">IFERROR(__xludf.DUMMYFUNCTION("""COMPUTED_VALUE"""),43923)</f>
        <v>43923</v>
      </c>
      <c r="I18" s="80">
        <f ca="1">IFERROR(__xludf.DUMMYFUNCTION("""COMPUTED_VALUE"""),94)</f>
        <v>94</v>
      </c>
      <c r="J18" s="9" t="str">
        <f ca="1">IFERROR(__xludf.DUMMYFUNCTION("""COMPUTED_VALUE"""),".")</f>
        <v>.</v>
      </c>
      <c r="K18" s="73" t="str">
        <f ca="1">IFERROR(__xludf.DUMMYFUNCTION("""COMPUTED_VALUE"""),"https://drive.google.com/open?id=1FEcFbJNoMZeOSZ2XRUcnIxmPYpN1mJKR")</f>
        <v>https://drive.google.com/open?id=1FEcFbJNoMZeOSZ2XRUcnIxmPYpN1mJKR</v>
      </c>
      <c r="L18" s="9" t="str">
        <f ca="1">IFERROR(__xludf.DUMMYFUNCTION("""COMPUTED_VALUE"""),"2018-2022")</f>
        <v>2018-2022</v>
      </c>
      <c r="M18" s="9" t="str">
        <f ca="1">IFERROR(__xludf.DUMMYFUNCTION("""COMPUTED_VALUE"""),"S4: Student Certifications")</f>
        <v>S4: Student Certifications</v>
      </c>
      <c r="N18" s="9" t="str">
        <f ca="1">IFERROR(__xludf.DUMMYFUNCTION("""COMPUTED_VALUE"""),"prudhviraj.buka99@gmail.com")</f>
        <v>prudhviraj.buka99@gmail.com</v>
      </c>
      <c r="O18" s="9" t="str">
        <f ca="1">IFERROR(__xludf.DUMMYFUNCTION("""COMPUTED_VALUE"""),"SEM-4")</f>
        <v>SEM-4</v>
      </c>
      <c r="P18" s="9"/>
      <c r="Q18" s="9"/>
      <c r="R18" s="9"/>
      <c r="S18" s="9"/>
      <c r="T18" s="9"/>
      <c r="U18" s="9"/>
      <c r="V18" s="9"/>
      <c r="W18" s="9"/>
      <c r="X18" s="9"/>
      <c r="Y18" s="9"/>
    </row>
    <row r="19" spans="1:25" ht="26.25" customHeight="1" x14ac:dyDescent="0.15">
      <c r="A19" s="9" t="str">
        <f ca="1">IFERROR(__xludf.DUMMYFUNCTION("""COMPUTED_VALUE"""),"Datla Vasanth Gopal Raju ")</f>
        <v xml:space="preserve">Datla Vasanth Gopal Raju </v>
      </c>
      <c r="B19" s="9" t="str">
        <f ca="1">IFERROR(__xludf.DUMMYFUNCTION("""COMPUTED_VALUE"""),"18331A05H5")</f>
        <v>18331A05H5</v>
      </c>
      <c r="C19" s="78" t="str">
        <f ca="1">IFERROR(__xludf.DUMMYFUNCTION("""COMPUTED_VALUE"""),"CLA: Programming essentials with c")</f>
        <v>CLA: Programming essentials with c</v>
      </c>
      <c r="D19" s="9" t="str">
        <f ca="1">IFERROR(__xludf.DUMMYFUNCTION("""COMPUTED_VALUE"""),"Cisco")</f>
        <v>Cisco</v>
      </c>
      <c r="E19" s="9" t="str">
        <f ca="1">IFERROR(__xludf.DUMMYFUNCTION("""COMPUTED_VALUE"""),"4 months")</f>
        <v>4 months</v>
      </c>
      <c r="F19" s="79">
        <f ca="1">IFERROR(__xludf.DUMMYFUNCTION("""COMPUTED_VALUE"""),43472)</f>
        <v>43472</v>
      </c>
      <c r="G19" s="79">
        <f ca="1">IFERROR(__xludf.DUMMYFUNCTION("""COMPUTED_VALUE"""),43563)</f>
        <v>43563</v>
      </c>
      <c r="H19" s="72">
        <f ca="1">IFERROR(__xludf.DUMMYFUNCTION("""COMPUTED_VALUE"""),43567)</f>
        <v>43567</v>
      </c>
      <c r="I19" s="80">
        <f ca="1">IFERROR(__xludf.DUMMYFUNCTION("""COMPUTED_VALUE"""),84)</f>
        <v>84</v>
      </c>
      <c r="J19" s="9" t="str">
        <f ca="1">IFERROR(__xludf.DUMMYFUNCTION("""COMPUTED_VALUE"""),"Dr.P.Ravi Kiran varma")</f>
        <v>Dr.P.Ravi Kiran varma</v>
      </c>
      <c r="K19" s="73" t="str">
        <f ca="1">IFERROR(__xludf.DUMMYFUNCTION("""COMPUTED_VALUE"""),"https://drive.google.com/open?id=1Jb6MGZ2hFrOwp_ZbSYhLyHoB_QRaMyRJ")</f>
        <v>https://drive.google.com/open?id=1Jb6MGZ2hFrOwp_ZbSYhLyHoB_QRaMyRJ</v>
      </c>
      <c r="L19" s="9" t="str">
        <f ca="1">IFERROR(__xludf.DUMMYFUNCTION("""COMPUTED_VALUE"""),"2018-2022")</f>
        <v>2018-2022</v>
      </c>
      <c r="M19" s="9" t="str">
        <f ca="1">IFERROR(__xludf.DUMMYFUNCTION("""COMPUTED_VALUE"""),"S4: Student Certifications")</f>
        <v>S4: Student Certifications</v>
      </c>
      <c r="N19" s="9" t="str">
        <f ca="1">IFERROR(__xludf.DUMMYFUNCTION("""COMPUTED_VALUE"""),"vasanthdatla@gmail.com")</f>
        <v>vasanthdatla@gmail.com</v>
      </c>
      <c r="O19" s="9" t="str">
        <f ca="1">IFERROR(__xludf.DUMMYFUNCTION("""COMPUTED_VALUE"""),"SEM-2")</f>
        <v>SEM-2</v>
      </c>
      <c r="P19" s="9"/>
      <c r="Q19" s="9"/>
      <c r="R19" s="9"/>
      <c r="S19" s="9"/>
      <c r="T19" s="9"/>
      <c r="U19" s="9"/>
      <c r="V19" s="9"/>
      <c r="W19" s="9"/>
      <c r="X19" s="9"/>
      <c r="Y19" s="9"/>
    </row>
    <row r="20" spans="1:25" ht="26.25" customHeight="1" x14ac:dyDescent="0.15">
      <c r="A20" s="9" t="str">
        <f ca="1">IFERROR(__xludf.DUMMYFUNCTION("""COMPUTED_VALUE"""),"yashwanth boggarapu")</f>
        <v>yashwanth boggarapu</v>
      </c>
      <c r="B20" s="9" t="str">
        <f ca="1">IFERROR(__xludf.DUMMYFUNCTION("""COMPUTED_VALUE"""),"18331A0517")</f>
        <v>18331A0517</v>
      </c>
      <c r="C20" s="78" t="str">
        <f ca="1">IFERROR(__xludf.DUMMYFUNCTION("""COMPUTED_VALUE"""),"AWS Academy Graduate")</f>
        <v>AWS Academy Graduate</v>
      </c>
      <c r="D20" s="9" t="str">
        <f ca="1">IFERROR(__xludf.DUMMYFUNCTION("""COMPUTED_VALUE"""),"Canvas")</f>
        <v>Canvas</v>
      </c>
      <c r="E20" s="9" t="str">
        <f ca="1">IFERROR(__xludf.DUMMYFUNCTION("""COMPUTED_VALUE"""),"30")</f>
        <v>30</v>
      </c>
      <c r="F20" s="79">
        <f ca="1">IFERROR(__xludf.DUMMYFUNCTION("""COMPUTED_VALUE"""),44489)</f>
        <v>44489</v>
      </c>
      <c r="G20" s="79">
        <f ca="1">IFERROR(__xludf.DUMMYFUNCTION("""COMPUTED_VALUE"""),44543)</f>
        <v>44543</v>
      </c>
      <c r="H20" s="72">
        <f ca="1">IFERROR(__xludf.DUMMYFUNCTION("""COMPUTED_VALUE"""),44534)</f>
        <v>44534</v>
      </c>
      <c r="I20" s="80">
        <f ca="1">IFERROR(__xludf.DUMMYFUNCTION("""COMPUTED_VALUE"""),100)</f>
        <v>100</v>
      </c>
      <c r="J20" s="9" t="str">
        <f ca="1">IFERROR(__xludf.DUMMYFUNCTION("""COMPUTED_VALUE"""),"P.Ravi Kiran Varma")</f>
        <v>P.Ravi Kiran Varma</v>
      </c>
      <c r="K20" s="73" t="str">
        <f ca="1">IFERROR(__xludf.DUMMYFUNCTION("""COMPUTED_VALUE"""),"https://drive.google.com/open?id=1o97LtgjQqJ36vf4k-pOxjw_spMpmlq0J")</f>
        <v>https://drive.google.com/open?id=1o97LtgjQqJ36vf4k-pOxjw_spMpmlq0J</v>
      </c>
      <c r="L20" s="9" t="str">
        <f ca="1">IFERROR(__xludf.DUMMYFUNCTION("""COMPUTED_VALUE"""),"2018-2022")</f>
        <v>2018-2022</v>
      </c>
      <c r="M20" s="9" t="str">
        <f ca="1">IFERROR(__xludf.DUMMYFUNCTION("""COMPUTED_VALUE"""),"S4: Student Certifications")</f>
        <v>S4: Student Certifications</v>
      </c>
      <c r="N20" s="9" t="str">
        <f ca="1">IFERROR(__xludf.DUMMYFUNCTION("""COMPUTED_VALUE"""),"yashwanthboggarapu2000@gmail.com")</f>
        <v>yashwanthboggarapu2000@gmail.com</v>
      </c>
      <c r="O20" s="9" t="str">
        <f ca="1">IFERROR(__xludf.DUMMYFUNCTION("""COMPUTED_VALUE"""),"SEM-8")</f>
        <v>SEM-8</v>
      </c>
      <c r="P20" s="9"/>
      <c r="Q20" s="9"/>
      <c r="R20" s="9"/>
      <c r="S20" s="9"/>
      <c r="T20" s="9"/>
      <c r="U20" s="9"/>
      <c r="V20" s="9"/>
      <c r="W20" s="9"/>
      <c r="X20" s="9"/>
      <c r="Y20" s="9"/>
    </row>
    <row r="21" spans="1:25" ht="26.25" customHeight="1" x14ac:dyDescent="0.15">
      <c r="A21" s="9" t="str">
        <f ca="1">IFERROR(__xludf.DUMMYFUNCTION("""COMPUTED_VALUE"""),"yashwanth boggarapu")</f>
        <v>yashwanth boggarapu</v>
      </c>
      <c r="B21" s="9" t="str">
        <f ca="1">IFERROR(__xludf.DUMMYFUNCTION("""COMPUTED_VALUE"""),"18331A0517")</f>
        <v>18331A0517</v>
      </c>
      <c r="C21" s="78" t="str">
        <f ca="1">IFERROR(__xludf.DUMMYFUNCTION("""COMPUTED_VALUE"""),"Programming For Everybody")</f>
        <v>Programming For Everybody</v>
      </c>
      <c r="D21" s="9" t="str">
        <f ca="1">IFERROR(__xludf.DUMMYFUNCTION("""COMPUTED_VALUE"""),"Coursera")</f>
        <v>Coursera</v>
      </c>
      <c r="E21" s="9" t="str">
        <f ca="1">IFERROR(__xludf.DUMMYFUNCTION("""COMPUTED_VALUE"""),"2 Months")</f>
        <v>2 Months</v>
      </c>
      <c r="F21" s="79">
        <f ca="1">IFERROR(__xludf.DUMMYFUNCTION("""COMPUTED_VALUE"""),43871)</f>
        <v>43871</v>
      </c>
      <c r="G21" s="79">
        <f ca="1">IFERROR(__xludf.DUMMYFUNCTION("""COMPUTED_VALUE"""),43931)</f>
        <v>43931</v>
      </c>
      <c r="H21" s="72">
        <f ca="1">IFERROR(__xludf.DUMMYFUNCTION("""COMPUTED_VALUE"""),43932)</f>
        <v>43932</v>
      </c>
      <c r="I21" s="80">
        <f ca="1">IFERROR(__xludf.DUMMYFUNCTION("""COMPUTED_VALUE"""),100)</f>
        <v>100</v>
      </c>
      <c r="J21" s="9" t="str">
        <f ca="1">IFERROR(__xludf.DUMMYFUNCTION("""COMPUTED_VALUE"""),"Self Learning")</f>
        <v>Self Learning</v>
      </c>
      <c r="K21" s="73" t="str">
        <f ca="1">IFERROR(__xludf.DUMMYFUNCTION("""COMPUTED_VALUE"""),"https://drive.google.com/open?id=1TygJTBULgKD7q8GeQR5toar9zOHjDVEh")</f>
        <v>https://drive.google.com/open?id=1TygJTBULgKD7q8GeQR5toar9zOHjDVEh</v>
      </c>
      <c r="L21" s="9" t="str">
        <f ca="1">IFERROR(__xludf.DUMMYFUNCTION("""COMPUTED_VALUE"""),"2018-2022")</f>
        <v>2018-2022</v>
      </c>
      <c r="M21" s="9" t="str">
        <f ca="1">IFERROR(__xludf.DUMMYFUNCTION("""COMPUTED_VALUE"""),"S4: Student Certifications")</f>
        <v>S4: Student Certifications</v>
      </c>
      <c r="N21" s="9" t="str">
        <f ca="1">IFERROR(__xludf.DUMMYFUNCTION("""COMPUTED_VALUE"""),"yashwanthboggarapu2000@gmail.com")</f>
        <v>yashwanthboggarapu2000@gmail.com</v>
      </c>
      <c r="O21" s="9" t="str">
        <f ca="1">IFERROR(__xludf.DUMMYFUNCTION("""COMPUTED_VALUE"""),"SEM-6")</f>
        <v>SEM-6</v>
      </c>
      <c r="P21" s="9"/>
      <c r="Q21" s="9"/>
      <c r="R21" s="9"/>
      <c r="S21" s="9"/>
      <c r="T21" s="9"/>
      <c r="U21" s="9"/>
      <c r="V21" s="9"/>
      <c r="W21" s="9"/>
      <c r="X21" s="9"/>
      <c r="Y21" s="9"/>
    </row>
    <row r="22" spans="1:25" ht="26.25" customHeight="1" x14ac:dyDescent="0.15">
      <c r="A22" s="9" t="str">
        <f ca="1">IFERROR(__xludf.DUMMYFUNCTION("""COMPUTED_VALUE"""),"yashwanth boggarapu")</f>
        <v>yashwanth boggarapu</v>
      </c>
      <c r="B22" s="9" t="str">
        <f ca="1">IFERROR(__xludf.DUMMYFUNCTION("""COMPUTED_VALUE"""),"18331A0517")</f>
        <v>18331A0517</v>
      </c>
      <c r="C22" s="78" t="str">
        <f ca="1">IFERROR(__xludf.DUMMYFUNCTION("""COMPUTED_VALUE"""),"Programming Essentials In Python")</f>
        <v>Programming Essentials In Python</v>
      </c>
      <c r="D22" s="9" t="str">
        <f ca="1">IFERROR(__xludf.DUMMYFUNCTION("""COMPUTED_VALUE"""),"CISCO")</f>
        <v>CISCO</v>
      </c>
      <c r="E22" s="9" t="str">
        <f ca="1">IFERROR(__xludf.DUMMYFUNCTION("""COMPUTED_VALUE"""),"2 Months")</f>
        <v>2 Months</v>
      </c>
      <c r="F22" s="79">
        <f ca="1">IFERROR(__xludf.DUMMYFUNCTION("""COMPUTED_VALUE"""),44291)</f>
        <v>44291</v>
      </c>
      <c r="G22" s="79">
        <f ca="1">IFERROR(__xludf.DUMMYFUNCTION("""COMPUTED_VALUE"""),44377)</f>
        <v>44377</v>
      </c>
      <c r="H22" s="72">
        <f ca="1">IFERROR(__xludf.DUMMYFUNCTION("""COMPUTED_VALUE"""),44379)</f>
        <v>44379</v>
      </c>
      <c r="I22" s="80">
        <f ca="1">IFERROR(__xludf.DUMMYFUNCTION("""COMPUTED_VALUE"""),90)</f>
        <v>90</v>
      </c>
      <c r="J22" s="9" t="str">
        <f ca="1">IFERROR(__xludf.DUMMYFUNCTION("""COMPUTED_VALUE"""),"Subba Raju K V")</f>
        <v>Subba Raju K V</v>
      </c>
      <c r="K22" s="73" t="str">
        <f ca="1">IFERROR(__xludf.DUMMYFUNCTION("""COMPUTED_VALUE"""),"https://drive.google.com/open?id=1nfPh1Cv_7Q_0fIvYBaESrOMN0havByVR")</f>
        <v>https://drive.google.com/open?id=1nfPh1Cv_7Q_0fIvYBaESrOMN0havByVR</v>
      </c>
      <c r="L22" s="9" t="str">
        <f ca="1">IFERROR(__xludf.DUMMYFUNCTION("""COMPUTED_VALUE"""),"2018-2022")</f>
        <v>2018-2022</v>
      </c>
      <c r="M22" s="9" t="str">
        <f ca="1">IFERROR(__xludf.DUMMYFUNCTION("""COMPUTED_VALUE"""),"S4: Student Certifications")</f>
        <v>S4: Student Certifications</v>
      </c>
      <c r="N22" s="9" t="str">
        <f ca="1">IFERROR(__xludf.DUMMYFUNCTION("""COMPUTED_VALUE"""),"yashwanthboggarapu2000@gmail.com")</f>
        <v>yashwanthboggarapu2000@gmail.com</v>
      </c>
      <c r="O22" s="9" t="str">
        <f ca="1">IFERROR(__xludf.DUMMYFUNCTION("""COMPUTED_VALUE"""),"SEM-5")</f>
        <v>SEM-5</v>
      </c>
      <c r="P22" s="9"/>
      <c r="Q22" s="9"/>
      <c r="R22" s="9"/>
      <c r="S22" s="9"/>
      <c r="T22" s="9"/>
      <c r="U22" s="9"/>
      <c r="V22" s="9"/>
      <c r="W22" s="9"/>
      <c r="X22" s="9"/>
      <c r="Y22" s="9"/>
    </row>
    <row r="23" spans="1:25" ht="26.25" customHeight="1" x14ac:dyDescent="0.15">
      <c r="A23" s="9" t="str">
        <f ca="1">IFERROR(__xludf.DUMMYFUNCTION("""COMPUTED_VALUE"""),"G manojkumar")</f>
        <v>G manojkumar</v>
      </c>
      <c r="B23" s="9" t="str">
        <f ca="1">IFERROR(__xludf.DUMMYFUNCTION("""COMPUTED_VALUE"""),"18331A0542")</f>
        <v>18331A0542</v>
      </c>
      <c r="C23" s="78" t="str">
        <f ca="1">IFERROR(__xludf.DUMMYFUNCTION("""COMPUTED_VALUE"""),"cyber security essentials")</f>
        <v>cyber security essentials</v>
      </c>
      <c r="D23" s="9" t="str">
        <f ca="1">IFERROR(__xludf.DUMMYFUNCTION("""COMPUTED_VALUE"""),"cisco")</f>
        <v>cisco</v>
      </c>
      <c r="E23" s="9" t="str">
        <f ca="1">IFERROR(__xludf.DUMMYFUNCTION("""COMPUTED_VALUE"""),"1month")</f>
        <v>1month</v>
      </c>
      <c r="F23" s="79">
        <f ca="1">IFERROR(__xludf.DUMMYFUNCTION("""COMPUTED_VALUE"""),43623)</f>
        <v>43623</v>
      </c>
      <c r="G23" s="79">
        <f ca="1">IFERROR(__xludf.DUMMYFUNCTION("""COMPUTED_VALUE"""),43672)</f>
        <v>43672</v>
      </c>
      <c r="H23" s="72">
        <f ca="1">IFERROR(__xludf.DUMMYFUNCTION("""COMPUTED_VALUE"""),44677)</f>
        <v>44677</v>
      </c>
      <c r="I23" s="80">
        <f ca="1">IFERROR(__xludf.DUMMYFUNCTION("""COMPUTED_VALUE"""),80)</f>
        <v>80</v>
      </c>
      <c r="J23" s="9" t="str">
        <f ca="1">IFERROR(__xludf.DUMMYFUNCTION("""COMPUTED_VALUE"""),"ravikiran varma")</f>
        <v>ravikiran varma</v>
      </c>
      <c r="K23" s="73" t="str">
        <f ca="1">IFERROR(__xludf.DUMMYFUNCTION("""COMPUTED_VALUE"""),"https://drive.google.com/open?id=1XowCNI-6kjv_bJYJ1OROc-hXPvbArvwA")</f>
        <v>https://drive.google.com/open?id=1XowCNI-6kjv_bJYJ1OROc-hXPvbArvwA</v>
      </c>
      <c r="L23" s="9" t="str">
        <f ca="1">IFERROR(__xludf.DUMMYFUNCTION("""COMPUTED_VALUE"""),"2018-2022")</f>
        <v>2018-2022</v>
      </c>
      <c r="M23" s="9" t="str">
        <f ca="1">IFERROR(__xludf.DUMMYFUNCTION("""COMPUTED_VALUE"""),"S4: Student Certifications")</f>
        <v>S4: Student Certifications</v>
      </c>
      <c r="N23" s="9" t="str">
        <f ca="1">IFERROR(__xludf.DUMMYFUNCTION("""COMPUTED_VALUE"""),"gmanoj2k08@gmail.com")</f>
        <v>gmanoj2k08@gmail.com</v>
      </c>
      <c r="O23" s="9" t="str">
        <f ca="1">IFERROR(__xludf.DUMMYFUNCTION("""COMPUTED_VALUE"""),"SEM-1")</f>
        <v>SEM-1</v>
      </c>
      <c r="P23" s="9"/>
      <c r="Q23" s="9"/>
      <c r="R23" s="9"/>
      <c r="S23" s="9"/>
      <c r="T23" s="9"/>
      <c r="U23" s="9"/>
      <c r="V23" s="9"/>
      <c r="W23" s="9"/>
      <c r="X23" s="9"/>
      <c r="Y23" s="9"/>
    </row>
    <row r="24" spans="1:25" ht="26.25" customHeight="1" x14ac:dyDescent="0.15">
      <c r="A24" s="69" t="str">
        <f ca="1">IFERROR(__xludf.DUMMYFUNCTION("""COMPUTED_VALUE"""),"ganta manoj kumar")</f>
        <v>ganta manoj kumar</v>
      </c>
      <c r="B24" s="69" t="str">
        <f ca="1">IFERROR(__xludf.DUMMYFUNCTION("""COMPUTED_VALUE"""),"18331A0542")</f>
        <v>18331A0542</v>
      </c>
      <c r="C24" s="81" t="str">
        <f ca="1">IFERROR(__xludf.DUMMYFUNCTION("""COMPUTED_VALUE"""),"AWS Academy Graduate - AWS Academy Cloud Foundations")</f>
        <v>AWS Academy Graduate - AWS Academy Cloud Foundations</v>
      </c>
      <c r="D24" s="69" t="str">
        <f ca="1">IFERROR(__xludf.DUMMYFUNCTION("""COMPUTED_VALUE"""),"aws academy")</f>
        <v>aws academy</v>
      </c>
      <c r="E24" s="69" t="str">
        <f ca="1">IFERROR(__xludf.DUMMYFUNCTION("""COMPUTED_VALUE"""),"1")</f>
        <v>1</v>
      </c>
      <c r="F24" s="82">
        <f ca="1">IFERROR(__xludf.DUMMYFUNCTION("""COMPUTED_VALUE"""),44481)</f>
        <v>44481</v>
      </c>
      <c r="G24" s="82">
        <f ca="1">IFERROR(__xludf.DUMMYFUNCTION("""COMPUTED_VALUE"""),44481)</f>
        <v>44481</v>
      </c>
      <c r="H24" s="74">
        <f ca="1">IFERROR(__xludf.DUMMYFUNCTION("""COMPUTED_VALUE"""),44481)</f>
        <v>44481</v>
      </c>
      <c r="I24" s="83">
        <f ca="1">IFERROR(__xludf.DUMMYFUNCTION("""COMPUTED_VALUE"""),100)</f>
        <v>100</v>
      </c>
      <c r="J24" s="69" t="str">
        <f ca="1">IFERROR(__xludf.DUMMYFUNCTION("""COMPUTED_VALUE"""),"aws academy ")</f>
        <v xml:space="preserve">aws academy </v>
      </c>
      <c r="K24" s="75" t="str">
        <f ca="1">IFERROR(__xludf.DUMMYFUNCTION("""COMPUTED_VALUE"""),"https://drive.google.com/open?id=1ScZ7IOZPdhhfDJUXPF-CMEI1xDbJyAAv")</f>
        <v>https://drive.google.com/open?id=1ScZ7IOZPdhhfDJUXPF-CMEI1xDbJyAAv</v>
      </c>
      <c r="L24" s="69" t="str">
        <f ca="1">IFERROR(__xludf.DUMMYFUNCTION("""COMPUTED_VALUE"""),"2018-2022")</f>
        <v>2018-2022</v>
      </c>
      <c r="M24" s="69" t="str">
        <f ca="1">IFERROR(__xludf.DUMMYFUNCTION("""COMPUTED_VALUE"""),"S4: Student Certifications")</f>
        <v>S4: Student Certifications</v>
      </c>
      <c r="N24" s="69" t="str">
        <f ca="1">IFERROR(__xludf.DUMMYFUNCTION("""COMPUTED_VALUE"""),"gmanoj2k08@gmail.com")</f>
        <v>gmanoj2k08@gmail.com</v>
      </c>
      <c r="O24" s="69" t="str">
        <f ca="1">IFERROR(__xludf.DUMMYFUNCTION("""COMPUTED_VALUE"""),"SEM-7")</f>
        <v>SEM-7</v>
      </c>
      <c r="P24" s="69"/>
      <c r="Q24" s="69"/>
      <c r="R24" s="69"/>
      <c r="S24" s="69"/>
      <c r="T24" s="69"/>
      <c r="U24" s="69"/>
      <c r="V24" s="69"/>
      <c r="W24" s="69"/>
      <c r="X24" s="69"/>
      <c r="Y24" s="69"/>
    </row>
    <row r="25" spans="1:25" ht="26.25" customHeight="1" x14ac:dyDescent="0.15">
      <c r="A25" s="9" t="str">
        <f ca="1">IFERROR(__xludf.DUMMYFUNCTION("""COMPUTED_VALUE"""),"ganta manoj kumar")</f>
        <v>ganta manoj kumar</v>
      </c>
      <c r="B25" s="9" t="str">
        <f ca="1">IFERROR(__xludf.DUMMYFUNCTION("""COMPUTED_VALUE"""),"18331A0542")</f>
        <v>18331A0542</v>
      </c>
      <c r="C25" s="78" t="str">
        <f ca="1">IFERROR(__xludf.DUMMYFUNCTION("""COMPUTED_VALUE"""),"workshop on Dart Programming")</f>
        <v>workshop on Dart Programming</v>
      </c>
      <c r="D25" s="9" t="str">
        <f ca="1">IFERROR(__xludf.DUMMYFUNCTION("""COMPUTED_VALUE"""),"Brainovision Solutions")</f>
        <v>Brainovision Solutions</v>
      </c>
      <c r="E25" s="9" t="str">
        <f ca="1">IFERROR(__xludf.DUMMYFUNCTION("""COMPUTED_VALUE"""),"1 day")</f>
        <v>1 day</v>
      </c>
      <c r="F25" s="79">
        <f ca="1">IFERROR(__xludf.DUMMYFUNCTION("""COMPUTED_VALUE"""),44039)</f>
        <v>44039</v>
      </c>
      <c r="G25" s="79">
        <f ca="1">IFERROR(__xludf.DUMMYFUNCTION("""COMPUTED_VALUE"""),44034)</f>
        <v>44034</v>
      </c>
      <c r="H25" s="72">
        <f ca="1">IFERROR(__xludf.DUMMYFUNCTION("""COMPUTED_VALUE"""),44039)</f>
        <v>44039</v>
      </c>
      <c r="I25" s="80">
        <f ca="1">IFERROR(__xludf.DUMMYFUNCTION("""COMPUTED_VALUE"""),100)</f>
        <v>100</v>
      </c>
      <c r="J25" s="9" t="str">
        <f ca="1">IFERROR(__xludf.DUMMYFUNCTION("""COMPUTED_VALUE""")," V.Nagesh")</f>
        <v xml:space="preserve"> V.Nagesh</v>
      </c>
      <c r="K25" s="73" t="str">
        <f ca="1">IFERROR(__xludf.DUMMYFUNCTION("""COMPUTED_VALUE"""),"https://drive.google.com/open?id=1302qP7fBAPWTJKjCTBqpo-demIxhqNXY")</f>
        <v>https://drive.google.com/open?id=1302qP7fBAPWTJKjCTBqpo-demIxhqNXY</v>
      </c>
      <c r="L25" s="9" t="str">
        <f ca="1">IFERROR(__xludf.DUMMYFUNCTION("""COMPUTED_VALUE"""),"2018-2022")</f>
        <v>2018-2022</v>
      </c>
      <c r="M25" s="9" t="str">
        <f ca="1">IFERROR(__xludf.DUMMYFUNCTION("""COMPUTED_VALUE"""),"S4: Student Certifications")</f>
        <v>S4: Student Certifications</v>
      </c>
      <c r="N25" s="9" t="str">
        <f ca="1">IFERROR(__xludf.DUMMYFUNCTION("""COMPUTED_VALUE"""),"gmanoj2k08@gmail.com")</f>
        <v>gmanoj2k08@gmail.com</v>
      </c>
      <c r="O25" s="9" t="str">
        <f ca="1">IFERROR(__xludf.DUMMYFUNCTION("""COMPUTED_VALUE"""),"SEM-4")</f>
        <v>SEM-4</v>
      </c>
      <c r="P25" s="9"/>
      <c r="Q25" s="9"/>
      <c r="R25" s="9"/>
      <c r="S25" s="9"/>
      <c r="T25" s="9"/>
      <c r="U25" s="9"/>
      <c r="V25" s="9"/>
      <c r="W25" s="9"/>
      <c r="X25" s="9"/>
      <c r="Y25" s="9"/>
    </row>
    <row r="26" spans="1:25" ht="26.25" customHeight="1" x14ac:dyDescent="0.15">
      <c r="A26" s="9" t="str">
        <f ca="1">IFERROR(__xludf.DUMMYFUNCTION("""COMPUTED_VALUE"""),"Jayanth Naidu Kundrapu")</f>
        <v>Jayanth Naidu Kundrapu</v>
      </c>
      <c r="B26" s="9" t="str">
        <f ca="1">IFERROR(__xludf.DUMMYFUNCTION("""COMPUTED_VALUE"""),"18331A0582")</f>
        <v>18331A0582</v>
      </c>
      <c r="C26" s="78" t="str">
        <f ca="1">IFERROR(__xludf.DUMMYFUNCTION("""COMPUTED_VALUE"""),"AWS Cloud Virtual Internship")</f>
        <v>AWS Cloud Virtual Internship</v>
      </c>
      <c r="D26" s="9" t="str">
        <f ca="1">IFERROR(__xludf.DUMMYFUNCTION("""COMPUTED_VALUE"""),"EduSkills")</f>
        <v>EduSkills</v>
      </c>
      <c r="E26" s="9" t="str">
        <f ca="1">IFERROR(__xludf.DUMMYFUNCTION("""COMPUTED_VALUE"""),"3 Months")</f>
        <v>3 Months</v>
      </c>
      <c r="F26" s="79">
        <f ca="1">IFERROR(__xludf.DUMMYFUNCTION("""COMPUTED_VALUE"""),44470)</f>
        <v>44470</v>
      </c>
      <c r="G26" s="79">
        <f ca="1">IFERROR(__xludf.DUMMYFUNCTION("""COMPUTED_VALUE"""),44561)</f>
        <v>44561</v>
      </c>
      <c r="H26" s="72">
        <f ca="1">IFERROR(__xludf.DUMMYFUNCTION("""COMPUTED_VALUE"""),44561)</f>
        <v>44561</v>
      </c>
      <c r="I26" s="80">
        <f ca="1">IFERROR(__xludf.DUMMYFUNCTION("""COMPUTED_VALUE"""),100)</f>
        <v>100</v>
      </c>
      <c r="J26" s="9" t="str">
        <f ca="1">IFERROR(__xludf.DUMMYFUNCTION("""COMPUTED_VALUE"""),"Dr. Ravi Kiran Varma Penmatsa")</f>
        <v>Dr. Ravi Kiran Varma Penmatsa</v>
      </c>
      <c r="K26" s="73" t="str">
        <f ca="1">IFERROR(__xludf.DUMMYFUNCTION("""COMPUTED_VALUE"""),"https://drive.google.com/open?id=1Eri7YtVm9NkUJ8-580CvasGTHTCxPe_F")</f>
        <v>https://drive.google.com/open?id=1Eri7YtVm9NkUJ8-580CvasGTHTCxPe_F</v>
      </c>
      <c r="L26" s="9" t="str">
        <f ca="1">IFERROR(__xludf.DUMMYFUNCTION("""COMPUTED_VALUE"""),"2018-2022")</f>
        <v>2018-2022</v>
      </c>
      <c r="M26" s="9" t="str">
        <f ca="1">IFERROR(__xludf.DUMMYFUNCTION("""COMPUTED_VALUE"""),"S4: Student Certifications")</f>
        <v>S4: Student Certifications</v>
      </c>
      <c r="N26" s="9" t="str">
        <f ca="1">IFERROR(__xludf.DUMMYFUNCTION("""COMPUTED_VALUE"""),"jayanth.kundrapu013@gmail.com")</f>
        <v>jayanth.kundrapu013@gmail.com</v>
      </c>
      <c r="O26" s="9" t="str">
        <f ca="1">IFERROR(__xludf.DUMMYFUNCTION("""COMPUTED_VALUE"""),"SEM-8")</f>
        <v>SEM-8</v>
      </c>
      <c r="P26" s="9"/>
      <c r="Q26" s="9"/>
      <c r="R26" s="9"/>
      <c r="S26" s="9"/>
      <c r="T26" s="9"/>
      <c r="U26" s="9"/>
      <c r="V26" s="9"/>
      <c r="W26" s="9"/>
      <c r="X26" s="9"/>
      <c r="Y26" s="9"/>
    </row>
    <row r="27" spans="1:25" ht="26.25" customHeight="1" x14ac:dyDescent="0.15">
      <c r="A27" s="9" t="str">
        <f ca="1">IFERROR(__xludf.DUMMYFUNCTION("""COMPUTED_VALUE"""),"Lalita Manoj Kumar Banisetty")</f>
        <v>Lalita Manoj Kumar Banisetty</v>
      </c>
      <c r="B27" s="9" t="str">
        <f ca="1">IFERROR(__xludf.DUMMYFUNCTION("""COMPUTED_VALUE"""),"18331A0586")</f>
        <v>18331A0586</v>
      </c>
      <c r="C27" s="78" t="str">
        <f ca="1">IFERROR(__xludf.DUMMYFUNCTION("""COMPUTED_VALUE"""),"AWS Cloud Virtual Internship")</f>
        <v>AWS Cloud Virtual Internship</v>
      </c>
      <c r="D27" s="9" t="str">
        <f ca="1">IFERROR(__xludf.DUMMYFUNCTION("""COMPUTED_VALUE"""),"EduSkills")</f>
        <v>EduSkills</v>
      </c>
      <c r="E27" s="9" t="str">
        <f ca="1">IFERROR(__xludf.DUMMYFUNCTION("""COMPUTED_VALUE"""),"3 months")</f>
        <v>3 months</v>
      </c>
      <c r="F27" s="79">
        <f ca="1">IFERROR(__xludf.DUMMYFUNCTION("""COMPUTED_VALUE"""),44470)</f>
        <v>44470</v>
      </c>
      <c r="G27" s="79">
        <f ca="1">IFERROR(__xludf.DUMMYFUNCTION("""COMPUTED_VALUE"""),44561)</f>
        <v>44561</v>
      </c>
      <c r="H27" s="72">
        <f ca="1">IFERROR(__xludf.DUMMYFUNCTION("""COMPUTED_VALUE"""),44561)</f>
        <v>44561</v>
      </c>
      <c r="I27" s="80">
        <f ca="1">IFERROR(__xludf.DUMMYFUNCTION("""COMPUTED_VALUE"""),100)</f>
        <v>100</v>
      </c>
      <c r="J27" s="9" t="str">
        <f ca="1">IFERROR(__xludf.DUMMYFUNCTION("""COMPUTED_VALUE"""),"Dr. Ravi Kiran Varma Penmatsa")</f>
        <v>Dr. Ravi Kiran Varma Penmatsa</v>
      </c>
      <c r="K27" s="73" t="str">
        <f ca="1">IFERROR(__xludf.DUMMYFUNCTION("""COMPUTED_VALUE"""),"https://drive.google.com/open?id=1nCmT-2MVzYJ2cSjKXQ-RXQr60oPUlD_K")</f>
        <v>https://drive.google.com/open?id=1nCmT-2MVzYJ2cSjKXQ-RXQr60oPUlD_K</v>
      </c>
      <c r="L27" s="9" t="str">
        <f ca="1">IFERROR(__xludf.DUMMYFUNCTION("""COMPUTED_VALUE"""),"2018-2022")</f>
        <v>2018-2022</v>
      </c>
      <c r="M27" s="9" t="str">
        <f ca="1">IFERROR(__xludf.DUMMYFUNCTION("""COMPUTED_VALUE"""),"S4: Student Certifications")</f>
        <v>S4: Student Certifications</v>
      </c>
      <c r="N27" s="9" t="str">
        <f ca="1">IFERROR(__xludf.DUMMYFUNCTION("""COMPUTED_VALUE"""),"mano.benesetti@gmail.com")</f>
        <v>mano.benesetti@gmail.com</v>
      </c>
      <c r="O27" s="9" t="str">
        <f ca="1">IFERROR(__xludf.DUMMYFUNCTION("""COMPUTED_VALUE"""),"SEM-8")</f>
        <v>SEM-8</v>
      </c>
      <c r="P27" s="9"/>
      <c r="Q27" s="9"/>
      <c r="R27" s="9"/>
      <c r="S27" s="9"/>
      <c r="T27" s="9"/>
      <c r="U27" s="9"/>
      <c r="V27" s="9"/>
      <c r="W27" s="9"/>
      <c r="X27" s="9"/>
      <c r="Y27" s="9"/>
    </row>
    <row r="28" spans="1:25" ht="26.25" customHeight="1" x14ac:dyDescent="0.15">
      <c r="A28" s="9" t="str">
        <f ca="1">IFERROR(__xludf.DUMMYFUNCTION("""COMPUTED_VALUE"""),"L.Kavya")</f>
        <v>L.Kavya</v>
      </c>
      <c r="B28" s="9" t="str">
        <f ca="1">IFERROR(__xludf.DUMMYFUNCTION("""COMPUTED_VALUE"""),"18331A0585")</f>
        <v>18331A0585</v>
      </c>
      <c r="C28" s="78" t="str">
        <f ca="1">IFERROR(__xludf.DUMMYFUNCTION("""COMPUTED_VALUE"""),"Communication Skills")</f>
        <v>Communication Skills</v>
      </c>
      <c r="D28" s="9" t="str">
        <f ca="1">IFERROR(__xludf.DUMMYFUNCTION("""COMPUTED_VALUE"""),"AVS College of Arts and Science ")</f>
        <v xml:space="preserve">AVS College of Arts and Science </v>
      </c>
      <c r="E28" s="9" t="str">
        <f ca="1">IFERROR(__xludf.DUMMYFUNCTION("""COMPUTED_VALUE"""),"5 days")</f>
        <v>5 days</v>
      </c>
      <c r="F28" s="79">
        <f ca="1">IFERROR(__xludf.DUMMYFUNCTION("""COMPUTED_VALUE"""),43934)</f>
        <v>43934</v>
      </c>
      <c r="G28" s="79">
        <f ca="1">IFERROR(__xludf.DUMMYFUNCTION("""COMPUTED_VALUE"""),43938)</f>
        <v>43938</v>
      </c>
      <c r="H28" s="72">
        <f ca="1">IFERROR(__xludf.DUMMYFUNCTION("""COMPUTED_VALUE"""),43938)</f>
        <v>43938</v>
      </c>
      <c r="I28" s="80">
        <f ca="1">IFERROR(__xludf.DUMMYFUNCTION("""COMPUTED_VALUE"""),100)</f>
        <v>100</v>
      </c>
      <c r="J28" s="9" t="str">
        <f ca="1">IFERROR(__xludf.DUMMYFUNCTION("""COMPUTED_VALUE"""),"-")</f>
        <v>-</v>
      </c>
      <c r="K28" s="73" t="str">
        <f ca="1">IFERROR(__xludf.DUMMYFUNCTION("""COMPUTED_VALUE"""),"https://drive.google.com/open?id=1_fCZDqKNIBX0w3m-dkaM6PGiYSEGIZC1")</f>
        <v>https://drive.google.com/open?id=1_fCZDqKNIBX0w3m-dkaM6PGiYSEGIZC1</v>
      </c>
      <c r="L28" s="9" t="str">
        <f ca="1">IFERROR(__xludf.DUMMYFUNCTION("""COMPUTED_VALUE"""),"2018-2022")</f>
        <v>2018-2022</v>
      </c>
      <c r="M28" s="9" t="str">
        <f ca="1">IFERROR(__xludf.DUMMYFUNCTION("""COMPUTED_VALUE"""),"S4: Student Certifications")</f>
        <v>S4: Student Certifications</v>
      </c>
      <c r="N28" s="9" t="str">
        <f ca="1">IFERROR(__xludf.DUMMYFUNCTION("""COMPUTED_VALUE"""),"lakhanapuramkavya@gmail.com")</f>
        <v>lakhanapuramkavya@gmail.com</v>
      </c>
      <c r="O28" s="9" t="str">
        <f ca="1">IFERROR(__xludf.DUMMYFUNCTION("""COMPUTED_VALUE"""),"SEM-8")</f>
        <v>SEM-8</v>
      </c>
      <c r="P28" s="9"/>
      <c r="Q28" s="9"/>
      <c r="R28" s="9"/>
      <c r="S28" s="9"/>
      <c r="T28" s="9"/>
      <c r="U28" s="9"/>
      <c r="V28" s="9"/>
      <c r="W28" s="9"/>
      <c r="X28" s="9"/>
      <c r="Y28" s="9"/>
    </row>
    <row r="29" spans="1:25" ht="26.25" customHeight="1" x14ac:dyDescent="0.15">
      <c r="A29" s="9" t="str">
        <f ca="1">IFERROR(__xludf.DUMMYFUNCTION("""COMPUTED_VALUE"""),"Ganta Manoj Kumar ")</f>
        <v xml:space="preserve">Ganta Manoj Kumar </v>
      </c>
      <c r="B29" s="9" t="str">
        <f ca="1">IFERROR(__xludf.DUMMYFUNCTION("""COMPUTED_VALUE"""),"18331A0542")</f>
        <v>18331A0542</v>
      </c>
      <c r="C29" s="78" t="str">
        <f ca="1">IFERROR(__xludf.DUMMYFUNCTION("""COMPUTED_VALUE"""),"Matlab on ramp")</f>
        <v>Matlab on ramp</v>
      </c>
      <c r="D29" s="9" t="str">
        <f ca="1">IFERROR(__xludf.DUMMYFUNCTION("""COMPUTED_VALUE"""),"Mathworks")</f>
        <v>Mathworks</v>
      </c>
      <c r="E29" s="9" t="str">
        <f ca="1">IFERROR(__xludf.DUMMYFUNCTION("""COMPUTED_VALUE"""),"5months")</f>
        <v>5months</v>
      </c>
      <c r="F29" s="79">
        <f ca="1">IFERROR(__xludf.DUMMYFUNCTION("""COMPUTED_VALUE"""),44106)</f>
        <v>44106</v>
      </c>
      <c r="G29" s="79">
        <f ca="1">IFERROR(__xludf.DUMMYFUNCTION("""COMPUTED_VALUE"""),44229)</f>
        <v>44229</v>
      </c>
      <c r="H29" s="72">
        <f ca="1">IFERROR(__xludf.DUMMYFUNCTION("""COMPUTED_VALUE"""),44229)</f>
        <v>44229</v>
      </c>
      <c r="I29" s="80">
        <f ca="1">IFERROR(__xludf.DUMMYFUNCTION("""COMPUTED_VALUE"""),100)</f>
        <v>100</v>
      </c>
      <c r="J29" s="9" t="str">
        <f ca="1">IFERROR(__xludf.DUMMYFUNCTION("""COMPUTED_VALUE"""),"Prasad rao ")</f>
        <v xml:space="preserve">Prasad rao </v>
      </c>
      <c r="K29" s="73" t="str">
        <f ca="1">IFERROR(__xludf.DUMMYFUNCTION("""COMPUTED_VALUE"""),"https://drive.google.com/open?id=1jyPW79fPV6fSlK6LANHzYP9sopxjR-lO")</f>
        <v>https://drive.google.com/open?id=1jyPW79fPV6fSlK6LANHzYP9sopxjR-lO</v>
      </c>
      <c r="L29" s="9" t="str">
        <f ca="1">IFERROR(__xludf.DUMMYFUNCTION("""COMPUTED_VALUE"""),"2018-2022")</f>
        <v>2018-2022</v>
      </c>
      <c r="M29" s="9" t="str">
        <f ca="1">IFERROR(__xludf.DUMMYFUNCTION("""COMPUTED_VALUE"""),"S4: Student Certifications")</f>
        <v>S4: Student Certifications</v>
      </c>
      <c r="N29" s="9" t="str">
        <f ca="1">IFERROR(__xludf.DUMMYFUNCTION("""COMPUTED_VALUE"""),"gmanoj2k08@gmail.com")</f>
        <v>gmanoj2k08@gmail.com</v>
      </c>
      <c r="O29" s="9" t="str">
        <f ca="1">IFERROR(__xludf.DUMMYFUNCTION("""COMPUTED_VALUE"""),"SEM-5")</f>
        <v>SEM-5</v>
      </c>
      <c r="P29" s="9"/>
      <c r="Q29" s="9"/>
      <c r="R29" s="9"/>
      <c r="S29" s="9"/>
      <c r="T29" s="9"/>
      <c r="U29" s="9"/>
      <c r="V29" s="9"/>
      <c r="W29" s="9"/>
      <c r="X29" s="9"/>
      <c r="Y29" s="9"/>
    </row>
    <row r="30" spans="1:25" ht="26.25" customHeight="1" x14ac:dyDescent="0.15">
      <c r="A30" s="9" t="str">
        <f ca="1">IFERROR(__xludf.DUMMYFUNCTION("""COMPUTED_VALUE"""),"Bogapurapu Rahul")</f>
        <v>Bogapurapu Rahul</v>
      </c>
      <c r="B30" s="9" t="str">
        <f ca="1">IFERROR(__xludf.DUMMYFUNCTION("""COMPUTED_VALUE"""),"18331A0516")</f>
        <v>18331A0516</v>
      </c>
      <c r="C30" s="78" t="str">
        <f ca="1">IFERROR(__xludf.DUMMYFUNCTION("""COMPUTED_VALUE"""),"Cybersecurity Essentials")</f>
        <v>Cybersecurity Essentials</v>
      </c>
      <c r="D30" s="9" t="str">
        <f ca="1">IFERROR(__xludf.DUMMYFUNCTION("""COMPUTED_VALUE"""),"Cisco")</f>
        <v>Cisco</v>
      </c>
      <c r="E30" s="9" t="str">
        <f ca="1">IFERROR(__xludf.DUMMYFUNCTION("""COMPUTED_VALUE"""),"8 Weeks")</f>
        <v>8 Weeks</v>
      </c>
      <c r="F30" s="79">
        <f ca="1">IFERROR(__xludf.DUMMYFUNCTION("""COMPUTED_VALUE"""),43611)</f>
        <v>43611</v>
      </c>
      <c r="G30" s="79">
        <f ca="1">IFERROR(__xludf.DUMMYFUNCTION("""COMPUTED_VALUE"""),43672)</f>
        <v>43672</v>
      </c>
      <c r="H30" s="72">
        <f ca="1">IFERROR(__xludf.DUMMYFUNCTION("""COMPUTED_VALUE"""),43672)</f>
        <v>43672</v>
      </c>
      <c r="I30" s="80">
        <f ca="1">IFERROR(__xludf.DUMMYFUNCTION("""COMPUTED_VALUE"""),100)</f>
        <v>100</v>
      </c>
      <c r="J30" s="9" t="str">
        <f ca="1">IFERROR(__xludf.DUMMYFUNCTION("""COMPUTED_VALUE"""),"K. Ravi Kiran Varma")</f>
        <v>K. Ravi Kiran Varma</v>
      </c>
      <c r="K30" s="73" t="str">
        <f ca="1">IFERROR(__xludf.DUMMYFUNCTION("""COMPUTED_VALUE"""),"https://drive.google.com/open?id=1qLwO9j6QWJqkrVFTFe1r7bBOvBWyxMrR")</f>
        <v>https://drive.google.com/open?id=1qLwO9j6QWJqkrVFTFe1r7bBOvBWyxMrR</v>
      </c>
      <c r="L30" s="9" t="str">
        <f ca="1">IFERROR(__xludf.DUMMYFUNCTION("""COMPUTED_VALUE"""),"2018-2022")</f>
        <v>2018-2022</v>
      </c>
      <c r="M30" s="9" t="str">
        <f ca="1">IFERROR(__xludf.DUMMYFUNCTION("""COMPUTED_VALUE"""),"S4: Student Certifications")</f>
        <v>S4: Student Certifications</v>
      </c>
      <c r="N30" s="9" t="str">
        <f ca="1">IFERROR(__xludf.DUMMYFUNCTION("""COMPUTED_VALUE"""),"rrahul94772@gmail.com")</f>
        <v>rrahul94772@gmail.com</v>
      </c>
      <c r="O30" s="9" t="str">
        <f ca="1">IFERROR(__xludf.DUMMYFUNCTION("""COMPUTED_VALUE"""),"SEM-8")</f>
        <v>SEM-8</v>
      </c>
      <c r="P30" s="9"/>
      <c r="Q30" s="9"/>
      <c r="R30" s="9"/>
      <c r="S30" s="9"/>
      <c r="T30" s="9"/>
      <c r="U30" s="9"/>
      <c r="V30" s="9"/>
      <c r="W30" s="9"/>
      <c r="X30" s="9"/>
      <c r="Y30" s="9"/>
    </row>
    <row r="31" spans="1:25" ht="26.25" customHeight="1" x14ac:dyDescent="0.15">
      <c r="A31" s="9" t="str">
        <f ca="1">IFERROR(__xludf.DUMMYFUNCTION("""COMPUTED_VALUE"""),"B.Samiksha")</f>
        <v>B.Samiksha</v>
      </c>
      <c r="B31" s="9" t="str">
        <f ca="1">IFERROR(__xludf.DUMMYFUNCTION("""COMPUTED_VALUE"""),"18331A0510")</f>
        <v>18331A0510</v>
      </c>
      <c r="C31" s="78" t="str">
        <f ca="1">IFERROR(__xludf.DUMMYFUNCTION("""COMPUTED_VALUE"""),"Cybersecurity Essentials")</f>
        <v>Cybersecurity Essentials</v>
      </c>
      <c r="D31" s="9" t="str">
        <f ca="1">IFERROR(__xludf.DUMMYFUNCTION("""COMPUTED_VALUE"""),"Cisco")</f>
        <v>Cisco</v>
      </c>
      <c r="E31" s="9" t="str">
        <f ca="1">IFERROR(__xludf.DUMMYFUNCTION("""COMPUTED_VALUE"""),"2 months")</f>
        <v>2 months</v>
      </c>
      <c r="F31" s="79">
        <f ca="1">IFERROR(__xludf.DUMMYFUNCTION("""COMPUTED_VALUE"""),44340)</f>
        <v>44340</v>
      </c>
      <c r="G31" s="79">
        <f ca="1">IFERROR(__xludf.DUMMYFUNCTION("""COMPUTED_VALUE"""),44401)</f>
        <v>44401</v>
      </c>
      <c r="H31" s="72">
        <f ca="1">IFERROR(__xludf.DUMMYFUNCTION("""COMPUTED_VALUE"""),44401)</f>
        <v>44401</v>
      </c>
      <c r="I31" s="80">
        <f ca="1">IFERROR(__xludf.DUMMYFUNCTION("""COMPUTED_VALUE"""),100)</f>
        <v>100</v>
      </c>
      <c r="J31" s="9" t="str">
        <f ca="1">IFERROR(__xludf.DUMMYFUNCTION("""COMPUTED_VALUE"""),"Ravi Kiran Varma")</f>
        <v>Ravi Kiran Varma</v>
      </c>
      <c r="K31" s="73" t="str">
        <f ca="1">IFERROR(__xludf.DUMMYFUNCTION("""COMPUTED_VALUE"""),"https://drive.google.com/open?id=1xi_3_KryNHfhuwsF0rmwH-Qd-mqYuTLU")</f>
        <v>https://drive.google.com/open?id=1xi_3_KryNHfhuwsF0rmwH-Qd-mqYuTLU</v>
      </c>
      <c r="L31" s="9" t="str">
        <f ca="1">IFERROR(__xludf.DUMMYFUNCTION("""COMPUTED_VALUE"""),"2018-2022")</f>
        <v>2018-2022</v>
      </c>
      <c r="M31" s="9" t="str">
        <f ca="1">IFERROR(__xludf.DUMMYFUNCTION("""COMPUTED_VALUE"""),"S4: Student Certifications")</f>
        <v>S4: Student Certifications</v>
      </c>
      <c r="N31" s="9" t="str">
        <f ca="1">IFERROR(__xludf.DUMMYFUNCTION("""COMPUTED_VALUE"""),"bsamiksha1469@gmail.com")</f>
        <v>bsamiksha1469@gmail.com</v>
      </c>
      <c r="O31" s="9" t="str">
        <f ca="1">IFERROR(__xludf.DUMMYFUNCTION("""COMPUTED_VALUE"""),"SEM-5")</f>
        <v>SEM-5</v>
      </c>
      <c r="P31" s="9"/>
      <c r="Q31" s="9"/>
      <c r="R31" s="9"/>
      <c r="S31" s="9"/>
      <c r="T31" s="9"/>
      <c r="U31" s="9"/>
      <c r="V31" s="9"/>
      <c r="W31" s="9"/>
      <c r="X31" s="9"/>
      <c r="Y31" s="9"/>
    </row>
    <row r="32" spans="1:25" ht="26.25" customHeight="1" x14ac:dyDescent="0.15">
      <c r="A32" s="9" t="str">
        <f ca="1">IFERROR(__xludf.DUMMYFUNCTION("""COMPUTED_VALUE"""),"Bogapurapu Rahul")</f>
        <v>Bogapurapu Rahul</v>
      </c>
      <c r="B32" s="9" t="str">
        <f ca="1">IFERROR(__xludf.DUMMYFUNCTION("""COMPUTED_VALUE"""),"18331A0516")</f>
        <v>18331A0516</v>
      </c>
      <c r="C32" s="78" t="str">
        <f ca="1">IFERROR(__xludf.DUMMYFUNCTION("""COMPUTED_VALUE"""),"AWS Academy Cloud Foundations")</f>
        <v>AWS Academy Cloud Foundations</v>
      </c>
      <c r="D32" s="9" t="str">
        <f ca="1">IFERROR(__xludf.DUMMYFUNCTION("""COMPUTED_VALUE"""),"AWS")</f>
        <v>AWS</v>
      </c>
      <c r="E32" s="9" t="str">
        <f ca="1">IFERROR(__xludf.DUMMYFUNCTION("""COMPUTED_VALUE"""),"8 Weeks")</f>
        <v>8 Weeks</v>
      </c>
      <c r="F32" s="79">
        <f ca="1">IFERROR(__xludf.DUMMYFUNCTION("""COMPUTED_VALUE"""),44481)</f>
        <v>44481</v>
      </c>
      <c r="G32" s="79">
        <f ca="1">IFERROR(__xludf.DUMMYFUNCTION("""COMPUTED_VALUE"""),44542)</f>
        <v>44542</v>
      </c>
      <c r="H32" s="72">
        <f ca="1">IFERROR(__xludf.DUMMYFUNCTION("""COMPUTED_VALUE"""),44542)</f>
        <v>44542</v>
      </c>
      <c r="I32" s="80">
        <f ca="1">IFERROR(__xludf.DUMMYFUNCTION("""COMPUTED_VALUE"""),100)</f>
        <v>100</v>
      </c>
      <c r="J32" s="9" t="str">
        <f ca="1">IFERROR(__xludf.DUMMYFUNCTION("""COMPUTED_VALUE"""),"K. Ravi Kiran Varma")</f>
        <v>K. Ravi Kiran Varma</v>
      </c>
      <c r="K32" s="73" t="str">
        <f ca="1">IFERROR(__xludf.DUMMYFUNCTION("""COMPUTED_VALUE"""),"https://drive.google.com/open?id=1y5dyz-4_Rx96Ob2UHhlEn0uTeO_arITJ")</f>
        <v>https://drive.google.com/open?id=1y5dyz-4_Rx96Ob2UHhlEn0uTeO_arITJ</v>
      </c>
      <c r="L32" s="9" t="str">
        <f ca="1">IFERROR(__xludf.DUMMYFUNCTION("""COMPUTED_VALUE"""),"2018-2022")</f>
        <v>2018-2022</v>
      </c>
      <c r="M32" s="9" t="str">
        <f ca="1">IFERROR(__xludf.DUMMYFUNCTION("""COMPUTED_VALUE"""),"S4: Student Certifications")</f>
        <v>S4: Student Certifications</v>
      </c>
      <c r="N32" s="9" t="str">
        <f ca="1">IFERROR(__xludf.DUMMYFUNCTION("""COMPUTED_VALUE"""),"rrahul94772@gmail.com")</f>
        <v>rrahul94772@gmail.com</v>
      </c>
      <c r="O32" s="9" t="str">
        <f ca="1">IFERROR(__xludf.DUMMYFUNCTION("""COMPUTED_VALUE"""),"SEM-8")</f>
        <v>SEM-8</v>
      </c>
      <c r="P32" s="9"/>
      <c r="Q32" s="9"/>
      <c r="R32" s="9"/>
      <c r="S32" s="9"/>
      <c r="T32" s="9"/>
      <c r="U32" s="9"/>
      <c r="V32" s="9"/>
      <c r="W32" s="9"/>
      <c r="X32" s="9"/>
      <c r="Y32" s="9"/>
    </row>
    <row r="33" spans="1:25" ht="26.25" customHeight="1" x14ac:dyDescent="0.15">
      <c r="A33" s="9" t="str">
        <f ca="1">IFERROR(__xludf.DUMMYFUNCTION("""COMPUTED_VALUE"""),"B.Samiksha")</f>
        <v>B.Samiksha</v>
      </c>
      <c r="B33" s="9" t="str">
        <f ca="1">IFERROR(__xludf.DUMMYFUNCTION("""COMPUTED_VALUE"""),"18331A0510")</f>
        <v>18331A0510</v>
      </c>
      <c r="C33" s="78" t="str">
        <f ca="1">IFERROR(__xludf.DUMMYFUNCTION("""COMPUTED_VALUE"""),"Introduction to Cybersecurity")</f>
        <v>Introduction to Cybersecurity</v>
      </c>
      <c r="D33" s="9" t="str">
        <f ca="1">IFERROR(__xludf.DUMMYFUNCTION("""COMPUTED_VALUE"""),"Cisco")</f>
        <v>Cisco</v>
      </c>
      <c r="E33" s="9" t="str">
        <f ca="1">IFERROR(__xludf.DUMMYFUNCTION("""COMPUTED_VALUE"""),"3 MONTHS")</f>
        <v>3 MONTHS</v>
      </c>
      <c r="F33" s="79">
        <f ca="1">IFERROR(__xludf.DUMMYFUNCTION("""COMPUTED_VALUE"""),44268)</f>
        <v>44268</v>
      </c>
      <c r="G33" s="79">
        <f ca="1">IFERROR(__xludf.DUMMYFUNCTION("""COMPUTED_VALUE"""),44329)</f>
        <v>44329</v>
      </c>
      <c r="H33" s="72">
        <f ca="1">IFERROR(__xludf.DUMMYFUNCTION("""COMPUTED_VALUE"""),44329)</f>
        <v>44329</v>
      </c>
      <c r="I33" s="80">
        <f ca="1">IFERROR(__xludf.DUMMYFUNCTION("""COMPUTED_VALUE"""),100)</f>
        <v>100</v>
      </c>
      <c r="J33" s="9" t="str">
        <f ca="1">IFERROR(__xludf.DUMMYFUNCTION("""COMPUTED_VALUE"""),"Ravi Kiran Varma")</f>
        <v>Ravi Kiran Varma</v>
      </c>
      <c r="K33" s="73" t="str">
        <f ca="1">IFERROR(__xludf.DUMMYFUNCTION("""COMPUTED_VALUE"""),"https://drive.google.com/open?id=1GoETtWDzIgW_oAaP0040Hr6PSwh-t3GB")</f>
        <v>https://drive.google.com/open?id=1GoETtWDzIgW_oAaP0040Hr6PSwh-t3GB</v>
      </c>
      <c r="L33" s="9" t="str">
        <f ca="1">IFERROR(__xludf.DUMMYFUNCTION("""COMPUTED_VALUE"""),"2018-2022")</f>
        <v>2018-2022</v>
      </c>
      <c r="M33" s="9" t="str">
        <f ca="1">IFERROR(__xludf.DUMMYFUNCTION("""COMPUTED_VALUE"""),"S4: Student Certifications")</f>
        <v>S4: Student Certifications</v>
      </c>
      <c r="N33" s="9" t="str">
        <f ca="1">IFERROR(__xludf.DUMMYFUNCTION("""COMPUTED_VALUE"""),"bsamiksha1469@gmail.com")</f>
        <v>bsamiksha1469@gmail.com</v>
      </c>
      <c r="O33" s="9" t="str">
        <f ca="1">IFERROR(__xludf.DUMMYFUNCTION("""COMPUTED_VALUE"""),"SEM-4")</f>
        <v>SEM-4</v>
      </c>
      <c r="P33" s="9"/>
      <c r="Q33" s="9"/>
      <c r="R33" s="9"/>
      <c r="S33" s="9"/>
      <c r="T33" s="9"/>
      <c r="U33" s="9"/>
      <c r="V33" s="9"/>
      <c r="W33" s="9"/>
      <c r="X33" s="9"/>
      <c r="Y33" s="9"/>
    </row>
    <row r="34" spans="1:25" ht="26.25" customHeight="1" x14ac:dyDescent="0.15">
      <c r="A34" s="9" t="str">
        <f ca="1">IFERROR(__xludf.DUMMYFUNCTION("""COMPUTED_VALUE"""),"VUGGINA VEERA VENKATA SATYA VARAHA AYYAPPA")</f>
        <v>VUGGINA VEERA VENKATA SATYA VARAHA AYYAPPA</v>
      </c>
      <c r="B34" s="9" t="str">
        <f ca="1">IFERROR(__xludf.DUMMYFUNCTION("""COMPUTED_VALUE"""),"19335A0518")</f>
        <v>19335A0518</v>
      </c>
      <c r="C34" s="78" t="str">
        <f ca="1">IFERROR(__xludf.DUMMYFUNCTION("""COMPUTED_VALUE"""),"Amazon Web services (AWS) CLOUD")</f>
        <v>Amazon Web services (AWS) CLOUD</v>
      </c>
      <c r="D34" s="9" t="str">
        <f ca="1">IFERROR(__xludf.DUMMYFUNCTION("""COMPUTED_VALUE"""),"AICET")</f>
        <v>AICET</v>
      </c>
      <c r="E34" s="9" t="str">
        <f ca="1">IFERROR(__xludf.DUMMYFUNCTION("""COMPUTED_VALUE"""),"10 weeks")</f>
        <v>10 weeks</v>
      </c>
      <c r="F34" s="79">
        <f ca="1">IFERROR(__xludf.DUMMYFUNCTION("""COMPUTED_VALUE"""),44418)</f>
        <v>44418</v>
      </c>
      <c r="G34" s="79">
        <f ca="1">IFERROR(__xludf.DUMMYFUNCTION("""COMPUTED_VALUE"""),44560)</f>
        <v>44560</v>
      </c>
      <c r="H34" s="72">
        <f ca="1">IFERROR(__xludf.DUMMYFUNCTION("""COMPUTED_VALUE"""),44550)</f>
        <v>44550</v>
      </c>
      <c r="I34" s="80">
        <f ca="1">IFERROR(__xludf.DUMMYFUNCTION("""COMPUTED_VALUE"""),94)</f>
        <v>94</v>
      </c>
      <c r="J34" s="9" t="str">
        <f ca="1">IFERROR(__xludf.DUMMYFUNCTION("""COMPUTED_VALUE"""),"K. Ravi Kiran Varma")</f>
        <v>K. Ravi Kiran Varma</v>
      </c>
      <c r="K34" s="73" t="str">
        <f ca="1">IFERROR(__xludf.DUMMYFUNCTION("""COMPUTED_VALUE"""),"https://drive.google.com/open?id=11rW9SYSxFKwYAVVe4rjhiUeQzmiKRoi5")</f>
        <v>https://drive.google.com/open?id=11rW9SYSxFKwYAVVe4rjhiUeQzmiKRoi5</v>
      </c>
      <c r="L34" s="9" t="str">
        <f ca="1">IFERROR(__xludf.DUMMYFUNCTION("""COMPUTED_VALUE"""),"2018-2022")</f>
        <v>2018-2022</v>
      </c>
      <c r="M34" s="9" t="str">
        <f ca="1">IFERROR(__xludf.DUMMYFUNCTION("""COMPUTED_VALUE"""),"S4: Student Certifications")</f>
        <v>S4: Student Certifications</v>
      </c>
      <c r="N34" s="9" t="str">
        <f ca="1">IFERROR(__xludf.DUMMYFUNCTION("""COMPUTED_VALUE"""),"ayyappa.vuggina01@gmail.com")</f>
        <v>ayyappa.vuggina01@gmail.com</v>
      </c>
      <c r="O34" s="9" t="str">
        <f ca="1">IFERROR(__xludf.DUMMYFUNCTION("""COMPUTED_VALUE"""),"SEM-7")</f>
        <v>SEM-7</v>
      </c>
      <c r="P34" s="9"/>
      <c r="Q34" s="9"/>
      <c r="R34" s="9"/>
      <c r="S34" s="9"/>
      <c r="T34" s="9"/>
      <c r="U34" s="9"/>
      <c r="V34" s="9"/>
      <c r="W34" s="9"/>
      <c r="X34" s="9"/>
      <c r="Y34" s="9"/>
    </row>
    <row r="35" spans="1:25" ht="26.25" customHeight="1" x14ac:dyDescent="0.15">
      <c r="A35" s="9" t="str">
        <f ca="1">IFERROR(__xludf.DUMMYFUNCTION("""COMPUTED_VALUE"""),"B SAMIKSHA")</f>
        <v>B SAMIKSHA</v>
      </c>
      <c r="B35" s="9" t="str">
        <f ca="1">IFERROR(__xludf.DUMMYFUNCTION("""COMPUTED_VALUE"""),"18331A0510")</f>
        <v>18331A0510</v>
      </c>
      <c r="C35" s="78" t="str">
        <f ca="1">IFERROR(__xludf.DUMMYFUNCTION("""COMPUTED_VALUE"""),"Introduction to Cybersecurity")</f>
        <v>Introduction to Cybersecurity</v>
      </c>
      <c r="D35" s="9" t="str">
        <f ca="1">IFERROR(__xludf.DUMMYFUNCTION("""COMPUTED_VALUE"""),"Cisco")</f>
        <v>Cisco</v>
      </c>
      <c r="E35" s="9" t="str">
        <f ca="1">IFERROR(__xludf.DUMMYFUNCTION("""COMPUTED_VALUE"""),"2 MONTHS")</f>
        <v>2 MONTHS</v>
      </c>
      <c r="F35" s="79">
        <f ca="1">IFERROR(__xludf.DUMMYFUNCTION("""COMPUTED_VALUE"""),44299)</f>
        <v>44299</v>
      </c>
      <c r="G35" s="79">
        <f ca="1">IFERROR(__xludf.DUMMYFUNCTION("""COMPUTED_VALUE"""),44268)</f>
        <v>44268</v>
      </c>
      <c r="H35" s="72">
        <f ca="1">IFERROR(__xludf.DUMMYFUNCTION("""COMPUTED_VALUE"""),44268)</f>
        <v>44268</v>
      </c>
      <c r="I35" s="80">
        <f ca="1">IFERROR(__xludf.DUMMYFUNCTION("""COMPUTED_VALUE"""),100)</f>
        <v>100</v>
      </c>
      <c r="J35" s="9" t="str">
        <f ca="1">IFERROR(__xludf.DUMMYFUNCTION("""COMPUTED_VALUE"""),"Ravi Kiran Varma")</f>
        <v>Ravi Kiran Varma</v>
      </c>
      <c r="K35" s="73" t="str">
        <f ca="1">IFERROR(__xludf.DUMMYFUNCTION("""COMPUTED_VALUE"""),"https://drive.google.com/open?id=1FbWAOVoOljNV934Luz8kVJsk5CN-9IFP")</f>
        <v>https://drive.google.com/open?id=1FbWAOVoOljNV934Luz8kVJsk5CN-9IFP</v>
      </c>
      <c r="L35" s="9" t="str">
        <f ca="1">IFERROR(__xludf.DUMMYFUNCTION("""COMPUTED_VALUE"""),"2018-2022")</f>
        <v>2018-2022</v>
      </c>
      <c r="M35" s="9" t="str">
        <f ca="1">IFERROR(__xludf.DUMMYFUNCTION("""COMPUTED_VALUE"""),"S4: Student Certifications")</f>
        <v>S4: Student Certifications</v>
      </c>
      <c r="N35" s="9" t="str">
        <f ca="1">IFERROR(__xludf.DUMMYFUNCTION("""COMPUTED_VALUE"""),"bsamiksha1469@gmail.com")</f>
        <v>bsamiksha1469@gmail.com</v>
      </c>
      <c r="O35" s="9" t="str">
        <f ca="1">IFERROR(__xludf.DUMMYFUNCTION("""COMPUTED_VALUE"""),"SEM-6")</f>
        <v>SEM-6</v>
      </c>
      <c r="P35" s="9"/>
      <c r="Q35" s="9"/>
      <c r="R35" s="9"/>
      <c r="S35" s="9"/>
      <c r="T35" s="9"/>
      <c r="U35" s="9"/>
      <c r="V35" s="9"/>
      <c r="W35" s="9"/>
      <c r="X35" s="9"/>
      <c r="Y35" s="9"/>
    </row>
    <row r="36" spans="1:25" ht="26.25" customHeight="1" x14ac:dyDescent="0.15">
      <c r="A36" s="9" t="str">
        <f ca="1">IFERROR(__xludf.DUMMYFUNCTION("""COMPUTED_VALUE"""),"B SAMIKSHA")</f>
        <v>B SAMIKSHA</v>
      </c>
      <c r="B36" s="9" t="str">
        <f ca="1">IFERROR(__xludf.DUMMYFUNCTION("""COMPUTED_VALUE"""),"18331A0510")</f>
        <v>18331A0510</v>
      </c>
      <c r="C36" s="78" t="str">
        <f ca="1">IFERROR(__xludf.DUMMYFUNCTION("""COMPUTED_VALUE"""),"Cybersecurity Essentials")</f>
        <v>Cybersecurity Essentials</v>
      </c>
      <c r="D36" s="9" t="str">
        <f ca="1">IFERROR(__xludf.DUMMYFUNCTION("""COMPUTED_VALUE"""),"Cisco")</f>
        <v>Cisco</v>
      </c>
      <c r="E36" s="9" t="str">
        <f ca="1">IFERROR(__xludf.DUMMYFUNCTION("""COMPUTED_VALUE"""),"3 Months")</f>
        <v>3 Months</v>
      </c>
      <c r="F36" s="79">
        <f ca="1">IFERROR(__xludf.DUMMYFUNCTION("""COMPUTED_VALUE"""),44340)</f>
        <v>44340</v>
      </c>
      <c r="G36" s="79">
        <f ca="1">IFERROR(__xludf.DUMMYFUNCTION("""COMPUTED_VALUE"""),44401)</f>
        <v>44401</v>
      </c>
      <c r="H36" s="72">
        <f ca="1">IFERROR(__xludf.DUMMYFUNCTION("""COMPUTED_VALUE"""),44401)</f>
        <v>44401</v>
      </c>
      <c r="I36" s="80">
        <f ca="1">IFERROR(__xludf.DUMMYFUNCTION("""COMPUTED_VALUE"""),100)</f>
        <v>100</v>
      </c>
      <c r="J36" s="9" t="str">
        <f ca="1">IFERROR(__xludf.DUMMYFUNCTION("""COMPUTED_VALUE"""),"Ravi Kiran Varma")</f>
        <v>Ravi Kiran Varma</v>
      </c>
      <c r="K36" s="73" t="str">
        <f ca="1">IFERROR(__xludf.DUMMYFUNCTION("""COMPUTED_VALUE"""),"https://drive.google.com/open?id=1QJRz-EbuXy_d6ZWpHTsrEjjdIKElpk0-")</f>
        <v>https://drive.google.com/open?id=1QJRz-EbuXy_d6ZWpHTsrEjjdIKElpk0-</v>
      </c>
      <c r="L36" s="9" t="str">
        <f ca="1">IFERROR(__xludf.DUMMYFUNCTION("""COMPUTED_VALUE"""),"2018-2022")</f>
        <v>2018-2022</v>
      </c>
      <c r="M36" s="9" t="str">
        <f ca="1">IFERROR(__xludf.DUMMYFUNCTION("""COMPUTED_VALUE"""),"S4: Student Certifications")</f>
        <v>S4: Student Certifications</v>
      </c>
      <c r="N36" s="9" t="str">
        <f ca="1">IFERROR(__xludf.DUMMYFUNCTION("""COMPUTED_VALUE"""),"bsamiksha1469@gmail.com")</f>
        <v>bsamiksha1469@gmail.com</v>
      </c>
      <c r="O36" s="9" t="str">
        <f ca="1">IFERROR(__xludf.DUMMYFUNCTION("""COMPUTED_VALUE"""),"SEM-7")</f>
        <v>SEM-7</v>
      </c>
      <c r="P36" s="9"/>
      <c r="Q36" s="9"/>
      <c r="R36" s="9"/>
      <c r="S36" s="9"/>
      <c r="T36" s="9"/>
      <c r="U36" s="9"/>
      <c r="V36" s="9"/>
      <c r="W36" s="9"/>
      <c r="X36" s="9"/>
      <c r="Y36" s="9"/>
    </row>
    <row r="37" spans="1:25" ht="26.25" customHeight="1" x14ac:dyDescent="0.15">
      <c r="A37" s="9" t="str">
        <f ca="1">IFERROR(__xludf.DUMMYFUNCTION("""COMPUTED_VALUE"""),"B SAMIKSHA")</f>
        <v>B SAMIKSHA</v>
      </c>
      <c r="B37" s="9" t="str">
        <f ca="1">IFERROR(__xludf.DUMMYFUNCTION("""COMPUTED_VALUE"""),"18331A0510")</f>
        <v>18331A0510</v>
      </c>
      <c r="C37" s="78" t="str">
        <f ca="1">IFERROR(__xludf.DUMMYFUNCTION("""COMPUTED_VALUE"""),"Introduction to Packet Tracer")</f>
        <v>Introduction to Packet Tracer</v>
      </c>
      <c r="D37" s="9" t="str">
        <f ca="1">IFERROR(__xludf.DUMMYFUNCTION("""COMPUTED_VALUE"""),"Cisco")</f>
        <v>Cisco</v>
      </c>
      <c r="E37" s="9" t="str">
        <f ca="1">IFERROR(__xludf.DUMMYFUNCTION("""COMPUTED_VALUE"""),"3 Months")</f>
        <v>3 Months</v>
      </c>
      <c r="F37" s="79">
        <f ca="1">IFERROR(__xludf.DUMMYFUNCTION("""COMPUTED_VALUE"""),44273)</f>
        <v>44273</v>
      </c>
      <c r="G37" s="79">
        <f ca="1">IFERROR(__xludf.DUMMYFUNCTION("""COMPUTED_VALUE"""),44334)</f>
        <v>44334</v>
      </c>
      <c r="H37" s="72">
        <f ca="1">IFERROR(__xludf.DUMMYFUNCTION("""COMPUTED_VALUE"""),44334)</f>
        <v>44334</v>
      </c>
      <c r="I37" s="80">
        <f ca="1">IFERROR(__xludf.DUMMYFUNCTION("""COMPUTED_VALUE"""),100)</f>
        <v>100</v>
      </c>
      <c r="J37" s="9" t="str">
        <f ca="1">IFERROR(__xludf.DUMMYFUNCTION("""COMPUTED_VALUE"""),"Ravi Kiran Varma")</f>
        <v>Ravi Kiran Varma</v>
      </c>
      <c r="K37" s="73" t="str">
        <f ca="1">IFERROR(__xludf.DUMMYFUNCTION("""COMPUTED_VALUE"""),"https://drive.google.com/open?id=1nv45MlqTCMcGUrLqupfue2-EpTWrTG8c")</f>
        <v>https://drive.google.com/open?id=1nv45MlqTCMcGUrLqupfue2-EpTWrTG8c</v>
      </c>
      <c r="L37" s="9" t="str">
        <f ca="1">IFERROR(__xludf.DUMMYFUNCTION("""COMPUTED_VALUE"""),"2018-2022")</f>
        <v>2018-2022</v>
      </c>
      <c r="M37" s="9" t="str">
        <f ca="1">IFERROR(__xludf.DUMMYFUNCTION("""COMPUTED_VALUE"""),"S4: Student Certifications")</f>
        <v>S4: Student Certifications</v>
      </c>
      <c r="N37" s="9" t="str">
        <f ca="1">IFERROR(__xludf.DUMMYFUNCTION("""COMPUTED_VALUE"""),"bsamiksha1469@gmail.com")</f>
        <v>bsamiksha1469@gmail.com</v>
      </c>
      <c r="O37" s="9" t="str">
        <f ca="1">IFERROR(__xludf.DUMMYFUNCTION("""COMPUTED_VALUE"""),"SEM-6")</f>
        <v>SEM-6</v>
      </c>
      <c r="P37" s="9"/>
      <c r="Q37" s="9"/>
      <c r="R37" s="9"/>
      <c r="S37" s="9"/>
      <c r="T37" s="9"/>
      <c r="U37" s="9"/>
      <c r="V37" s="9"/>
      <c r="W37" s="9"/>
      <c r="X37" s="9"/>
      <c r="Y37" s="9"/>
    </row>
    <row r="38" spans="1:25" ht="26.25" customHeight="1" x14ac:dyDescent="0.15">
      <c r="A38" s="9" t="str">
        <f ca="1">IFERROR(__xludf.DUMMYFUNCTION("""COMPUTED_VALUE"""),"B SAMIKSHA")</f>
        <v>B SAMIKSHA</v>
      </c>
      <c r="B38" s="9" t="str">
        <f ca="1">IFERROR(__xludf.DUMMYFUNCTION("""COMPUTED_VALUE"""),"18331A0510")</f>
        <v>18331A0510</v>
      </c>
      <c r="C38" s="78" t="str">
        <f ca="1">IFERROR(__xludf.DUMMYFUNCTION("""COMPUTED_VALUE"""),"NDG LINUX ESSENTIALS Unhatched")</f>
        <v>NDG LINUX ESSENTIALS Unhatched</v>
      </c>
      <c r="D38" s="9" t="str">
        <f ca="1">IFERROR(__xludf.DUMMYFUNCTION("""COMPUTED_VALUE"""),"Cisco")</f>
        <v>Cisco</v>
      </c>
      <c r="E38" s="9" t="str">
        <f ca="1">IFERROR(__xludf.DUMMYFUNCTION("""COMPUTED_VALUE"""),"1 month")</f>
        <v>1 month</v>
      </c>
      <c r="F38" s="79">
        <f ca="1">IFERROR(__xludf.DUMMYFUNCTION("""COMPUTED_VALUE"""),44640)</f>
        <v>44640</v>
      </c>
      <c r="G38" s="79">
        <f ca="1">IFERROR(__xludf.DUMMYFUNCTION("""COMPUTED_VALUE"""),44657)</f>
        <v>44657</v>
      </c>
      <c r="H38" s="72">
        <f ca="1">IFERROR(__xludf.DUMMYFUNCTION("""COMPUTED_VALUE"""),44657)</f>
        <v>44657</v>
      </c>
      <c r="I38" s="80">
        <f ca="1">IFERROR(__xludf.DUMMYFUNCTION("""COMPUTED_VALUE"""),100)</f>
        <v>100</v>
      </c>
      <c r="J38" s="9" t="str">
        <f ca="1">IFERROR(__xludf.DUMMYFUNCTION("""COMPUTED_VALUE"""),"Ravi Kiran Varma")</f>
        <v>Ravi Kiran Varma</v>
      </c>
      <c r="K38" s="73" t="str">
        <f ca="1">IFERROR(__xludf.DUMMYFUNCTION("""COMPUTED_VALUE"""),"https://drive.google.com/open?id=1x3HYhUw40jhSMb8RRJ3qW95BZmPslygK")</f>
        <v>https://drive.google.com/open?id=1x3HYhUw40jhSMb8RRJ3qW95BZmPslygK</v>
      </c>
      <c r="L38" s="9" t="str">
        <f ca="1">IFERROR(__xludf.DUMMYFUNCTION("""COMPUTED_VALUE"""),"2018-2022")</f>
        <v>2018-2022</v>
      </c>
      <c r="M38" s="9" t="str">
        <f ca="1">IFERROR(__xludf.DUMMYFUNCTION("""COMPUTED_VALUE"""),"S4: Student Certifications")</f>
        <v>S4: Student Certifications</v>
      </c>
      <c r="N38" s="9" t="str">
        <f ca="1">IFERROR(__xludf.DUMMYFUNCTION("""COMPUTED_VALUE"""),"bsamiksha1469@gmail.com")</f>
        <v>bsamiksha1469@gmail.com</v>
      </c>
      <c r="O38" s="9" t="str">
        <f ca="1">IFERROR(__xludf.DUMMYFUNCTION("""COMPUTED_VALUE"""),"SEM-8")</f>
        <v>SEM-8</v>
      </c>
      <c r="P38" s="9"/>
      <c r="Q38" s="9"/>
      <c r="R38" s="9"/>
      <c r="S38" s="9"/>
      <c r="T38" s="9"/>
      <c r="U38" s="9"/>
      <c r="V38" s="9"/>
      <c r="W38" s="9"/>
      <c r="X38" s="9"/>
      <c r="Y38" s="9"/>
    </row>
    <row r="39" spans="1:25" ht="26.25" customHeight="1" x14ac:dyDescent="0.15">
      <c r="A39" s="9" t="str">
        <f ca="1">IFERROR(__xludf.DUMMYFUNCTION("""COMPUTED_VALUE"""),"VUGGINA VEERA VENKATA SATYA VARAHA AYYAPPA")</f>
        <v>VUGGINA VEERA VENKATA SATYA VARAHA AYYAPPA</v>
      </c>
      <c r="B39" s="9" t="str">
        <f ca="1">IFERROR(__xludf.DUMMYFUNCTION("""COMPUTED_VALUE"""),"19335A0518")</f>
        <v>19335A0518</v>
      </c>
      <c r="C39" s="78" t="str">
        <f ca="1">IFERROR(__xludf.DUMMYFUNCTION("""COMPUTED_VALUE"""),"Internet Connection: How to Get Online?")</f>
        <v>Internet Connection: How to Get Online?</v>
      </c>
      <c r="D39" s="9" t="str">
        <f ca="1">IFERROR(__xludf.DUMMYFUNCTION("""COMPUTED_VALUE"""),"Coursera")</f>
        <v>Coursera</v>
      </c>
      <c r="E39" s="9" t="str">
        <f ca="1">IFERROR(__xludf.DUMMYFUNCTION("""COMPUTED_VALUE"""),"45 days")</f>
        <v>45 days</v>
      </c>
      <c r="F39" s="79">
        <f ca="1">IFERROR(__xludf.DUMMYFUNCTION("""COMPUTED_VALUE"""),43962)</f>
        <v>43962</v>
      </c>
      <c r="G39" s="79">
        <f ca="1">IFERROR(__xludf.DUMMYFUNCTION("""COMPUTED_VALUE"""),43993)</f>
        <v>43993</v>
      </c>
      <c r="H39" s="72">
        <f ca="1">IFERROR(__xludf.DUMMYFUNCTION("""COMPUTED_VALUE"""),43992)</f>
        <v>43992</v>
      </c>
      <c r="I39" s="80">
        <f ca="1">IFERROR(__xludf.DUMMYFUNCTION("""COMPUTED_VALUE"""),100)</f>
        <v>100</v>
      </c>
      <c r="J39" s="9" t="str">
        <f ca="1">IFERROR(__xludf.DUMMYFUNCTION("""COMPUTED_VALUE"""),"NA")</f>
        <v>NA</v>
      </c>
      <c r="K39" s="73" t="str">
        <f ca="1">IFERROR(__xludf.DUMMYFUNCTION("""COMPUTED_VALUE"""),"https://drive.google.com/open?id=1cPx_WF0s9doUfM1_GkZe3bOU5GdjrSt5")</f>
        <v>https://drive.google.com/open?id=1cPx_WF0s9doUfM1_GkZe3bOU5GdjrSt5</v>
      </c>
      <c r="L39" s="9" t="str">
        <f ca="1">IFERROR(__xludf.DUMMYFUNCTION("""COMPUTED_VALUE"""),"2018-2022")</f>
        <v>2018-2022</v>
      </c>
      <c r="M39" s="9" t="str">
        <f ca="1">IFERROR(__xludf.DUMMYFUNCTION("""COMPUTED_VALUE"""),"S4: Student Certifications")</f>
        <v>S4: Student Certifications</v>
      </c>
      <c r="N39" s="9" t="str">
        <f ca="1">IFERROR(__xludf.DUMMYFUNCTION("""COMPUTED_VALUE"""),"ayyappa.vuggina01@gmail.com")</f>
        <v>ayyappa.vuggina01@gmail.com</v>
      </c>
      <c r="O39" s="9" t="str">
        <f ca="1">IFERROR(__xludf.DUMMYFUNCTION("""COMPUTED_VALUE"""),"SEM-4")</f>
        <v>SEM-4</v>
      </c>
      <c r="P39" s="9"/>
      <c r="Q39" s="9"/>
      <c r="R39" s="9"/>
      <c r="S39" s="9"/>
      <c r="T39" s="9"/>
      <c r="U39" s="9"/>
      <c r="V39" s="9"/>
      <c r="W39" s="9"/>
      <c r="X39" s="9"/>
      <c r="Y39" s="9"/>
    </row>
    <row r="40" spans="1:25" ht="26.25" customHeight="1" x14ac:dyDescent="0.15">
      <c r="A40" s="9" t="str">
        <f ca="1">IFERROR(__xludf.DUMMYFUNCTION("""COMPUTED_VALUE"""),"Alluri Vishnu Vardhan Varma ")</f>
        <v xml:space="preserve">Alluri Vishnu Vardhan Varma </v>
      </c>
      <c r="B40" s="9" t="str">
        <f ca="1">IFERROR(__xludf.DUMMYFUNCTION("""COMPUTED_VALUE"""),"18331A0504")</f>
        <v>18331A0504</v>
      </c>
      <c r="C40" s="78" t="str">
        <f ca="1">IFERROR(__xludf.DUMMYFUNCTION("""COMPUTED_VALUE"""),"Programming Essentials in Python")</f>
        <v>Programming Essentials in Python</v>
      </c>
      <c r="D40" s="9" t="str">
        <f ca="1">IFERROR(__xludf.DUMMYFUNCTION("""COMPUTED_VALUE"""),"Cisco")</f>
        <v>Cisco</v>
      </c>
      <c r="E40" s="9" t="str">
        <f ca="1">IFERROR(__xludf.DUMMYFUNCTION("""COMPUTED_VALUE"""),"2 months")</f>
        <v>2 months</v>
      </c>
      <c r="F40" s="79">
        <f ca="1">IFERROR(__xludf.DUMMYFUNCTION("""COMPUTED_VALUE"""),44329)</f>
        <v>44329</v>
      </c>
      <c r="G40" s="79">
        <f ca="1">IFERROR(__xludf.DUMMYFUNCTION("""COMPUTED_VALUE"""),44386)</f>
        <v>44386</v>
      </c>
      <c r="H40" s="72">
        <f ca="1">IFERROR(__xludf.DUMMYFUNCTION("""COMPUTED_VALUE"""),44386)</f>
        <v>44386</v>
      </c>
      <c r="I40" s="80">
        <f ca="1">IFERROR(__xludf.DUMMYFUNCTION("""COMPUTED_VALUE"""),87)</f>
        <v>87</v>
      </c>
      <c r="J40" s="9" t="str">
        <f ca="1">IFERROR(__xludf.DUMMYFUNCTION("""COMPUTED_VALUE"""),"Dr.Ravi Kiran Varma")</f>
        <v>Dr.Ravi Kiran Varma</v>
      </c>
      <c r="K40" s="73" t="str">
        <f ca="1">IFERROR(__xludf.DUMMYFUNCTION("""COMPUTED_VALUE"""),"https://drive.google.com/open?id=1yr0kBqoZsc_zc9qQEBxEHDJokNdQsJKu")</f>
        <v>https://drive.google.com/open?id=1yr0kBqoZsc_zc9qQEBxEHDJokNdQsJKu</v>
      </c>
      <c r="L40" s="9" t="str">
        <f ca="1">IFERROR(__xludf.DUMMYFUNCTION("""COMPUTED_VALUE"""),"2018-2022")</f>
        <v>2018-2022</v>
      </c>
      <c r="M40" s="9" t="str">
        <f ca="1">IFERROR(__xludf.DUMMYFUNCTION("""COMPUTED_VALUE"""),"S4: Student Certifications")</f>
        <v>S4: Student Certifications</v>
      </c>
      <c r="N40" s="9" t="str">
        <f ca="1">IFERROR(__xludf.DUMMYFUNCTION("""COMPUTED_VALUE"""),"vvvarma2001@gmail.com")</f>
        <v>vvvarma2001@gmail.com</v>
      </c>
      <c r="O40" s="9" t="str">
        <f ca="1">IFERROR(__xludf.DUMMYFUNCTION("""COMPUTED_VALUE"""),"SEM-8")</f>
        <v>SEM-8</v>
      </c>
      <c r="P40" s="9"/>
      <c r="Q40" s="9"/>
      <c r="R40" s="9"/>
      <c r="S40" s="9"/>
      <c r="T40" s="9"/>
      <c r="U40" s="9"/>
      <c r="V40" s="9"/>
      <c r="W40" s="9"/>
      <c r="X40" s="9"/>
      <c r="Y40" s="9"/>
    </row>
    <row r="41" spans="1:25" ht="26.25" customHeight="1" x14ac:dyDescent="0.15">
      <c r="A41" s="9" t="str">
        <f ca="1">IFERROR(__xludf.DUMMYFUNCTION("""COMPUTED_VALUE"""),"VUGGINA VEERA VENKATA SATYA VARAHA AYYAPPA")</f>
        <v>VUGGINA VEERA VENKATA SATYA VARAHA AYYAPPA</v>
      </c>
      <c r="B41" s="9" t="str">
        <f ca="1">IFERROR(__xludf.DUMMYFUNCTION("""COMPUTED_VALUE"""),"19335A0518")</f>
        <v>19335A0518</v>
      </c>
      <c r="C41" s="78" t="str">
        <f ca="1">IFERROR(__xludf.DUMMYFUNCTION("""COMPUTED_VALUE"""),"Programming for Everybody ")</f>
        <v xml:space="preserve">Programming for Everybody </v>
      </c>
      <c r="D41" s="9" t="str">
        <f ca="1">IFERROR(__xludf.DUMMYFUNCTION("""COMPUTED_VALUE"""),"Coursera")</f>
        <v>Coursera</v>
      </c>
      <c r="E41" s="9" t="str">
        <f ca="1">IFERROR(__xludf.DUMMYFUNCTION("""COMPUTED_VALUE"""),"2 MONTHS")</f>
        <v>2 MONTHS</v>
      </c>
      <c r="F41" s="79">
        <f ca="1">IFERROR(__xludf.DUMMYFUNCTION("""COMPUTED_VALUE"""),43911)</f>
        <v>43911</v>
      </c>
      <c r="G41" s="79">
        <f ca="1">IFERROR(__xludf.DUMMYFUNCTION("""COMPUTED_VALUE"""),43969)</f>
        <v>43969</v>
      </c>
      <c r="H41" s="72">
        <f ca="1">IFERROR(__xludf.DUMMYFUNCTION("""COMPUTED_VALUE"""),43966)</f>
        <v>43966</v>
      </c>
      <c r="I41" s="80">
        <f ca="1">IFERROR(__xludf.DUMMYFUNCTION("""COMPUTED_VALUE"""),100)</f>
        <v>100</v>
      </c>
      <c r="J41" s="9" t="str">
        <f ca="1">IFERROR(__xludf.DUMMYFUNCTION("""COMPUTED_VALUE"""),"NA")</f>
        <v>NA</v>
      </c>
      <c r="K41" s="73" t="str">
        <f ca="1">IFERROR(__xludf.DUMMYFUNCTION("""COMPUTED_VALUE"""),"https://drive.google.com/open?id=1snLSTDItYM6XqrV7D2RDPUr_OFCaKzBn")</f>
        <v>https://drive.google.com/open?id=1snLSTDItYM6XqrV7D2RDPUr_OFCaKzBn</v>
      </c>
      <c r="L41" s="9" t="str">
        <f ca="1">IFERROR(__xludf.DUMMYFUNCTION("""COMPUTED_VALUE"""),"2018-2022")</f>
        <v>2018-2022</v>
      </c>
      <c r="M41" s="9" t="str">
        <f ca="1">IFERROR(__xludf.DUMMYFUNCTION("""COMPUTED_VALUE"""),"S4: Student Certifications")</f>
        <v>S4: Student Certifications</v>
      </c>
      <c r="N41" s="9" t="str">
        <f ca="1">IFERROR(__xludf.DUMMYFUNCTION("""COMPUTED_VALUE"""),"ayyappa.vuggina01@gmail.com")</f>
        <v>ayyappa.vuggina01@gmail.com</v>
      </c>
      <c r="O41" s="9" t="str">
        <f ca="1">IFERROR(__xludf.DUMMYFUNCTION("""COMPUTED_VALUE"""),"SEM-4")</f>
        <v>SEM-4</v>
      </c>
      <c r="P41" s="9"/>
      <c r="Q41" s="9"/>
      <c r="R41" s="9"/>
      <c r="S41" s="9"/>
      <c r="T41" s="9"/>
      <c r="U41" s="9"/>
      <c r="V41" s="9"/>
      <c r="W41" s="9"/>
      <c r="X41" s="9"/>
      <c r="Y41" s="9"/>
    </row>
    <row r="42" spans="1:25" ht="26.25" customHeight="1" x14ac:dyDescent="0.15">
      <c r="A42" s="9" t="str">
        <f ca="1">IFERROR(__xludf.DUMMYFUNCTION("""COMPUTED_VALUE"""),"Alluri Vishnu Vardhan Varma ")</f>
        <v xml:space="preserve">Alluri Vishnu Vardhan Varma </v>
      </c>
      <c r="B42" s="9" t="str">
        <f ca="1">IFERROR(__xludf.DUMMYFUNCTION("""COMPUTED_VALUE"""),"18331A0504")</f>
        <v>18331A0504</v>
      </c>
      <c r="C42" s="78" t="str">
        <f ca="1">IFERROR(__xludf.DUMMYFUNCTION("""COMPUTED_VALUE"""),"Matlab")</f>
        <v>Matlab</v>
      </c>
      <c r="D42" s="9" t="str">
        <f ca="1">IFERROR(__xludf.DUMMYFUNCTION("""COMPUTED_VALUE"""),"MathWorks")</f>
        <v>MathWorks</v>
      </c>
      <c r="E42" s="9" t="str">
        <f ca="1">IFERROR(__xludf.DUMMYFUNCTION("""COMPUTED_VALUE"""),"1 month")</f>
        <v>1 month</v>
      </c>
      <c r="F42" s="79">
        <f ca="1">IFERROR(__xludf.DUMMYFUNCTION("""COMPUTED_VALUE"""),44208)</f>
        <v>44208</v>
      </c>
      <c r="G42" s="79">
        <f ca="1">IFERROR(__xludf.DUMMYFUNCTION("""COMPUTED_VALUE"""),44244)</f>
        <v>44244</v>
      </c>
      <c r="H42" s="72">
        <f ca="1">IFERROR(__xludf.DUMMYFUNCTION("""COMPUTED_VALUE"""),44244)</f>
        <v>44244</v>
      </c>
      <c r="I42" s="80">
        <f ca="1">IFERROR(__xludf.DUMMYFUNCTION("""COMPUTED_VALUE"""),100)</f>
        <v>100</v>
      </c>
      <c r="J42" s="9" t="str">
        <f ca="1">IFERROR(__xludf.DUMMYFUNCTION("""COMPUTED_VALUE"""),"Self Learning")</f>
        <v>Self Learning</v>
      </c>
      <c r="K42" s="73" t="str">
        <f ca="1">IFERROR(__xludf.DUMMYFUNCTION("""COMPUTED_VALUE"""),"https://drive.google.com/open?id=1DXcdXzCkOcbyhBhLXOKT4jhAX9XdM3_G")</f>
        <v>https://drive.google.com/open?id=1DXcdXzCkOcbyhBhLXOKT4jhAX9XdM3_G</v>
      </c>
      <c r="L42" s="9" t="str">
        <f ca="1">IFERROR(__xludf.DUMMYFUNCTION("""COMPUTED_VALUE"""),"2018-2022")</f>
        <v>2018-2022</v>
      </c>
      <c r="M42" s="9" t="str">
        <f ca="1">IFERROR(__xludf.DUMMYFUNCTION("""COMPUTED_VALUE"""),"S4: Student Certifications")</f>
        <v>S4: Student Certifications</v>
      </c>
      <c r="N42" s="9" t="str">
        <f ca="1">IFERROR(__xludf.DUMMYFUNCTION("""COMPUTED_VALUE"""),"vvvarma2001@gmail.com")</f>
        <v>vvvarma2001@gmail.com</v>
      </c>
      <c r="O42" s="9" t="str">
        <f ca="1">IFERROR(__xludf.DUMMYFUNCTION("""COMPUTED_VALUE"""),"SEM-8")</f>
        <v>SEM-8</v>
      </c>
      <c r="P42" s="9"/>
      <c r="Q42" s="9"/>
      <c r="R42" s="9"/>
      <c r="S42" s="9"/>
      <c r="T42" s="9"/>
      <c r="U42" s="9"/>
      <c r="V42" s="9"/>
      <c r="W42" s="9"/>
      <c r="X42" s="9"/>
      <c r="Y42" s="9"/>
    </row>
    <row r="43" spans="1:25" ht="26.25" customHeight="1" x14ac:dyDescent="0.15">
      <c r="A43" s="9" t="str">
        <f ca="1">IFERROR(__xludf.DUMMYFUNCTION("""COMPUTED_VALUE"""),"Gorle Jayasri")</f>
        <v>Gorle Jayasri</v>
      </c>
      <c r="B43" s="9" t="str">
        <f ca="1">IFERROR(__xludf.DUMMYFUNCTION("""COMPUTED_VALUE"""),"19335A0505")</f>
        <v>19335A0505</v>
      </c>
      <c r="C43" s="78" t="str">
        <f ca="1">IFERROR(__xludf.DUMMYFUNCTION("""COMPUTED_VALUE"""),"Programming for Everybody ")</f>
        <v xml:space="preserve">Programming for Everybody </v>
      </c>
      <c r="D43" s="9" t="str">
        <f ca="1">IFERROR(__xludf.DUMMYFUNCTION("""COMPUTED_VALUE"""),"Coursera")</f>
        <v>Coursera</v>
      </c>
      <c r="E43" s="9" t="str">
        <f ca="1">IFERROR(__xludf.DUMMYFUNCTION("""COMPUTED_VALUE"""),"2 months")</f>
        <v>2 months</v>
      </c>
      <c r="F43" s="79">
        <f ca="1">IFERROR(__xludf.DUMMYFUNCTION("""COMPUTED_VALUE"""),43864)</f>
        <v>43864</v>
      </c>
      <c r="G43" s="79">
        <f ca="1">IFERROR(__xludf.DUMMYFUNCTION("""COMPUTED_VALUE"""),43921)</f>
        <v>43921</v>
      </c>
      <c r="H43" s="72">
        <f ca="1">IFERROR(__xludf.DUMMYFUNCTION("""COMPUTED_VALUE"""),43923)</f>
        <v>43923</v>
      </c>
      <c r="I43" s="80">
        <f ca="1">IFERROR(__xludf.DUMMYFUNCTION("""COMPUTED_VALUE"""),96)</f>
        <v>96</v>
      </c>
      <c r="J43" s="9" t="str">
        <f ca="1">IFERROR(__xludf.DUMMYFUNCTION("""COMPUTED_VALUE"""),".")</f>
        <v>.</v>
      </c>
      <c r="K43" s="73" t="str">
        <f ca="1">IFERROR(__xludf.DUMMYFUNCTION("""COMPUTED_VALUE"""),"https://drive.google.com/open?id=17WoFN9WMB3spWhb84feUEwJqfHh35LmO")</f>
        <v>https://drive.google.com/open?id=17WoFN9WMB3spWhb84feUEwJqfHh35LmO</v>
      </c>
      <c r="L43" s="9" t="str">
        <f ca="1">IFERROR(__xludf.DUMMYFUNCTION("""COMPUTED_VALUE"""),"2018-2022")</f>
        <v>2018-2022</v>
      </c>
      <c r="M43" s="9" t="str">
        <f ca="1">IFERROR(__xludf.DUMMYFUNCTION("""COMPUTED_VALUE"""),"S4: Student Certifications")</f>
        <v>S4: Student Certifications</v>
      </c>
      <c r="N43" s="9" t="str">
        <f ca="1">IFERROR(__xludf.DUMMYFUNCTION("""COMPUTED_VALUE"""),"gorlejayasri99@gmail.com")</f>
        <v>gorlejayasri99@gmail.com</v>
      </c>
      <c r="O43" s="9" t="str">
        <f ca="1">IFERROR(__xludf.DUMMYFUNCTION("""COMPUTED_VALUE"""),"SEM-4")</f>
        <v>SEM-4</v>
      </c>
      <c r="P43" s="9"/>
      <c r="Q43" s="9"/>
      <c r="R43" s="9"/>
      <c r="S43" s="9"/>
      <c r="T43" s="9"/>
      <c r="U43" s="9"/>
      <c r="V43" s="9"/>
      <c r="W43" s="9"/>
      <c r="X43" s="9"/>
      <c r="Y43" s="9"/>
    </row>
    <row r="44" spans="1:25" ht="26.25" customHeight="1" x14ac:dyDescent="0.15">
      <c r="A44" s="9" t="str">
        <f ca="1">IFERROR(__xludf.DUMMYFUNCTION("""COMPUTED_VALUE"""),"VUGGINA VEERA VENKATA SATYA VARAHA AYYAPPA")</f>
        <v>VUGGINA VEERA VENKATA SATYA VARAHA AYYAPPA</v>
      </c>
      <c r="B44" s="9" t="str">
        <f ca="1">IFERROR(__xludf.DUMMYFUNCTION("""COMPUTED_VALUE"""),"19335A0518")</f>
        <v>19335A0518</v>
      </c>
      <c r="C44" s="78" t="str">
        <f ca="1">IFERROR(__xludf.DUMMYFUNCTION("""COMPUTED_VALUE"""),"Classical Cryptosystems and Core Concepts")</f>
        <v>Classical Cryptosystems and Core Concepts</v>
      </c>
      <c r="D44" s="9" t="str">
        <f ca="1">IFERROR(__xludf.DUMMYFUNCTION("""COMPUTED_VALUE"""),"Coursera")</f>
        <v>Coursera</v>
      </c>
      <c r="E44" s="9" t="str">
        <f ca="1">IFERROR(__xludf.DUMMYFUNCTION("""COMPUTED_VALUE"""),"2 MONTHS")</f>
        <v>2 MONTHS</v>
      </c>
      <c r="F44" s="79">
        <f ca="1">IFERROR(__xludf.DUMMYFUNCTION("""COMPUTED_VALUE"""),44018)</f>
        <v>44018</v>
      </c>
      <c r="G44" s="79">
        <f ca="1">IFERROR(__xludf.DUMMYFUNCTION("""COMPUTED_VALUE"""),44081)</f>
        <v>44081</v>
      </c>
      <c r="H44" s="72">
        <f ca="1">IFERROR(__xludf.DUMMYFUNCTION("""COMPUTED_VALUE"""),44080)</f>
        <v>44080</v>
      </c>
      <c r="I44" s="80">
        <f ca="1">IFERROR(__xludf.DUMMYFUNCTION("""COMPUTED_VALUE"""),100)</f>
        <v>100</v>
      </c>
      <c r="J44" s="9" t="str">
        <f ca="1">IFERROR(__xludf.DUMMYFUNCTION("""COMPUTED_VALUE"""),"NA")</f>
        <v>NA</v>
      </c>
      <c r="K44" s="73" t="str">
        <f ca="1">IFERROR(__xludf.DUMMYFUNCTION("""COMPUTED_VALUE"""),"https://drive.google.com/open?id=1sQlYEdwj_KjmRMuHxd_Ck5LyLI73v53O")</f>
        <v>https://drive.google.com/open?id=1sQlYEdwj_KjmRMuHxd_Ck5LyLI73v53O</v>
      </c>
      <c r="L44" s="9" t="str">
        <f ca="1">IFERROR(__xludf.DUMMYFUNCTION("""COMPUTED_VALUE"""),"2018-2022")</f>
        <v>2018-2022</v>
      </c>
      <c r="M44" s="9" t="str">
        <f ca="1">IFERROR(__xludf.DUMMYFUNCTION("""COMPUTED_VALUE"""),"S4: Student Certifications")</f>
        <v>S4: Student Certifications</v>
      </c>
      <c r="N44" s="9" t="str">
        <f ca="1">IFERROR(__xludf.DUMMYFUNCTION("""COMPUTED_VALUE"""),"ayyappa.vuggina01@gmail.com")</f>
        <v>ayyappa.vuggina01@gmail.com</v>
      </c>
      <c r="O44" s="9" t="str">
        <f ca="1">IFERROR(__xludf.DUMMYFUNCTION("""COMPUTED_VALUE"""),"SEM-5")</f>
        <v>SEM-5</v>
      </c>
      <c r="P44" s="9"/>
      <c r="Q44" s="9"/>
      <c r="R44" s="9"/>
      <c r="S44" s="9"/>
      <c r="T44" s="9"/>
      <c r="U44" s="9"/>
      <c r="V44" s="9"/>
      <c r="W44" s="9"/>
      <c r="X44" s="9"/>
      <c r="Y44" s="9"/>
    </row>
    <row r="45" spans="1:25" ht="26.25" customHeight="1" x14ac:dyDescent="0.15">
      <c r="A45" s="9" t="str">
        <f ca="1">IFERROR(__xludf.DUMMYFUNCTION("""COMPUTED_VALUE"""),"Gorle Jayasri")</f>
        <v>Gorle Jayasri</v>
      </c>
      <c r="B45" s="9" t="str">
        <f ca="1">IFERROR(__xludf.DUMMYFUNCTION("""COMPUTED_VALUE"""),"19335A0505")</f>
        <v>19335A0505</v>
      </c>
      <c r="C45" s="78" t="str">
        <f ca="1">IFERROR(__xludf.DUMMYFUNCTION("""COMPUTED_VALUE"""),"What is Data Science")</f>
        <v>What is Data Science</v>
      </c>
      <c r="D45" s="9" t="str">
        <f ca="1">IFERROR(__xludf.DUMMYFUNCTION("""COMPUTED_VALUE"""),"Coursera")</f>
        <v>Coursera</v>
      </c>
      <c r="E45" s="9" t="str">
        <f ca="1">IFERROR(__xludf.DUMMYFUNCTION("""COMPUTED_VALUE"""),"2 months")</f>
        <v>2 months</v>
      </c>
      <c r="F45" s="79">
        <f ca="1">IFERROR(__xludf.DUMMYFUNCTION("""COMPUTED_VALUE"""),43891)</f>
        <v>43891</v>
      </c>
      <c r="G45" s="79">
        <f ca="1">IFERROR(__xludf.DUMMYFUNCTION("""COMPUTED_VALUE"""),43941)</f>
        <v>43941</v>
      </c>
      <c r="H45" s="72">
        <f ca="1">IFERROR(__xludf.DUMMYFUNCTION("""COMPUTED_VALUE"""),43945)</f>
        <v>43945</v>
      </c>
      <c r="I45" s="80">
        <f ca="1">IFERROR(__xludf.DUMMYFUNCTION("""COMPUTED_VALUE"""),90)</f>
        <v>90</v>
      </c>
      <c r="J45" s="9" t="str">
        <f ca="1">IFERROR(__xludf.DUMMYFUNCTION("""COMPUTED_VALUE"""),".")</f>
        <v>.</v>
      </c>
      <c r="K45" s="73" t="str">
        <f ca="1">IFERROR(__xludf.DUMMYFUNCTION("""COMPUTED_VALUE"""),"https://drive.google.com/open?id=1RxUqwi4Bbgsj0-AYaZjFPewNmTLYF7RM")</f>
        <v>https://drive.google.com/open?id=1RxUqwi4Bbgsj0-AYaZjFPewNmTLYF7RM</v>
      </c>
      <c r="L45" s="9" t="str">
        <f ca="1">IFERROR(__xludf.DUMMYFUNCTION("""COMPUTED_VALUE"""),"2018-2022")</f>
        <v>2018-2022</v>
      </c>
      <c r="M45" s="9" t="str">
        <f ca="1">IFERROR(__xludf.DUMMYFUNCTION("""COMPUTED_VALUE"""),"S4: Student Certifications")</f>
        <v>S4: Student Certifications</v>
      </c>
      <c r="N45" s="9" t="str">
        <f ca="1">IFERROR(__xludf.DUMMYFUNCTION("""COMPUTED_VALUE"""),"gorlejayasri99@gmail.com")</f>
        <v>gorlejayasri99@gmail.com</v>
      </c>
      <c r="O45" s="9" t="str">
        <f ca="1">IFERROR(__xludf.DUMMYFUNCTION("""COMPUTED_VALUE"""),"SEM-4")</f>
        <v>SEM-4</v>
      </c>
      <c r="P45" s="9"/>
      <c r="Q45" s="9"/>
      <c r="R45" s="9"/>
      <c r="S45" s="9"/>
      <c r="T45" s="9"/>
      <c r="U45" s="9"/>
      <c r="V45" s="9"/>
      <c r="W45" s="9"/>
      <c r="X45" s="9"/>
      <c r="Y45" s="9"/>
    </row>
    <row r="46" spans="1:25" ht="26.25" customHeight="1" x14ac:dyDescent="0.15">
      <c r="A46" s="9" t="str">
        <f ca="1">IFERROR(__xludf.DUMMYFUNCTION("""COMPUTED_VALUE"""),"Alluri Vishnu Vardhan Varma ")</f>
        <v xml:space="preserve">Alluri Vishnu Vardhan Varma </v>
      </c>
      <c r="B46" s="9" t="str">
        <f ca="1">IFERROR(__xludf.DUMMYFUNCTION("""COMPUTED_VALUE"""),"18331A0504")</f>
        <v>18331A0504</v>
      </c>
      <c r="C46" s="78" t="str">
        <f ca="1">IFERROR(__xludf.DUMMYFUNCTION("""COMPUTED_VALUE"""),"Getting Started with Python")</f>
        <v>Getting Started with Python</v>
      </c>
      <c r="D46" s="9" t="str">
        <f ca="1">IFERROR(__xludf.DUMMYFUNCTION("""COMPUTED_VALUE"""),"Coursera")</f>
        <v>Coursera</v>
      </c>
      <c r="E46" s="9" t="str">
        <f ca="1">IFERROR(__xludf.DUMMYFUNCTION("""COMPUTED_VALUE"""),"1 month")</f>
        <v>1 month</v>
      </c>
      <c r="F46" s="79">
        <f ca="1">IFERROR(__xludf.DUMMYFUNCTION("""COMPUTED_VALUE"""),43864)</f>
        <v>43864</v>
      </c>
      <c r="G46" s="79">
        <f ca="1">IFERROR(__xludf.DUMMYFUNCTION("""COMPUTED_VALUE"""),43895)</f>
        <v>43895</v>
      </c>
      <c r="H46" s="72">
        <f ca="1">IFERROR(__xludf.DUMMYFUNCTION("""COMPUTED_VALUE"""),43895)</f>
        <v>43895</v>
      </c>
      <c r="I46" s="80">
        <f ca="1">IFERROR(__xludf.DUMMYFUNCTION("""COMPUTED_VALUE"""),87)</f>
        <v>87</v>
      </c>
      <c r="J46" s="9" t="str">
        <f ca="1">IFERROR(__xludf.DUMMYFUNCTION("""COMPUTED_VALUE"""),"Self Learning")</f>
        <v>Self Learning</v>
      </c>
      <c r="K46" s="73" t="str">
        <f ca="1">IFERROR(__xludf.DUMMYFUNCTION("""COMPUTED_VALUE"""),"https://drive.google.com/open?id=1rvgWR3i5McsxAnq_-ne6ZbqkJcF31fxr")</f>
        <v>https://drive.google.com/open?id=1rvgWR3i5McsxAnq_-ne6ZbqkJcF31fxr</v>
      </c>
      <c r="L46" s="9" t="str">
        <f ca="1">IFERROR(__xludf.DUMMYFUNCTION("""COMPUTED_VALUE"""),"2018-2022")</f>
        <v>2018-2022</v>
      </c>
      <c r="M46" s="9" t="str">
        <f ca="1">IFERROR(__xludf.DUMMYFUNCTION("""COMPUTED_VALUE"""),"S4: Student Certifications")</f>
        <v>S4: Student Certifications</v>
      </c>
      <c r="N46" s="9" t="str">
        <f ca="1">IFERROR(__xludf.DUMMYFUNCTION("""COMPUTED_VALUE"""),"vvvarma2001@gmail.com")</f>
        <v>vvvarma2001@gmail.com</v>
      </c>
      <c r="O46" s="9" t="str">
        <f ca="1">IFERROR(__xludf.DUMMYFUNCTION("""COMPUTED_VALUE"""),"SEM-8")</f>
        <v>SEM-8</v>
      </c>
      <c r="P46" s="9"/>
      <c r="Q46" s="9"/>
      <c r="R46" s="9"/>
      <c r="S46" s="9"/>
      <c r="T46" s="9"/>
      <c r="U46" s="9"/>
      <c r="V46" s="9"/>
      <c r="W46" s="9"/>
      <c r="X46" s="9"/>
      <c r="Y46" s="9"/>
    </row>
    <row r="47" spans="1:25" ht="26.25" customHeight="1" x14ac:dyDescent="0.15">
      <c r="A47" s="9" t="str">
        <f ca="1">IFERROR(__xludf.DUMMYFUNCTION("""COMPUTED_VALUE"""),"Alluri Vishnu Vardhan Varma ")</f>
        <v xml:space="preserve">Alluri Vishnu Vardhan Varma </v>
      </c>
      <c r="B47" s="9" t="str">
        <f ca="1">IFERROR(__xludf.DUMMYFUNCTION("""COMPUTED_VALUE"""),"18331A0504")</f>
        <v>18331A0504</v>
      </c>
      <c r="C47" s="78" t="str">
        <f ca="1">IFERROR(__xludf.DUMMYFUNCTION("""COMPUTED_VALUE"""),"Python Data Structures")</f>
        <v>Python Data Structures</v>
      </c>
      <c r="D47" s="9" t="str">
        <f ca="1">IFERROR(__xludf.DUMMYFUNCTION("""COMPUTED_VALUE"""),"Coursera")</f>
        <v>Coursera</v>
      </c>
      <c r="E47" s="9" t="str">
        <f ca="1">IFERROR(__xludf.DUMMYFUNCTION("""COMPUTED_VALUE"""),"2 months")</f>
        <v>2 months</v>
      </c>
      <c r="F47" s="79">
        <f ca="1">IFERROR(__xludf.DUMMYFUNCTION("""COMPUTED_VALUE"""),43908)</f>
        <v>43908</v>
      </c>
      <c r="G47" s="79">
        <f ca="1">IFERROR(__xludf.DUMMYFUNCTION("""COMPUTED_VALUE"""),43967)</f>
        <v>43967</v>
      </c>
      <c r="H47" s="72">
        <f ca="1">IFERROR(__xludf.DUMMYFUNCTION("""COMPUTED_VALUE"""),43967)</f>
        <v>43967</v>
      </c>
      <c r="I47" s="80">
        <f ca="1">IFERROR(__xludf.DUMMYFUNCTION("""COMPUTED_VALUE"""),82)</f>
        <v>82</v>
      </c>
      <c r="J47" s="9" t="str">
        <f ca="1">IFERROR(__xludf.DUMMYFUNCTION("""COMPUTED_VALUE"""),"Self Learning ")</f>
        <v xml:space="preserve">Self Learning </v>
      </c>
      <c r="K47" s="73" t="str">
        <f ca="1">IFERROR(__xludf.DUMMYFUNCTION("""COMPUTED_VALUE"""),"https://drive.google.com/open?id=1bH4XKH46QEMsaBFlfL864MyY17Fp4rhR")</f>
        <v>https://drive.google.com/open?id=1bH4XKH46QEMsaBFlfL864MyY17Fp4rhR</v>
      </c>
      <c r="L47" s="9" t="str">
        <f ca="1">IFERROR(__xludf.DUMMYFUNCTION("""COMPUTED_VALUE"""),"2018-2022")</f>
        <v>2018-2022</v>
      </c>
      <c r="M47" s="9" t="str">
        <f ca="1">IFERROR(__xludf.DUMMYFUNCTION("""COMPUTED_VALUE"""),"S4: Student Certifications")</f>
        <v>S4: Student Certifications</v>
      </c>
      <c r="N47" s="9" t="str">
        <f ca="1">IFERROR(__xludf.DUMMYFUNCTION("""COMPUTED_VALUE"""),"vvvarma2001@gmail.com")</f>
        <v>vvvarma2001@gmail.com</v>
      </c>
      <c r="O47" s="9" t="str">
        <f ca="1">IFERROR(__xludf.DUMMYFUNCTION("""COMPUTED_VALUE"""),"SEM-8")</f>
        <v>SEM-8</v>
      </c>
      <c r="P47" s="9"/>
      <c r="Q47" s="9"/>
      <c r="R47" s="9"/>
      <c r="S47" s="9"/>
      <c r="T47" s="9"/>
      <c r="U47" s="9"/>
      <c r="V47" s="9"/>
      <c r="W47" s="9"/>
      <c r="X47" s="9"/>
      <c r="Y47" s="9"/>
    </row>
    <row r="48" spans="1:25" ht="26.25" customHeight="1" x14ac:dyDescent="0.15">
      <c r="A48" s="9" t="str">
        <f ca="1">IFERROR(__xludf.DUMMYFUNCTION("""COMPUTED_VALUE"""),"Alluri Vishnu Vardhan Varma ")</f>
        <v xml:space="preserve">Alluri Vishnu Vardhan Varma </v>
      </c>
      <c r="B48" s="9" t="str">
        <f ca="1">IFERROR(__xludf.DUMMYFUNCTION("""COMPUTED_VALUE"""),"18331A0504")</f>
        <v>18331A0504</v>
      </c>
      <c r="C48" s="78" t="str">
        <f ca="1">IFERROR(__xludf.DUMMYFUNCTION("""COMPUTED_VALUE"""),"Machine Learning for All")</f>
        <v>Machine Learning for All</v>
      </c>
      <c r="D48" s="9" t="str">
        <f ca="1">IFERROR(__xludf.DUMMYFUNCTION("""COMPUTED_VALUE"""),"Coursera")</f>
        <v>Coursera</v>
      </c>
      <c r="E48" s="9" t="str">
        <f ca="1">IFERROR(__xludf.DUMMYFUNCTION("""COMPUTED_VALUE"""),"1 month")</f>
        <v>1 month</v>
      </c>
      <c r="F48" s="79">
        <f ca="1">IFERROR(__xludf.DUMMYFUNCTION("""COMPUTED_VALUE"""),43903)</f>
        <v>43903</v>
      </c>
      <c r="G48" s="79">
        <f ca="1">IFERROR(__xludf.DUMMYFUNCTION("""COMPUTED_VALUE"""),43925)</f>
        <v>43925</v>
      </c>
      <c r="H48" s="72">
        <f ca="1">IFERROR(__xludf.DUMMYFUNCTION("""COMPUTED_VALUE"""),43942)</f>
        <v>43942</v>
      </c>
      <c r="I48" s="80">
        <f ca="1">IFERROR(__xludf.DUMMYFUNCTION("""COMPUTED_VALUE"""),83)</f>
        <v>83</v>
      </c>
      <c r="J48" s="9" t="str">
        <f ca="1">IFERROR(__xludf.DUMMYFUNCTION("""COMPUTED_VALUE"""),"Self Learning ")</f>
        <v xml:space="preserve">Self Learning </v>
      </c>
      <c r="K48" s="73" t="str">
        <f ca="1">IFERROR(__xludf.DUMMYFUNCTION("""COMPUTED_VALUE"""),"https://drive.google.com/open?id=1e_2MubAzEkdFujWjr27BAhXJYOS91CyG")</f>
        <v>https://drive.google.com/open?id=1e_2MubAzEkdFujWjr27BAhXJYOS91CyG</v>
      </c>
      <c r="L48" s="9" t="str">
        <f ca="1">IFERROR(__xludf.DUMMYFUNCTION("""COMPUTED_VALUE"""),"2018-2022")</f>
        <v>2018-2022</v>
      </c>
      <c r="M48" s="9" t="str">
        <f ca="1">IFERROR(__xludf.DUMMYFUNCTION("""COMPUTED_VALUE"""),"S4: Student Certifications")</f>
        <v>S4: Student Certifications</v>
      </c>
      <c r="N48" s="9" t="str">
        <f ca="1">IFERROR(__xludf.DUMMYFUNCTION("""COMPUTED_VALUE"""),"vvvarma2001@gmail.com")</f>
        <v>vvvarma2001@gmail.com</v>
      </c>
      <c r="O48" s="9" t="str">
        <f ca="1">IFERROR(__xludf.DUMMYFUNCTION("""COMPUTED_VALUE"""),"SEM-8")</f>
        <v>SEM-8</v>
      </c>
      <c r="P48" s="9"/>
      <c r="Q48" s="9"/>
      <c r="R48" s="9"/>
      <c r="S48" s="9"/>
      <c r="T48" s="9"/>
      <c r="U48" s="9"/>
      <c r="V48" s="9"/>
      <c r="W48" s="9"/>
      <c r="X48" s="9"/>
      <c r="Y48" s="9"/>
    </row>
    <row r="49" spans="1:25" ht="26.25" customHeight="1" x14ac:dyDescent="0.15">
      <c r="A49" s="9" t="str">
        <f ca="1">IFERROR(__xludf.DUMMYFUNCTION("""COMPUTED_VALUE"""),"Alluri Vishnu Vardhan Varma ")</f>
        <v xml:space="preserve">Alluri Vishnu Vardhan Varma </v>
      </c>
      <c r="B49" s="9" t="str">
        <f ca="1">IFERROR(__xludf.DUMMYFUNCTION("""COMPUTED_VALUE"""),"18331A0504")</f>
        <v>18331A0504</v>
      </c>
      <c r="C49" s="78" t="str">
        <f ca="1">IFERROR(__xludf.DUMMYFUNCTION("""COMPUTED_VALUE"""),"AI for Everyone ")</f>
        <v xml:space="preserve">AI for Everyone </v>
      </c>
      <c r="D49" s="9" t="str">
        <f ca="1">IFERROR(__xludf.DUMMYFUNCTION("""COMPUTED_VALUE"""),"Coursera")</f>
        <v>Coursera</v>
      </c>
      <c r="E49" s="9" t="str">
        <f ca="1">IFERROR(__xludf.DUMMYFUNCTION("""COMPUTED_VALUE"""),"1 month")</f>
        <v>1 month</v>
      </c>
      <c r="F49" s="79">
        <f ca="1">IFERROR(__xludf.DUMMYFUNCTION("""COMPUTED_VALUE"""),43911)</f>
        <v>43911</v>
      </c>
      <c r="G49" s="79">
        <f ca="1">IFERROR(__xludf.DUMMYFUNCTION("""COMPUTED_VALUE"""),43941)</f>
        <v>43941</v>
      </c>
      <c r="H49" s="72">
        <f ca="1">IFERROR(__xludf.DUMMYFUNCTION("""COMPUTED_VALUE"""),43941)</f>
        <v>43941</v>
      </c>
      <c r="I49" s="80">
        <f ca="1">IFERROR(__xludf.DUMMYFUNCTION("""COMPUTED_VALUE"""),91)</f>
        <v>91</v>
      </c>
      <c r="J49" s="9" t="str">
        <f ca="1">IFERROR(__xludf.DUMMYFUNCTION("""COMPUTED_VALUE"""),"Self Learning ")</f>
        <v xml:space="preserve">Self Learning </v>
      </c>
      <c r="K49" s="73" t="str">
        <f ca="1">IFERROR(__xludf.DUMMYFUNCTION("""COMPUTED_VALUE"""),"https://drive.google.com/open?id=1bXQldzL7MuT1C-ThtJPgBjxOiWEm41c6")</f>
        <v>https://drive.google.com/open?id=1bXQldzL7MuT1C-ThtJPgBjxOiWEm41c6</v>
      </c>
      <c r="L49" s="9" t="str">
        <f ca="1">IFERROR(__xludf.DUMMYFUNCTION("""COMPUTED_VALUE"""),"2018-2022")</f>
        <v>2018-2022</v>
      </c>
      <c r="M49" s="9" t="str">
        <f ca="1">IFERROR(__xludf.DUMMYFUNCTION("""COMPUTED_VALUE"""),"S4: Student Certifications")</f>
        <v>S4: Student Certifications</v>
      </c>
      <c r="N49" s="9" t="str">
        <f ca="1">IFERROR(__xludf.DUMMYFUNCTION("""COMPUTED_VALUE"""),"vvvarma2001@gmail.com")</f>
        <v>vvvarma2001@gmail.com</v>
      </c>
      <c r="O49" s="9" t="str">
        <f ca="1">IFERROR(__xludf.DUMMYFUNCTION("""COMPUTED_VALUE"""),"SEM-8")</f>
        <v>SEM-8</v>
      </c>
      <c r="P49" s="9"/>
      <c r="Q49" s="9"/>
      <c r="R49" s="9"/>
      <c r="S49" s="9"/>
      <c r="T49" s="9"/>
      <c r="U49" s="9"/>
      <c r="V49" s="9"/>
      <c r="W49" s="9"/>
      <c r="X49" s="9"/>
      <c r="Y49" s="9"/>
    </row>
    <row r="50" spans="1:25" ht="26.25" customHeight="1" x14ac:dyDescent="0.15">
      <c r="A50" s="9" t="str">
        <f ca="1">IFERROR(__xludf.DUMMYFUNCTION("""COMPUTED_VALUE"""),"VUGGINA VEERA VENKATA SATYA VARAHA AYYAPPA")</f>
        <v>VUGGINA VEERA VENKATA SATYA VARAHA AYYAPPA</v>
      </c>
      <c r="B50" s="9" t="str">
        <f ca="1">IFERROR(__xludf.DUMMYFUNCTION("""COMPUTED_VALUE"""),"19335A0518")</f>
        <v>19335A0518</v>
      </c>
      <c r="C50" s="78" t="str">
        <f ca="1">IFERROR(__xludf.DUMMYFUNCTION("""COMPUTED_VALUE"""),"Introduction to Cybersecurity")</f>
        <v>Introduction to Cybersecurity</v>
      </c>
      <c r="D50" s="9" t="str">
        <f ca="1">IFERROR(__xludf.DUMMYFUNCTION("""COMPUTED_VALUE"""),"CISCO")</f>
        <v>CISCO</v>
      </c>
      <c r="E50" s="9" t="str">
        <f ca="1">IFERROR(__xludf.DUMMYFUNCTION("""COMPUTED_VALUE"""),"2 MONTHS")</f>
        <v>2 MONTHS</v>
      </c>
      <c r="F50" s="79">
        <f ca="1">IFERROR(__xludf.DUMMYFUNCTION("""COMPUTED_VALUE"""),44268)</f>
        <v>44268</v>
      </c>
      <c r="G50" s="79">
        <f ca="1">IFERROR(__xludf.DUMMYFUNCTION("""COMPUTED_VALUE"""),44336)</f>
        <v>44336</v>
      </c>
      <c r="H50" s="72">
        <f ca="1">IFERROR(__xludf.DUMMYFUNCTION("""COMPUTED_VALUE"""),44335)</f>
        <v>44335</v>
      </c>
      <c r="I50" s="80">
        <f ca="1">IFERROR(__xludf.DUMMYFUNCTION("""COMPUTED_VALUE"""),100)</f>
        <v>100</v>
      </c>
      <c r="J50" s="9" t="str">
        <f ca="1">IFERROR(__xludf.DUMMYFUNCTION("""COMPUTED_VALUE"""),"DR. RAVI KIRAN VARMA PENMATSA")</f>
        <v>DR. RAVI KIRAN VARMA PENMATSA</v>
      </c>
      <c r="K50" s="73" t="str">
        <f ca="1">IFERROR(__xludf.DUMMYFUNCTION("""COMPUTED_VALUE"""),"https://drive.google.com/open?id=16P-7gXP6ohJrWg3eywzto-usP9EqpkTz")</f>
        <v>https://drive.google.com/open?id=16P-7gXP6ohJrWg3eywzto-usP9EqpkTz</v>
      </c>
      <c r="L50" s="9" t="str">
        <f ca="1">IFERROR(__xludf.DUMMYFUNCTION("""COMPUTED_VALUE"""),"2018-2022")</f>
        <v>2018-2022</v>
      </c>
      <c r="M50" s="9" t="str">
        <f ca="1">IFERROR(__xludf.DUMMYFUNCTION("""COMPUTED_VALUE"""),"S4: Student Certifications")</f>
        <v>S4: Student Certifications</v>
      </c>
      <c r="N50" s="9" t="str">
        <f ca="1">IFERROR(__xludf.DUMMYFUNCTION("""COMPUTED_VALUE"""),"ayyappa.vuggina01@gmail.com")</f>
        <v>ayyappa.vuggina01@gmail.com</v>
      </c>
      <c r="O50" s="9" t="str">
        <f ca="1">IFERROR(__xludf.DUMMYFUNCTION("""COMPUTED_VALUE"""),"SEM-5")</f>
        <v>SEM-5</v>
      </c>
      <c r="P50" s="9"/>
      <c r="Q50" s="9"/>
      <c r="R50" s="9"/>
      <c r="S50" s="9"/>
      <c r="T50" s="9"/>
      <c r="U50" s="9"/>
      <c r="V50" s="9"/>
      <c r="W50" s="9"/>
      <c r="X50" s="9"/>
      <c r="Y50" s="9"/>
    </row>
    <row r="51" spans="1:25" ht="26.25" customHeight="1" x14ac:dyDescent="0.15">
      <c r="A51" s="9" t="str">
        <f ca="1">IFERROR(__xludf.DUMMYFUNCTION("""COMPUTED_VALUE"""),"vuggina veera venkata satya varaha ayyappa")</f>
        <v>vuggina veera venkata satya varaha ayyappa</v>
      </c>
      <c r="B51" s="9" t="str">
        <f ca="1">IFERROR(__xludf.DUMMYFUNCTION("""COMPUTED_VALUE"""),"19335A0518")</f>
        <v>19335A0518</v>
      </c>
      <c r="C51" s="78" t="str">
        <f ca="1">IFERROR(__xludf.DUMMYFUNCTION("""COMPUTED_VALUE"""),"Cybersecurity Essentials")</f>
        <v>Cybersecurity Essentials</v>
      </c>
      <c r="D51" s="9" t="str">
        <f ca="1">IFERROR(__xludf.DUMMYFUNCTION("""COMPUTED_VALUE"""),"cisco")</f>
        <v>cisco</v>
      </c>
      <c r="E51" s="9" t="str">
        <f ca="1">IFERROR(__xludf.DUMMYFUNCTION("""COMPUTED_VALUE"""),"2 months")</f>
        <v>2 months</v>
      </c>
      <c r="F51" s="79">
        <f ca="1">IFERROR(__xludf.DUMMYFUNCTION("""COMPUTED_VALUE"""),44341)</f>
        <v>44341</v>
      </c>
      <c r="G51" s="79">
        <f ca="1">IFERROR(__xludf.DUMMYFUNCTION("""COMPUTED_VALUE"""),44404)</f>
        <v>44404</v>
      </c>
      <c r="H51" s="72">
        <f ca="1">IFERROR(__xludf.DUMMYFUNCTION("""COMPUTED_VALUE"""),44403)</f>
        <v>44403</v>
      </c>
      <c r="I51" s="80">
        <f ca="1">IFERROR(__xludf.DUMMYFUNCTION("""COMPUTED_VALUE"""),100)</f>
        <v>100</v>
      </c>
      <c r="J51" s="9" t="str">
        <f ca="1">IFERROR(__xludf.DUMMYFUNCTION("""COMPUTED_VALUE"""),"DR. RAVI KIRAN VARMA PENMATSA")</f>
        <v>DR. RAVI KIRAN VARMA PENMATSA</v>
      </c>
      <c r="K51" s="73" t="str">
        <f ca="1">IFERROR(__xludf.DUMMYFUNCTION("""COMPUTED_VALUE"""),"https://drive.google.com/open?id=1XFI_7JiumZfW1wC0twlAbqOlOW7O9NH4")</f>
        <v>https://drive.google.com/open?id=1XFI_7JiumZfW1wC0twlAbqOlOW7O9NH4</v>
      </c>
      <c r="L51" s="9" t="str">
        <f ca="1">IFERROR(__xludf.DUMMYFUNCTION("""COMPUTED_VALUE"""),"2018-2022")</f>
        <v>2018-2022</v>
      </c>
      <c r="M51" s="9" t="str">
        <f ca="1">IFERROR(__xludf.DUMMYFUNCTION("""COMPUTED_VALUE"""),"S4: Student Certifications")</f>
        <v>S4: Student Certifications</v>
      </c>
      <c r="N51" s="9" t="str">
        <f ca="1">IFERROR(__xludf.DUMMYFUNCTION("""COMPUTED_VALUE"""),"ayyappa.vuggina01@gmail.com")</f>
        <v>ayyappa.vuggina01@gmail.com</v>
      </c>
      <c r="O51" s="9" t="str">
        <f ca="1">IFERROR(__xludf.DUMMYFUNCTION("""COMPUTED_VALUE"""),"SEM-5")</f>
        <v>SEM-5</v>
      </c>
      <c r="P51" s="9"/>
      <c r="Q51" s="9"/>
      <c r="R51" s="9"/>
      <c r="S51" s="9"/>
      <c r="T51" s="9"/>
      <c r="U51" s="9"/>
      <c r="V51" s="9"/>
      <c r="W51" s="9"/>
      <c r="X51" s="9"/>
      <c r="Y51" s="9"/>
    </row>
    <row r="52" spans="1:25" ht="26.25" customHeight="1" x14ac:dyDescent="0.15">
      <c r="A52" s="9" t="str">
        <f ca="1">IFERROR(__xludf.DUMMYFUNCTION("""COMPUTED_VALUE"""),"VUGGINA VEERA VENKATA SATYA VARAHA AYYAPPA")</f>
        <v>VUGGINA VEERA VENKATA SATYA VARAHA AYYAPPA</v>
      </c>
      <c r="B52" s="9" t="str">
        <f ca="1">IFERROR(__xludf.DUMMYFUNCTION("""COMPUTED_VALUE"""),"19335A0518")</f>
        <v>19335A0518</v>
      </c>
      <c r="C52" s="78" t="str">
        <f ca="1">IFERROR(__xludf.DUMMYFUNCTION("""COMPUTED_VALUE"""),"Introduction to Networks")</f>
        <v>Introduction to Networks</v>
      </c>
      <c r="D52" s="9" t="str">
        <f ca="1">IFERROR(__xludf.DUMMYFUNCTION("""COMPUTED_VALUE"""),"CISCO")</f>
        <v>CISCO</v>
      </c>
      <c r="E52" s="9" t="str">
        <f ca="1">IFERROR(__xludf.DUMMYFUNCTION("""COMPUTED_VALUE"""),"2 MONTHS")</f>
        <v>2 MONTHS</v>
      </c>
      <c r="F52" s="79">
        <f ca="1">IFERROR(__xludf.DUMMYFUNCTION("""COMPUTED_VALUE"""),44321)</f>
        <v>44321</v>
      </c>
      <c r="G52" s="79">
        <f ca="1">IFERROR(__xludf.DUMMYFUNCTION("""COMPUTED_VALUE"""),44381)</f>
        <v>44381</v>
      </c>
      <c r="H52" s="72">
        <f ca="1">IFERROR(__xludf.DUMMYFUNCTION("""COMPUTED_VALUE"""),44380)</f>
        <v>44380</v>
      </c>
      <c r="I52" s="80">
        <f ca="1">IFERROR(__xludf.DUMMYFUNCTION("""COMPUTED_VALUE"""),100)</f>
        <v>100</v>
      </c>
      <c r="J52" s="9" t="str">
        <f ca="1">IFERROR(__xludf.DUMMYFUNCTION("""COMPUTED_VALUE"""),"DR. RAVI KIRAN VARMA PENMATSA")</f>
        <v>DR. RAVI KIRAN VARMA PENMATSA</v>
      </c>
      <c r="K52" s="73" t="str">
        <f ca="1">IFERROR(__xludf.DUMMYFUNCTION("""COMPUTED_VALUE"""),"https://drive.google.com/open?id=1jjoaRfGp6aVW5F5X17X0ibtIlEwpilm3")</f>
        <v>https://drive.google.com/open?id=1jjoaRfGp6aVW5F5X17X0ibtIlEwpilm3</v>
      </c>
      <c r="L52" s="9" t="str">
        <f ca="1">IFERROR(__xludf.DUMMYFUNCTION("""COMPUTED_VALUE"""),"2018-2022")</f>
        <v>2018-2022</v>
      </c>
      <c r="M52" s="9" t="str">
        <f ca="1">IFERROR(__xludf.DUMMYFUNCTION("""COMPUTED_VALUE"""),"S4: Student Certifications")</f>
        <v>S4: Student Certifications</v>
      </c>
      <c r="N52" s="9" t="str">
        <f ca="1">IFERROR(__xludf.DUMMYFUNCTION("""COMPUTED_VALUE"""),"ayyappa.vuggina01@gmail.com")</f>
        <v>ayyappa.vuggina01@gmail.com</v>
      </c>
      <c r="O52" s="9" t="str">
        <f ca="1">IFERROR(__xludf.DUMMYFUNCTION("""COMPUTED_VALUE"""),"SEM-5")</f>
        <v>SEM-5</v>
      </c>
      <c r="P52" s="9"/>
      <c r="Q52" s="9"/>
      <c r="R52" s="9"/>
      <c r="S52" s="9"/>
      <c r="T52" s="9"/>
      <c r="U52" s="9"/>
      <c r="V52" s="9"/>
      <c r="W52" s="9"/>
      <c r="X52" s="9"/>
      <c r="Y52" s="9"/>
    </row>
    <row r="53" spans="1:25" ht="26.25" customHeight="1" x14ac:dyDescent="0.15">
      <c r="A53" s="9" t="str">
        <f ca="1">IFERROR(__xludf.DUMMYFUNCTION("""COMPUTED_VALUE"""),"LATCHUBUKTHA SUTESH")</f>
        <v>LATCHUBUKTHA SUTESH</v>
      </c>
      <c r="B53" s="9" t="str">
        <f ca="1">IFERROR(__xludf.DUMMYFUNCTION("""COMPUTED_VALUE"""),"18331A0588")</f>
        <v>18331A0588</v>
      </c>
      <c r="C53" s="78" t="str">
        <f ca="1">IFERROR(__xludf.DUMMYFUNCTION("""COMPUTED_VALUE"""),"CCNAv7: Introduction to Networks")</f>
        <v>CCNAv7: Introduction to Networks</v>
      </c>
      <c r="D53" s="9" t="str">
        <f ca="1">IFERROR(__xludf.DUMMYFUNCTION("""COMPUTED_VALUE"""),"CISCO")</f>
        <v>CISCO</v>
      </c>
      <c r="E53" s="9" t="str">
        <f ca="1">IFERROR(__xludf.DUMMYFUNCTION("""COMPUTED_VALUE"""),"2 months")</f>
        <v>2 months</v>
      </c>
      <c r="F53" s="79">
        <f ca="1">IFERROR(__xludf.DUMMYFUNCTION("""COMPUTED_VALUE"""),44317)</f>
        <v>44317</v>
      </c>
      <c r="G53" s="79">
        <f ca="1">IFERROR(__xludf.DUMMYFUNCTION("""COMPUTED_VALUE"""),44378)</f>
        <v>44378</v>
      </c>
      <c r="H53" s="72">
        <f ca="1">IFERROR(__xludf.DUMMYFUNCTION("""COMPUTED_VALUE"""),44377)</f>
        <v>44377</v>
      </c>
      <c r="I53" s="80">
        <f ca="1">IFERROR(__xludf.DUMMYFUNCTION("""COMPUTED_VALUE"""),98)</f>
        <v>98</v>
      </c>
      <c r="J53" s="9" t="str">
        <f ca="1">IFERROR(__xludf.DUMMYFUNCTION("""COMPUTED_VALUE"""),"Subba Raju K V")</f>
        <v>Subba Raju K V</v>
      </c>
      <c r="K53" s="73" t="str">
        <f ca="1">IFERROR(__xludf.DUMMYFUNCTION("""COMPUTED_VALUE"""),"https://drive.google.com/open?id=1wZ6vEmX8t7uRppb1rzrUDY46gzb-WT52")</f>
        <v>https://drive.google.com/open?id=1wZ6vEmX8t7uRppb1rzrUDY46gzb-WT52</v>
      </c>
      <c r="L53" s="9" t="str">
        <f ca="1">IFERROR(__xludf.DUMMYFUNCTION("""COMPUTED_VALUE"""),"2018-2022")</f>
        <v>2018-2022</v>
      </c>
      <c r="M53" s="9" t="str">
        <f ca="1">IFERROR(__xludf.DUMMYFUNCTION("""COMPUTED_VALUE"""),"S4: Student Certifications")</f>
        <v>S4: Student Certifications</v>
      </c>
      <c r="N53" s="9" t="str">
        <f ca="1">IFERROR(__xludf.DUMMYFUNCTION("""COMPUTED_VALUE"""),"latchubukthasutesh9@gmail.com")</f>
        <v>latchubukthasutesh9@gmail.com</v>
      </c>
      <c r="O53" s="9" t="str">
        <f ca="1">IFERROR(__xludf.DUMMYFUNCTION("""COMPUTED_VALUE"""),"SEM-5")</f>
        <v>SEM-5</v>
      </c>
      <c r="P53" s="9"/>
      <c r="Q53" s="9"/>
      <c r="R53" s="9"/>
      <c r="S53" s="9"/>
      <c r="T53" s="9"/>
      <c r="U53" s="9"/>
      <c r="V53" s="9"/>
      <c r="W53" s="9"/>
      <c r="X53" s="9"/>
      <c r="Y53" s="9"/>
    </row>
    <row r="54" spans="1:25" ht="26.25" customHeight="1" x14ac:dyDescent="0.15">
      <c r="A54" s="9" t="str">
        <f ca="1">IFERROR(__xludf.DUMMYFUNCTION("""COMPUTED_VALUE"""),"LATCHUBUKTHA SUTESH")</f>
        <v>LATCHUBUKTHA SUTESH</v>
      </c>
      <c r="B54" s="9" t="str">
        <f ca="1">IFERROR(__xludf.DUMMYFUNCTION("""COMPUTED_VALUE"""),"18331A0588")</f>
        <v>18331A0588</v>
      </c>
      <c r="C54" s="78" t="str">
        <f ca="1">IFERROR(__xludf.DUMMYFUNCTION("""COMPUTED_VALUE"""),"Cybersecurity Essentials")</f>
        <v>Cybersecurity Essentials</v>
      </c>
      <c r="D54" s="9" t="str">
        <f ca="1">IFERROR(__xludf.DUMMYFUNCTION("""COMPUTED_VALUE"""),"CISCO")</f>
        <v>CISCO</v>
      </c>
      <c r="E54" s="9" t="str">
        <f ca="1">IFERROR(__xludf.DUMMYFUNCTION("""COMPUTED_VALUE"""),"1 month")</f>
        <v>1 month</v>
      </c>
      <c r="F54" s="79">
        <f ca="1">IFERROR(__xludf.DUMMYFUNCTION("""COMPUTED_VALUE"""),43647)</f>
        <v>43647</v>
      </c>
      <c r="G54" s="79">
        <f ca="1">IFERROR(__xludf.DUMMYFUNCTION("""COMPUTED_VALUE"""),43676)</f>
        <v>43676</v>
      </c>
      <c r="H54" s="72">
        <f ca="1">IFERROR(__xludf.DUMMYFUNCTION("""COMPUTED_VALUE"""),43675)</f>
        <v>43675</v>
      </c>
      <c r="I54" s="80">
        <f ca="1">IFERROR(__xludf.DUMMYFUNCTION("""COMPUTED_VALUE"""),100)</f>
        <v>100</v>
      </c>
      <c r="J54" s="9" t="str">
        <f ca="1">IFERROR(__xludf.DUMMYFUNCTION("""COMPUTED_VALUE"""),"subba Raju K V")</f>
        <v>subba Raju K V</v>
      </c>
      <c r="K54" s="73" t="str">
        <f ca="1">IFERROR(__xludf.DUMMYFUNCTION("""COMPUTED_VALUE"""),"https://drive.google.com/open?id=1lZco-aVK73UFtLeAGDTmSu_dhNTddkX_")</f>
        <v>https://drive.google.com/open?id=1lZco-aVK73UFtLeAGDTmSu_dhNTddkX_</v>
      </c>
      <c r="L54" s="9" t="str">
        <f ca="1">IFERROR(__xludf.DUMMYFUNCTION("""COMPUTED_VALUE"""),"2018-2022")</f>
        <v>2018-2022</v>
      </c>
      <c r="M54" s="9" t="str">
        <f ca="1">IFERROR(__xludf.DUMMYFUNCTION("""COMPUTED_VALUE"""),"S4: Student Certifications")</f>
        <v>S4: Student Certifications</v>
      </c>
      <c r="N54" s="9" t="str">
        <f ca="1">IFERROR(__xludf.DUMMYFUNCTION("""COMPUTED_VALUE"""),"latchubukthasutesh9@gmail.com")</f>
        <v>latchubukthasutesh9@gmail.com</v>
      </c>
      <c r="O54" s="9" t="str">
        <f ca="1">IFERROR(__xludf.DUMMYFUNCTION("""COMPUTED_VALUE"""),"SEM-3")</f>
        <v>SEM-3</v>
      </c>
      <c r="P54" s="9"/>
      <c r="Q54" s="9"/>
      <c r="R54" s="9"/>
      <c r="S54" s="9"/>
      <c r="T54" s="9"/>
      <c r="U54" s="9"/>
      <c r="V54" s="9"/>
      <c r="W54" s="9"/>
      <c r="X54" s="9"/>
      <c r="Y54" s="9"/>
    </row>
    <row r="55" spans="1:25" ht="26.25" customHeight="1" x14ac:dyDescent="0.15">
      <c r="A55" s="9" t="str">
        <f ca="1">IFERROR(__xludf.DUMMYFUNCTION("""COMPUTED_VALUE"""),"Pooja Madhurima Salapu")</f>
        <v>Pooja Madhurima Salapu</v>
      </c>
      <c r="B55" s="9" t="str">
        <f ca="1">IFERROR(__xludf.DUMMYFUNCTION("""COMPUTED_VALUE"""),"18331A05D5")</f>
        <v>18331A05D5</v>
      </c>
      <c r="C55" s="78" t="str">
        <f ca="1">IFERROR(__xludf.DUMMYFUNCTION("""COMPUTED_VALUE"""),"AWS ")</f>
        <v xml:space="preserve">AWS </v>
      </c>
      <c r="D55" s="9" t="str">
        <f ca="1">IFERROR(__xludf.DUMMYFUNCTION("""COMPUTED_VALUE"""),"AWS Academy Graduate - AWS Academy Cloud Foundations")</f>
        <v>AWS Academy Graduate - AWS Academy Cloud Foundations</v>
      </c>
      <c r="E55" s="9" t="str">
        <f ca="1">IFERROR(__xludf.DUMMYFUNCTION("""COMPUTED_VALUE"""),"1 month")</f>
        <v>1 month</v>
      </c>
      <c r="F55" s="79">
        <f ca="1">IFERROR(__xludf.DUMMYFUNCTION("""COMPUTED_VALUE"""),44531)</f>
        <v>44531</v>
      </c>
      <c r="G55" s="79">
        <f ca="1">IFERROR(__xludf.DUMMYFUNCTION("""COMPUTED_VALUE"""),44561)</f>
        <v>44561</v>
      </c>
      <c r="H55" s="72">
        <f ca="1">IFERROR(__xludf.DUMMYFUNCTION("""COMPUTED_VALUE"""),44561)</f>
        <v>44561</v>
      </c>
      <c r="I55" s="80">
        <f ca="1">IFERROR(__xludf.DUMMYFUNCTION("""COMPUTED_VALUE"""),100)</f>
        <v>100</v>
      </c>
      <c r="J55" s="9" t="str">
        <f ca="1">IFERROR(__xludf.DUMMYFUNCTION("""COMPUTED_VALUE"""),"Ravi kumar penmatsa")</f>
        <v>Ravi kumar penmatsa</v>
      </c>
      <c r="K55" s="73" t="str">
        <f ca="1">IFERROR(__xludf.DUMMYFUNCTION("""COMPUTED_VALUE"""),"https://drive.google.com/open?id=1juW1leyKoY2adY4coW49zQc9Xn91Wi_l")</f>
        <v>https://drive.google.com/open?id=1juW1leyKoY2adY4coW49zQc9Xn91Wi_l</v>
      </c>
      <c r="L55" s="9" t="str">
        <f ca="1">IFERROR(__xludf.DUMMYFUNCTION("""COMPUTED_VALUE"""),"2018-2022")</f>
        <v>2018-2022</v>
      </c>
      <c r="M55" s="9" t="str">
        <f ca="1">IFERROR(__xludf.DUMMYFUNCTION("""COMPUTED_VALUE"""),"S4: Student Certifications")</f>
        <v>S4: Student Certifications</v>
      </c>
      <c r="N55" s="9" t="str">
        <f ca="1">IFERROR(__xludf.DUMMYFUNCTION("""COMPUTED_VALUE"""),"poojasalapu@gmail.com")</f>
        <v>poojasalapu@gmail.com</v>
      </c>
      <c r="O55" s="9" t="str">
        <f ca="1">IFERROR(__xludf.DUMMYFUNCTION("""COMPUTED_VALUE"""),"SEM-6")</f>
        <v>SEM-6</v>
      </c>
      <c r="P55" s="9"/>
      <c r="Q55" s="9"/>
      <c r="R55" s="9"/>
      <c r="S55" s="9"/>
      <c r="T55" s="9"/>
      <c r="U55" s="9"/>
      <c r="V55" s="9"/>
      <c r="W55" s="9"/>
      <c r="X55" s="9"/>
      <c r="Y55" s="9"/>
    </row>
    <row r="56" spans="1:25" ht="26.25" customHeight="1" x14ac:dyDescent="0.15">
      <c r="A56" s="9" t="str">
        <f ca="1">IFERROR(__xludf.DUMMYFUNCTION("""COMPUTED_VALUE"""),"Pooja Madhurima Salapu")</f>
        <v>Pooja Madhurima Salapu</v>
      </c>
      <c r="B56" s="9" t="str">
        <f ca="1">IFERROR(__xludf.DUMMYFUNCTION("""COMPUTED_VALUE"""),"18331A05D5")</f>
        <v>18331A05D5</v>
      </c>
      <c r="C56" s="78" t="str">
        <f ca="1">IFERROR(__xludf.DUMMYFUNCTION("""COMPUTED_VALUE"""),"AWS Academy Graduate - AWS Academy Cloud Foundations")</f>
        <v>AWS Academy Graduate - AWS Academy Cloud Foundations</v>
      </c>
      <c r="D56" s="9" t="str">
        <f ca="1">IFERROR(__xludf.DUMMYFUNCTION("""COMPUTED_VALUE"""),"AWS Academy")</f>
        <v>AWS Academy</v>
      </c>
      <c r="E56" s="9" t="str">
        <f ca="1">IFERROR(__xludf.DUMMYFUNCTION("""COMPUTED_VALUE"""),"1 month")</f>
        <v>1 month</v>
      </c>
      <c r="F56" s="79">
        <f ca="1">IFERROR(__xludf.DUMMYFUNCTION("""COMPUTED_VALUE"""),44531)</f>
        <v>44531</v>
      </c>
      <c r="G56" s="79">
        <f ca="1">IFERROR(__xludf.DUMMYFUNCTION("""COMPUTED_VALUE"""),44561)</f>
        <v>44561</v>
      </c>
      <c r="H56" s="72">
        <f ca="1">IFERROR(__xludf.DUMMYFUNCTION("""COMPUTED_VALUE"""),44561)</f>
        <v>44561</v>
      </c>
      <c r="I56" s="80">
        <f ca="1">IFERROR(__xludf.DUMMYFUNCTION("""COMPUTED_VALUE"""),100)</f>
        <v>100</v>
      </c>
      <c r="J56" s="9" t="str">
        <f ca="1">IFERROR(__xludf.DUMMYFUNCTION("""COMPUTED_VALUE"""),"Ravi Kiran Varma Penmatsa")</f>
        <v>Ravi Kiran Varma Penmatsa</v>
      </c>
      <c r="K56" s="73" t="str">
        <f ca="1">IFERROR(__xludf.DUMMYFUNCTION("""COMPUTED_VALUE"""),"https://drive.google.com/open?id=1mnD5N7GnMRQCd8jftZCsJHHiDgkeDE3Q")</f>
        <v>https://drive.google.com/open?id=1mnD5N7GnMRQCd8jftZCsJHHiDgkeDE3Q</v>
      </c>
      <c r="L56" s="9" t="str">
        <f ca="1">IFERROR(__xludf.DUMMYFUNCTION("""COMPUTED_VALUE"""),"2018-2022")</f>
        <v>2018-2022</v>
      </c>
      <c r="M56" s="9" t="str">
        <f ca="1">IFERROR(__xludf.DUMMYFUNCTION("""COMPUTED_VALUE"""),"S4: Student Certifications")</f>
        <v>S4: Student Certifications</v>
      </c>
      <c r="N56" s="9" t="str">
        <f ca="1">IFERROR(__xludf.DUMMYFUNCTION("""COMPUTED_VALUE"""),"poojasalapu@gmail.com")</f>
        <v>poojasalapu@gmail.com</v>
      </c>
      <c r="O56" s="9" t="str">
        <f ca="1">IFERROR(__xludf.DUMMYFUNCTION("""COMPUTED_VALUE"""),"SEM-6")</f>
        <v>SEM-6</v>
      </c>
      <c r="P56" s="9"/>
      <c r="Q56" s="9"/>
      <c r="R56" s="9"/>
      <c r="S56" s="9"/>
      <c r="T56" s="9"/>
      <c r="U56" s="9"/>
      <c r="V56" s="9"/>
      <c r="W56" s="9"/>
      <c r="X56" s="9"/>
      <c r="Y56" s="9"/>
    </row>
    <row r="57" spans="1:25" ht="26.25" customHeight="1" x14ac:dyDescent="0.15">
      <c r="A57" s="9" t="str">
        <f ca="1">IFERROR(__xludf.DUMMYFUNCTION("""COMPUTED_VALUE"""),"Pooja Madhurima Salapu")</f>
        <v>Pooja Madhurima Salapu</v>
      </c>
      <c r="B57" s="9" t="str">
        <f ca="1">IFERROR(__xludf.DUMMYFUNCTION("""COMPUTED_VALUE"""),"18331A05D5")</f>
        <v>18331A05D5</v>
      </c>
      <c r="C57" s="78" t="str">
        <f ca="1">IFERROR(__xludf.DUMMYFUNCTION("""COMPUTED_VALUE"""),"AWS Academy Graduate - AWS Academy Cloud Architecting")</f>
        <v>AWS Academy Graduate - AWS Academy Cloud Architecting</v>
      </c>
      <c r="D57" s="9" t="str">
        <f ca="1">IFERROR(__xludf.DUMMYFUNCTION("""COMPUTED_VALUE"""),"AWS Academy")</f>
        <v>AWS Academy</v>
      </c>
      <c r="E57" s="9" t="str">
        <f ca="1">IFERROR(__xludf.DUMMYFUNCTION("""COMPUTED_VALUE"""),"1 month")</f>
        <v>1 month</v>
      </c>
      <c r="F57" s="79">
        <f ca="1">IFERROR(__xludf.DUMMYFUNCTION("""COMPUTED_VALUE"""),44531)</f>
        <v>44531</v>
      </c>
      <c r="G57" s="79">
        <f ca="1">IFERROR(__xludf.DUMMYFUNCTION("""COMPUTED_VALUE"""),44561)</f>
        <v>44561</v>
      </c>
      <c r="H57" s="72">
        <f ca="1">IFERROR(__xludf.DUMMYFUNCTION("""COMPUTED_VALUE"""),44561)</f>
        <v>44561</v>
      </c>
      <c r="I57" s="80">
        <f ca="1">IFERROR(__xludf.DUMMYFUNCTION("""COMPUTED_VALUE"""),100)</f>
        <v>100</v>
      </c>
      <c r="J57" s="9" t="str">
        <f ca="1">IFERROR(__xludf.DUMMYFUNCTION("""COMPUTED_VALUE"""),"Ravi Kiran Varma Penmatsa")</f>
        <v>Ravi Kiran Varma Penmatsa</v>
      </c>
      <c r="K57" s="73" t="str">
        <f ca="1">IFERROR(__xludf.DUMMYFUNCTION("""COMPUTED_VALUE"""),"https://drive.google.com/open?id=127AW0C839nzZAdcqYaMw-UrY4OUnaC49")</f>
        <v>https://drive.google.com/open?id=127AW0C839nzZAdcqYaMw-UrY4OUnaC49</v>
      </c>
      <c r="L57" s="9" t="str">
        <f ca="1">IFERROR(__xludf.DUMMYFUNCTION("""COMPUTED_VALUE"""),"2018-2022")</f>
        <v>2018-2022</v>
      </c>
      <c r="M57" s="9" t="str">
        <f ca="1">IFERROR(__xludf.DUMMYFUNCTION("""COMPUTED_VALUE"""),"S4: Student Certifications")</f>
        <v>S4: Student Certifications</v>
      </c>
      <c r="N57" s="9" t="str">
        <f ca="1">IFERROR(__xludf.DUMMYFUNCTION("""COMPUTED_VALUE"""),"poojasalapu@gmail.com")</f>
        <v>poojasalapu@gmail.com</v>
      </c>
      <c r="O57" s="9" t="str">
        <f ca="1">IFERROR(__xludf.DUMMYFUNCTION("""COMPUTED_VALUE"""),"SEM-6")</f>
        <v>SEM-6</v>
      </c>
      <c r="P57" s="9"/>
      <c r="Q57" s="9"/>
      <c r="R57" s="9"/>
      <c r="S57" s="9"/>
      <c r="T57" s="9"/>
      <c r="U57" s="9"/>
      <c r="V57" s="9"/>
      <c r="W57" s="9"/>
      <c r="X57" s="9"/>
      <c r="Y57" s="9"/>
    </row>
    <row r="58" spans="1:25" ht="26.25" customHeight="1" x14ac:dyDescent="0.15">
      <c r="A58" s="9" t="str">
        <f ca="1">IFERROR(__xludf.DUMMYFUNCTION("""COMPUTED_VALUE"""),"LATCHUBUKTHA SUTESH")</f>
        <v>LATCHUBUKTHA SUTESH</v>
      </c>
      <c r="B58" s="9" t="str">
        <f ca="1">IFERROR(__xludf.DUMMYFUNCTION("""COMPUTED_VALUE"""),"18331A0588")</f>
        <v>18331A0588</v>
      </c>
      <c r="C58" s="78" t="str">
        <f ca="1">IFERROR(__xludf.DUMMYFUNCTION("""COMPUTED_VALUE"""),"AWS Academy Cloud Foundations")</f>
        <v>AWS Academy Cloud Foundations</v>
      </c>
      <c r="D58" s="9" t="str">
        <f ca="1">IFERROR(__xludf.DUMMYFUNCTION("""COMPUTED_VALUE"""),"AWS Academy ")</f>
        <v xml:space="preserve">AWS Academy </v>
      </c>
      <c r="E58" s="9" t="str">
        <f ca="1">IFERROR(__xludf.DUMMYFUNCTION("""COMPUTED_VALUE"""),"1 month")</f>
        <v>1 month</v>
      </c>
      <c r="F58" s="79">
        <f ca="1">IFERROR(__xludf.DUMMYFUNCTION("""COMPUTED_VALUE"""),44531)</f>
        <v>44531</v>
      </c>
      <c r="G58" s="79">
        <f ca="1">IFERROR(__xludf.DUMMYFUNCTION("""COMPUTED_VALUE"""),44542)</f>
        <v>44542</v>
      </c>
      <c r="H58" s="72">
        <f ca="1">IFERROR(__xludf.DUMMYFUNCTION("""COMPUTED_VALUE"""),44542)</f>
        <v>44542</v>
      </c>
      <c r="I58" s="80">
        <f ca="1">IFERROR(__xludf.DUMMYFUNCTION("""COMPUTED_VALUE"""),100)</f>
        <v>100</v>
      </c>
      <c r="J58" s="9" t="str">
        <f ca="1">IFERROR(__xludf.DUMMYFUNCTION("""COMPUTED_VALUE"""),"Ravi Kiran Varma Penmatsa")</f>
        <v>Ravi Kiran Varma Penmatsa</v>
      </c>
      <c r="K58" s="73" t="str">
        <f ca="1">IFERROR(__xludf.DUMMYFUNCTION("""COMPUTED_VALUE"""),"https://drive.google.com/open?id=1BmT1EtI1k5GIYrLz2ZgDUKZUyM-VraZb")</f>
        <v>https://drive.google.com/open?id=1BmT1EtI1k5GIYrLz2ZgDUKZUyM-VraZb</v>
      </c>
      <c r="L58" s="9" t="str">
        <f ca="1">IFERROR(__xludf.DUMMYFUNCTION("""COMPUTED_VALUE"""),"2018-2022")</f>
        <v>2018-2022</v>
      </c>
      <c r="M58" s="9" t="str">
        <f ca="1">IFERROR(__xludf.DUMMYFUNCTION("""COMPUTED_VALUE"""),"S4: Student Certifications")</f>
        <v>S4: Student Certifications</v>
      </c>
      <c r="N58" s="9" t="str">
        <f ca="1">IFERROR(__xludf.DUMMYFUNCTION("""COMPUTED_VALUE"""),"latchubukthasutesh9@gmail.com")</f>
        <v>latchubukthasutesh9@gmail.com</v>
      </c>
      <c r="O58" s="9" t="str">
        <f ca="1">IFERROR(__xludf.DUMMYFUNCTION("""COMPUTED_VALUE"""),"SEM-7")</f>
        <v>SEM-7</v>
      </c>
      <c r="P58" s="9"/>
      <c r="Q58" s="9"/>
      <c r="R58" s="9"/>
      <c r="S58" s="9"/>
      <c r="T58" s="9"/>
      <c r="U58" s="9"/>
      <c r="V58" s="9"/>
      <c r="W58" s="9"/>
      <c r="X58" s="9"/>
      <c r="Y58" s="9"/>
    </row>
    <row r="59" spans="1:25" ht="26.25" customHeight="1" x14ac:dyDescent="0.15">
      <c r="A59" s="9" t="str">
        <f ca="1">IFERROR(__xludf.DUMMYFUNCTION("""COMPUTED_VALUE"""),"LATCHUBUKTHA SUTESH")</f>
        <v>LATCHUBUKTHA SUTESH</v>
      </c>
      <c r="B59" s="9" t="str">
        <f ca="1">IFERROR(__xludf.DUMMYFUNCTION("""COMPUTED_VALUE"""),"18331A0588")</f>
        <v>18331A0588</v>
      </c>
      <c r="C59" s="78" t="str">
        <f ca="1">IFERROR(__xludf.DUMMYFUNCTION("""COMPUTED_VALUE"""),"AWS Academy Cloud Architecting")</f>
        <v>AWS Academy Cloud Architecting</v>
      </c>
      <c r="D59" s="9" t="str">
        <f ca="1">IFERROR(__xludf.DUMMYFUNCTION("""COMPUTED_VALUE"""),"AWS Academy ")</f>
        <v xml:space="preserve">AWS Academy </v>
      </c>
      <c r="E59" s="9" t="str">
        <f ca="1">IFERROR(__xludf.DUMMYFUNCTION("""COMPUTED_VALUE"""),"1 month")</f>
        <v>1 month</v>
      </c>
      <c r="F59" s="79">
        <f ca="1">IFERROR(__xludf.DUMMYFUNCTION("""COMPUTED_VALUE"""),44545)</f>
        <v>44545</v>
      </c>
      <c r="G59" s="79">
        <f ca="1">IFERROR(__xludf.DUMMYFUNCTION("""COMPUTED_VALUE"""),44575)</f>
        <v>44575</v>
      </c>
      <c r="H59" s="72">
        <f ca="1">IFERROR(__xludf.DUMMYFUNCTION("""COMPUTED_VALUE"""),44574)</f>
        <v>44574</v>
      </c>
      <c r="I59" s="80">
        <f ca="1">IFERROR(__xludf.DUMMYFUNCTION("""COMPUTED_VALUE"""),100)</f>
        <v>100</v>
      </c>
      <c r="J59" s="9" t="str">
        <f ca="1">IFERROR(__xludf.DUMMYFUNCTION("""COMPUTED_VALUE"""),"Ravi Kiran Varma Penmatsa")</f>
        <v>Ravi Kiran Varma Penmatsa</v>
      </c>
      <c r="K59" s="73" t="str">
        <f ca="1">IFERROR(__xludf.DUMMYFUNCTION("""COMPUTED_VALUE"""),"https://drive.google.com/open?id=1PaevZzctwiNstawvOgA2hOnh0j81xwO7")</f>
        <v>https://drive.google.com/open?id=1PaevZzctwiNstawvOgA2hOnh0j81xwO7</v>
      </c>
      <c r="L59" s="9" t="str">
        <f ca="1">IFERROR(__xludf.DUMMYFUNCTION("""COMPUTED_VALUE"""),"2018-2022")</f>
        <v>2018-2022</v>
      </c>
      <c r="M59" s="9" t="str">
        <f ca="1">IFERROR(__xludf.DUMMYFUNCTION("""COMPUTED_VALUE"""),"S4: Student Certifications")</f>
        <v>S4: Student Certifications</v>
      </c>
      <c r="N59" s="9" t="str">
        <f ca="1">IFERROR(__xludf.DUMMYFUNCTION("""COMPUTED_VALUE"""),"latchubukthasutesh9@gmail.com")</f>
        <v>latchubukthasutesh9@gmail.com</v>
      </c>
      <c r="O59" s="9" t="str">
        <f ca="1">IFERROR(__xludf.DUMMYFUNCTION("""COMPUTED_VALUE"""),"SEM-7")</f>
        <v>SEM-7</v>
      </c>
      <c r="P59" s="9"/>
      <c r="Q59" s="9"/>
      <c r="R59" s="9"/>
      <c r="S59" s="9"/>
      <c r="T59" s="9"/>
      <c r="U59" s="9"/>
      <c r="V59" s="9"/>
      <c r="W59" s="9"/>
      <c r="X59" s="9"/>
      <c r="Y59" s="9"/>
    </row>
    <row r="60" spans="1:25" ht="26.25" customHeight="1" x14ac:dyDescent="0.15">
      <c r="A60" s="9" t="str">
        <f ca="1">IFERROR(__xludf.DUMMYFUNCTION("""COMPUTED_VALUE"""),"Pooja Madhurima Salapu")</f>
        <v>Pooja Madhurima Salapu</v>
      </c>
      <c r="B60" s="9" t="str">
        <f ca="1">IFERROR(__xludf.DUMMYFUNCTION("""COMPUTED_VALUE"""),"18331A05D5")</f>
        <v>18331A05D5</v>
      </c>
      <c r="C60" s="78" t="str">
        <f ca="1">IFERROR(__xludf.DUMMYFUNCTION("""COMPUTED_VALUE"""),"Coursera(HTML,CSS,Python and AI)")</f>
        <v>Coursera(HTML,CSS,Python and AI)</v>
      </c>
      <c r="D60" s="9" t="str">
        <f ca="1">IFERROR(__xludf.DUMMYFUNCTION("""COMPUTED_VALUE"""),"Coursera")</f>
        <v>Coursera</v>
      </c>
      <c r="E60" s="9" t="str">
        <f ca="1">IFERROR(__xludf.DUMMYFUNCTION("""COMPUTED_VALUE"""),"1 month")</f>
        <v>1 month</v>
      </c>
      <c r="F60" s="79">
        <f ca="1">IFERROR(__xludf.DUMMYFUNCTION("""COMPUTED_VALUE"""),43952)</f>
        <v>43952</v>
      </c>
      <c r="G60" s="79">
        <f ca="1">IFERROR(__xludf.DUMMYFUNCTION("""COMPUTED_VALUE"""),43983)</f>
        <v>43983</v>
      </c>
      <c r="H60" s="72">
        <f ca="1">IFERROR(__xludf.DUMMYFUNCTION("""COMPUTED_VALUE"""),43983)</f>
        <v>43983</v>
      </c>
      <c r="I60" s="80">
        <f ca="1">IFERROR(__xludf.DUMMYFUNCTION("""COMPUTED_VALUE"""),100)</f>
        <v>100</v>
      </c>
      <c r="J60" s="9" t="str">
        <f ca="1">IFERROR(__xludf.DUMMYFUNCTION("""COMPUTED_VALUE"""),"NA")</f>
        <v>NA</v>
      </c>
      <c r="K60" s="73" t="str">
        <f ca="1">IFERROR(__xludf.DUMMYFUNCTION("""COMPUTED_VALUE"""),"https://drive.google.com/open?id=1BgGg5XwToZYoBNupMBn0U5mPe5X9DExJ")</f>
        <v>https://drive.google.com/open?id=1BgGg5XwToZYoBNupMBn0U5mPe5X9DExJ</v>
      </c>
      <c r="L60" s="9" t="str">
        <f ca="1">IFERROR(__xludf.DUMMYFUNCTION("""COMPUTED_VALUE"""),"2018-2022")</f>
        <v>2018-2022</v>
      </c>
      <c r="M60" s="9" t="str">
        <f ca="1">IFERROR(__xludf.DUMMYFUNCTION("""COMPUTED_VALUE"""),"S4: Student Certifications")</f>
        <v>S4: Student Certifications</v>
      </c>
      <c r="N60" s="9" t="str">
        <f ca="1">IFERROR(__xludf.DUMMYFUNCTION("""COMPUTED_VALUE"""),"poojasalapu@gmail.com")</f>
        <v>poojasalapu@gmail.com</v>
      </c>
      <c r="O60" s="9" t="str">
        <f ca="1">IFERROR(__xludf.DUMMYFUNCTION("""COMPUTED_VALUE"""),"SEM-3")</f>
        <v>SEM-3</v>
      </c>
      <c r="P60" s="9"/>
      <c r="Q60" s="9"/>
      <c r="R60" s="9"/>
      <c r="S60" s="9"/>
      <c r="T60" s="9"/>
      <c r="U60" s="9"/>
      <c r="V60" s="9"/>
      <c r="W60" s="9"/>
      <c r="X60" s="9"/>
      <c r="Y60" s="9"/>
    </row>
    <row r="61" spans="1:25" ht="26.25" customHeight="1" x14ac:dyDescent="0.15">
      <c r="A61" s="9" t="str">
        <f ca="1">IFERROR(__xludf.DUMMYFUNCTION("""COMPUTED_VALUE"""),"Pooja Madhurima Salapu")</f>
        <v>Pooja Madhurima Salapu</v>
      </c>
      <c r="B61" s="9" t="str">
        <f ca="1">IFERROR(__xludf.DUMMYFUNCTION("""COMPUTED_VALUE"""),"18331A05D5")</f>
        <v>18331A05D5</v>
      </c>
      <c r="C61" s="78" t="str">
        <f ca="1">IFERROR(__xludf.DUMMYFUNCTION("""COMPUTED_VALUE"""),"Coderiders")</f>
        <v>Coderiders</v>
      </c>
      <c r="D61" s="9" t="str">
        <f ca="1">IFERROR(__xludf.DUMMYFUNCTION("""COMPUTED_VALUE"""),"Cisco")</f>
        <v>Cisco</v>
      </c>
      <c r="E61" s="9" t="str">
        <f ca="1">IFERROR(__xludf.DUMMYFUNCTION("""COMPUTED_VALUE"""),"1")</f>
        <v>1</v>
      </c>
      <c r="F61" s="79">
        <f ca="1">IFERROR(__xludf.DUMMYFUNCTION("""COMPUTED_VALUE"""),44348)</f>
        <v>44348</v>
      </c>
      <c r="G61" s="79">
        <f ca="1">IFERROR(__xludf.DUMMYFUNCTION("""COMPUTED_VALUE"""),44378)</f>
        <v>44378</v>
      </c>
      <c r="H61" s="72">
        <f ca="1">IFERROR(__xludf.DUMMYFUNCTION("""COMPUTED_VALUE"""),44378)</f>
        <v>44378</v>
      </c>
      <c r="I61" s="80">
        <f ca="1">IFERROR(__xludf.DUMMYFUNCTION("""COMPUTED_VALUE"""),100)</f>
        <v>100</v>
      </c>
      <c r="J61" s="9" t="str">
        <f ca="1">IFERROR(__xludf.DUMMYFUNCTION("""COMPUTED_VALUE"""),"NA")</f>
        <v>NA</v>
      </c>
      <c r="K61" s="73" t="str">
        <f ca="1">IFERROR(__xludf.DUMMYFUNCTION("""COMPUTED_VALUE"""),"https://drive.google.com/open?id=1E8e34JvVoXED8RuuRU8oxi4f1e4Dsafs")</f>
        <v>https://drive.google.com/open?id=1E8e34JvVoXED8RuuRU8oxi4f1e4Dsafs</v>
      </c>
      <c r="L61" s="9" t="str">
        <f ca="1">IFERROR(__xludf.DUMMYFUNCTION("""COMPUTED_VALUE"""),"2018-2022")</f>
        <v>2018-2022</v>
      </c>
      <c r="M61" s="9" t="str">
        <f ca="1">IFERROR(__xludf.DUMMYFUNCTION("""COMPUTED_VALUE"""),"S4: Student Certifications")</f>
        <v>S4: Student Certifications</v>
      </c>
      <c r="N61" s="9" t="str">
        <f ca="1">IFERROR(__xludf.DUMMYFUNCTION("""COMPUTED_VALUE"""),"poojasalapu@gmail.com")</f>
        <v>poojasalapu@gmail.com</v>
      </c>
      <c r="O61" s="9" t="str">
        <f ca="1">IFERROR(__xludf.DUMMYFUNCTION("""COMPUTED_VALUE"""),"SEM-5")</f>
        <v>SEM-5</v>
      </c>
      <c r="P61" s="9"/>
      <c r="Q61" s="9"/>
      <c r="R61" s="9"/>
      <c r="S61" s="9"/>
      <c r="T61" s="9"/>
      <c r="U61" s="9"/>
      <c r="V61" s="9"/>
      <c r="W61" s="9"/>
      <c r="X61" s="9"/>
      <c r="Y61" s="9"/>
    </row>
    <row r="62" spans="1:25" ht="26.25" customHeight="1" x14ac:dyDescent="0.15">
      <c r="A62" s="9" t="str">
        <f ca="1">IFERROR(__xludf.DUMMYFUNCTION("""COMPUTED_VALUE"""),"Pooja Madhurima Salapu")</f>
        <v>Pooja Madhurima Salapu</v>
      </c>
      <c r="B62" s="9" t="str">
        <f ca="1">IFERROR(__xludf.DUMMYFUNCTION("""COMPUTED_VALUE"""),"18331A05D5")</f>
        <v>18331A05D5</v>
      </c>
      <c r="C62" s="78" t="str">
        <f ca="1">IFERROR(__xludf.DUMMYFUNCTION("""COMPUTED_VALUE"""),"Pooja Madhurima Salapu")</f>
        <v>Pooja Madhurima Salapu</v>
      </c>
      <c r="D62" s="9" t="str">
        <f ca="1">IFERROR(__xludf.DUMMYFUNCTION("""COMPUTED_VALUE"""),"Cisco")</f>
        <v>Cisco</v>
      </c>
      <c r="E62" s="9" t="str">
        <f ca="1">IFERROR(__xludf.DUMMYFUNCTION("""COMPUTED_VALUE"""),"BTech")</f>
        <v>BTech</v>
      </c>
      <c r="F62" s="79">
        <f ca="1">IFERROR(__xludf.DUMMYFUNCTION("""COMPUTED_VALUE"""),43617)</f>
        <v>43617</v>
      </c>
      <c r="G62" s="79">
        <f ca="1">IFERROR(__xludf.DUMMYFUNCTION("""COMPUTED_VALUE"""),44348)</f>
        <v>44348</v>
      </c>
      <c r="H62" s="72">
        <f ca="1">IFERROR(__xludf.DUMMYFUNCTION("""COMPUTED_VALUE"""),44348)</f>
        <v>44348</v>
      </c>
      <c r="I62" s="80">
        <f ca="1">IFERROR(__xludf.DUMMYFUNCTION("""COMPUTED_VALUE"""),100)</f>
        <v>100</v>
      </c>
      <c r="J62" s="9" t="str">
        <f ca="1">IFERROR(__xludf.DUMMYFUNCTION("""COMPUTED_VALUE"""),"Ravi Kiran Varma Penmatsa")</f>
        <v>Ravi Kiran Varma Penmatsa</v>
      </c>
      <c r="K62" s="73" t="str">
        <f ca="1">IFERROR(__xludf.DUMMYFUNCTION("""COMPUTED_VALUE"""),"https://drive.google.com/open?id=1Ym3ufoG5hrPBXiCbrihB5TaL3YXbLlNc")</f>
        <v>https://drive.google.com/open?id=1Ym3ufoG5hrPBXiCbrihB5TaL3YXbLlNc</v>
      </c>
      <c r="L62" s="9" t="str">
        <f ca="1">IFERROR(__xludf.DUMMYFUNCTION("""COMPUTED_VALUE"""),"2018-2022")</f>
        <v>2018-2022</v>
      </c>
      <c r="M62" s="9" t="str">
        <f ca="1">IFERROR(__xludf.DUMMYFUNCTION("""COMPUTED_VALUE"""),"S4: Student Certifications")</f>
        <v>S4: Student Certifications</v>
      </c>
      <c r="N62" s="9" t="str">
        <f ca="1">IFERROR(__xludf.DUMMYFUNCTION("""COMPUTED_VALUE"""),"poojasalapu@gmail.com")</f>
        <v>poojasalapu@gmail.com</v>
      </c>
      <c r="O62" s="9" t="str">
        <f ca="1">IFERROR(__xludf.DUMMYFUNCTION("""COMPUTED_VALUE"""),"SEM-2")</f>
        <v>SEM-2</v>
      </c>
      <c r="P62" s="9"/>
      <c r="Q62" s="9"/>
      <c r="R62" s="9"/>
      <c r="S62" s="9"/>
      <c r="T62" s="9"/>
      <c r="U62" s="9"/>
      <c r="V62" s="9"/>
      <c r="W62" s="9"/>
      <c r="X62" s="9"/>
      <c r="Y62" s="9"/>
    </row>
    <row r="63" spans="1:25" ht="26.25" customHeight="1" x14ac:dyDescent="0.15">
      <c r="A63" s="9" t="str">
        <f ca="1">IFERROR(__xludf.DUMMYFUNCTION("""COMPUTED_VALUE"""),"Pooja Madhurima Salapu")</f>
        <v>Pooja Madhurima Salapu</v>
      </c>
      <c r="B63" s="9" t="str">
        <f ca="1">IFERROR(__xludf.DUMMYFUNCTION("""COMPUTED_VALUE"""),"18331A05D5")</f>
        <v>18331A05D5</v>
      </c>
      <c r="C63" s="78" t="str">
        <f ca="1">IFERROR(__xludf.DUMMYFUNCTION("""COMPUTED_VALUE"""),"Red Hat System Administration I (RH124)")</f>
        <v>Red Hat System Administration I (RH124)</v>
      </c>
      <c r="D63" s="9" t="str">
        <f ca="1">IFERROR(__xludf.DUMMYFUNCTION("""COMPUTED_VALUE"""),"AICTE")</f>
        <v>AICTE</v>
      </c>
      <c r="E63" s="9" t="str">
        <f ca="1">IFERROR(__xludf.DUMMYFUNCTION("""COMPUTED_VALUE"""),"1")</f>
        <v>1</v>
      </c>
      <c r="F63" s="79">
        <f ca="1">IFERROR(__xludf.DUMMYFUNCTION("""COMPUTED_VALUE"""),44652)</f>
        <v>44652</v>
      </c>
      <c r="G63" s="79">
        <f ca="1">IFERROR(__xludf.DUMMYFUNCTION("""COMPUTED_VALUE"""),44681)</f>
        <v>44681</v>
      </c>
      <c r="H63" s="72">
        <f ca="1">IFERROR(__xludf.DUMMYFUNCTION("""COMPUTED_VALUE"""),44681)</f>
        <v>44681</v>
      </c>
      <c r="I63" s="80">
        <f ca="1">IFERROR(__xludf.DUMMYFUNCTION("""COMPUTED_VALUE"""),100)</f>
        <v>100</v>
      </c>
      <c r="J63" s="9" t="str">
        <f ca="1">IFERROR(__xludf.DUMMYFUNCTION("""COMPUTED_VALUE"""),"SUBBARAJU SIR")</f>
        <v>SUBBARAJU SIR</v>
      </c>
      <c r="K63" s="73" t="str">
        <f ca="1">IFERROR(__xludf.DUMMYFUNCTION("""COMPUTED_VALUE"""),"https://drive.google.com/open?id=1EqVwWxFgPBJOHvjZA0jScf8rURHuLvfM")</f>
        <v>https://drive.google.com/open?id=1EqVwWxFgPBJOHvjZA0jScf8rURHuLvfM</v>
      </c>
      <c r="L63" s="9" t="str">
        <f ca="1">IFERROR(__xludf.DUMMYFUNCTION("""COMPUTED_VALUE"""),"2018-2022")</f>
        <v>2018-2022</v>
      </c>
      <c r="M63" s="9" t="str">
        <f ca="1">IFERROR(__xludf.DUMMYFUNCTION("""COMPUTED_VALUE"""),"S4: Student Certifications")</f>
        <v>S4: Student Certifications</v>
      </c>
      <c r="N63" s="9" t="str">
        <f ca="1">IFERROR(__xludf.DUMMYFUNCTION("""COMPUTED_VALUE"""),"poojasalapu@gmail.com")</f>
        <v>poojasalapu@gmail.com</v>
      </c>
      <c r="O63" s="9" t="str">
        <f ca="1">IFERROR(__xludf.DUMMYFUNCTION("""COMPUTED_VALUE"""),"SEM-8")</f>
        <v>SEM-8</v>
      </c>
      <c r="P63" s="9"/>
      <c r="Q63" s="9"/>
      <c r="R63" s="9"/>
      <c r="S63" s="9"/>
      <c r="T63" s="9"/>
      <c r="U63" s="9"/>
      <c r="V63" s="9"/>
      <c r="W63" s="9"/>
      <c r="X63" s="9"/>
      <c r="Y63" s="9"/>
    </row>
    <row r="64" spans="1:25" ht="26.25" customHeight="1" x14ac:dyDescent="0.15">
      <c r="A64" s="9" t="str">
        <f ca="1">IFERROR(__xludf.DUMMYFUNCTION("""COMPUTED_VALUE"""),"Pooja Madhurima Salapu")</f>
        <v>Pooja Madhurima Salapu</v>
      </c>
      <c r="B64" s="9" t="str">
        <f ca="1">IFERROR(__xludf.DUMMYFUNCTION("""COMPUTED_VALUE"""),"18331A05D5")</f>
        <v>18331A05D5</v>
      </c>
      <c r="C64" s="78" t="str">
        <f ca="1">IFERROR(__xludf.DUMMYFUNCTION("""COMPUTED_VALUE"""),"D2C")</f>
        <v>D2C</v>
      </c>
      <c r="D64" s="9" t="str">
        <f ca="1">IFERROR(__xludf.DUMMYFUNCTION("""COMPUTED_VALUE"""),"D2C")</f>
        <v>D2C</v>
      </c>
      <c r="E64" s="9" t="str">
        <f ca="1">IFERROR(__xludf.DUMMYFUNCTION("""COMPUTED_VALUE"""),"2")</f>
        <v>2</v>
      </c>
      <c r="F64" s="79">
        <f ca="1">IFERROR(__xludf.DUMMYFUNCTION("""COMPUTED_VALUE"""),43983)</f>
        <v>43983</v>
      </c>
      <c r="G64" s="79">
        <f ca="1">IFERROR(__xludf.DUMMYFUNCTION("""COMPUTED_VALUE"""),44531)</f>
        <v>44531</v>
      </c>
      <c r="H64" s="72">
        <f ca="1">IFERROR(__xludf.DUMMYFUNCTION("""COMPUTED_VALUE"""),44531)</f>
        <v>44531</v>
      </c>
      <c r="I64" s="80">
        <f ca="1">IFERROR(__xludf.DUMMYFUNCTION("""COMPUTED_VALUE"""),100)</f>
        <v>100</v>
      </c>
      <c r="J64" s="9" t="str">
        <f ca="1">IFERROR(__xludf.DUMMYFUNCTION("""COMPUTED_VALUE"""),"NA")</f>
        <v>NA</v>
      </c>
      <c r="K64" s="73" t="str">
        <f ca="1">IFERROR(__xludf.DUMMYFUNCTION("""COMPUTED_VALUE"""),"https://drive.google.com/open?id=1xqCzYUBCGabD8rGLakUdkhtRCClEnZlj")</f>
        <v>https://drive.google.com/open?id=1xqCzYUBCGabD8rGLakUdkhtRCClEnZlj</v>
      </c>
      <c r="L64" s="9" t="str">
        <f ca="1">IFERROR(__xludf.DUMMYFUNCTION("""COMPUTED_VALUE"""),"2018-2022")</f>
        <v>2018-2022</v>
      </c>
      <c r="M64" s="9" t="str">
        <f ca="1">IFERROR(__xludf.DUMMYFUNCTION("""COMPUTED_VALUE"""),"S4: Student Certifications")</f>
        <v>S4: Student Certifications</v>
      </c>
      <c r="N64" s="9" t="str">
        <f ca="1">IFERROR(__xludf.DUMMYFUNCTION("""COMPUTED_VALUE"""),"poojasalapu@gmail.com")</f>
        <v>poojasalapu@gmail.com</v>
      </c>
      <c r="O64" s="9" t="str">
        <f ca="1">IFERROR(__xludf.DUMMYFUNCTION("""COMPUTED_VALUE"""),"SEM-3")</f>
        <v>SEM-3</v>
      </c>
      <c r="P64" s="9"/>
      <c r="Q64" s="9"/>
      <c r="R64" s="9"/>
      <c r="S64" s="9"/>
      <c r="T64" s="9"/>
      <c r="U64" s="9"/>
      <c r="V64" s="9"/>
      <c r="W64" s="9"/>
      <c r="X64" s="9"/>
      <c r="Y64" s="9"/>
    </row>
    <row r="65" spans="1:25" ht="26.25" customHeight="1" x14ac:dyDescent="0.15">
      <c r="A65" s="9" t="str">
        <f ca="1">IFERROR(__xludf.DUMMYFUNCTION("""COMPUTED_VALUE"""),"GANTA  GAYATRI")</f>
        <v>GANTA  GAYATRI</v>
      </c>
      <c r="B65" s="9" t="str">
        <f ca="1">IFERROR(__xludf.DUMMYFUNCTION("""COMPUTED_VALUE"""),"18331A0541")</f>
        <v>18331A0541</v>
      </c>
      <c r="C65" s="78" t="str">
        <f ca="1">IFERROR(__xludf.DUMMYFUNCTION("""COMPUTED_VALUE"""),"CCNA")</f>
        <v>CCNA</v>
      </c>
      <c r="D65" s="9" t="str">
        <f ca="1">IFERROR(__xludf.DUMMYFUNCTION("""COMPUTED_VALUE"""),"Cisco")</f>
        <v>Cisco</v>
      </c>
      <c r="E65" s="9" t="str">
        <f ca="1">IFERROR(__xludf.DUMMYFUNCTION("""COMPUTED_VALUE"""),"6")</f>
        <v>6</v>
      </c>
      <c r="F65" s="79">
        <f ca="1">IFERROR(__xludf.DUMMYFUNCTION("""COMPUTED_VALUE"""),43836)</f>
        <v>43836</v>
      </c>
      <c r="G65" s="79">
        <f ca="1">IFERROR(__xludf.DUMMYFUNCTION("""COMPUTED_VALUE"""),44020)</f>
        <v>44020</v>
      </c>
      <c r="H65" s="72">
        <f ca="1">IFERROR(__xludf.DUMMYFUNCTION("""COMPUTED_VALUE"""),44026)</f>
        <v>44026</v>
      </c>
      <c r="I65" s="80">
        <f ca="1">IFERROR(__xludf.DUMMYFUNCTION("""COMPUTED_VALUE"""),95)</f>
        <v>95</v>
      </c>
      <c r="J65" s="9" t="str">
        <f ca="1">IFERROR(__xludf.DUMMYFUNCTION("""COMPUTED_VALUE"""),"DR. RAVI KIRAN VARMA PENMATSA")</f>
        <v>DR. RAVI KIRAN VARMA PENMATSA</v>
      </c>
      <c r="K65" s="73" t="str">
        <f ca="1">IFERROR(__xludf.DUMMYFUNCTION("""COMPUTED_VALUE"""),"https://drive.google.com/open?id=1y973qex__okkEKPhMTgBO-JPj-KbUioj")</f>
        <v>https://drive.google.com/open?id=1y973qex__okkEKPhMTgBO-JPj-KbUioj</v>
      </c>
      <c r="L65" s="9" t="str">
        <f ca="1">IFERROR(__xludf.DUMMYFUNCTION("""COMPUTED_VALUE"""),"2018-2022")</f>
        <v>2018-2022</v>
      </c>
      <c r="M65" s="9" t="str">
        <f ca="1">IFERROR(__xludf.DUMMYFUNCTION("""COMPUTED_VALUE"""),"S4: Student Certifications")</f>
        <v>S4: Student Certifications</v>
      </c>
      <c r="N65" s="9" t="str">
        <f ca="1">IFERROR(__xludf.DUMMYFUNCTION("""COMPUTED_VALUE"""),"gantagayatri490@gmail.com")</f>
        <v>gantagayatri490@gmail.com</v>
      </c>
      <c r="O65" s="9" t="str">
        <f ca="1">IFERROR(__xludf.DUMMYFUNCTION("""COMPUTED_VALUE"""),"SEM-4")</f>
        <v>SEM-4</v>
      </c>
      <c r="P65" s="9"/>
      <c r="Q65" s="9"/>
      <c r="R65" s="9"/>
      <c r="S65" s="9"/>
      <c r="T65" s="9"/>
      <c r="U65" s="9"/>
      <c r="V65" s="9"/>
      <c r="W65" s="9"/>
      <c r="X65" s="9"/>
      <c r="Y65" s="9"/>
    </row>
    <row r="66" spans="1:25" ht="26.25" customHeight="1" x14ac:dyDescent="0.15">
      <c r="A66" s="9" t="str">
        <f ca="1">IFERROR(__xludf.DUMMYFUNCTION("""COMPUTED_VALUE"""),"Venkata Jaswanth Potnuru")</f>
        <v>Venkata Jaswanth Potnuru</v>
      </c>
      <c r="B66" s="9" t="str">
        <f ca="1">IFERROR(__xludf.DUMMYFUNCTION("""COMPUTED_VALUE"""),"19335A0513")</f>
        <v>19335A0513</v>
      </c>
      <c r="C66" s="78" t="str">
        <f ca="1">IFERROR(__xludf.DUMMYFUNCTION("""COMPUTED_VALUE"""),"Red Hat System Administration I (RH124)")</f>
        <v>Red Hat System Administration I (RH124)</v>
      </c>
      <c r="D66" s="9" t="str">
        <f ca="1">IFERROR(__xludf.DUMMYFUNCTION("""COMPUTED_VALUE"""),"AICTE")</f>
        <v>AICTE</v>
      </c>
      <c r="E66" s="9" t="str">
        <f ca="1">IFERROR(__xludf.DUMMYFUNCTION("""COMPUTED_VALUE"""),"1 Month")</f>
        <v>1 Month</v>
      </c>
      <c r="F66" s="79">
        <f ca="1">IFERROR(__xludf.DUMMYFUNCTION("""COMPUTED_VALUE"""),44652)</f>
        <v>44652</v>
      </c>
      <c r="G66" s="79">
        <f ca="1">IFERROR(__xludf.DUMMYFUNCTION("""COMPUTED_VALUE"""),44681)</f>
        <v>44681</v>
      </c>
      <c r="H66" s="72">
        <f ca="1">IFERROR(__xludf.DUMMYFUNCTION("""COMPUTED_VALUE"""),44681)</f>
        <v>44681</v>
      </c>
      <c r="I66" s="80">
        <f ca="1">IFERROR(__xludf.DUMMYFUNCTION("""COMPUTED_VALUE"""),100)</f>
        <v>100</v>
      </c>
      <c r="J66" s="9" t="str">
        <f ca="1">IFERROR(__xludf.DUMMYFUNCTION("""COMPUTED_VALUE"""),"Subba Raju K V")</f>
        <v>Subba Raju K V</v>
      </c>
      <c r="K66" s="73" t="str">
        <f ca="1">IFERROR(__xludf.DUMMYFUNCTION("""COMPUTED_VALUE"""),"https://drive.google.com/open?id=1OIEpS1he-XvUXsBSIAw6J0qTP92jKwkr")</f>
        <v>https://drive.google.com/open?id=1OIEpS1he-XvUXsBSIAw6J0qTP92jKwkr</v>
      </c>
      <c r="L66" s="9" t="str">
        <f ca="1">IFERROR(__xludf.DUMMYFUNCTION("""COMPUTED_VALUE"""),"2018-2022")</f>
        <v>2018-2022</v>
      </c>
      <c r="M66" s="9" t="str">
        <f ca="1">IFERROR(__xludf.DUMMYFUNCTION("""COMPUTED_VALUE"""),"S4: Student Certifications")</f>
        <v>S4: Student Certifications</v>
      </c>
      <c r="N66" s="9" t="str">
        <f ca="1">IFERROR(__xludf.DUMMYFUNCTION("""COMPUTED_VALUE"""),"venkatajaswanth10@gmail.com")</f>
        <v>venkatajaswanth10@gmail.com</v>
      </c>
      <c r="O66" s="9" t="str">
        <f ca="1">IFERROR(__xludf.DUMMYFUNCTION("""COMPUTED_VALUE"""),"SEM-8")</f>
        <v>SEM-8</v>
      </c>
      <c r="P66" s="9"/>
      <c r="Q66" s="9"/>
      <c r="R66" s="9"/>
      <c r="S66" s="9"/>
      <c r="T66" s="9"/>
      <c r="U66" s="9"/>
      <c r="V66" s="9"/>
      <c r="W66" s="9"/>
      <c r="X66" s="9"/>
      <c r="Y66" s="9"/>
    </row>
    <row r="67" spans="1:25" ht="26.25" customHeight="1" x14ac:dyDescent="0.15">
      <c r="A67" s="9" t="str">
        <f ca="1">IFERROR(__xludf.DUMMYFUNCTION("""COMPUTED_VALUE"""),"Sai Sakti Vamsi Kolli")</f>
        <v>Sai Sakti Vamsi Kolli</v>
      </c>
      <c r="B67" s="9" t="str">
        <f ca="1">IFERROR(__xludf.DUMMYFUNCTION("""COMPUTED_VALUE"""),"18331A05D1")</f>
        <v>18331A05D1</v>
      </c>
      <c r="C67" s="78" t="str">
        <f ca="1">IFERROR(__xludf.DUMMYFUNCTION("""COMPUTED_VALUE"""),"Wipro Earthian Sustainability Quiz,  Information Security Annual Training")</f>
        <v>Wipro Earthian Sustainability Quiz,  Information Security Annual Training</v>
      </c>
      <c r="D67" s="9" t="str">
        <f ca="1">IFERROR(__xludf.DUMMYFUNCTION("""COMPUTED_VALUE"""),"Wipro")</f>
        <v>Wipro</v>
      </c>
      <c r="E67" s="9" t="str">
        <f ca="1">IFERROR(__xludf.DUMMYFUNCTION("""COMPUTED_VALUE"""),"6 Days")</f>
        <v>6 Days</v>
      </c>
      <c r="F67" s="79">
        <f ca="1">IFERROR(__xludf.DUMMYFUNCTION("""COMPUTED_VALUE"""),44657)</f>
        <v>44657</v>
      </c>
      <c r="G67" s="79">
        <f ca="1">IFERROR(__xludf.DUMMYFUNCTION("""COMPUTED_VALUE"""),44663)</f>
        <v>44663</v>
      </c>
      <c r="H67" s="72">
        <f ca="1">IFERROR(__xludf.DUMMYFUNCTION("""COMPUTED_VALUE"""),44657)</f>
        <v>44657</v>
      </c>
      <c r="I67" s="80">
        <f ca="1">IFERROR(__xludf.DUMMYFUNCTION("""COMPUTED_VALUE"""),95)</f>
        <v>95</v>
      </c>
      <c r="J67" s="9" t="str">
        <f ca="1">IFERROR(__xludf.DUMMYFUNCTION("""COMPUTED_VALUE"""),"Mr.P Ram Santosh Naidu")</f>
        <v>Mr.P Ram Santosh Naidu</v>
      </c>
      <c r="K67" s="73" t="str">
        <f ca="1">IFERROR(__xludf.DUMMYFUNCTION("""COMPUTED_VALUE"""),"https://drive.google.com/open?id=1dI8_tPOHSzCb74KkjRi3HCoy2-bfgU5I")</f>
        <v>https://drive.google.com/open?id=1dI8_tPOHSzCb74KkjRi3HCoy2-bfgU5I</v>
      </c>
      <c r="L67" s="9" t="str">
        <f ca="1">IFERROR(__xludf.DUMMYFUNCTION("""COMPUTED_VALUE"""),"2018-2022")</f>
        <v>2018-2022</v>
      </c>
      <c r="M67" s="9" t="str">
        <f ca="1">IFERROR(__xludf.DUMMYFUNCTION("""COMPUTED_VALUE"""),"S4: Student Certifications")</f>
        <v>S4: Student Certifications</v>
      </c>
      <c r="N67" s="9" t="str">
        <f ca="1">IFERROR(__xludf.DUMMYFUNCTION("""COMPUTED_VALUE"""),"saishaktikolli@gmail.com")</f>
        <v>saishaktikolli@gmail.com</v>
      </c>
      <c r="O67" s="9" t="str">
        <f ca="1">IFERROR(__xludf.DUMMYFUNCTION("""COMPUTED_VALUE"""),"SEM-8")</f>
        <v>SEM-8</v>
      </c>
      <c r="P67" s="9"/>
      <c r="Q67" s="9"/>
      <c r="R67" s="9"/>
      <c r="S67" s="9"/>
      <c r="T67" s="9"/>
      <c r="U67" s="9"/>
      <c r="V67" s="9"/>
      <c r="W67" s="9"/>
      <c r="X67" s="9"/>
      <c r="Y67" s="9"/>
    </row>
    <row r="68" spans="1:25" ht="26.25" customHeight="1" x14ac:dyDescent="0.15">
      <c r="A68" s="9" t="str">
        <f ca="1">IFERROR(__xludf.DUMMYFUNCTION("""COMPUTED_VALUE"""),"Venkata Jaswanth Potnuru")</f>
        <v>Venkata Jaswanth Potnuru</v>
      </c>
      <c r="B68" s="9" t="str">
        <f ca="1">IFERROR(__xludf.DUMMYFUNCTION("""COMPUTED_VALUE"""),"19335A0513")</f>
        <v>19335A0513</v>
      </c>
      <c r="C68" s="78" t="str">
        <f ca="1">IFERROR(__xludf.DUMMYFUNCTION("""COMPUTED_VALUE"""),"Cybersecurity Foundation")</f>
        <v>Cybersecurity Foundation</v>
      </c>
      <c r="D68" s="9" t="str">
        <f ca="1">IFERROR(__xludf.DUMMYFUNCTION("""COMPUTED_VALUE"""),"Palo Alto Networks Cybersecurity Academy")</f>
        <v>Palo Alto Networks Cybersecurity Academy</v>
      </c>
      <c r="E68" s="9" t="str">
        <f ca="1">IFERROR(__xludf.DUMMYFUNCTION("""COMPUTED_VALUE"""),"1 Month")</f>
        <v>1 Month</v>
      </c>
      <c r="F68" s="79">
        <f ca="1">IFERROR(__xludf.DUMMYFUNCTION("""COMPUTED_VALUE"""),44371)</f>
        <v>44371</v>
      </c>
      <c r="G68" s="79">
        <f ca="1">IFERROR(__xludf.DUMMYFUNCTION("""COMPUTED_VALUE"""),44401)</f>
        <v>44401</v>
      </c>
      <c r="H68" s="72">
        <f ca="1">IFERROR(__xludf.DUMMYFUNCTION("""COMPUTED_VALUE"""),44401)</f>
        <v>44401</v>
      </c>
      <c r="I68" s="80">
        <f ca="1">IFERROR(__xludf.DUMMYFUNCTION("""COMPUTED_VALUE"""),100)</f>
        <v>100</v>
      </c>
      <c r="J68" s="9" t="str">
        <f ca="1">IFERROR(__xludf.DUMMYFUNCTION("""COMPUTED_VALUE"""),"DR. RAVI KIRAN VARMA PENMATSA")</f>
        <v>DR. RAVI KIRAN VARMA PENMATSA</v>
      </c>
      <c r="K68" s="73" t="str">
        <f ca="1">IFERROR(__xludf.DUMMYFUNCTION("""COMPUTED_VALUE"""),"https://drive.google.com/open?id=1GBl0nnG0xx1XN603Yge18K4HSJemYzOJ")</f>
        <v>https://drive.google.com/open?id=1GBl0nnG0xx1XN603Yge18K4HSJemYzOJ</v>
      </c>
      <c r="L68" s="9" t="str">
        <f ca="1">IFERROR(__xludf.DUMMYFUNCTION("""COMPUTED_VALUE"""),"2018-2022")</f>
        <v>2018-2022</v>
      </c>
      <c r="M68" s="9" t="str">
        <f ca="1">IFERROR(__xludf.DUMMYFUNCTION("""COMPUTED_VALUE"""),"S4: Student Certifications")</f>
        <v>S4: Student Certifications</v>
      </c>
      <c r="N68" s="9" t="str">
        <f ca="1">IFERROR(__xludf.DUMMYFUNCTION("""COMPUTED_VALUE"""),"venkatajaswanth10@gmail.com")</f>
        <v>venkatajaswanth10@gmail.com</v>
      </c>
      <c r="O68" s="9" t="str">
        <f ca="1">IFERROR(__xludf.DUMMYFUNCTION("""COMPUTED_VALUE"""),"SEM-6")</f>
        <v>SEM-6</v>
      </c>
      <c r="P68" s="9"/>
      <c r="Q68" s="9"/>
      <c r="R68" s="9"/>
      <c r="S68" s="9"/>
      <c r="T68" s="9"/>
      <c r="U68" s="9"/>
      <c r="V68" s="9"/>
      <c r="W68" s="9"/>
      <c r="X68" s="9"/>
      <c r="Y68" s="9"/>
    </row>
    <row r="69" spans="1:25" ht="26.25" customHeight="1" x14ac:dyDescent="0.15">
      <c r="A69" s="9" t="str">
        <f ca="1">IFERROR(__xludf.DUMMYFUNCTION("""COMPUTED_VALUE"""),"Sai Sakthi Vamsi Kolli")</f>
        <v>Sai Sakthi Vamsi Kolli</v>
      </c>
      <c r="B69" s="9" t="str">
        <f ca="1">IFERROR(__xludf.DUMMYFUNCTION("""COMPUTED_VALUE"""),"18331A05D1")</f>
        <v>18331A05D1</v>
      </c>
      <c r="C69" s="78" t="str">
        <f ca="1">IFERROR(__xludf.DUMMYFUNCTION("""COMPUTED_VALUE"""),"Python")</f>
        <v>Python</v>
      </c>
      <c r="D69" s="9" t="str">
        <f ca="1">IFERROR(__xludf.DUMMYFUNCTION("""COMPUTED_VALUE"""),"Log2Base2")</f>
        <v>Log2Base2</v>
      </c>
      <c r="E69" s="9" t="str">
        <f ca="1">IFERROR(__xludf.DUMMYFUNCTION("""COMPUTED_VALUE"""),"2 Month")</f>
        <v>2 Month</v>
      </c>
      <c r="F69" s="79">
        <f ca="1">IFERROR(__xludf.DUMMYFUNCTION("""COMPUTED_VALUE"""),44460)</f>
        <v>44460</v>
      </c>
      <c r="G69" s="79">
        <f ca="1">IFERROR(__xludf.DUMMYFUNCTION("""COMPUTED_VALUE"""),44526)</f>
        <v>44526</v>
      </c>
      <c r="H69" s="72">
        <f ca="1">IFERROR(__xludf.DUMMYFUNCTION("""COMPUTED_VALUE"""),44527)</f>
        <v>44527</v>
      </c>
      <c r="I69" s="80">
        <f ca="1">IFERROR(__xludf.DUMMYFUNCTION("""COMPUTED_VALUE"""),100)</f>
        <v>100</v>
      </c>
      <c r="J69" s="9" t="str">
        <f ca="1">IFERROR(__xludf.DUMMYFUNCTION("""COMPUTED_VALUE"""),"Mr P Ram Santosh Naidu")</f>
        <v>Mr P Ram Santosh Naidu</v>
      </c>
      <c r="K69" s="73" t="str">
        <f ca="1">IFERROR(__xludf.DUMMYFUNCTION("""COMPUTED_VALUE"""),"https://drive.google.com/open?id=1sCRyjn5e_QQuDBpkeNhqnyLnFdCEWrBp")</f>
        <v>https://drive.google.com/open?id=1sCRyjn5e_QQuDBpkeNhqnyLnFdCEWrBp</v>
      </c>
      <c r="L69" s="9" t="str">
        <f ca="1">IFERROR(__xludf.DUMMYFUNCTION("""COMPUTED_VALUE"""),"2018-2022")</f>
        <v>2018-2022</v>
      </c>
      <c r="M69" s="9" t="str">
        <f ca="1">IFERROR(__xludf.DUMMYFUNCTION("""COMPUTED_VALUE"""),"S4: Student Certifications")</f>
        <v>S4: Student Certifications</v>
      </c>
      <c r="N69" s="9" t="str">
        <f ca="1">IFERROR(__xludf.DUMMYFUNCTION("""COMPUTED_VALUE"""),"saishaktikolli@gmail.com")</f>
        <v>saishaktikolli@gmail.com</v>
      </c>
      <c r="O69" s="9" t="str">
        <f ca="1">IFERROR(__xludf.DUMMYFUNCTION("""COMPUTED_VALUE"""),"SEM-8")</f>
        <v>SEM-8</v>
      </c>
      <c r="P69" s="9"/>
      <c r="Q69" s="9"/>
      <c r="R69" s="9"/>
      <c r="S69" s="9"/>
      <c r="T69" s="9"/>
      <c r="U69" s="9"/>
      <c r="V69" s="9"/>
      <c r="W69" s="9"/>
      <c r="X69" s="9"/>
      <c r="Y69" s="9"/>
    </row>
    <row r="70" spans="1:25" ht="26.25" customHeight="1" x14ac:dyDescent="0.15">
      <c r="A70" s="9" t="str">
        <f ca="1">IFERROR(__xludf.DUMMYFUNCTION("""COMPUTED_VALUE"""),"GANTA  GAYATRI")</f>
        <v>GANTA  GAYATRI</v>
      </c>
      <c r="B70" s="9" t="str">
        <f ca="1">IFERROR(__xludf.DUMMYFUNCTION("""COMPUTED_VALUE"""),"18331A0541")</f>
        <v>18331A0541</v>
      </c>
      <c r="C70" s="78" t="str">
        <f ca="1">IFERROR(__xludf.DUMMYFUNCTION("""COMPUTED_VALUE"""),"C , C++")</f>
        <v>C , C++</v>
      </c>
      <c r="D70" s="9" t="str">
        <f ca="1">IFERROR(__xludf.DUMMYFUNCTION("""COMPUTED_VALUE"""),"Cisco")</f>
        <v>Cisco</v>
      </c>
      <c r="E70" s="9" t="str">
        <f ca="1">IFERROR(__xludf.DUMMYFUNCTION("""COMPUTED_VALUE"""),"50 days")</f>
        <v>50 days</v>
      </c>
      <c r="F70" s="79">
        <f ca="1">IFERROR(__xludf.DUMMYFUNCTION("""COMPUTED_VALUE"""),43979)</f>
        <v>43979</v>
      </c>
      <c r="G70" s="79">
        <f ca="1">IFERROR(__xludf.DUMMYFUNCTION("""COMPUTED_VALUE"""),44035)</f>
        <v>44035</v>
      </c>
      <c r="H70" s="72">
        <f ca="1">IFERROR(__xludf.DUMMYFUNCTION("""COMPUTED_VALUE"""),44035)</f>
        <v>44035</v>
      </c>
      <c r="I70" s="80">
        <f ca="1">IFERROR(__xludf.DUMMYFUNCTION("""COMPUTED_VALUE"""),95)</f>
        <v>95</v>
      </c>
      <c r="J70" s="9" t="str">
        <f ca="1">IFERROR(__xludf.DUMMYFUNCTION("""COMPUTED_VALUE"""),"DR. RAVI KIRAN VARMA PENMATSA")</f>
        <v>DR. RAVI KIRAN VARMA PENMATSA</v>
      </c>
      <c r="K70" s="73" t="str">
        <f ca="1">IFERROR(__xludf.DUMMYFUNCTION("""COMPUTED_VALUE"""),"https://drive.google.com/open?id=1hmBDFEQubi1xdeD9NNZO5E6rwOHsO1Ky")</f>
        <v>https://drive.google.com/open?id=1hmBDFEQubi1xdeD9NNZO5E6rwOHsO1Ky</v>
      </c>
      <c r="L70" s="9" t="str">
        <f ca="1">IFERROR(__xludf.DUMMYFUNCTION("""COMPUTED_VALUE"""),"2018-2022")</f>
        <v>2018-2022</v>
      </c>
      <c r="M70" s="9" t="str">
        <f ca="1">IFERROR(__xludf.DUMMYFUNCTION("""COMPUTED_VALUE"""),"S4: Student Certifications")</f>
        <v>S4: Student Certifications</v>
      </c>
      <c r="N70" s="9" t="str">
        <f ca="1">IFERROR(__xludf.DUMMYFUNCTION("""COMPUTED_VALUE"""),"gantagayatri490@gmail.com")</f>
        <v>gantagayatri490@gmail.com</v>
      </c>
      <c r="O70" s="9" t="str">
        <f ca="1">IFERROR(__xludf.DUMMYFUNCTION("""COMPUTED_VALUE"""),"SEM-4")</f>
        <v>SEM-4</v>
      </c>
      <c r="P70" s="9"/>
      <c r="Q70" s="9"/>
      <c r="R70" s="9"/>
      <c r="S70" s="9"/>
      <c r="T70" s="9"/>
      <c r="U70" s="9"/>
      <c r="V70" s="9"/>
      <c r="W70" s="9"/>
      <c r="X70" s="9"/>
      <c r="Y70" s="9"/>
    </row>
    <row r="71" spans="1:25" ht="26.25" customHeight="1" x14ac:dyDescent="0.15">
      <c r="A71" s="9" t="str">
        <f ca="1">IFERROR(__xludf.DUMMYFUNCTION("""COMPUTED_VALUE"""),"Sai Sakthi Vamsi Kolli")</f>
        <v>Sai Sakthi Vamsi Kolli</v>
      </c>
      <c r="B71" s="9" t="str">
        <f ca="1">IFERROR(__xludf.DUMMYFUNCTION("""COMPUTED_VALUE"""),"18331A05D1")</f>
        <v>18331A05D1</v>
      </c>
      <c r="C71" s="78" t="str">
        <f ca="1">IFERROR(__xludf.DUMMYFUNCTION("""COMPUTED_VALUE"""),"Wipro Earthain Sustainabilty Quiz")</f>
        <v>Wipro Earthain Sustainabilty Quiz</v>
      </c>
      <c r="D71" s="9" t="str">
        <f ca="1">IFERROR(__xludf.DUMMYFUNCTION("""COMPUTED_VALUE"""),"Wipro")</f>
        <v>Wipro</v>
      </c>
      <c r="E71" s="9" t="str">
        <f ca="1">IFERROR(__xludf.DUMMYFUNCTION("""COMPUTED_VALUE"""),"1 Day")</f>
        <v>1 Day</v>
      </c>
      <c r="F71" s="79">
        <f ca="1">IFERROR(__xludf.DUMMYFUNCTION("""COMPUTED_VALUE"""),44578)</f>
        <v>44578</v>
      </c>
      <c r="G71" s="79">
        <f ca="1">IFERROR(__xludf.DUMMYFUNCTION("""COMPUTED_VALUE"""),44578)</f>
        <v>44578</v>
      </c>
      <c r="H71" s="72">
        <f ca="1">IFERROR(__xludf.DUMMYFUNCTION("""COMPUTED_VALUE"""),44578)</f>
        <v>44578</v>
      </c>
      <c r="I71" s="80">
        <f ca="1">IFERROR(__xludf.DUMMYFUNCTION("""COMPUTED_VALUE"""),8)</f>
        <v>8</v>
      </c>
      <c r="J71" s="9" t="str">
        <f ca="1">IFERROR(__xludf.DUMMYFUNCTION("""COMPUTED_VALUE"""),"Mr P Ram Santosh Naidu")</f>
        <v>Mr P Ram Santosh Naidu</v>
      </c>
      <c r="K71" s="73" t="str">
        <f ca="1">IFERROR(__xludf.DUMMYFUNCTION("""COMPUTED_VALUE"""),"https://drive.google.com/open?id=1weMVHWhGnk2_8xnEmWSlproEiy_09tE9")</f>
        <v>https://drive.google.com/open?id=1weMVHWhGnk2_8xnEmWSlproEiy_09tE9</v>
      </c>
      <c r="L71" s="9" t="str">
        <f ca="1">IFERROR(__xludf.DUMMYFUNCTION("""COMPUTED_VALUE"""),"2018-2022")</f>
        <v>2018-2022</v>
      </c>
      <c r="M71" s="9" t="str">
        <f ca="1">IFERROR(__xludf.DUMMYFUNCTION("""COMPUTED_VALUE"""),"S4: Student Certifications")</f>
        <v>S4: Student Certifications</v>
      </c>
      <c r="N71" s="9" t="str">
        <f ca="1">IFERROR(__xludf.DUMMYFUNCTION("""COMPUTED_VALUE"""),"saishaktikolli@gmail.com")</f>
        <v>saishaktikolli@gmail.com</v>
      </c>
      <c r="O71" s="9" t="str">
        <f ca="1">IFERROR(__xludf.DUMMYFUNCTION("""COMPUTED_VALUE"""),"SEM-8")</f>
        <v>SEM-8</v>
      </c>
      <c r="P71" s="9"/>
      <c r="Q71" s="9"/>
      <c r="R71" s="9"/>
      <c r="S71" s="9"/>
      <c r="T71" s="9"/>
      <c r="U71" s="9"/>
      <c r="V71" s="9"/>
      <c r="W71" s="9"/>
      <c r="X71" s="9"/>
      <c r="Y71" s="9"/>
    </row>
    <row r="72" spans="1:25" ht="26.25" customHeight="1" x14ac:dyDescent="0.15">
      <c r="A72" s="9" t="str">
        <f ca="1">IFERROR(__xludf.DUMMYFUNCTION("""COMPUTED_VALUE"""),"Venkata Jaswanth Potnuru")</f>
        <v>Venkata Jaswanth Potnuru</v>
      </c>
      <c r="B72" s="9" t="str">
        <f ca="1">IFERROR(__xludf.DUMMYFUNCTION("""COMPUTED_VALUE"""),"19335A0513")</f>
        <v>19335A0513</v>
      </c>
      <c r="C72" s="78" t="str">
        <f ca="1">IFERROR(__xludf.DUMMYFUNCTION("""COMPUTED_VALUE"""),"Code Riders 2021")</f>
        <v>Code Riders 2021</v>
      </c>
      <c r="D72" s="9" t="str">
        <f ca="1">IFERROR(__xludf.DUMMYFUNCTION("""COMPUTED_VALUE"""),"Cisco")</f>
        <v>Cisco</v>
      </c>
      <c r="E72" s="9" t="str">
        <f ca="1">IFERROR(__xludf.DUMMYFUNCTION("""COMPUTED_VALUE""")," 1 Month")</f>
        <v xml:space="preserve"> 1 Month</v>
      </c>
      <c r="F72" s="79">
        <f ca="1">IFERROR(__xludf.DUMMYFUNCTION("""COMPUTED_VALUE"""),44348)</f>
        <v>44348</v>
      </c>
      <c r="G72" s="79">
        <f ca="1">IFERROR(__xludf.DUMMYFUNCTION("""COMPUTED_VALUE"""),44378)</f>
        <v>44378</v>
      </c>
      <c r="H72" s="72">
        <f ca="1">IFERROR(__xludf.DUMMYFUNCTION("""COMPUTED_VALUE"""),44378)</f>
        <v>44378</v>
      </c>
      <c r="I72" s="80">
        <f ca="1">IFERROR(__xludf.DUMMYFUNCTION("""COMPUTED_VALUE"""),100)</f>
        <v>100</v>
      </c>
      <c r="J72" s="9" t="str">
        <f ca="1">IFERROR(__xludf.DUMMYFUNCTION("""COMPUTED_VALUE"""),"NA")</f>
        <v>NA</v>
      </c>
      <c r="K72" s="73" t="str">
        <f ca="1">IFERROR(__xludf.DUMMYFUNCTION("""COMPUTED_VALUE"""),"https://drive.google.com/open?id=1LdzmjOYq2KIe8nkrqSa5ThZwK1bqixZg")</f>
        <v>https://drive.google.com/open?id=1LdzmjOYq2KIe8nkrqSa5ThZwK1bqixZg</v>
      </c>
      <c r="L72" s="9" t="str">
        <f ca="1">IFERROR(__xludf.DUMMYFUNCTION("""COMPUTED_VALUE"""),"2018-2022")</f>
        <v>2018-2022</v>
      </c>
      <c r="M72" s="9" t="str">
        <f ca="1">IFERROR(__xludf.DUMMYFUNCTION("""COMPUTED_VALUE"""),"S4: Student Certifications")</f>
        <v>S4: Student Certifications</v>
      </c>
      <c r="N72" s="9" t="str">
        <f ca="1">IFERROR(__xludf.DUMMYFUNCTION("""COMPUTED_VALUE"""),"venkatajaswanth10@gmail.com")</f>
        <v>venkatajaswanth10@gmail.com</v>
      </c>
      <c r="O72" s="9" t="str">
        <f ca="1">IFERROR(__xludf.DUMMYFUNCTION("""COMPUTED_VALUE"""),"SEM-5")</f>
        <v>SEM-5</v>
      </c>
      <c r="P72" s="9"/>
      <c r="Q72" s="9"/>
      <c r="R72" s="9"/>
      <c r="S72" s="9"/>
      <c r="T72" s="9"/>
      <c r="U72" s="9"/>
      <c r="V72" s="9"/>
      <c r="W72" s="9"/>
      <c r="X72" s="9"/>
      <c r="Y72" s="9"/>
    </row>
    <row r="73" spans="1:25" ht="26.25" customHeight="1" x14ac:dyDescent="0.15">
      <c r="A73" s="9" t="str">
        <f ca="1">IFERROR(__xludf.DUMMYFUNCTION("""COMPUTED_VALUE"""),"Venkata Jaswanth Potnuru")</f>
        <v>Venkata Jaswanth Potnuru</v>
      </c>
      <c r="B73" s="9" t="str">
        <f ca="1">IFERROR(__xludf.DUMMYFUNCTION("""COMPUTED_VALUE"""),"19335A0513")</f>
        <v>19335A0513</v>
      </c>
      <c r="C73" s="78" t="str">
        <f ca="1">IFERROR(__xludf.DUMMYFUNCTION("""COMPUTED_VALUE"""),"CCNAv7: Introduction to Networks")</f>
        <v>CCNAv7: Introduction to Networks</v>
      </c>
      <c r="D73" s="9" t="str">
        <f ca="1">IFERROR(__xludf.DUMMYFUNCTION("""COMPUTED_VALUE""")," CISCO")</f>
        <v xml:space="preserve"> CISCO</v>
      </c>
      <c r="E73" s="9" t="str">
        <f ca="1">IFERROR(__xludf.DUMMYFUNCTION("""COMPUTED_VALUE"""),"2 Months")</f>
        <v>2 Months</v>
      </c>
      <c r="F73" s="79">
        <f ca="1">IFERROR(__xludf.DUMMYFUNCTION("""COMPUTED_VALUE"""),44317)</f>
        <v>44317</v>
      </c>
      <c r="G73" s="79">
        <f ca="1">IFERROR(__xludf.DUMMYFUNCTION("""COMPUTED_VALUE"""),44378)</f>
        <v>44378</v>
      </c>
      <c r="H73" s="72">
        <f ca="1">IFERROR(__xludf.DUMMYFUNCTION("""COMPUTED_VALUE"""),44377)</f>
        <v>44377</v>
      </c>
      <c r="I73" s="80">
        <f ca="1">IFERROR(__xludf.DUMMYFUNCTION("""COMPUTED_VALUE"""),96)</f>
        <v>96</v>
      </c>
      <c r="J73" s="9" t="str">
        <f ca="1">IFERROR(__xludf.DUMMYFUNCTION("""COMPUTED_VALUE"""),"Subba Raju K V")</f>
        <v>Subba Raju K V</v>
      </c>
      <c r="K73" s="73" t="str">
        <f ca="1">IFERROR(__xludf.DUMMYFUNCTION("""COMPUTED_VALUE"""),"https://drive.google.com/open?id=15m24HTsvhmCHTfpddNph-bNu08e1k0k_")</f>
        <v>https://drive.google.com/open?id=15m24HTsvhmCHTfpddNph-bNu08e1k0k_</v>
      </c>
      <c r="L73" s="9" t="str">
        <f ca="1">IFERROR(__xludf.DUMMYFUNCTION("""COMPUTED_VALUE"""),"2018-2022")</f>
        <v>2018-2022</v>
      </c>
      <c r="M73" s="9" t="str">
        <f ca="1">IFERROR(__xludf.DUMMYFUNCTION("""COMPUTED_VALUE"""),"S4: Student Certifications")</f>
        <v>S4: Student Certifications</v>
      </c>
      <c r="N73" s="9" t="str">
        <f ca="1">IFERROR(__xludf.DUMMYFUNCTION("""COMPUTED_VALUE"""),"venkatajaswanth10@gmail.com")</f>
        <v>venkatajaswanth10@gmail.com</v>
      </c>
      <c r="O73" s="9" t="str">
        <f ca="1">IFERROR(__xludf.DUMMYFUNCTION("""COMPUTED_VALUE"""),"SEM-5")</f>
        <v>SEM-5</v>
      </c>
      <c r="P73" s="9"/>
      <c r="Q73" s="9"/>
      <c r="R73" s="9"/>
      <c r="S73" s="9"/>
      <c r="T73" s="9"/>
      <c r="U73" s="9"/>
      <c r="V73" s="9"/>
      <c r="W73" s="9"/>
      <c r="X73" s="9"/>
      <c r="Y73" s="9"/>
    </row>
    <row r="74" spans="1:25" ht="26.25" customHeight="1" x14ac:dyDescent="0.15">
      <c r="A74" s="9" t="str">
        <f ca="1">IFERROR(__xludf.DUMMYFUNCTION("""COMPUTED_VALUE"""),"Venkata Jaswanth Potnuru")</f>
        <v>Venkata Jaswanth Potnuru</v>
      </c>
      <c r="B74" s="9" t="str">
        <f ca="1">IFERROR(__xludf.DUMMYFUNCTION("""COMPUTED_VALUE"""),"19335A0513")</f>
        <v>19335A0513</v>
      </c>
      <c r="C74" s="78" t="str">
        <f ca="1">IFERROR(__xludf.DUMMYFUNCTION("""COMPUTED_VALUE"""),"CCNAv7: Switching, Routing, and Wireless Essentials")</f>
        <v>CCNAv7: Switching, Routing, and Wireless Essentials</v>
      </c>
      <c r="D74" s="9" t="str">
        <f ca="1">IFERROR(__xludf.DUMMYFUNCTION("""COMPUTED_VALUE"""),"CISCO")</f>
        <v>CISCO</v>
      </c>
      <c r="E74" s="9" t="str">
        <f ca="1">IFERROR(__xludf.DUMMYFUNCTION("""COMPUTED_VALUE"""),"2 Months")</f>
        <v>2 Months</v>
      </c>
      <c r="F74" s="79">
        <f ca="1">IFERROR(__xludf.DUMMYFUNCTION("""COMPUTED_VALUE"""),44394)</f>
        <v>44394</v>
      </c>
      <c r="G74" s="79">
        <f ca="1">IFERROR(__xludf.DUMMYFUNCTION("""COMPUTED_VALUE"""),44456)</f>
        <v>44456</v>
      </c>
      <c r="H74" s="72">
        <f ca="1">IFERROR(__xludf.DUMMYFUNCTION("""COMPUTED_VALUE"""),44453)</f>
        <v>44453</v>
      </c>
      <c r="I74" s="80">
        <f ca="1">IFERROR(__xludf.DUMMYFUNCTION("""COMPUTED_VALUE"""),98)</f>
        <v>98</v>
      </c>
      <c r="J74" s="9" t="str">
        <f ca="1">IFERROR(__xludf.DUMMYFUNCTION("""COMPUTED_VALUE"""),"Subba Raju K V")</f>
        <v>Subba Raju K V</v>
      </c>
      <c r="K74" s="73" t="str">
        <f ca="1">IFERROR(__xludf.DUMMYFUNCTION("""COMPUTED_VALUE"""),"https://drive.google.com/open?id=1Ubp8_c4h7akiK0B3O4DqW0FOv0a_NPLu")</f>
        <v>https://drive.google.com/open?id=1Ubp8_c4h7akiK0B3O4DqW0FOv0a_NPLu</v>
      </c>
      <c r="L74" s="9" t="str">
        <f ca="1">IFERROR(__xludf.DUMMYFUNCTION("""COMPUTED_VALUE"""),"2018-2022")</f>
        <v>2018-2022</v>
      </c>
      <c r="M74" s="9" t="str">
        <f ca="1">IFERROR(__xludf.DUMMYFUNCTION("""COMPUTED_VALUE"""),"S4: Student Certifications")</f>
        <v>S4: Student Certifications</v>
      </c>
      <c r="N74" s="9" t="str">
        <f ca="1">IFERROR(__xludf.DUMMYFUNCTION("""COMPUTED_VALUE"""),"venkatajaswanth10@gmail.com")</f>
        <v>venkatajaswanth10@gmail.com</v>
      </c>
      <c r="O74" s="9" t="str">
        <f ca="1">IFERROR(__xludf.DUMMYFUNCTION("""COMPUTED_VALUE"""),"SEM-5")</f>
        <v>SEM-5</v>
      </c>
      <c r="P74" s="9"/>
      <c r="Q74" s="9"/>
      <c r="R74" s="9"/>
      <c r="S74" s="9"/>
      <c r="T74" s="9"/>
      <c r="U74" s="9"/>
      <c r="V74" s="9"/>
      <c r="W74" s="9"/>
      <c r="X74" s="9"/>
      <c r="Y74" s="9"/>
    </row>
    <row r="75" spans="1:25" ht="26.25" customHeight="1" x14ac:dyDescent="0.15">
      <c r="A75" s="9" t="str">
        <f ca="1">IFERROR(__xludf.DUMMYFUNCTION("""COMPUTED_VALUE"""),"GANTA  GAYATRI")</f>
        <v>GANTA  GAYATRI</v>
      </c>
      <c r="B75" s="9" t="str">
        <f ca="1">IFERROR(__xludf.DUMMYFUNCTION("""COMPUTED_VALUE"""),"18331A0541")</f>
        <v>18331A0541</v>
      </c>
      <c r="C75" s="78" t="str">
        <f ca="1">IFERROR(__xludf.DUMMYFUNCTION("""COMPUTED_VALUE""")," AWS Academy Cloud Foundations")</f>
        <v xml:space="preserve"> AWS Academy Cloud Foundations</v>
      </c>
      <c r="D75" s="9" t="str">
        <f ca="1">IFERROR(__xludf.DUMMYFUNCTION("""COMPUTED_VALUE"""),"AICTE")</f>
        <v>AICTE</v>
      </c>
      <c r="E75" s="9" t="str">
        <f ca="1">IFERROR(__xludf.DUMMYFUNCTION("""COMPUTED_VALUE"""),"20 hours")</f>
        <v>20 hours</v>
      </c>
      <c r="F75" s="79">
        <f ca="1">IFERROR(__xludf.DUMMYFUNCTION("""COMPUTED_VALUE"""),44511)</f>
        <v>44511</v>
      </c>
      <c r="G75" s="79">
        <f ca="1">IFERROR(__xludf.DUMMYFUNCTION("""COMPUTED_VALUE"""),44512)</f>
        <v>44512</v>
      </c>
      <c r="H75" s="72">
        <f ca="1">IFERROR(__xludf.DUMMYFUNCTION("""COMPUTED_VALUE"""),44512)</f>
        <v>44512</v>
      </c>
      <c r="I75" s="80">
        <f ca="1">IFERROR(__xludf.DUMMYFUNCTION("""COMPUTED_VALUE"""),95)</f>
        <v>95</v>
      </c>
      <c r="J75" s="9" t="str">
        <f ca="1">IFERROR(__xludf.DUMMYFUNCTION("""COMPUTED_VALUE"""),"DR. RAVI KIRAN VARMA PENMATSA")</f>
        <v>DR. RAVI KIRAN VARMA PENMATSA</v>
      </c>
      <c r="K75" s="73" t="str">
        <f ca="1">IFERROR(__xludf.DUMMYFUNCTION("""COMPUTED_VALUE"""),"https://drive.google.com/open?id=1hWZ3IU_hEzghk26-0Zy6EkmUgvGEumIh")</f>
        <v>https://drive.google.com/open?id=1hWZ3IU_hEzghk26-0Zy6EkmUgvGEumIh</v>
      </c>
      <c r="L75" s="9" t="str">
        <f ca="1">IFERROR(__xludf.DUMMYFUNCTION("""COMPUTED_VALUE"""),"2018-2022")</f>
        <v>2018-2022</v>
      </c>
      <c r="M75" s="9" t="str">
        <f ca="1">IFERROR(__xludf.DUMMYFUNCTION("""COMPUTED_VALUE"""),"S4: Student Certifications")</f>
        <v>S4: Student Certifications</v>
      </c>
      <c r="N75" s="9" t="str">
        <f ca="1">IFERROR(__xludf.DUMMYFUNCTION("""COMPUTED_VALUE"""),"gantagayatri490@gmail.com")</f>
        <v>gantagayatri490@gmail.com</v>
      </c>
      <c r="O75" s="9" t="str">
        <f ca="1">IFERROR(__xludf.DUMMYFUNCTION("""COMPUTED_VALUE"""),"SEM-7")</f>
        <v>SEM-7</v>
      </c>
      <c r="P75" s="9"/>
      <c r="Q75" s="9"/>
      <c r="R75" s="9"/>
      <c r="S75" s="9"/>
      <c r="T75" s="9"/>
      <c r="U75" s="9"/>
      <c r="V75" s="9"/>
      <c r="W75" s="9"/>
      <c r="X75" s="9"/>
      <c r="Y75" s="9"/>
    </row>
    <row r="76" spans="1:25" ht="26.25" customHeight="1" x14ac:dyDescent="0.15">
      <c r="A76" s="9" t="str">
        <f ca="1">IFERROR(__xludf.DUMMYFUNCTION("""COMPUTED_VALUE"""),"Venkata Jaswanth Potnuru")</f>
        <v>Venkata Jaswanth Potnuru</v>
      </c>
      <c r="B76" s="9" t="str">
        <f ca="1">IFERROR(__xludf.DUMMYFUNCTION("""COMPUTED_VALUE"""),"19335A0513")</f>
        <v>19335A0513</v>
      </c>
      <c r="C76" s="78" t="str">
        <f ca="1">IFERROR(__xludf.DUMMYFUNCTION("""COMPUTED_VALUE"""),"Cybersecurity Essentials")</f>
        <v>Cybersecurity Essentials</v>
      </c>
      <c r="D76" s="9" t="str">
        <f ca="1">IFERROR(__xludf.DUMMYFUNCTION("""COMPUTED_VALUE"""),"CISCO")</f>
        <v>CISCO</v>
      </c>
      <c r="E76" s="9" t="str">
        <f ca="1">IFERROR(__xludf.DUMMYFUNCTION("""COMPUTED_VALUE"""),"2 Months")</f>
        <v>2 Months</v>
      </c>
      <c r="F76" s="79">
        <f ca="1">IFERROR(__xludf.DUMMYFUNCTION("""COMPUTED_VALUE"""),44256)</f>
        <v>44256</v>
      </c>
      <c r="G76" s="79">
        <f ca="1">IFERROR(__xludf.DUMMYFUNCTION("""COMPUTED_VALUE"""),44317)</f>
        <v>44317</v>
      </c>
      <c r="H76" s="72">
        <f ca="1">IFERROR(__xludf.DUMMYFUNCTION("""COMPUTED_VALUE"""),44316)</f>
        <v>44316</v>
      </c>
      <c r="I76" s="80">
        <f ca="1">IFERROR(__xludf.DUMMYFUNCTION("""COMPUTED_VALUE"""),100)</f>
        <v>100</v>
      </c>
      <c r="J76" s="9" t="str">
        <f ca="1">IFERROR(__xludf.DUMMYFUNCTION("""COMPUTED_VALUE"""),"Subba Raju K V")</f>
        <v>Subba Raju K V</v>
      </c>
      <c r="K76" s="73" t="str">
        <f ca="1">IFERROR(__xludf.DUMMYFUNCTION("""COMPUTED_VALUE"""),"https://drive.google.com/open?id=17fDZDgI0IUlTGAQR7Oh1MKbR9td1xQNL")</f>
        <v>https://drive.google.com/open?id=17fDZDgI0IUlTGAQR7Oh1MKbR9td1xQNL</v>
      </c>
      <c r="L76" s="9" t="str">
        <f ca="1">IFERROR(__xludf.DUMMYFUNCTION("""COMPUTED_VALUE"""),"2018-2022")</f>
        <v>2018-2022</v>
      </c>
      <c r="M76" s="9" t="str">
        <f ca="1">IFERROR(__xludf.DUMMYFUNCTION("""COMPUTED_VALUE"""),"S4: Student Certifications")</f>
        <v>S4: Student Certifications</v>
      </c>
      <c r="N76" s="9" t="str">
        <f ca="1">IFERROR(__xludf.DUMMYFUNCTION("""COMPUTED_VALUE"""),"venkatajaswanth10@gmail.com")</f>
        <v>venkatajaswanth10@gmail.com</v>
      </c>
      <c r="O76" s="9" t="str">
        <f ca="1">IFERROR(__xludf.DUMMYFUNCTION("""COMPUTED_VALUE"""),"SEM-5")</f>
        <v>SEM-5</v>
      </c>
      <c r="P76" s="9"/>
      <c r="Q76" s="9"/>
      <c r="R76" s="9"/>
      <c r="S76" s="9"/>
      <c r="T76" s="9"/>
      <c r="U76" s="9"/>
      <c r="V76" s="9"/>
      <c r="W76" s="9"/>
      <c r="X76" s="9"/>
      <c r="Y76" s="9"/>
    </row>
    <row r="77" spans="1:25" ht="26.25" customHeight="1" x14ac:dyDescent="0.15">
      <c r="A77" s="9" t="str">
        <f ca="1">IFERROR(__xludf.DUMMYFUNCTION("""COMPUTED_VALUE"""),"Venkata Jaswanth Potnuru")</f>
        <v>Venkata Jaswanth Potnuru</v>
      </c>
      <c r="B77" s="9" t="str">
        <f ca="1">IFERROR(__xludf.DUMMYFUNCTION("""COMPUTED_VALUE"""),"19335A0513")</f>
        <v>19335A0513</v>
      </c>
      <c r="C77" s="78" t="str">
        <f ca="1">IFERROR(__xludf.DUMMYFUNCTION("""COMPUTED_VALUE"""),"Introduction to Cybersecurity")</f>
        <v>Introduction to Cybersecurity</v>
      </c>
      <c r="D77" s="9" t="str">
        <f ca="1">IFERROR(__xludf.DUMMYFUNCTION("""COMPUTED_VALUE"""),"CISCO")</f>
        <v>CISCO</v>
      </c>
      <c r="E77" s="9" t="str">
        <f ca="1">IFERROR(__xludf.DUMMYFUNCTION("""COMPUTED_VALUE"""),"1 Month")</f>
        <v>1 Month</v>
      </c>
      <c r="F77" s="79">
        <f ca="1">IFERROR(__xludf.DUMMYFUNCTION("""COMPUTED_VALUE"""),44287)</f>
        <v>44287</v>
      </c>
      <c r="G77" s="79">
        <f ca="1">IFERROR(__xludf.DUMMYFUNCTION("""COMPUTED_VALUE"""),44317)</f>
        <v>44317</v>
      </c>
      <c r="H77" s="72">
        <f ca="1">IFERROR(__xludf.DUMMYFUNCTION("""COMPUTED_VALUE"""),44311)</f>
        <v>44311</v>
      </c>
      <c r="I77" s="80">
        <f ca="1">IFERROR(__xludf.DUMMYFUNCTION("""COMPUTED_VALUE"""),95)</f>
        <v>95</v>
      </c>
      <c r="J77" s="9" t="str">
        <f ca="1">IFERROR(__xludf.DUMMYFUNCTION("""COMPUTED_VALUE"""),"Subba Raju K V")</f>
        <v>Subba Raju K V</v>
      </c>
      <c r="K77" s="73" t="str">
        <f ca="1">IFERROR(__xludf.DUMMYFUNCTION("""COMPUTED_VALUE"""),"https://drive.google.com/open?id=1OI6bpCgYEzw1K9uQUhVrnzdx_wk7OzEw")</f>
        <v>https://drive.google.com/open?id=1OI6bpCgYEzw1K9uQUhVrnzdx_wk7OzEw</v>
      </c>
      <c r="L77" s="9" t="str">
        <f ca="1">IFERROR(__xludf.DUMMYFUNCTION("""COMPUTED_VALUE"""),"2018-2022")</f>
        <v>2018-2022</v>
      </c>
      <c r="M77" s="9" t="str">
        <f ca="1">IFERROR(__xludf.DUMMYFUNCTION("""COMPUTED_VALUE"""),"S4: Student Certifications")</f>
        <v>S4: Student Certifications</v>
      </c>
      <c r="N77" s="9" t="str">
        <f ca="1">IFERROR(__xludf.DUMMYFUNCTION("""COMPUTED_VALUE"""),"venkatajaswanth10@gmail.com")</f>
        <v>venkatajaswanth10@gmail.com</v>
      </c>
      <c r="O77" s="9" t="str">
        <f ca="1">IFERROR(__xludf.DUMMYFUNCTION("""COMPUTED_VALUE"""),"SEM-5")</f>
        <v>SEM-5</v>
      </c>
      <c r="P77" s="9"/>
      <c r="Q77" s="9"/>
      <c r="R77" s="9"/>
      <c r="S77" s="9"/>
      <c r="T77" s="9"/>
      <c r="U77" s="9"/>
      <c r="V77" s="9"/>
      <c r="W77" s="9"/>
      <c r="X77" s="9"/>
      <c r="Y77" s="9"/>
    </row>
    <row r="78" spans="1:25" ht="26.25" customHeight="1" x14ac:dyDescent="0.15">
      <c r="A78" s="9" t="str">
        <f ca="1">IFERROR(__xludf.DUMMYFUNCTION("""COMPUTED_VALUE"""),"Venkata Jaswanth Potnuru")</f>
        <v>Venkata Jaswanth Potnuru</v>
      </c>
      <c r="B78" s="9" t="str">
        <f ca="1">IFERROR(__xludf.DUMMYFUNCTION("""COMPUTED_VALUE"""),"19335A0513")</f>
        <v>19335A0513</v>
      </c>
      <c r="C78" s="78" t="str">
        <f ca="1">IFERROR(__xludf.DUMMYFUNCTION("""COMPUTED_VALUE"""),"Introduction to IOT")</f>
        <v>Introduction to IOT</v>
      </c>
      <c r="D78" s="9" t="str">
        <f ca="1">IFERROR(__xludf.DUMMYFUNCTION("""COMPUTED_VALUE"""),"CISCO")</f>
        <v>CISCO</v>
      </c>
      <c r="E78" s="9" t="str">
        <f ca="1">IFERROR(__xludf.DUMMYFUNCTION("""COMPUTED_VALUE"""),"1 Month")</f>
        <v>1 Month</v>
      </c>
      <c r="F78" s="79">
        <f ca="1">IFERROR(__xludf.DUMMYFUNCTION("""COMPUTED_VALUE"""),44341)</f>
        <v>44341</v>
      </c>
      <c r="G78" s="79">
        <f ca="1">IFERROR(__xludf.DUMMYFUNCTION("""COMPUTED_VALUE"""),44372)</f>
        <v>44372</v>
      </c>
      <c r="H78" s="72">
        <f ca="1">IFERROR(__xludf.DUMMYFUNCTION("""COMPUTED_VALUE"""),44372)</f>
        <v>44372</v>
      </c>
      <c r="I78" s="80">
        <f ca="1">IFERROR(__xludf.DUMMYFUNCTION("""COMPUTED_VALUE"""),100)</f>
        <v>100</v>
      </c>
      <c r="J78" s="9" t="str">
        <f ca="1">IFERROR(__xludf.DUMMYFUNCTION("""COMPUTED_VALUE"""),"Jackson Smith")</f>
        <v>Jackson Smith</v>
      </c>
      <c r="K78" s="73" t="str">
        <f ca="1">IFERROR(__xludf.DUMMYFUNCTION("""COMPUTED_VALUE"""),"https://drive.google.com/open?id=1Iz5WGeW5_Pf7x4xtRu9jFfSAZJGtPWoT")</f>
        <v>https://drive.google.com/open?id=1Iz5WGeW5_Pf7x4xtRu9jFfSAZJGtPWoT</v>
      </c>
      <c r="L78" s="9" t="str">
        <f ca="1">IFERROR(__xludf.DUMMYFUNCTION("""COMPUTED_VALUE"""),"2018-2022")</f>
        <v>2018-2022</v>
      </c>
      <c r="M78" s="9" t="str">
        <f ca="1">IFERROR(__xludf.DUMMYFUNCTION("""COMPUTED_VALUE"""),"S4: Student Certifications")</f>
        <v>S4: Student Certifications</v>
      </c>
      <c r="N78" s="9" t="str">
        <f ca="1">IFERROR(__xludf.DUMMYFUNCTION("""COMPUTED_VALUE"""),"venkatajaswanth10@gmail.com")</f>
        <v>venkatajaswanth10@gmail.com</v>
      </c>
      <c r="O78" s="9" t="str">
        <f ca="1">IFERROR(__xludf.DUMMYFUNCTION("""COMPUTED_VALUE"""),"SEM-6")</f>
        <v>SEM-6</v>
      </c>
      <c r="P78" s="9"/>
      <c r="Q78" s="9"/>
      <c r="R78" s="9"/>
      <c r="S78" s="9"/>
      <c r="T78" s="9"/>
      <c r="U78" s="9"/>
      <c r="V78" s="9"/>
      <c r="W78" s="9"/>
      <c r="X78" s="9"/>
      <c r="Y78" s="9"/>
    </row>
    <row r="79" spans="1:25" ht="26.25" customHeight="1" x14ac:dyDescent="0.15">
      <c r="A79" s="9" t="str">
        <f ca="1">IFERROR(__xludf.DUMMYFUNCTION("""COMPUTED_VALUE"""),"Venkata Jaswanth Potnuru")</f>
        <v>Venkata Jaswanth Potnuru</v>
      </c>
      <c r="B79" s="9" t="str">
        <f ca="1">IFERROR(__xludf.DUMMYFUNCTION("""COMPUTED_VALUE"""),"19335A0513")</f>
        <v>19335A0513</v>
      </c>
      <c r="C79" s="78" t="str">
        <f ca="1">IFERROR(__xludf.DUMMYFUNCTION("""COMPUTED_VALUE"""),"NDG LINUX Essentials")</f>
        <v>NDG LINUX Essentials</v>
      </c>
      <c r="D79" s="9" t="str">
        <f ca="1">IFERROR(__xludf.DUMMYFUNCTION("""COMPUTED_VALUE"""),"CISCO")</f>
        <v>CISCO</v>
      </c>
      <c r="E79" s="9" t="str">
        <f ca="1">IFERROR(__xludf.DUMMYFUNCTION("""COMPUTED_VALUE"""),"1 Month")</f>
        <v>1 Month</v>
      </c>
      <c r="F79" s="79">
        <f ca="1">IFERROR(__xludf.DUMMYFUNCTION("""COMPUTED_VALUE"""),44353)</f>
        <v>44353</v>
      </c>
      <c r="G79" s="79">
        <f ca="1">IFERROR(__xludf.DUMMYFUNCTION("""COMPUTED_VALUE"""),44383)</f>
        <v>44383</v>
      </c>
      <c r="H79" s="72">
        <f ca="1">IFERROR(__xludf.DUMMYFUNCTION("""COMPUTED_VALUE"""),44383)</f>
        <v>44383</v>
      </c>
      <c r="I79" s="80">
        <f ca="1">IFERROR(__xludf.DUMMYFUNCTION("""COMPUTED_VALUE"""),95)</f>
        <v>95</v>
      </c>
      <c r="J79" s="9" t="str">
        <f ca="1">IFERROR(__xludf.DUMMYFUNCTION("""COMPUTED_VALUE"""),"Mark Williams")</f>
        <v>Mark Williams</v>
      </c>
      <c r="K79" s="73" t="str">
        <f ca="1">IFERROR(__xludf.DUMMYFUNCTION("""COMPUTED_VALUE"""),"https://drive.google.com/open?id=1L1zMhfxTvNoi-qU4SQcbTr004amwsT8L")</f>
        <v>https://drive.google.com/open?id=1L1zMhfxTvNoi-qU4SQcbTr004amwsT8L</v>
      </c>
      <c r="L79" s="9" t="str">
        <f ca="1">IFERROR(__xludf.DUMMYFUNCTION("""COMPUTED_VALUE"""),"2018-2022")</f>
        <v>2018-2022</v>
      </c>
      <c r="M79" s="9" t="str">
        <f ca="1">IFERROR(__xludf.DUMMYFUNCTION("""COMPUTED_VALUE"""),"S4: Student Certifications")</f>
        <v>S4: Student Certifications</v>
      </c>
      <c r="N79" s="9" t="str">
        <f ca="1">IFERROR(__xludf.DUMMYFUNCTION("""COMPUTED_VALUE"""),"venkatajaswanth10@gmail.com")</f>
        <v>venkatajaswanth10@gmail.com</v>
      </c>
      <c r="O79" s="9" t="str">
        <f ca="1">IFERROR(__xludf.DUMMYFUNCTION("""COMPUTED_VALUE"""),"SEM-5")</f>
        <v>SEM-5</v>
      </c>
      <c r="P79" s="9"/>
      <c r="Q79" s="9"/>
      <c r="R79" s="9"/>
      <c r="S79" s="9"/>
      <c r="T79" s="9"/>
      <c r="U79" s="9"/>
      <c r="V79" s="9"/>
      <c r="W79" s="9"/>
      <c r="X79" s="9"/>
      <c r="Y79" s="9"/>
    </row>
    <row r="80" spans="1:25" ht="26.25" customHeight="1" x14ac:dyDescent="0.15">
      <c r="A80" s="9" t="str">
        <f ca="1">IFERROR(__xludf.DUMMYFUNCTION("""COMPUTED_VALUE"""),"Venkata Jaswanth Potnuru")</f>
        <v>Venkata Jaswanth Potnuru</v>
      </c>
      <c r="B80" s="9" t="str">
        <f ca="1">IFERROR(__xludf.DUMMYFUNCTION("""COMPUTED_VALUE"""),"19335A0513")</f>
        <v>19335A0513</v>
      </c>
      <c r="C80" s="78" t="str">
        <f ca="1">IFERROR(__xludf.DUMMYFUNCTION("""COMPUTED_VALUE"""),"CPA: Programming Essentials in C++")</f>
        <v>CPA: Programming Essentials in C++</v>
      </c>
      <c r="D80" s="9" t="str">
        <f ca="1">IFERROR(__xludf.DUMMYFUNCTION("""COMPUTED_VALUE"""),"CISCO")</f>
        <v>CISCO</v>
      </c>
      <c r="E80" s="9" t="str">
        <f ca="1">IFERROR(__xludf.DUMMYFUNCTION("""COMPUTED_VALUE"""),"1 Month")</f>
        <v>1 Month</v>
      </c>
      <c r="F80" s="79">
        <f ca="1">IFERROR(__xludf.DUMMYFUNCTION("""COMPUTED_VALUE"""),43912)</f>
        <v>43912</v>
      </c>
      <c r="G80" s="79">
        <f ca="1">IFERROR(__xludf.DUMMYFUNCTION("""COMPUTED_VALUE"""),43943)</f>
        <v>43943</v>
      </c>
      <c r="H80" s="72">
        <f ca="1">IFERROR(__xludf.DUMMYFUNCTION("""COMPUTED_VALUE"""),43943)</f>
        <v>43943</v>
      </c>
      <c r="I80" s="80">
        <f ca="1">IFERROR(__xludf.DUMMYFUNCTION("""COMPUTED_VALUE"""),90)</f>
        <v>90</v>
      </c>
      <c r="J80" s="9" t="str">
        <f ca="1">IFERROR(__xludf.DUMMYFUNCTION("""COMPUTED_VALUE"""),"Subba Raju K V")</f>
        <v>Subba Raju K V</v>
      </c>
      <c r="K80" s="73" t="str">
        <f ca="1">IFERROR(__xludf.DUMMYFUNCTION("""COMPUTED_VALUE"""),"https://drive.google.com/open?id=1vMGLeUrSR3Dh6GgANjUHAzVvzXnuXo0B")</f>
        <v>https://drive.google.com/open?id=1vMGLeUrSR3Dh6GgANjUHAzVvzXnuXo0B</v>
      </c>
      <c r="L80" s="9" t="str">
        <f ca="1">IFERROR(__xludf.DUMMYFUNCTION("""COMPUTED_VALUE"""),"2018-2022")</f>
        <v>2018-2022</v>
      </c>
      <c r="M80" s="9" t="str">
        <f ca="1">IFERROR(__xludf.DUMMYFUNCTION("""COMPUTED_VALUE"""),"S4: Student Certifications")</f>
        <v>S4: Student Certifications</v>
      </c>
      <c r="N80" s="9" t="str">
        <f ca="1">IFERROR(__xludf.DUMMYFUNCTION("""COMPUTED_VALUE"""),"venkatajaswanth10@gmail.com")</f>
        <v>venkatajaswanth10@gmail.com</v>
      </c>
      <c r="O80" s="9" t="str">
        <f ca="1">IFERROR(__xludf.DUMMYFUNCTION("""COMPUTED_VALUE"""),"SEM-4")</f>
        <v>SEM-4</v>
      </c>
      <c r="P80" s="9"/>
      <c r="Q80" s="9"/>
      <c r="R80" s="9"/>
      <c r="S80" s="9"/>
      <c r="T80" s="9"/>
      <c r="U80" s="9"/>
      <c r="V80" s="9"/>
      <c r="W80" s="9"/>
      <c r="X80" s="9"/>
      <c r="Y80" s="9"/>
    </row>
    <row r="81" spans="1:25" ht="26.25" customHeight="1" x14ac:dyDescent="0.15">
      <c r="A81" s="9" t="str">
        <f ca="1">IFERROR(__xludf.DUMMYFUNCTION("""COMPUTED_VALUE"""),"Venkata Jaswanth Potnuru")</f>
        <v>Venkata Jaswanth Potnuru</v>
      </c>
      <c r="B81" s="9" t="str">
        <f ca="1">IFERROR(__xludf.DUMMYFUNCTION("""COMPUTED_VALUE"""),"19335A0513")</f>
        <v>19335A0513</v>
      </c>
      <c r="C81" s="78" t="str">
        <f ca="1">IFERROR(__xludf.DUMMYFUNCTION("""COMPUTED_VALUE"""),"PCAP: Programming Essentials in Python")</f>
        <v>PCAP: Programming Essentials in Python</v>
      </c>
      <c r="D81" s="9" t="str">
        <f ca="1">IFERROR(__xludf.DUMMYFUNCTION("""COMPUTED_VALUE"""),"CISCO")</f>
        <v>CISCO</v>
      </c>
      <c r="E81" s="9" t="str">
        <f ca="1">IFERROR(__xludf.DUMMYFUNCTION("""COMPUTED_VALUE"""),"1 Month")</f>
        <v>1 Month</v>
      </c>
      <c r="F81" s="79">
        <f ca="1">IFERROR(__xludf.DUMMYFUNCTION("""COMPUTED_VALUE"""),44341)</f>
        <v>44341</v>
      </c>
      <c r="G81" s="79">
        <f ca="1">IFERROR(__xludf.DUMMYFUNCTION("""COMPUTED_VALUE"""),44372)</f>
        <v>44372</v>
      </c>
      <c r="H81" s="72">
        <f ca="1">IFERROR(__xludf.DUMMYFUNCTION("""COMPUTED_VALUE"""),44372)</f>
        <v>44372</v>
      </c>
      <c r="I81" s="80">
        <f ca="1">IFERROR(__xludf.DUMMYFUNCTION("""COMPUTED_VALUE"""),100)</f>
        <v>100</v>
      </c>
      <c r="J81" s="9" t="str">
        <f ca="1">IFERROR(__xludf.DUMMYFUNCTION("""COMPUTED_VALUE"""),"Subba Raju K V")</f>
        <v>Subba Raju K V</v>
      </c>
      <c r="K81" s="73" t="str">
        <f ca="1">IFERROR(__xludf.DUMMYFUNCTION("""COMPUTED_VALUE"""),"https://drive.google.com/open?id=1DNSPS149gUyqLMTKWt0qSnJScql9abxN")</f>
        <v>https://drive.google.com/open?id=1DNSPS149gUyqLMTKWt0qSnJScql9abxN</v>
      </c>
      <c r="L81" s="9" t="str">
        <f ca="1">IFERROR(__xludf.DUMMYFUNCTION("""COMPUTED_VALUE"""),"2018-2022")</f>
        <v>2018-2022</v>
      </c>
      <c r="M81" s="9" t="str">
        <f ca="1">IFERROR(__xludf.DUMMYFUNCTION("""COMPUTED_VALUE"""),"S4: Student Certifications")</f>
        <v>S4: Student Certifications</v>
      </c>
      <c r="N81" s="9" t="str">
        <f ca="1">IFERROR(__xludf.DUMMYFUNCTION("""COMPUTED_VALUE"""),"venkatajaswanth10@gmail.com")</f>
        <v>venkatajaswanth10@gmail.com</v>
      </c>
      <c r="O81" s="9" t="str">
        <f ca="1">IFERROR(__xludf.DUMMYFUNCTION("""COMPUTED_VALUE"""),"SEM-6")</f>
        <v>SEM-6</v>
      </c>
      <c r="P81" s="9"/>
      <c r="Q81" s="9"/>
      <c r="R81" s="9"/>
      <c r="S81" s="9"/>
      <c r="T81" s="9"/>
      <c r="U81" s="9"/>
      <c r="V81" s="9"/>
      <c r="W81" s="9"/>
      <c r="X81" s="9"/>
      <c r="Y81" s="9"/>
    </row>
    <row r="82" spans="1:25" ht="26.25" customHeight="1" x14ac:dyDescent="0.15">
      <c r="A82" s="9" t="str">
        <f ca="1">IFERROR(__xludf.DUMMYFUNCTION("""COMPUTED_VALUE"""),"Venkata Jaswanth Potnuru")</f>
        <v>Venkata Jaswanth Potnuru</v>
      </c>
      <c r="B82" s="9" t="str">
        <f ca="1">IFERROR(__xludf.DUMMYFUNCTION("""COMPUTED_VALUE"""),"19335A0513")</f>
        <v>19335A0513</v>
      </c>
      <c r="C82" s="78" t="str">
        <f ca="1">IFERROR(__xludf.DUMMYFUNCTION("""COMPUTED_VALUE"""),"Introduction to Packet Tracer")</f>
        <v>Introduction to Packet Tracer</v>
      </c>
      <c r="D82" s="9" t="str">
        <f ca="1">IFERROR(__xludf.DUMMYFUNCTION("""COMPUTED_VALUE"""),"CISCO")</f>
        <v>CISCO</v>
      </c>
      <c r="E82" s="9" t="str">
        <f ca="1">IFERROR(__xludf.DUMMYFUNCTION("""COMPUTED_VALUE"""),"1 Month")</f>
        <v>1 Month</v>
      </c>
      <c r="F82" s="79">
        <f ca="1">IFERROR(__xludf.DUMMYFUNCTION("""COMPUTED_VALUE"""),44287)</f>
        <v>44287</v>
      </c>
      <c r="G82" s="79">
        <f ca="1">IFERROR(__xludf.DUMMYFUNCTION("""COMPUTED_VALUE"""),44317)</f>
        <v>44317</v>
      </c>
      <c r="H82" s="72">
        <f ca="1">IFERROR(__xludf.DUMMYFUNCTION("""COMPUTED_VALUE"""),44317)</f>
        <v>44317</v>
      </c>
      <c r="I82" s="80">
        <f ca="1">IFERROR(__xludf.DUMMYFUNCTION("""COMPUTED_VALUE"""),94)</f>
        <v>94</v>
      </c>
      <c r="J82" s="9" t="str">
        <f ca="1">IFERROR(__xludf.DUMMYFUNCTION("""COMPUTED_VALUE"""),"Subba Raju K V")</f>
        <v>Subba Raju K V</v>
      </c>
      <c r="K82" s="73" t="str">
        <f ca="1">IFERROR(__xludf.DUMMYFUNCTION("""COMPUTED_VALUE"""),"https://drive.google.com/open?id=11O2rotzNzFdvp3cPl2KcpFSbjJsThz21")</f>
        <v>https://drive.google.com/open?id=11O2rotzNzFdvp3cPl2KcpFSbjJsThz21</v>
      </c>
      <c r="L82" s="9" t="str">
        <f ca="1">IFERROR(__xludf.DUMMYFUNCTION("""COMPUTED_VALUE"""),"2018-2022")</f>
        <v>2018-2022</v>
      </c>
      <c r="M82" s="9" t="str">
        <f ca="1">IFERROR(__xludf.DUMMYFUNCTION("""COMPUTED_VALUE"""),"S4: Student Certifications")</f>
        <v>S4: Student Certifications</v>
      </c>
      <c r="N82" s="9" t="str">
        <f ca="1">IFERROR(__xludf.DUMMYFUNCTION("""COMPUTED_VALUE"""),"venkatajaswanth10@gmail.com")</f>
        <v>venkatajaswanth10@gmail.com</v>
      </c>
      <c r="O82" s="9" t="str">
        <f ca="1">IFERROR(__xludf.DUMMYFUNCTION("""COMPUTED_VALUE"""),"SEM-5")</f>
        <v>SEM-5</v>
      </c>
      <c r="P82" s="9"/>
      <c r="Q82" s="9"/>
      <c r="R82" s="9"/>
      <c r="S82" s="9"/>
      <c r="T82" s="9"/>
      <c r="U82" s="9"/>
      <c r="V82" s="9"/>
      <c r="W82" s="9"/>
      <c r="X82" s="9"/>
      <c r="Y82" s="9"/>
    </row>
    <row r="83" spans="1:25" ht="26.25" customHeight="1" x14ac:dyDescent="0.15">
      <c r="A83" s="9" t="str">
        <f ca="1">IFERROR(__xludf.DUMMYFUNCTION("""COMPUTED_VALUE"""),"Venkata Jaswanth Potnuru")</f>
        <v>Venkata Jaswanth Potnuru</v>
      </c>
      <c r="B83" s="9" t="str">
        <f ca="1">IFERROR(__xludf.DUMMYFUNCTION("""COMPUTED_VALUE"""),"19335A0513")</f>
        <v>19335A0513</v>
      </c>
      <c r="C83" s="78" t="str">
        <f ca="1">IFERROR(__xludf.DUMMYFUNCTION("""COMPUTED_VALUE"""),"Networking Essentials")</f>
        <v>Networking Essentials</v>
      </c>
      <c r="D83" s="9" t="str">
        <f ca="1">IFERROR(__xludf.DUMMYFUNCTION("""COMPUTED_VALUE"""),"CISCO")</f>
        <v>CISCO</v>
      </c>
      <c r="E83" s="9" t="str">
        <f ca="1">IFERROR(__xludf.DUMMYFUNCTION("""COMPUTED_VALUE"""),"1 Month")</f>
        <v>1 Month</v>
      </c>
      <c r="F83" s="79">
        <f ca="1">IFERROR(__xludf.DUMMYFUNCTION("""COMPUTED_VALUE"""),44352)</f>
        <v>44352</v>
      </c>
      <c r="G83" s="79">
        <f ca="1">IFERROR(__xludf.DUMMYFUNCTION("""COMPUTED_VALUE"""),44382)</f>
        <v>44382</v>
      </c>
      <c r="H83" s="72">
        <f ca="1">IFERROR(__xludf.DUMMYFUNCTION("""COMPUTED_VALUE"""),44382)</f>
        <v>44382</v>
      </c>
      <c r="I83" s="80">
        <f ca="1">IFERROR(__xludf.DUMMYFUNCTION("""COMPUTED_VALUE"""),95)</f>
        <v>95</v>
      </c>
      <c r="J83" s="9" t="str">
        <f ca="1">IFERROR(__xludf.DUMMYFUNCTION("""COMPUTED_VALUE"""),"Jackson Smith")</f>
        <v>Jackson Smith</v>
      </c>
      <c r="K83" s="73" t="str">
        <f ca="1">IFERROR(__xludf.DUMMYFUNCTION("""COMPUTED_VALUE"""),"https://drive.google.com/open?id=1fSSORdeD8acofYQiHurdHVIzDt6LzyPy")</f>
        <v>https://drive.google.com/open?id=1fSSORdeD8acofYQiHurdHVIzDt6LzyPy</v>
      </c>
      <c r="L83" s="9" t="str">
        <f ca="1">IFERROR(__xludf.DUMMYFUNCTION("""COMPUTED_VALUE"""),"2018-2022")</f>
        <v>2018-2022</v>
      </c>
      <c r="M83" s="9" t="str">
        <f ca="1">IFERROR(__xludf.DUMMYFUNCTION("""COMPUTED_VALUE"""),"S4: Student Certifications")</f>
        <v>S4: Student Certifications</v>
      </c>
      <c r="N83" s="9" t="str">
        <f ca="1">IFERROR(__xludf.DUMMYFUNCTION("""COMPUTED_VALUE"""),"venkatajaswanth10@gmail.com")</f>
        <v>venkatajaswanth10@gmail.com</v>
      </c>
      <c r="O83" s="9" t="str">
        <f ca="1">IFERROR(__xludf.DUMMYFUNCTION("""COMPUTED_VALUE"""),"SEM-6")</f>
        <v>SEM-6</v>
      </c>
      <c r="P83" s="9"/>
      <c r="Q83" s="9"/>
      <c r="R83" s="9"/>
      <c r="S83" s="9"/>
      <c r="T83" s="9"/>
      <c r="U83" s="9"/>
      <c r="V83" s="9"/>
      <c r="W83" s="9"/>
      <c r="X83" s="9"/>
      <c r="Y83" s="9"/>
    </row>
    <row r="84" spans="1:25" ht="26.25" customHeight="1" x14ac:dyDescent="0.15">
      <c r="A84" s="9" t="str">
        <f ca="1">IFERROR(__xludf.DUMMYFUNCTION("""COMPUTED_VALUE"""),"VUGGINA VEERA VENKATA SATYA VARAHA AYYAPPA")</f>
        <v>VUGGINA VEERA VENKATA SATYA VARAHA AYYAPPA</v>
      </c>
      <c r="B84" s="9" t="str">
        <f ca="1">IFERROR(__xludf.DUMMYFUNCTION("""COMPUTED_VALUE"""),"19335A0518")</f>
        <v>19335A0518</v>
      </c>
      <c r="C84" s="78" t="str">
        <f ca="1">IFERROR(__xludf.DUMMYFUNCTION("""COMPUTED_VALUE"""),"Red Hat System Administration I (RH124)")</f>
        <v>Red Hat System Administration I (RH124)</v>
      </c>
      <c r="D84" s="9" t="str">
        <f ca="1">IFERROR(__xludf.DUMMYFUNCTION("""COMPUTED_VALUE"""),"AICTE")</f>
        <v>AICTE</v>
      </c>
      <c r="E84" s="9" t="str">
        <f ca="1">IFERROR(__xludf.DUMMYFUNCTION("""COMPUTED_VALUE"""),"1 MONTH")</f>
        <v>1 MONTH</v>
      </c>
      <c r="F84" s="79">
        <f ca="1">IFERROR(__xludf.DUMMYFUNCTION("""COMPUTED_VALUE"""),44652)</f>
        <v>44652</v>
      </c>
      <c r="G84" s="79">
        <f ca="1">IFERROR(__xludf.DUMMYFUNCTION("""COMPUTED_VALUE"""),44681)</f>
        <v>44681</v>
      </c>
      <c r="H84" s="72">
        <f ca="1">IFERROR(__xludf.DUMMYFUNCTION("""COMPUTED_VALUE"""),44681)</f>
        <v>44681</v>
      </c>
      <c r="I84" s="80">
        <f ca="1">IFERROR(__xludf.DUMMYFUNCTION("""COMPUTED_VALUE"""),100)</f>
        <v>100</v>
      </c>
      <c r="J84" s="9" t="str">
        <f ca="1">IFERROR(__xludf.DUMMYFUNCTION("""COMPUTED_VALUE"""),"Subba Raju K V")</f>
        <v>Subba Raju K V</v>
      </c>
      <c r="K84" s="73" t="str">
        <f ca="1">IFERROR(__xludf.DUMMYFUNCTION("""COMPUTED_VALUE"""),"https://drive.google.com/open?id=157mtY3fc8QYuVIVtyTbeJ4QX-mMTiq2I")</f>
        <v>https://drive.google.com/open?id=157mtY3fc8QYuVIVtyTbeJ4QX-mMTiq2I</v>
      </c>
      <c r="L84" s="9" t="str">
        <f ca="1">IFERROR(__xludf.DUMMYFUNCTION("""COMPUTED_VALUE"""),"2018-2022")</f>
        <v>2018-2022</v>
      </c>
      <c r="M84" s="9" t="str">
        <f ca="1">IFERROR(__xludf.DUMMYFUNCTION("""COMPUTED_VALUE"""),"S4: Student Certifications")</f>
        <v>S4: Student Certifications</v>
      </c>
      <c r="N84" s="9" t="str">
        <f ca="1">IFERROR(__xludf.DUMMYFUNCTION("""COMPUTED_VALUE"""),"ayyappa.vuggina01@gmail.com")</f>
        <v>ayyappa.vuggina01@gmail.com</v>
      </c>
      <c r="O84" s="9" t="str">
        <f ca="1">IFERROR(__xludf.DUMMYFUNCTION("""COMPUTED_VALUE"""),"SEM-8")</f>
        <v>SEM-8</v>
      </c>
      <c r="P84" s="9"/>
      <c r="Q84" s="9"/>
      <c r="R84" s="9"/>
      <c r="S84" s="9"/>
      <c r="T84" s="9"/>
      <c r="U84" s="9"/>
      <c r="V84" s="9"/>
      <c r="W84" s="9"/>
      <c r="X84" s="9"/>
      <c r="Y84" s="9"/>
    </row>
    <row r="85" spans="1:25" ht="26.25" customHeight="1" x14ac:dyDescent="0.15">
      <c r="A85" s="9" t="str">
        <f ca="1">IFERROR(__xludf.DUMMYFUNCTION("""COMPUTED_VALUE"""),"VUGGINA VEERA VENKATA SATYA VARAHA AYYAPPA")</f>
        <v>VUGGINA VEERA VENKATA SATYA VARAHA AYYAPPA</v>
      </c>
      <c r="B85" s="9" t="str">
        <f ca="1">IFERROR(__xludf.DUMMYFUNCTION("""COMPUTED_VALUE"""),"19335A0518")</f>
        <v>19335A0518</v>
      </c>
      <c r="C85" s="78" t="str">
        <f ca="1">IFERROR(__xludf.DUMMYFUNCTION("""COMPUTED_VALUE"""),"Introduction to Packet Tracer")</f>
        <v>Introduction to Packet Tracer</v>
      </c>
      <c r="D85" s="9" t="str">
        <f ca="1">IFERROR(__xludf.DUMMYFUNCTION("""COMPUTED_VALUE"""),"CISCO")</f>
        <v>CISCO</v>
      </c>
      <c r="E85" s="9" t="str">
        <f ca="1">IFERROR(__xludf.DUMMYFUNCTION("""COMPUTED_VALUE"""),"2 MONTHS")</f>
        <v>2 MONTHS</v>
      </c>
      <c r="F85" s="79">
        <f ca="1">IFERROR(__xludf.DUMMYFUNCTION("""COMPUTED_VALUE"""),44287)</f>
        <v>44287</v>
      </c>
      <c r="G85" s="79">
        <f ca="1">IFERROR(__xludf.DUMMYFUNCTION("""COMPUTED_VALUE"""),44331)</f>
        <v>44331</v>
      </c>
      <c r="H85" s="72">
        <f ca="1">IFERROR(__xludf.DUMMYFUNCTION("""COMPUTED_VALUE"""),44330)</f>
        <v>44330</v>
      </c>
      <c r="I85" s="80">
        <f ca="1">IFERROR(__xludf.DUMMYFUNCTION("""COMPUTED_VALUE"""),100)</f>
        <v>100</v>
      </c>
      <c r="J85" s="9" t="str">
        <f ca="1">IFERROR(__xludf.DUMMYFUNCTION("""COMPUTED_VALUE"""),"DR. RAVI KIRAN VARMA PENMATSA")</f>
        <v>DR. RAVI KIRAN VARMA PENMATSA</v>
      </c>
      <c r="K85" s="73" t="str">
        <f ca="1">IFERROR(__xludf.DUMMYFUNCTION("""COMPUTED_VALUE"""),"https://drive.google.com/open?id=1PZnuH5tSVB26pRmJlwb2FJMFv4qiaUM3")</f>
        <v>https://drive.google.com/open?id=1PZnuH5tSVB26pRmJlwb2FJMFv4qiaUM3</v>
      </c>
      <c r="L85" s="9" t="str">
        <f ca="1">IFERROR(__xludf.DUMMYFUNCTION("""COMPUTED_VALUE"""),"2018-2022")</f>
        <v>2018-2022</v>
      </c>
      <c r="M85" s="9" t="str">
        <f ca="1">IFERROR(__xludf.DUMMYFUNCTION("""COMPUTED_VALUE"""),"S4: Student Certifications")</f>
        <v>S4: Student Certifications</v>
      </c>
      <c r="N85" s="9" t="str">
        <f ca="1">IFERROR(__xludf.DUMMYFUNCTION("""COMPUTED_VALUE"""),"ayyappa.vuggina01@gmail.com")</f>
        <v>ayyappa.vuggina01@gmail.com</v>
      </c>
      <c r="O85" s="9" t="str">
        <f ca="1">IFERROR(__xludf.DUMMYFUNCTION("""COMPUTED_VALUE"""),"SEM-5")</f>
        <v>SEM-5</v>
      </c>
      <c r="P85" s="9"/>
      <c r="Q85" s="9"/>
      <c r="R85" s="9"/>
      <c r="S85" s="9"/>
      <c r="T85" s="9"/>
      <c r="U85" s="9"/>
      <c r="V85" s="9"/>
      <c r="W85" s="9"/>
      <c r="X85" s="9"/>
      <c r="Y85" s="9"/>
    </row>
    <row r="86" spans="1:25" ht="26.25" customHeight="1" x14ac:dyDescent="0.15">
      <c r="A86" s="9" t="str">
        <f ca="1">IFERROR(__xludf.DUMMYFUNCTION("""COMPUTED_VALUE"""),"VUGGINA VEERA VENKATA SATYA VARAHA AYYAPPA")</f>
        <v>VUGGINA VEERA VENKATA SATYA VARAHA AYYAPPA</v>
      </c>
      <c r="B86" s="9" t="str">
        <f ca="1">IFERROR(__xludf.DUMMYFUNCTION("""COMPUTED_VALUE"""),"19335A0518")</f>
        <v>19335A0518</v>
      </c>
      <c r="C86" s="78" t="str">
        <f ca="1">IFERROR(__xludf.DUMMYFUNCTION("""COMPUTED_VALUE"""),"CCNAv7: Switching, Routing, and Wireless Essentials")</f>
        <v>CCNAv7: Switching, Routing, and Wireless Essentials</v>
      </c>
      <c r="D86" s="9" t="str">
        <f ca="1">IFERROR(__xludf.DUMMYFUNCTION("""COMPUTED_VALUE"""),"CISCO")</f>
        <v>CISCO</v>
      </c>
      <c r="E86" s="9" t="str">
        <f ca="1">IFERROR(__xludf.DUMMYFUNCTION("""COMPUTED_VALUE"""),"2 MONTHS")</f>
        <v>2 MONTHS</v>
      </c>
      <c r="F86" s="79">
        <f ca="1">IFERROR(__xludf.DUMMYFUNCTION("""COMPUTED_VALUE"""),44394)</f>
        <v>44394</v>
      </c>
      <c r="G86" s="79">
        <f ca="1">IFERROR(__xludf.DUMMYFUNCTION("""COMPUTED_VALUE"""),44391)</f>
        <v>44391</v>
      </c>
      <c r="H86" s="72">
        <f ca="1">IFERROR(__xludf.DUMMYFUNCTION("""COMPUTED_VALUE"""),44390)</f>
        <v>44390</v>
      </c>
      <c r="I86" s="80">
        <f ca="1">IFERROR(__xludf.DUMMYFUNCTION("""COMPUTED_VALUE"""),100)</f>
        <v>100</v>
      </c>
      <c r="J86" s="9" t="str">
        <f ca="1">IFERROR(__xludf.DUMMYFUNCTION("""COMPUTED_VALUE"""),"DR. RAVI KIRAN VARMA PENMATSA")</f>
        <v>DR. RAVI KIRAN VARMA PENMATSA</v>
      </c>
      <c r="K86" s="73" t="str">
        <f ca="1">IFERROR(__xludf.DUMMYFUNCTION("""COMPUTED_VALUE"""),"https://drive.google.com/open?id=1W3R9v_hup1LUCJiss5p917DRrA5R7EIv")</f>
        <v>https://drive.google.com/open?id=1W3R9v_hup1LUCJiss5p917DRrA5R7EIv</v>
      </c>
      <c r="L86" s="9" t="str">
        <f ca="1">IFERROR(__xludf.DUMMYFUNCTION("""COMPUTED_VALUE"""),"2018-2022")</f>
        <v>2018-2022</v>
      </c>
      <c r="M86" s="9" t="str">
        <f ca="1">IFERROR(__xludf.DUMMYFUNCTION("""COMPUTED_VALUE"""),"S4: Student Certifications")</f>
        <v>S4: Student Certifications</v>
      </c>
      <c r="N86" s="9" t="str">
        <f ca="1">IFERROR(__xludf.DUMMYFUNCTION("""COMPUTED_VALUE"""),"ayyappa.vuggina01@gmail.com")</f>
        <v>ayyappa.vuggina01@gmail.com</v>
      </c>
      <c r="O86" s="9" t="str">
        <f ca="1">IFERROR(__xludf.DUMMYFUNCTION("""COMPUTED_VALUE"""),"SEM-5")</f>
        <v>SEM-5</v>
      </c>
      <c r="P86" s="9"/>
      <c r="Q86" s="9"/>
      <c r="R86" s="9"/>
      <c r="S86" s="9"/>
      <c r="T86" s="9"/>
      <c r="U86" s="9"/>
      <c r="V86" s="9"/>
      <c r="W86" s="9"/>
      <c r="X86" s="9"/>
      <c r="Y86" s="9"/>
    </row>
    <row r="87" spans="1:25" ht="26.25" customHeight="1" x14ac:dyDescent="0.15">
      <c r="A87" s="9" t="str">
        <f ca="1">IFERROR(__xludf.DUMMYFUNCTION("""COMPUTED_VALUE"""),"VUGGINA VEERA VENKATA SATYA VARAHA AYYAPPA")</f>
        <v>VUGGINA VEERA VENKATA SATYA VARAHA AYYAPPA</v>
      </c>
      <c r="B87" s="9" t="str">
        <f ca="1">IFERROR(__xludf.DUMMYFUNCTION("""COMPUTED_VALUE"""),"19335A0518")</f>
        <v>19335A0518</v>
      </c>
      <c r="C87" s="78" t="str">
        <f ca="1">IFERROR(__xludf.DUMMYFUNCTION("""COMPUTED_VALUE"""),"PCAP: Programming Essentials in Python")</f>
        <v>PCAP: Programming Essentials in Python</v>
      </c>
      <c r="D87" s="9" t="str">
        <f ca="1">IFERROR(__xludf.DUMMYFUNCTION("""COMPUTED_VALUE"""),"CISCO")</f>
        <v>CISCO</v>
      </c>
      <c r="E87" s="9" t="str">
        <f ca="1">IFERROR(__xludf.DUMMYFUNCTION("""COMPUTED_VALUE"""),"1 MONTH")</f>
        <v>1 MONTH</v>
      </c>
      <c r="F87" s="79">
        <f ca="1">IFERROR(__xludf.DUMMYFUNCTION("""COMPUTED_VALUE"""),44341)</f>
        <v>44341</v>
      </c>
      <c r="G87" s="79">
        <f ca="1">IFERROR(__xludf.DUMMYFUNCTION("""COMPUTED_VALUE"""),44351)</f>
        <v>44351</v>
      </c>
      <c r="H87" s="72">
        <f ca="1">IFERROR(__xludf.DUMMYFUNCTION("""COMPUTED_VALUE"""),44350)</f>
        <v>44350</v>
      </c>
      <c r="I87" s="80">
        <f ca="1">IFERROR(__xludf.DUMMYFUNCTION("""COMPUTED_VALUE"""),100)</f>
        <v>100</v>
      </c>
      <c r="J87" s="9" t="str">
        <f ca="1">IFERROR(__xludf.DUMMYFUNCTION("""COMPUTED_VALUE"""),"DR. RAVI KIRAN VARMA PENMATSA")</f>
        <v>DR. RAVI KIRAN VARMA PENMATSA</v>
      </c>
      <c r="K87" s="73" t="str">
        <f ca="1">IFERROR(__xludf.DUMMYFUNCTION("""COMPUTED_VALUE"""),"https://drive.google.com/open?id=14fV7fxncmH55U2ozhPZT7Y_pjan6yvMR")</f>
        <v>https://drive.google.com/open?id=14fV7fxncmH55U2ozhPZT7Y_pjan6yvMR</v>
      </c>
      <c r="L87" s="9" t="str">
        <f ca="1">IFERROR(__xludf.DUMMYFUNCTION("""COMPUTED_VALUE"""),"2018-2022")</f>
        <v>2018-2022</v>
      </c>
      <c r="M87" s="9" t="str">
        <f ca="1">IFERROR(__xludf.DUMMYFUNCTION("""COMPUTED_VALUE"""),"S4: Student Certifications")</f>
        <v>S4: Student Certifications</v>
      </c>
      <c r="N87" s="9" t="str">
        <f ca="1">IFERROR(__xludf.DUMMYFUNCTION("""COMPUTED_VALUE"""),"ayyappa.vuggina01@gmail.com")</f>
        <v>ayyappa.vuggina01@gmail.com</v>
      </c>
      <c r="O87" s="9" t="str">
        <f ca="1">IFERROR(__xludf.DUMMYFUNCTION("""COMPUTED_VALUE"""),"SEM-5")</f>
        <v>SEM-5</v>
      </c>
      <c r="P87" s="9"/>
      <c r="Q87" s="9"/>
      <c r="R87" s="9"/>
      <c r="S87" s="9"/>
      <c r="T87" s="9"/>
      <c r="U87" s="9"/>
      <c r="V87" s="9"/>
      <c r="W87" s="9"/>
      <c r="X87" s="9"/>
      <c r="Y87" s="9"/>
    </row>
    <row r="88" spans="1:25" ht="26.25" customHeight="1" x14ac:dyDescent="0.15">
      <c r="A88" s="9" t="str">
        <f ca="1">IFERROR(__xludf.DUMMYFUNCTION("""COMPUTED_VALUE"""),"VUGGINA VEERA VENKATA SATYA VARAHA AYYAPPA")</f>
        <v>VUGGINA VEERA VENKATA SATYA VARAHA AYYAPPA</v>
      </c>
      <c r="B88" s="9" t="str">
        <f ca="1">IFERROR(__xludf.DUMMYFUNCTION("""COMPUTED_VALUE"""),"19335A0518")</f>
        <v>19335A0518</v>
      </c>
      <c r="C88" s="78" t="str">
        <f ca="1">IFERROR(__xludf.DUMMYFUNCTION("""COMPUTED_VALUE"""),"CPA: Programming Essentials in C++")</f>
        <v>CPA: Programming Essentials in C++</v>
      </c>
      <c r="D88" s="9" t="str">
        <f ca="1">IFERROR(__xludf.DUMMYFUNCTION("""COMPUTED_VALUE"""),"CISCO")</f>
        <v>CISCO</v>
      </c>
      <c r="E88" s="9" t="str">
        <f ca="1">IFERROR(__xludf.DUMMYFUNCTION("""COMPUTED_VALUE"""),"1 MONTH")</f>
        <v>1 MONTH</v>
      </c>
      <c r="F88" s="79">
        <f ca="1">IFERROR(__xludf.DUMMYFUNCTION("""COMPUTED_VALUE"""),43912)</f>
        <v>43912</v>
      </c>
      <c r="G88" s="79">
        <f ca="1">IFERROR(__xludf.DUMMYFUNCTION("""COMPUTED_VALUE"""),43955)</f>
        <v>43955</v>
      </c>
      <c r="H88" s="72">
        <f ca="1">IFERROR(__xludf.DUMMYFUNCTION("""COMPUTED_VALUE"""),43954)</f>
        <v>43954</v>
      </c>
      <c r="I88" s="80">
        <f ca="1">IFERROR(__xludf.DUMMYFUNCTION("""COMPUTED_VALUE"""),100)</f>
        <v>100</v>
      </c>
      <c r="J88" s="9" t="str">
        <f ca="1">IFERROR(__xludf.DUMMYFUNCTION("""COMPUTED_VALUE"""),"DR. RAVI KIRAN VARMA PENMATSA")</f>
        <v>DR. RAVI KIRAN VARMA PENMATSA</v>
      </c>
      <c r="K88" s="73" t="str">
        <f ca="1">IFERROR(__xludf.DUMMYFUNCTION("""COMPUTED_VALUE"""),"https://drive.google.com/open?id=1Eh1ZtTa1QnOLiqHCU_Xtc1vAhcsYeqNY")</f>
        <v>https://drive.google.com/open?id=1Eh1ZtTa1QnOLiqHCU_Xtc1vAhcsYeqNY</v>
      </c>
      <c r="L88" s="9" t="str">
        <f ca="1">IFERROR(__xludf.DUMMYFUNCTION("""COMPUTED_VALUE"""),"2018-2022")</f>
        <v>2018-2022</v>
      </c>
      <c r="M88" s="9" t="str">
        <f ca="1">IFERROR(__xludf.DUMMYFUNCTION("""COMPUTED_VALUE"""),"S4: Student Certifications")</f>
        <v>S4: Student Certifications</v>
      </c>
      <c r="N88" s="9" t="str">
        <f ca="1">IFERROR(__xludf.DUMMYFUNCTION("""COMPUTED_VALUE"""),"ayyappa.vuggina01@gmail.com")</f>
        <v>ayyappa.vuggina01@gmail.com</v>
      </c>
      <c r="O88" s="9" t="str">
        <f ca="1">IFERROR(__xludf.DUMMYFUNCTION("""COMPUTED_VALUE"""),"SEM-4")</f>
        <v>SEM-4</v>
      </c>
      <c r="P88" s="9"/>
      <c r="Q88" s="9"/>
      <c r="R88" s="9"/>
      <c r="S88" s="9"/>
      <c r="T88" s="9"/>
      <c r="U88" s="9"/>
      <c r="V88" s="9"/>
      <c r="W88" s="9"/>
      <c r="X88" s="9"/>
      <c r="Y88" s="9"/>
    </row>
    <row r="89" spans="1:25" ht="26.25" customHeight="1" x14ac:dyDescent="0.15">
      <c r="A89" s="9" t="str">
        <f ca="1">IFERROR(__xludf.DUMMYFUNCTION("""COMPUTED_VALUE"""),"VUGGINA VEERA VENKATA SATYA VARAHA AYYAPPA")</f>
        <v>VUGGINA VEERA VENKATA SATYA VARAHA AYYAPPA</v>
      </c>
      <c r="B89" s="9" t="str">
        <f ca="1">IFERROR(__xludf.DUMMYFUNCTION("""COMPUTED_VALUE"""),"19335A0518")</f>
        <v>19335A0518</v>
      </c>
      <c r="C89" s="78" t="str">
        <f ca="1">IFERROR(__xludf.DUMMYFUNCTION("""COMPUTED_VALUE"""),"Cybersecurity Foundation")</f>
        <v>Cybersecurity Foundation</v>
      </c>
      <c r="D89" s="9" t="str">
        <f ca="1">IFERROR(__xludf.DUMMYFUNCTION("""COMPUTED_VALUE"""),"Palo Alto Networks Cybersecurity Academy")</f>
        <v>Palo Alto Networks Cybersecurity Academy</v>
      </c>
      <c r="E89" s="9" t="str">
        <f ca="1">IFERROR(__xludf.DUMMYFUNCTION("""COMPUTED_VALUE"""),"1 MONTH")</f>
        <v>1 MONTH</v>
      </c>
      <c r="F89" s="79">
        <f ca="1">IFERROR(__xludf.DUMMYFUNCTION("""COMPUTED_VALUE"""),44371)</f>
        <v>44371</v>
      </c>
      <c r="G89" s="79">
        <f ca="1">IFERROR(__xludf.DUMMYFUNCTION("""COMPUTED_VALUE"""),44401)</f>
        <v>44401</v>
      </c>
      <c r="H89" s="72">
        <f ca="1">IFERROR(__xludf.DUMMYFUNCTION("""COMPUTED_VALUE"""),44400)</f>
        <v>44400</v>
      </c>
      <c r="I89" s="80">
        <f ca="1">IFERROR(__xludf.DUMMYFUNCTION("""COMPUTED_VALUE"""),100)</f>
        <v>100</v>
      </c>
      <c r="J89" s="9" t="str">
        <f ca="1">IFERROR(__xludf.DUMMYFUNCTION("""COMPUTED_VALUE"""),"DR. RAVI KIRAN VARMA PENMATSA")</f>
        <v>DR. RAVI KIRAN VARMA PENMATSA</v>
      </c>
      <c r="K89" s="73" t="str">
        <f ca="1">IFERROR(__xludf.DUMMYFUNCTION("""COMPUTED_VALUE"""),"https://drive.google.com/open?id=1gac_Nud4F4G8I9PCCa9D0Btcm3uOxWZQ")</f>
        <v>https://drive.google.com/open?id=1gac_Nud4F4G8I9PCCa9D0Btcm3uOxWZQ</v>
      </c>
      <c r="L89" s="9" t="str">
        <f ca="1">IFERROR(__xludf.DUMMYFUNCTION("""COMPUTED_VALUE"""),"2018-2022")</f>
        <v>2018-2022</v>
      </c>
      <c r="M89" s="9" t="str">
        <f ca="1">IFERROR(__xludf.DUMMYFUNCTION("""COMPUTED_VALUE"""),"S4: Student Certifications")</f>
        <v>S4: Student Certifications</v>
      </c>
      <c r="N89" s="9" t="str">
        <f ca="1">IFERROR(__xludf.DUMMYFUNCTION("""COMPUTED_VALUE"""),"ayyappa.vuggina01@gmail.com")</f>
        <v>ayyappa.vuggina01@gmail.com</v>
      </c>
      <c r="O89" s="9" t="str">
        <f ca="1">IFERROR(__xludf.DUMMYFUNCTION("""COMPUTED_VALUE"""),"SEM-6")</f>
        <v>SEM-6</v>
      </c>
      <c r="P89" s="9"/>
      <c r="Q89" s="9"/>
      <c r="R89" s="9"/>
      <c r="S89" s="9"/>
      <c r="T89" s="9"/>
      <c r="U89" s="9"/>
      <c r="V89" s="9"/>
      <c r="W89" s="9"/>
      <c r="X89" s="9"/>
      <c r="Y89" s="9"/>
    </row>
    <row r="90" spans="1:25" ht="26.25" customHeight="1" x14ac:dyDescent="0.15">
      <c r="A90" s="9" t="str">
        <f ca="1">IFERROR(__xludf.DUMMYFUNCTION("""COMPUTED_VALUE"""),"V Sowdamini")</f>
        <v>V Sowdamini</v>
      </c>
      <c r="B90" s="9" t="str">
        <f ca="1">IFERROR(__xludf.DUMMYFUNCTION("""COMPUTED_VALUE"""),"19335A0517")</f>
        <v>19335A0517</v>
      </c>
      <c r="C90" s="78" t="str">
        <f ca="1">IFERROR(__xludf.DUMMYFUNCTION("""COMPUTED_VALUE"""),"Aws academy cloud architecting")</f>
        <v>Aws academy cloud architecting</v>
      </c>
      <c r="D90" s="9" t="str">
        <f ca="1">IFERROR(__xludf.DUMMYFUNCTION("""COMPUTED_VALUE"""),"Aws academy")</f>
        <v>Aws academy</v>
      </c>
      <c r="E90" s="9" t="str">
        <f ca="1">IFERROR(__xludf.DUMMYFUNCTION("""COMPUTED_VALUE"""),"20hrs")</f>
        <v>20hrs</v>
      </c>
      <c r="F90" s="79">
        <f ca="1">IFERROR(__xludf.DUMMYFUNCTION("""COMPUTED_VALUE"""),44573)</f>
        <v>44573</v>
      </c>
      <c r="G90" s="79">
        <f ca="1">IFERROR(__xludf.DUMMYFUNCTION("""COMPUTED_VALUE"""),44573)</f>
        <v>44573</v>
      </c>
      <c r="H90" s="72">
        <f ca="1">IFERROR(__xludf.DUMMYFUNCTION("""COMPUTED_VALUE"""),44573)</f>
        <v>44573</v>
      </c>
      <c r="I90" s="80">
        <f ca="1">IFERROR(__xludf.DUMMYFUNCTION("""COMPUTED_VALUE"""),100)</f>
        <v>100</v>
      </c>
      <c r="J90" s="9" t="str">
        <f ca="1">IFERROR(__xludf.DUMMYFUNCTION("""COMPUTED_VALUE"""),"Dr p Ravikiran varma")</f>
        <v>Dr p Ravikiran varma</v>
      </c>
      <c r="K90" s="73" t="str">
        <f ca="1">IFERROR(__xludf.DUMMYFUNCTION("""COMPUTED_VALUE"""),"https://drive.google.com/open?id=1KxtjneWk-xmDymWeFiQvMkzvSpLeO477")</f>
        <v>https://drive.google.com/open?id=1KxtjneWk-xmDymWeFiQvMkzvSpLeO477</v>
      </c>
      <c r="L90" s="9" t="str">
        <f ca="1">IFERROR(__xludf.DUMMYFUNCTION("""COMPUTED_VALUE"""),"2018-2022")</f>
        <v>2018-2022</v>
      </c>
      <c r="M90" s="9" t="str">
        <f ca="1">IFERROR(__xludf.DUMMYFUNCTION("""COMPUTED_VALUE"""),"S4: Student Certifications")</f>
        <v>S4: Student Certifications</v>
      </c>
      <c r="N90" s="9" t="str">
        <f ca="1">IFERROR(__xludf.DUMMYFUNCTION("""COMPUTED_VALUE"""),"sowdaminivanamali5931@gmail.com")</f>
        <v>sowdaminivanamali5931@gmail.com</v>
      </c>
      <c r="O90" s="9" t="str">
        <f ca="1">IFERROR(__xludf.DUMMYFUNCTION("""COMPUTED_VALUE"""),"SEM-7")</f>
        <v>SEM-7</v>
      </c>
      <c r="P90" s="9"/>
      <c r="Q90" s="9"/>
      <c r="R90" s="9"/>
      <c r="S90" s="9"/>
      <c r="T90" s="9"/>
      <c r="U90" s="9"/>
      <c r="V90" s="9"/>
      <c r="W90" s="9"/>
      <c r="X90" s="9"/>
      <c r="Y90" s="9"/>
    </row>
    <row r="91" spans="1:25" ht="26.25" customHeight="1" x14ac:dyDescent="0.15">
      <c r="A91" s="9" t="str">
        <f ca="1">IFERROR(__xludf.DUMMYFUNCTION("""COMPUTED_VALUE"""),"syed ali zulfekar")</f>
        <v>syed ali zulfekar</v>
      </c>
      <c r="B91" s="9" t="str">
        <f ca="1">IFERROR(__xludf.DUMMYFUNCTION("""COMPUTED_VALUE"""),"18331A05E9")</f>
        <v>18331A05E9</v>
      </c>
      <c r="C91" s="78" t="str">
        <f ca="1">IFERROR(__xludf.DUMMYFUNCTION("""COMPUTED_VALUE"""),"CLA: Programming Essentials in C")</f>
        <v>CLA: Programming Essentials in C</v>
      </c>
      <c r="D91" s="9" t="str">
        <f ca="1">IFERROR(__xludf.DUMMYFUNCTION("""COMPUTED_VALUE"""),"cisco")</f>
        <v>cisco</v>
      </c>
      <c r="E91" s="9" t="str">
        <f ca="1">IFERROR(__xludf.DUMMYFUNCTION("""COMPUTED_VALUE"""),"2 months")</f>
        <v>2 months</v>
      </c>
      <c r="F91" s="79">
        <f ca="1">IFERROR(__xludf.DUMMYFUNCTION("""COMPUTED_VALUE"""),43563)</f>
        <v>43563</v>
      </c>
      <c r="G91" s="79">
        <f ca="1">IFERROR(__xludf.DUMMYFUNCTION("""COMPUTED_VALUE"""),43564)</f>
        <v>43564</v>
      </c>
      <c r="H91" s="72">
        <f ca="1">IFERROR(__xludf.DUMMYFUNCTION("""COMPUTED_VALUE"""),43618)</f>
        <v>43618</v>
      </c>
      <c r="I91" s="80">
        <f ca="1">IFERROR(__xludf.DUMMYFUNCTION("""COMPUTED_VALUE"""),90)</f>
        <v>90</v>
      </c>
      <c r="J91" s="9" t="str">
        <f ca="1">IFERROR(__xludf.DUMMYFUNCTION("""COMPUTED_VALUE"""),"ravikiran varma")</f>
        <v>ravikiran varma</v>
      </c>
      <c r="K91" s="73" t="str">
        <f ca="1">IFERROR(__xludf.DUMMYFUNCTION("""COMPUTED_VALUE"""),"https://drive.google.com/open?id=1lz_Bl-sFcaCSf5bLkeZNU00wIlLysyUY")</f>
        <v>https://drive.google.com/open?id=1lz_Bl-sFcaCSf5bLkeZNU00wIlLysyUY</v>
      </c>
      <c r="L91" s="9" t="str">
        <f ca="1">IFERROR(__xludf.DUMMYFUNCTION("""COMPUTED_VALUE"""),"2018-2022")</f>
        <v>2018-2022</v>
      </c>
      <c r="M91" s="9" t="str">
        <f ca="1">IFERROR(__xludf.DUMMYFUNCTION("""COMPUTED_VALUE"""),"S4: Student Certifications")</f>
        <v>S4: Student Certifications</v>
      </c>
      <c r="N91" s="9" t="str">
        <f ca="1">IFERROR(__xludf.DUMMYFUNCTION("""COMPUTED_VALUE"""),"tillu812@gmail.com")</f>
        <v>tillu812@gmail.com</v>
      </c>
      <c r="O91" s="9" t="str">
        <f ca="1">IFERROR(__xludf.DUMMYFUNCTION("""COMPUTED_VALUE"""),"SEM-8")</f>
        <v>SEM-8</v>
      </c>
      <c r="P91" s="9"/>
      <c r="Q91" s="9"/>
      <c r="R91" s="9"/>
      <c r="S91" s="9"/>
      <c r="T91" s="9"/>
      <c r="U91" s="9"/>
      <c r="V91" s="9"/>
      <c r="W91" s="9"/>
      <c r="X91" s="9"/>
      <c r="Y91" s="9"/>
    </row>
    <row r="92" spans="1:25" ht="26.25" customHeight="1" x14ac:dyDescent="0.15">
      <c r="A92" s="9" t="str">
        <f ca="1">IFERROR(__xludf.DUMMYFUNCTION("""COMPUTED_VALUE"""),"syed ali zulfekar")</f>
        <v>syed ali zulfekar</v>
      </c>
      <c r="B92" s="9" t="str">
        <f ca="1">IFERROR(__xludf.DUMMYFUNCTION("""COMPUTED_VALUE"""),"18331A05E9")</f>
        <v>18331A05E9</v>
      </c>
      <c r="C92" s="78" t="str">
        <f ca="1">IFERROR(__xludf.DUMMYFUNCTION("""COMPUTED_VALUE"""),"Cybersecurity Essentials")</f>
        <v>Cybersecurity Essentials</v>
      </c>
      <c r="D92" s="9" t="str">
        <f ca="1">IFERROR(__xludf.DUMMYFUNCTION("""COMPUTED_VALUE"""),"cisco")</f>
        <v>cisco</v>
      </c>
      <c r="E92" s="9" t="str">
        <f ca="1">IFERROR(__xludf.DUMMYFUNCTION("""COMPUTED_VALUE"""),"2 months")</f>
        <v>2 months</v>
      </c>
      <c r="F92" s="79">
        <f ca="1">IFERROR(__xludf.DUMMYFUNCTION("""COMPUTED_VALUE"""),43615)</f>
        <v>43615</v>
      </c>
      <c r="G92" s="79">
        <f ca="1">IFERROR(__xludf.DUMMYFUNCTION("""COMPUTED_VALUE"""),43676)</f>
        <v>43676</v>
      </c>
      <c r="H92" s="72">
        <f ca="1">IFERROR(__xludf.DUMMYFUNCTION("""COMPUTED_VALUE"""),43676)</f>
        <v>43676</v>
      </c>
      <c r="I92" s="80">
        <f ca="1">IFERROR(__xludf.DUMMYFUNCTION("""COMPUTED_VALUE"""),90)</f>
        <v>90</v>
      </c>
      <c r="J92" s="9" t="str">
        <f ca="1">IFERROR(__xludf.DUMMYFUNCTION("""COMPUTED_VALUE"""),"ravi kiran varma")</f>
        <v>ravi kiran varma</v>
      </c>
      <c r="K92" s="73" t="str">
        <f ca="1">IFERROR(__xludf.DUMMYFUNCTION("""COMPUTED_VALUE"""),"https://drive.google.com/open?id=1Xptl1fq8dz1QeoTmoamjU_iN5PqHa11t")</f>
        <v>https://drive.google.com/open?id=1Xptl1fq8dz1QeoTmoamjU_iN5PqHa11t</v>
      </c>
      <c r="L92" s="9" t="str">
        <f ca="1">IFERROR(__xludf.DUMMYFUNCTION("""COMPUTED_VALUE"""),"2018-2022")</f>
        <v>2018-2022</v>
      </c>
      <c r="M92" s="9" t="str">
        <f ca="1">IFERROR(__xludf.DUMMYFUNCTION("""COMPUTED_VALUE"""),"S4: Student Certifications")</f>
        <v>S4: Student Certifications</v>
      </c>
      <c r="N92" s="9" t="str">
        <f ca="1">IFERROR(__xludf.DUMMYFUNCTION("""COMPUTED_VALUE"""),"tillu812@gmail.com")</f>
        <v>tillu812@gmail.com</v>
      </c>
      <c r="O92" s="9" t="str">
        <f ca="1">IFERROR(__xludf.DUMMYFUNCTION("""COMPUTED_VALUE"""),"SEM-8")</f>
        <v>SEM-8</v>
      </c>
      <c r="P92" s="9"/>
      <c r="Q92" s="9"/>
      <c r="R92" s="9"/>
      <c r="S92" s="9"/>
      <c r="T92" s="9"/>
      <c r="U92" s="9"/>
      <c r="V92" s="9"/>
      <c r="W92" s="9"/>
      <c r="X92" s="9"/>
      <c r="Y92" s="9"/>
    </row>
    <row r="93" spans="1:25" ht="26.25" customHeight="1" x14ac:dyDescent="0.15">
      <c r="A93" s="9" t="str">
        <f ca="1">IFERROR(__xludf.DUMMYFUNCTION("""COMPUTED_VALUE"""),"syed ali zulfekar")</f>
        <v>syed ali zulfekar</v>
      </c>
      <c r="B93" s="9" t="str">
        <f ca="1">IFERROR(__xludf.DUMMYFUNCTION("""COMPUTED_VALUE"""),"18331A05E9")</f>
        <v>18331A05E9</v>
      </c>
      <c r="C93" s="78" t="str">
        <f ca="1">IFERROR(__xludf.DUMMYFUNCTION("""COMPUTED_VALUE"""),"CCNAv7: Introduction to Networks")</f>
        <v>CCNAv7: Introduction to Networks</v>
      </c>
      <c r="D93" s="9" t="str">
        <f ca="1">IFERROR(__xludf.DUMMYFUNCTION("""COMPUTED_VALUE"""),"cisco")</f>
        <v>cisco</v>
      </c>
      <c r="E93" s="9" t="str">
        <f ca="1">IFERROR(__xludf.DUMMYFUNCTION("""COMPUTED_VALUE"""),"2 months")</f>
        <v>2 months</v>
      </c>
      <c r="F93" s="79">
        <f ca="1">IFERROR(__xludf.DUMMYFUNCTION("""COMPUTED_VALUE"""),43920)</f>
        <v>43920</v>
      </c>
      <c r="G93" s="79">
        <f ca="1">IFERROR(__xludf.DUMMYFUNCTION("""COMPUTED_VALUE"""),43964)</f>
        <v>43964</v>
      </c>
      <c r="H93" s="72">
        <f ca="1">IFERROR(__xludf.DUMMYFUNCTION("""COMPUTED_VALUE"""),43981)</f>
        <v>43981</v>
      </c>
      <c r="I93" s="80">
        <f ca="1">IFERROR(__xludf.DUMMYFUNCTION("""COMPUTED_VALUE"""),90)</f>
        <v>90</v>
      </c>
      <c r="J93" s="9" t="str">
        <f ca="1">IFERROR(__xludf.DUMMYFUNCTION("""COMPUTED_VALUE"""),"ravi kiran varma")</f>
        <v>ravi kiran varma</v>
      </c>
      <c r="K93" s="73" t="str">
        <f ca="1">IFERROR(__xludf.DUMMYFUNCTION("""COMPUTED_VALUE"""),"https://drive.google.com/open?id=1p8mCPDMdTmkYsb9TbiBpyzyVeoOg4PP8")</f>
        <v>https://drive.google.com/open?id=1p8mCPDMdTmkYsb9TbiBpyzyVeoOg4PP8</v>
      </c>
      <c r="L93" s="9" t="str">
        <f ca="1">IFERROR(__xludf.DUMMYFUNCTION("""COMPUTED_VALUE"""),"2018-2022")</f>
        <v>2018-2022</v>
      </c>
      <c r="M93" s="9" t="str">
        <f ca="1">IFERROR(__xludf.DUMMYFUNCTION("""COMPUTED_VALUE"""),"S4: Student Certifications")</f>
        <v>S4: Student Certifications</v>
      </c>
      <c r="N93" s="9" t="str">
        <f ca="1">IFERROR(__xludf.DUMMYFUNCTION("""COMPUTED_VALUE"""),"tillu812@gmail.com")</f>
        <v>tillu812@gmail.com</v>
      </c>
      <c r="O93" s="9" t="str">
        <f ca="1">IFERROR(__xludf.DUMMYFUNCTION("""COMPUTED_VALUE"""),"SEM-8")</f>
        <v>SEM-8</v>
      </c>
      <c r="P93" s="9"/>
      <c r="Q93" s="9"/>
      <c r="R93" s="9"/>
      <c r="S93" s="9"/>
      <c r="T93" s="9"/>
      <c r="U93" s="9"/>
      <c r="V93" s="9"/>
      <c r="W93" s="9"/>
      <c r="X93" s="9"/>
      <c r="Y93" s="9"/>
    </row>
    <row r="94" spans="1:25" ht="26.25" customHeight="1" x14ac:dyDescent="0.15">
      <c r="A94" s="9" t="str">
        <f ca="1">IFERROR(__xludf.DUMMYFUNCTION("""COMPUTED_VALUE"""),"syed ali zulfekar")</f>
        <v>syed ali zulfekar</v>
      </c>
      <c r="B94" s="9" t="str">
        <f ca="1">IFERROR(__xludf.DUMMYFUNCTION("""COMPUTED_VALUE"""),"18331A05E9")</f>
        <v>18331A05E9</v>
      </c>
      <c r="C94" s="78" t="str">
        <f ca="1">IFERROR(__xludf.DUMMYFUNCTION("""COMPUTED_VALUE"""),"CCNAv7: Switching, Routing, and Wireless Essentials")</f>
        <v>CCNAv7: Switching, Routing, and Wireless Essentials</v>
      </c>
      <c r="D94" s="9" t="str">
        <f ca="1">IFERROR(__xludf.DUMMYFUNCTION("""COMPUTED_VALUE"""),"cisco")</f>
        <v>cisco</v>
      </c>
      <c r="E94" s="9" t="str">
        <f ca="1">IFERROR(__xludf.DUMMYFUNCTION("""COMPUTED_VALUE"""),"2 months")</f>
        <v>2 months</v>
      </c>
      <c r="F94" s="79">
        <f ca="1">IFERROR(__xludf.DUMMYFUNCTION("""COMPUTED_VALUE"""),43930)</f>
        <v>43930</v>
      </c>
      <c r="G94" s="79">
        <f ca="1">IFERROR(__xludf.DUMMYFUNCTION("""COMPUTED_VALUE"""),43991)</f>
        <v>43991</v>
      </c>
      <c r="H94" s="72">
        <f ca="1">IFERROR(__xludf.DUMMYFUNCTION("""COMPUTED_VALUE"""),43991)</f>
        <v>43991</v>
      </c>
      <c r="I94" s="80">
        <f ca="1">IFERROR(__xludf.DUMMYFUNCTION("""COMPUTED_VALUE"""),90)</f>
        <v>90</v>
      </c>
      <c r="J94" s="9" t="str">
        <f ca="1">IFERROR(__xludf.DUMMYFUNCTION("""COMPUTED_VALUE"""),"dr.ravi kiran varma")</f>
        <v>dr.ravi kiran varma</v>
      </c>
      <c r="K94" s="73" t="str">
        <f ca="1">IFERROR(__xludf.DUMMYFUNCTION("""COMPUTED_VALUE"""),"https://drive.google.com/open?id=15xS7hw95edEQiA3Z0-2edZvwijii28YG")</f>
        <v>https://drive.google.com/open?id=15xS7hw95edEQiA3Z0-2edZvwijii28YG</v>
      </c>
      <c r="L94" s="9" t="str">
        <f ca="1">IFERROR(__xludf.DUMMYFUNCTION("""COMPUTED_VALUE"""),"2018-2022")</f>
        <v>2018-2022</v>
      </c>
      <c r="M94" s="9" t="str">
        <f ca="1">IFERROR(__xludf.DUMMYFUNCTION("""COMPUTED_VALUE"""),"S4: Student Certifications")</f>
        <v>S4: Student Certifications</v>
      </c>
      <c r="N94" s="9" t="str">
        <f ca="1">IFERROR(__xludf.DUMMYFUNCTION("""COMPUTED_VALUE"""),"tillu812@gmail.com")</f>
        <v>tillu812@gmail.com</v>
      </c>
      <c r="O94" s="9" t="str">
        <f ca="1">IFERROR(__xludf.DUMMYFUNCTION("""COMPUTED_VALUE"""),"SEM-8")</f>
        <v>SEM-8</v>
      </c>
      <c r="P94" s="9"/>
      <c r="Q94" s="9"/>
      <c r="R94" s="9"/>
      <c r="S94" s="9"/>
      <c r="T94" s="9"/>
      <c r="U94" s="9"/>
      <c r="V94" s="9"/>
      <c r="W94" s="9"/>
      <c r="X94" s="9"/>
      <c r="Y94" s="9"/>
    </row>
    <row r="95" spans="1:25" ht="26.25" customHeight="1" x14ac:dyDescent="0.15">
      <c r="A95" s="9" t="str">
        <f ca="1">IFERROR(__xludf.DUMMYFUNCTION("""COMPUTED_VALUE"""),"syed ali zulfekar")</f>
        <v>syed ali zulfekar</v>
      </c>
      <c r="B95" s="9" t="str">
        <f ca="1">IFERROR(__xludf.DUMMYFUNCTION("""COMPUTED_VALUE"""),"18331A05E9")</f>
        <v>18331A05E9</v>
      </c>
      <c r="C95" s="78" t="str">
        <f ca="1">IFERROR(__xludf.DUMMYFUNCTION("""COMPUTED_VALUE"""),"CCNAv7: Enterprise Networking, Security, and Automation")</f>
        <v>CCNAv7: Enterprise Networking, Security, and Automation</v>
      </c>
      <c r="D95" s="9" t="str">
        <f ca="1">IFERROR(__xludf.DUMMYFUNCTION("""COMPUTED_VALUE"""),"cisco")</f>
        <v>cisco</v>
      </c>
      <c r="E95" s="9" t="str">
        <f ca="1">IFERROR(__xludf.DUMMYFUNCTION("""COMPUTED_VALUE"""),"2 months")</f>
        <v>2 months</v>
      </c>
      <c r="F95" s="79">
        <f ca="1">IFERROR(__xludf.DUMMYFUNCTION("""COMPUTED_VALUE"""),43981)</f>
        <v>43981</v>
      </c>
      <c r="G95" s="79">
        <f ca="1">IFERROR(__xludf.DUMMYFUNCTION("""COMPUTED_VALUE"""),44042)</f>
        <v>44042</v>
      </c>
      <c r="H95" s="72">
        <f ca="1">IFERROR(__xludf.DUMMYFUNCTION("""COMPUTED_VALUE"""),44042)</f>
        <v>44042</v>
      </c>
      <c r="I95" s="80">
        <f ca="1">IFERROR(__xludf.DUMMYFUNCTION("""COMPUTED_VALUE"""),82)</f>
        <v>82</v>
      </c>
      <c r="J95" s="9" t="str">
        <f ca="1">IFERROR(__xludf.DUMMYFUNCTION("""COMPUTED_VALUE"""),"dr.ravi kiran varma")</f>
        <v>dr.ravi kiran varma</v>
      </c>
      <c r="K95" s="73" t="str">
        <f ca="1">IFERROR(__xludf.DUMMYFUNCTION("""COMPUTED_VALUE"""),"https://drive.google.com/open?id=181GeCtBVogSFrpfprg4RD4Ah_1lWhBn7")</f>
        <v>https://drive.google.com/open?id=181GeCtBVogSFrpfprg4RD4Ah_1lWhBn7</v>
      </c>
      <c r="L95" s="9" t="str">
        <f ca="1">IFERROR(__xludf.DUMMYFUNCTION("""COMPUTED_VALUE"""),"2018-2022")</f>
        <v>2018-2022</v>
      </c>
      <c r="M95" s="9" t="str">
        <f ca="1">IFERROR(__xludf.DUMMYFUNCTION("""COMPUTED_VALUE"""),"S4: Student Certifications")</f>
        <v>S4: Student Certifications</v>
      </c>
      <c r="N95" s="9" t="str">
        <f ca="1">IFERROR(__xludf.DUMMYFUNCTION("""COMPUTED_VALUE"""),"tillu812@gmail.com")</f>
        <v>tillu812@gmail.com</v>
      </c>
      <c r="O95" s="9" t="str">
        <f ca="1">IFERROR(__xludf.DUMMYFUNCTION("""COMPUTED_VALUE"""),"SEM-8")</f>
        <v>SEM-8</v>
      </c>
      <c r="P95" s="9"/>
      <c r="Q95" s="9"/>
      <c r="R95" s="9"/>
      <c r="S95" s="9"/>
      <c r="T95" s="9"/>
      <c r="U95" s="9"/>
      <c r="V95" s="9"/>
      <c r="W95" s="9"/>
      <c r="X95" s="9"/>
      <c r="Y95" s="9"/>
    </row>
    <row r="96" spans="1:25" ht="26.25" customHeight="1" x14ac:dyDescent="0.15">
      <c r="A96" s="9" t="str">
        <f ca="1">IFERROR(__xludf.DUMMYFUNCTION("""COMPUTED_VALUE"""),"syed ali zulfekar")</f>
        <v>syed ali zulfekar</v>
      </c>
      <c r="B96" s="9" t="str">
        <f ca="1">IFERROR(__xludf.DUMMYFUNCTION("""COMPUTED_VALUE"""),"18331A05E9")</f>
        <v>18331A05E9</v>
      </c>
      <c r="C96" s="78" t="str">
        <f ca="1">IFERROR(__xludf.DUMMYFUNCTION("""COMPUTED_VALUE"""),"PCAP: Programming Essentials in Python")</f>
        <v>PCAP: Programming Essentials in Python</v>
      </c>
      <c r="D96" s="9" t="str">
        <f ca="1">IFERROR(__xludf.DUMMYFUNCTION("""COMPUTED_VALUE"""),"cisco")</f>
        <v>cisco</v>
      </c>
      <c r="E96" s="9" t="str">
        <f ca="1">IFERROR(__xludf.DUMMYFUNCTION("""COMPUTED_VALUE"""),"2 months")</f>
        <v>2 months</v>
      </c>
      <c r="F96" s="79">
        <f ca="1">IFERROR(__xludf.DUMMYFUNCTION("""COMPUTED_VALUE"""),44012)</f>
        <v>44012</v>
      </c>
      <c r="G96" s="79">
        <f ca="1">IFERROR(__xludf.DUMMYFUNCTION("""COMPUTED_VALUE"""),44047)</f>
        <v>44047</v>
      </c>
      <c r="H96" s="72">
        <f ca="1">IFERROR(__xludf.DUMMYFUNCTION("""COMPUTED_VALUE"""),44047)</f>
        <v>44047</v>
      </c>
      <c r="I96" s="80">
        <f ca="1">IFERROR(__xludf.DUMMYFUNCTION("""COMPUTED_VALUE"""),84)</f>
        <v>84</v>
      </c>
      <c r="J96" s="9" t="str">
        <f ca="1">IFERROR(__xludf.DUMMYFUNCTION("""COMPUTED_VALUE"""),"dr.ravi kiran varma")</f>
        <v>dr.ravi kiran varma</v>
      </c>
      <c r="K96" s="73" t="str">
        <f ca="1">IFERROR(__xludf.DUMMYFUNCTION("""COMPUTED_VALUE"""),"https://drive.google.com/open?id=1Mty3rxcbLKf2IeeWugKzvR_8RUp42v3Y")</f>
        <v>https://drive.google.com/open?id=1Mty3rxcbLKf2IeeWugKzvR_8RUp42v3Y</v>
      </c>
      <c r="L96" s="9" t="str">
        <f ca="1">IFERROR(__xludf.DUMMYFUNCTION("""COMPUTED_VALUE"""),"2018-2022")</f>
        <v>2018-2022</v>
      </c>
      <c r="M96" s="9" t="str">
        <f ca="1">IFERROR(__xludf.DUMMYFUNCTION("""COMPUTED_VALUE"""),"S4: Student Certifications")</f>
        <v>S4: Student Certifications</v>
      </c>
      <c r="N96" s="9" t="str">
        <f ca="1">IFERROR(__xludf.DUMMYFUNCTION("""COMPUTED_VALUE"""),"tillu812@gmail.com")</f>
        <v>tillu812@gmail.com</v>
      </c>
      <c r="O96" s="9" t="str">
        <f ca="1">IFERROR(__xludf.DUMMYFUNCTION("""COMPUTED_VALUE"""),"SEM-8")</f>
        <v>SEM-8</v>
      </c>
      <c r="P96" s="9"/>
      <c r="Q96" s="9"/>
      <c r="R96" s="9"/>
      <c r="S96" s="9"/>
      <c r="T96" s="9"/>
      <c r="U96" s="9"/>
      <c r="V96" s="9"/>
      <c r="W96" s="9"/>
      <c r="X96" s="9"/>
      <c r="Y96" s="9"/>
    </row>
    <row r="97" spans="1:25" ht="26.25" customHeight="1" x14ac:dyDescent="0.15">
      <c r="A97" s="9" t="str">
        <f ca="1">IFERROR(__xludf.DUMMYFUNCTION("""COMPUTED_VALUE"""),"syed ali zulfekar")</f>
        <v>syed ali zulfekar</v>
      </c>
      <c r="B97" s="9" t="str">
        <f ca="1">IFERROR(__xludf.DUMMYFUNCTION("""COMPUTED_VALUE"""),"18331A05E9")</f>
        <v>18331A05E9</v>
      </c>
      <c r="C97" s="78" t="str">
        <f ca="1">IFERROR(__xludf.DUMMYFUNCTION("""COMPUTED_VALUE"""),"AWS Academy Graduate - AWS Academy Cloud Foundations")</f>
        <v>AWS Academy Graduate - AWS Academy Cloud Foundations</v>
      </c>
      <c r="D97" s="9" t="str">
        <f ca="1">IFERROR(__xludf.DUMMYFUNCTION("""COMPUTED_VALUE"""),"aws")</f>
        <v>aws</v>
      </c>
      <c r="E97" s="9" t="str">
        <f ca="1">IFERROR(__xludf.DUMMYFUNCTION("""COMPUTED_VALUE"""),"1 month")</f>
        <v>1 month</v>
      </c>
      <c r="F97" s="79">
        <f ca="1">IFERROR(__xludf.DUMMYFUNCTION("""COMPUTED_VALUE"""),44512)</f>
        <v>44512</v>
      </c>
      <c r="G97" s="79">
        <f ca="1">IFERROR(__xludf.DUMMYFUNCTION("""COMPUTED_VALUE"""),44542)</f>
        <v>44542</v>
      </c>
      <c r="H97" s="72">
        <f ca="1">IFERROR(__xludf.DUMMYFUNCTION("""COMPUTED_VALUE"""),44542)</f>
        <v>44542</v>
      </c>
      <c r="I97" s="80">
        <f ca="1">IFERROR(__xludf.DUMMYFUNCTION("""COMPUTED_VALUE"""),90)</f>
        <v>90</v>
      </c>
      <c r="J97" s="9" t="str">
        <f ca="1">IFERROR(__xludf.DUMMYFUNCTION("""COMPUTED_VALUE"""),"dr.ravi kiran varma")</f>
        <v>dr.ravi kiran varma</v>
      </c>
      <c r="K97" s="73" t="str">
        <f ca="1">IFERROR(__xludf.DUMMYFUNCTION("""COMPUTED_VALUE"""),"https://drive.google.com/open?id=12MytZyqxTtur7HDjKk7tzk42J7to-H0B")</f>
        <v>https://drive.google.com/open?id=12MytZyqxTtur7HDjKk7tzk42J7to-H0B</v>
      </c>
      <c r="L97" s="9" t="str">
        <f ca="1">IFERROR(__xludf.DUMMYFUNCTION("""COMPUTED_VALUE"""),"2018-2022")</f>
        <v>2018-2022</v>
      </c>
      <c r="M97" s="9" t="str">
        <f ca="1">IFERROR(__xludf.DUMMYFUNCTION("""COMPUTED_VALUE"""),"S4: Student Certifications")</f>
        <v>S4: Student Certifications</v>
      </c>
      <c r="N97" s="9" t="str">
        <f ca="1">IFERROR(__xludf.DUMMYFUNCTION("""COMPUTED_VALUE"""),"tillu812@gmail.com")</f>
        <v>tillu812@gmail.com</v>
      </c>
      <c r="O97" s="9" t="str">
        <f ca="1">IFERROR(__xludf.DUMMYFUNCTION("""COMPUTED_VALUE"""),"SEM-8")</f>
        <v>SEM-8</v>
      </c>
      <c r="P97" s="9"/>
      <c r="Q97" s="9"/>
      <c r="R97" s="9"/>
      <c r="S97" s="9"/>
      <c r="T97" s="9"/>
      <c r="U97" s="9"/>
      <c r="V97" s="9"/>
      <c r="W97" s="9"/>
      <c r="X97" s="9"/>
      <c r="Y97" s="9"/>
    </row>
    <row r="98" spans="1:25" ht="26.25" customHeight="1" x14ac:dyDescent="0.15">
      <c r="A98" s="9" t="str">
        <f ca="1">IFERROR(__xludf.DUMMYFUNCTION("""COMPUTED_VALUE"""),"Yuvaraj Chowdary Ratnala")</f>
        <v>Yuvaraj Chowdary Ratnala</v>
      </c>
      <c r="B98" s="9" t="str">
        <f ca="1">IFERROR(__xludf.DUMMYFUNCTION("""COMPUTED_VALUE"""),"18331A05C3")</f>
        <v>18331A05C3</v>
      </c>
      <c r="C98" s="78" t="str">
        <f ca="1">IFERROR(__xludf.DUMMYFUNCTION("""COMPUTED_VALUE"""),"CCNA module 1")</f>
        <v>CCNA module 1</v>
      </c>
      <c r="D98" s="9" t="str">
        <f ca="1">IFERROR(__xludf.DUMMYFUNCTION("""COMPUTED_VALUE"""),"Cisco")</f>
        <v>Cisco</v>
      </c>
      <c r="E98" s="9" t="str">
        <f ca="1">IFERROR(__xludf.DUMMYFUNCTION("""COMPUTED_VALUE"""),"-")</f>
        <v>-</v>
      </c>
      <c r="F98" s="79">
        <f ca="1">IFERROR(__xludf.DUMMYFUNCTION("""COMPUTED_VALUE"""),43818)</f>
        <v>43818</v>
      </c>
      <c r="G98" s="79">
        <f ca="1">IFERROR(__xludf.DUMMYFUNCTION("""COMPUTED_VALUE"""),43837)</f>
        <v>43837</v>
      </c>
      <c r="H98" s="72">
        <f ca="1">IFERROR(__xludf.DUMMYFUNCTION("""COMPUTED_VALUE"""),43837)</f>
        <v>43837</v>
      </c>
      <c r="I98" s="80">
        <f ca="1">IFERROR(__xludf.DUMMYFUNCTION("""COMPUTED_VALUE"""),85)</f>
        <v>85</v>
      </c>
      <c r="J98" s="9" t="str">
        <f ca="1">IFERROR(__xludf.DUMMYFUNCTION("""COMPUTED_VALUE"""),"Dr. Ravi Kiran Varma")</f>
        <v>Dr. Ravi Kiran Varma</v>
      </c>
      <c r="K98" s="73" t="str">
        <f ca="1">IFERROR(__xludf.DUMMYFUNCTION("""COMPUTED_VALUE"""),"https://drive.google.com/open?id=1rdisy0xDoX3c9uFLxKm_19fszA7Dhi4f")</f>
        <v>https://drive.google.com/open?id=1rdisy0xDoX3c9uFLxKm_19fszA7Dhi4f</v>
      </c>
      <c r="L98" s="9" t="str">
        <f ca="1">IFERROR(__xludf.DUMMYFUNCTION("""COMPUTED_VALUE"""),"2018-2022")</f>
        <v>2018-2022</v>
      </c>
      <c r="M98" s="9" t="str">
        <f ca="1">IFERROR(__xludf.DUMMYFUNCTION("""COMPUTED_VALUE"""),"S4: Student Certifications")</f>
        <v>S4: Student Certifications</v>
      </c>
      <c r="N98" s="9" t="str">
        <f ca="1">IFERROR(__xludf.DUMMYFUNCTION("""COMPUTED_VALUE"""),"18331A05C3@mvgrce.edu.in")</f>
        <v>18331A05C3@mvgrce.edu.in</v>
      </c>
      <c r="O98" s="9" t="str">
        <f ca="1">IFERROR(__xludf.DUMMYFUNCTION("""COMPUTED_VALUE"""),"SEM-8")</f>
        <v>SEM-8</v>
      </c>
      <c r="P98" s="9"/>
      <c r="Q98" s="9"/>
      <c r="R98" s="9"/>
      <c r="S98" s="9"/>
      <c r="T98" s="9"/>
      <c r="U98" s="9"/>
      <c r="V98" s="9"/>
      <c r="W98" s="9"/>
      <c r="X98" s="9"/>
      <c r="Y98" s="9"/>
    </row>
    <row r="99" spans="1:25" ht="26.25" customHeight="1" x14ac:dyDescent="0.15">
      <c r="A99" s="9" t="str">
        <f ca="1">IFERROR(__xludf.DUMMYFUNCTION("""COMPUTED_VALUE"""),"Yuvaraj Chowdary Ratnals")</f>
        <v>Yuvaraj Chowdary Ratnals</v>
      </c>
      <c r="B99" s="9" t="str">
        <f ca="1">IFERROR(__xludf.DUMMYFUNCTION("""COMPUTED_VALUE"""),"18331A05C3")</f>
        <v>18331A05C3</v>
      </c>
      <c r="C99" s="78" t="str">
        <f ca="1">IFERROR(__xludf.DUMMYFUNCTION("""COMPUTED_VALUE"""),"CCNA module 2")</f>
        <v>CCNA module 2</v>
      </c>
      <c r="D99" s="9" t="str">
        <f ca="1">IFERROR(__xludf.DUMMYFUNCTION("""COMPUTED_VALUE"""),"Cisco")</f>
        <v>Cisco</v>
      </c>
      <c r="E99" s="9" t="str">
        <f ca="1">IFERROR(__xludf.DUMMYFUNCTION("""COMPUTED_VALUE"""),"-")</f>
        <v>-</v>
      </c>
      <c r="F99" s="79">
        <f ca="1">IFERROR(__xludf.DUMMYFUNCTION("""COMPUTED_VALUE"""),43818)</f>
        <v>43818</v>
      </c>
      <c r="G99" s="79">
        <f ca="1">IFERROR(__xludf.DUMMYFUNCTION("""COMPUTED_VALUE"""),44013)</f>
        <v>44013</v>
      </c>
      <c r="H99" s="72">
        <f ca="1">IFERROR(__xludf.DUMMYFUNCTION("""COMPUTED_VALUE"""),44013)</f>
        <v>44013</v>
      </c>
      <c r="I99" s="80">
        <f ca="1">IFERROR(__xludf.DUMMYFUNCTION("""COMPUTED_VALUE"""),85)</f>
        <v>85</v>
      </c>
      <c r="J99" s="9" t="str">
        <f ca="1">IFERROR(__xludf.DUMMYFUNCTION("""COMPUTED_VALUE"""),"Dr. Ravi Kiran Varma")</f>
        <v>Dr. Ravi Kiran Varma</v>
      </c>
      <c r="K99" s="73" t="str">
        <f ca="1">IFERROR(__xludf.DUMMYFUNCTION("""COMPUTED_VALUE"""),"https://drive.google.com/open?id=1tHgTeOmv4x6dEn_N61Fd6rPcGaAfx2RS")</f>
        <v>https://drive.google.com/open?id=1tHgTeOmv4x6dEn_N61Fd6rPcGaAfx2RS</v>
      </c>
      <c r="L99" s="9" t="str">
        <f ca="1">IFERROR(__xludf.DUMMYFUNCTION("""COMPUTED_VALUE"""),"2018-2022")</f>
        <v>2018-2022</v>
      </c>
      <c r="M99" s="9" t="str">
        <f ca="1">IFERROR(__xludf.DUMMYFUNCTION("""COMPUTED_VALUE"""),"S4: Student Certifications")</f>
        <v>S4: Student Certifications</v>
      </c>
      <c r="N99" s="9" t="str">
        <f ca="1">IFERROR(__xludf.DUMMYFUNCTION("""COMPUTED_VALUE"""),"18331A05C3@mvgrce.edu.in")</f>
        <v>18331A05C3@mvgrce.edu.in</v>
      </c>
      <c r="O99" s="9" t="str">
        <f ca="1">IFERROR(__xludf.DUMMYFUNCTION("""COMPUTED_VALUE"""),"SEM-8")</f>
        <v>SEM-8</v>
      </c>
      <c r="P99" s="9"/>
      <c r="Q99" s="9"/>
      <c r="R99" s="9"/>
      <c r="S99" s="9"/>
      <c r="T99" s="9"/>
      <c r="U99" s="9"/>
      <c r="V99" s="9"/>
      <c r="W99" s="9"/>
      <c r="X99" s="9"/>
      <c r="Y99" s="9"/>
    </row>
    <row r="100" spans="1:25" ht="26.25" customHeight="1" x14ac:dyDescent="0.15">
      <c r="A100" s="9" t="str">
        <f ca="1">IFERROR(__xludf.DUMMYFUNCTION("""COMPUTED_VALUE"""),"Yuvaraj Chowdary Ratnala")</f>
        <v>Yuvaraj Chowdary Ratnala</v>
      </c>
      <c r="B100" s="9" t="str">
        <f ca="1">IFERROR(__xludf.DUMMYFUNCTION("""COMPUTED_VALUE"""),"18331A05C3")</f>
        <v>18331A05C3</v>
      </c>
      <c r="C100" s="78" t="str">
        <f ca="1">IFERROR(__xludf.DUMMYFUNCTION("""COMPUTED_VALUE"""),"CCNA module 3")</f>
        <v>CCNA module 3</v>
      </c>
      <c r="D100" s="9" t="str">
        <f ca="1">IFERROR(__xludf.DUMMYFUNCTION("""COMPUTED_VALUE"""),"Cisco")</f>
        <v>Cisco</v>
      </c>
      <c r="E100" s="9" t="str">
        <f ca="1">IFERROR(__xludf.DUMMYFUNCTION("""COMPUTED_VALUE"""),"-")</f>
        <v>-</v>
      </c>
      <c r="F100" s="79">
        <f ca="1">IFERROR(__xludf.DUMMYFUNCTION("""COMPUTED_VALUE"""),43818)</f>
        <v>43818</v>
      </c>
      <c r="G100" s="79">
        <f ca="1">IFERROR(__xludf.DUMMYFUNCTION("""COMPUTED_VALUE"""),44013)</f>
        <v>44013</v>
      </c>
      <c r="H100" s="72">
        <f ca="1">IFERROR(__xludf.DUMMYFUNCTION("""COMPUTED_VALUE"""),44013)</f>
        <v>44013</v>
      </c>
      <c r="I100" s="80">
        <f ca="1">IFERROR(__xludf.DUMMYFUNCTION("""COMPUTED_VALUE"""),85)</f>
        <v>85</v>
      </c>
      <c r="J100" s="9" t="str">
        <f ca="1">IFERROR(__xludf.DUMMYFUNCTION("""COMPUTED_VALUE"""),"Dr. Ravi Kiran Varma")</f>
        <v>Dr. Ravi Kiran Varma</v>
      </c>
      <c r="K100" s="73" t="str">
        <f ca="1">IFERROR(__xludf.DUMMYFUNCTION("""COMPUTED_VALUE"""),"https://drive.google.com/open?id=1hRUVOirhtpE6w5Buo_hQrdNvEfdzHtBY")</f>
        <v>https://drive.google.com/open?id=1hRUVOirhtpE6w5Buo_hQrdNvEfdzHtBY</v>
      </c>
      <c r="L100" s="9" t="str">
        <f ca="1">IFERROR(__xludf.DUMMYFUNCTION("""COMPUTED_VALUE"""),"2018-2022")</f>
        <v>2018-2022</v>
      </c>
      <c r="M100" s="9" t="str">
        <f ca="1">IFERROR(__xludf.DUMMYFUNCTION("""COMPUTED_VALUE"""),"S4: Student Certifications")</f>
        <v>S4: Student Certifications</v>
      </c>
      <c r="N100" s="9" t="str">
        <f ca="1">IFERROR(__xludf.DUMMYFUNCTION("""COMPUTED_VALUE"""),"18331A05C3@mvgrce.edu.in")</f>
        <v>18331A05C3@mvgrce.edu.in</v>
      </c>
      <c r="O100" s="9" t="str">
        <f ca="1">IFERROR(__xludf.DUMMYFUNCTION("""COMPUTED_VALUE"""),"SEM-8")</f>
        <v>SEM-8</v>
      </c>
      <c r="P100" s="9"/>
      <c r="Q100" s="9"/>
      <c r="R100" s="9"/>
      <c r="S100" s="9"/>
      <c r="T100" s="9"/>
      <c r="U100" s="9"/>
      <c r="V100" s="9"/>
      <c r="W100" s="9"/>
      <c r="X100" s="9"/>
      <c r="Y100" s="9"/>
    </row>
    <row r="101" spans="1:25" ht="26.25" customHeight="1" x14ac:dyDescent="0.15">
      <c r="A101" s="9" t="str">
        <f ca="1">IFERROR(__xludf.DUMMYFUNCTION("""COMPUTED_VALUE"""),"Yuvaraj Chowdary Ratnala")</f>
        <v>Yuvaraj Chowdary Ratnala</v>
      </c>
      <c r="B101" s="9" t="str">
        <f ca="1">IFERROR(__xludf.DUMMYFUNCTION("""COMPUTED_VALUE"""),"18331A05C3")</f>
        <v>18331A05C3</v>
      </c>
      <c r="C101" s="78" t="str">
        <f ca="1">IFERROR(__xludf.DUMMYFUNCTION("""COMPUTED_VALUE"""),"Python Programming")</f>
        <v>Python Programming</v>
      </c>
      <c r="D101" s="9" t="str">
        <f ca="1">IFERROR(__xludf.DUMMYFUNCTION("""COMPUTED_VALUE"""),"Cisco")</f>
        <v>Cisco</v>
      </c>
      <c r="E101" s="9" t="str">
        <f ca="1">IFERROR(__xludf.DUMMYFUNCTION("""COMPUTED_VALUE"""),"-")</f>
        <v>-</v>
      </c>
      <c r="F101" s="79">
        <f ca="1">IFERROR(__xludf.DUMMYFUNCTION("""COMPUTED_VALUE"""),43818)</f>
        <v>43818</v>
      </c>
      <c r="G101" s="79">
        <f ca="1">IFERROR(__xludf.DUMMYFUNCTION("""COMPUTED_VALUE"""),44013)</f>
        <v>44013</v>
      </c>
      <c r="H101" s="72">
        <f ca="1">IFERROR(__xludf.DUMMYFUNCTION("""COMPUTED_VALUE"""),44013)</f>
        <v>44013</v>
      </c>
      <c r="I101" s="80">
        <f ca="1">IFERROR(__xludf.DUMMYFUNCTION("""COMPUTED_VALUE"""),85)</f>
        <v>85</v>
      </c>
      <c r="J101" s="9" t="str">
        <f ca="1">IFERROR(__xludf.DUMMYFUNCTION("""COMPUTED_VALUE"""),"Dr. Ravi Kiran Varma")</f>
        <v>Dr. Ravi Kiran Varma</v>
      </c>
      <c r="K101" s="73" t="str">
        <f ca="1">IFERROR(__xludf.DUMMYFUNCTION("""COMPUTED_VALUE"""),"https://drive.google.com/open?id=1h9YhIgUXtK2rBnqbP6g_f9Dx3QrR_pnD")</f>
        <v>https://drive.google.com/open?id=1h9YhIgUXtK2rBnqbP6g_f9Dx3QrR_pnD</v>
      </c>
      <c r="L101" s="9" t="str">
        <f ca="1">IFERROR(__xludf.DUMMYFUNCTION("""COMPUTED_VALUE"""),"2018-2022")</f>
        <v>2018-2022</v>
      </c>
      <c r="M101" s="9" t="str">
        <f ca="1">IFERROR(__xludf.DUMMYFUNCTION("""COMPUTED_VALUE"""),"S4: Student Certifications")</f>
        <v>S4: Student Certifications</v>
      </c>
      <c r="N101" s="9" t="str">
        <f ca="1">IFERROR(__xludf.DUMMYFUNCTION("""COMPUTED_VALUE"""),"18331A05C3@mvgrce.edu.in")</f>
        <v>18331A05C3@mvgrce.edu.in</v>
      </c>
      <c r="O101" s="9" t="str">
        <f ca="1">IFERROR(__xludf.DUMMYFUNCTION("""COMPUTED_VALUE"""),"SEM-8")</f>
        <v>SEM-8</v>
      </c>
      <c r="P101" s="9"/>
      <c r="Q101" s="9"/>
      <c r="R101" s="9"/>
      <c r="S101" s="9"/>
      <c r="T101" s="9"/>
      <c r="U101" s="9"/>
      <c r="V101" s="9"/>
      <c r="W101" s="9"/>
      <c r="X101" s="9"/>
      <c r="Y101" s="9"/>
    </row>
    <row r="102" spans="1:25" ht="26.25" customHeight="1" x14ac:dyDescent="0.15">
      <c r="A102" s="9" t="str">
        <f ca="1">IFERROR(__xludf.DUMMYFUNCTION("""COMPUTED_VALUE"""),"Yuvaraj Chowdary Ratnala")</f>
        <v>Yuvaraj Chowdary Ratnala</v>
      </c>
      <c r="B102" s="9" t="str">
        <f ca="1">IFERROR(__xludf.DUMMYFUNCTION("""COMPUTED_VALUE"""),"18331A05C3")</f>
        <v>18331A05C3</v>
      </c>
      <c r="C102" s="78" t="str">
        <f ca="1">IFERROR(__xludf.DUMMYFUNCTION("""COMPUTED_VALUE"""),"Linux Essentials")</f>
        <v>Linux Essentials</v>
      </c>
      <c r="D102" s="9" t="str">
        <f ca="1">IFERROR(__xludf.DUMMYFUNCTION("""COMPUTED_VALUE"""),"Cisco")</f>
        <v>Cisco</v>
      </c>
      <c r="E102" s="9" t="str">
        <f ca="1">IFERROR(__xludf.DUMMYFUNCTION("""COMPUTED_VALUE"""),"-")</f>
        <v>-</v>
      </c>
      <c r="F102" s="79">
        <f ca="1">IFERROR(__xludf.DUMMYFUNCTION("""COMPUTED_VALUE"""),43818)</f>
        <v>43818</v>
      </c>
      <c r="G102" s="79">
        <f ca="1">IFERROR(__xludf.DUMMYFUNCTION("""COMPUTED_VALUE"""),44013)</f>
        <v>44013</v>
      </c>
      <c r="H102" s="72">
        <f ca="1">IFERROR(__xludf.DUMMYFUNCTION("""COMPUTED_VALUE"""),44013)</f>
        <v>44013</v>
      </c>
      <c r="I102" s="80">
        <f ca="1">IFERROR(__xludf.DUMMYFUNCTION("""COMPUTED_VALUE"""),85)</f>
        <v>85</v>
      </c>
      <c r="J102" s="9" t="str">
        <f ca="1">IFERROR(__xludf.DUMMYFUNCTION("""COMPUTED_VALUE"""),"Dr. Ravi Kiran Varma")</f>
        <v>Dr. Ravi Kiran Varma</v>
      </c>
      <c r="K102" s="73" t="str">
        <f ca="1">IFERROR(__xludf.DUMMYFUNCTION("""COMPUTED_VALUE"""),"https://drive.google.com/open?id=1Ya1eh77EFYh1RmxrFdj0Bgk9t3YDTADS")</f>
        <v>https://drive.google.com/open?id=1Ya1eh77EFYh1RmxrFdj0Bgk9t3YDTADS</v>
      </c>
      <c r="L102" s="9" t="str">
        <f ca="1">IFERROR(__xludf.DUMMYFUNCTION("""COMPUTED_VALUE"""),"2018-2022")</f>
        <v>2018-2022</v>
      </c>
      <c r="M102" s="9" t="str">
        <f ca="1">IFERROR(__xludf.DUMMYFUNCTION("""COMPUTED_VALUE"""),"S4: Student Certifications")</f>
        <v>S4: Student Certifications</v>
      </c>
      <c r="N102" s="9" t="str">
        <f ca="1">IFERROR(__xludf.DUMMYFUNCTION("""COMPUTED_VALUE"""),"18331A05C3@mvgrce.edu.in")</f>
        <v>18331A05C3@mvgrce.edu.in</v>
      </c>
      <c r="O102" s="9" t="str">
        <f ca="1">IFERROR(__xludf.DUMMYFUNCTION("""COMPUTED_VALUE"""),"SEM-8")</f>
        <v>SEM-8</v>
      </c>
      <c r="P102" s="9"/>
      <c r="Q102" s="9"/>
      <c r="R102" s="9"/>
      <c r="S102" s="9"/>
      <c r="T102" s="9"/>
      <c r="U102" s="9"/>
      <c r="V102" s="9"/>
      <c r="W102" s="9"/>
      <c r="X102" s="9"/>
      <c r="Y102" s="9"/>
    </row>
    <row r="103" spans="1:25" ht="26.25" customHeight="1" x14ac:dyDescent="0.15">
      <c r="A103" s="9" t="str">
        <f ca="1">IFERROR(__xludf.DUMMYFUNCTION("""COMPUTED_VALUE"""),"Yuvaraj Chowdary Ratnala")</f>
        <v>Yuvaraj Chowdary Ratnala</v>
      </c>
      <c r="B103" s="9" t="str">
        <f ca="1">IFERROR(__xludf.DUMMYFUNCTION("""COMPUTED_VALUE"""),"18331A05C3")</f>
        <v>18331A05C3</v>
      </c>
      <c r="C103" s="78" t="str">
        <f ca="1">IFERROR(__xludf.DUMMYFUNCTION("""COMPUTED_VALUE"""),"C++ essestials")</f>
        <v>C++ essestials</v>
      </c>
      <c r="D103" s="9" t="str">
        <f ca="1">IFERROR(__xludf.DUMMYFUNCTION("""COMPUTED_VALUE"""),"Cisco")</f>
        <v>Cisco</v>
      </c>
      <c r="E103" s="9" t="str">
        <f ca="1">IFERROR(__xludf.DUMMYFUNCTION("""COMPUTED_VALUE"""),"-")</f>
        <v>-</v>
      </c>
      <c r="F103" s="79">
        <f ca="1">IFERROR(__xludf.DUMMYFUNCTION("""COMPUTED_VALUE"""),43475)</f>
        <v>43475</v>
      </c>
      <c r="G103" s="79">
        <f ca="1">IFERROR(__xludf.DUMMYFUNCTION("""COMPUTED_VALUE"""),43617)</f>
        <v>43617</v>
      </c>
      <c r="H103" s="72">
        <f ca="1">IFERROR(__xludf.DUMMYFUNCTION("""COMPUTED_VALUE"""),43617)</f>
        <v>43617</v>
      </c>
      <c r="I103" s="80">
        <f ca="1">IFERROR(__xludf.DUMMYFUNCTION("""COMPUTED_VALUE"""),85)</f>
        <v>85</v>
      </c>
      <c r="J103" s="9" t="str">
        <f ca="1">IFERROR(__xludf.DUMMYFUNCTION("""COMPUTED_VALUE"""),"Dr. Ravi Kiran Varma")</f>
        <v>Dr. Ravi Kiran Varma</v>
      </c>
      <c r="K103" s="73" t="str">
        <f ca="1">IFERROR(__xludf.DUMMYFUNCTION("""COMPUTED_VALUE"""),"https://drive.google.com/open?id=140nJceU32DcUPhZT_yhidWWeYTPZkYVC")</f>
        <v>https://drive.google.com/open?id=140nJceU32DcUPhZT_yhidWWeYTPZkYVC</v>
      </c>
      <c r="L103" s="9" t="str">
        <f ca="1">IFERROR(__xludf.DUMMYFUNCTION("""COMPUTED_VALUE"""),"2018-2022")</f>
        <v>2018-2022</v>
      </c>
      <c r="M103" s="9" t="str">
        <f ca="1">IFERROR(__xludf.DUMMYFUNCTION("""COMPUTED_VALUE"""),"S4: Student Certifications")</f>
        <v>S4: Student Certifications</v>
      </c>
      <c r="N103" s="9" t="str">
        <f ca="1">IFERROR(__xludf.DUMMYFUNCTION("""COMPUTED_VALUE"""),"18331A05C3@mvgrce.edu.in")</f>
        <v>18331A05C3@mvgrce.edu.in</v>
      </c>
      <c r="O103" s="9" t="str">
        <f ca="1">IFERROR(__xludf.DUMMYFUNCTION("""COMPUTED_VALUE"""),"SEM-8")</f>
        <v>SEM-8</v>
      </c>
      <c r="P103" s="9"/>
      <c r="Q103" s="9"/>
      <c r="R103" s="9"/>
      <c r="S103" s="9"/>
      <c r="T103" s="9"/>
      <c r="U103" s="9"/>
      <c r="V103" s="9"/>
      <c r="W103" s="9"/>
      <c r="X103" s="9"/>
      <c r="Y103" s="9"/>
    </row>
    <row r="104" spans="1:25" ht="26.25" customHeight="1" x14ac:dyDescent="0.15">
      <c r="A104" s="9" t="str">
        <f ca="1">IFERROR(__xludf.DUMMYFUNCTION("""COMPUTED_VALUE"""),"Yuvaraj Chowdary Ratnala")</f>
        <v>Yuvaraj Chowdary Ratnala</v>
      </c>
      <c r="B104" s="9" t="str">
        <f ca="1">IFERROR(__xludf.DUMMYFUNCTION("""COMPUTED_VALUE"""),"18331A05C3")</f>
        <v>18331A05C3</v>
      </c>
      <c r="C104" s="78" t="str">
        <f ca="1">IFERROR(__xludf.DUMMYFUNCTION("""COMPUTED_VALUE"""),"C programming")</f>
        <v>C programming</v>
      </c>
      <c r="D104" s="9" t="str">
        <f ca="1">IFERROR(__xludf.DUMMYFUNCTION("""COMPUTED_VALUE"""),"Cisco")</f>
        <v>Cisco</v>
      </c>
      <c r="E104" s="9" t="str">
        <f ca="1">IFERROR(__xludf.DUMMYFUNCTION("""COMPUTED_VALUE"""),"-")</f>
        <v>-</v>
      </c>
      <c r="F104" s="79">
        <f ca="1">IFERROR(__xludf.DUMMYFUNCTION("""COMPUTED_VALUE"""),43475)</f>
        <v>43475</v>
      </c>
      <c r="G104" s="79">
        <f ca="1">IFERROR(__xludf.DUMMYFUNCTION("""COMPUTED_VALUE"""),43617)</f>
        <v>43617</v>
      </c>
      <c r="H104" s="72">
        <f ca="1">IFERROR(__xludf.DUMMYFUNCTION("""COMPUTED_VALUE"""),43617)</f>
        <v>43617</v>
      </c>
      <c r="I104" s="80">
        <f ca="1">IFERROR(__xludf.DUMMYFUNCTION("""COMPUTED_VALUE"""),85)</f>
        <v>85</v>
      </c>
      <c r="J104" s="9" t="str">
        <f ca="1">IFERROR(__xludf.DUMMYFUNCTION("""COMPUTED_VALUE"""),"Dr. Ravi Kiran Varma")</f>
        <v>Dr. Ravi Kiran Varma</v>
      </c>
      <c r="K104" s="73" t="str">
        <f ca="1">IFERROR(__xludf.DUMMYFUNCTION("""COMPUTED_VALUE"""),"https://drive.google.com/open?id=1Yf2zDUoI8_xkNYtSbliWFcbfmxkzIlSp")</f>
        <v>https://drive.google.com/open?id=1Yf2zDUoI8_xkNYtSbliWFcbfmxkzIlSp</v>
      </c>
      <c r="L104" s="9" t="str">
        <f ca="1">IFERROR(__xludf.DUMMYFUNCTION("""COMPUTED_VALUE"""),"2018-2022")</f>
        <v>2018-2022</v>
      </c>
      <c r="M104" s="9" t="str">
        <f ca="1">IFERROR(__xludf.DUMMYFUNCTION("""COMPUTED_VALUE"""),"S4: Student Certifications")</f>
        <v>S4: Student Certifications</v>
      </c>
      <c r="N104" s="9" t="str">
        <f ca="1">IFERROR(__xludf.DUMMYFUNCTION("""COMPUTED_VALUE"""),"18331A05C3@mvgrce.edu.in")</f>
        <v>18331A05C3@mvgrce.edu.in</v>
      </c>
      <c r="O104" s="9" t="str">
        <f ca="1">IFERROR(__xludf.DUMMYFUNCTION("""COMPUTED_VALUE"""),"SEM-8")</f>
        <v>SEM-8</v>
      </c>
      <c r="P104" s="9"/>
      <c r="Q104" s="9"/>
      <c r="R104" s="9"/>
      <c r="S104" s="9"/>
      <c r="T104" s="9"/>
      <c r="U104" s="9"/>
      <c r="V104" s="9"/>
      <c r="W104" s="9"/>
      <c r="X104" s="9"/>
      <c r="Y104" s="9"/>
    </row>
    <row r="105" spans="1:25" ht="26.25" customHeight="1" x14ac:dyDescent="0.15">
      <c r="A105" s="9" t="str">
        <f ca="1">IFERROR(__xludf.DUMMYFUNCTION("""COMPUTED_VALUE"""),"Yuvaraj Chowdary Ratnala")</f>
        <v>Yuvaraj Chowdary Ratnala</v>
      </c>
      <c r="B105" s="9" t="str">
        <f ca="1">IFERROR(__xludf.DUMMYFUNCTION("""COMPUTED_VALUE"""),"18331A05C3")</f>
        <v>18331A05C3</v>
      </c>
      <c r="C105" s="78" t="str">
        <f ca="1">IFERROR(__xludf.DUMMYFUNCTION("""COMPUTED_VALUE"""),"Introduction to CyberSecurity")</f>
        <v>Introduction to CyberSecurity</v>
      </c>
      <c r="D105" s="9" t="str">
        <f ca="1">IFERROR(__xludf.DUMMYFUNCTION("""COMPUTED_VALUE"""),"Cisco")</f>
        <v>Cisco</v>
      </c>
      <c r="E105" s="9" t="str">
        <f ca="1">IFERROR(__xludf.DUMMYFUNCTION("""COMPUTED_VALUE"""),"-")</f>
        <v>-</v>
      </c>
      <c r="F105" s="79">
        <f ca="1">IFERROR(__xludf.DUMMYFUNCTION("""COMPUTED_VALUE"""),43818)</f>
        <v>43818</v>
      </c>
      <c r="G105" s="79">
        <f ca="1">IFERROR(__xludf.DUMMYFUNCTION("""COMPUTED_VALUE"""),43983)</f>
        <v>43983</v>
      </c>
      <c r="H105" s="72">
        <f ca="1">IFERROR(__xludf.DUMMYFUNCTION("""COMPUTED_VALUE"""),43983)</f>
        <v>43983</v>
      </c>
      <c r="I105" s="80">
        <f ca="1">IFERROR(__xludf.DUMMYFUNCTION("""COMPUTED_VALUE"""),85)</f>
        <v>85</v>
      </c>
      <c r="J105" s="9" t="str">
        <f ca="1">IFERROR(__xludf.DUMMYFUNCTION("""COMPUTED_VALUE"""),"Dr. Ravi Kiran Varma")</f>
        <v>Dr. Ravi Kiran Varma</v>
      </c>
      <c r="K105" s="73" t="str">
        <f ca="1">IFERROR(__xludf.DUMMYFUNCTION("""COMPUTED_VALUE"""),"https://drive.google.com/open?id=1VKlnt2b-FZFjBtRvA1PX9qSc4nwCLvid")</f>
        <v>https://drive.google.com/open?id=1VKlnt2b-FZFjBtRvA1PX9qSc4nwCLvid</v>
      </c>
      <c r="L105" s="9" t="str">
        <f ca="1">IFERROR(__xludf.DUMMYFUNCTION("""COMPUTED_VALUE"""),"2018-2022")</f>
        <v>2018-2022</v>
      </c>
      <c r="M105" s="9" t="str">
        <f ca="1">IFERROR(__xludf.DUMMYFUNCTION("""COMPUTED_VALUE"""),"S4: Student Certifications")</f>
        <v>S4: Student Certifications</v>
      </c>
      <c r="N105" s="9" t="str">
        <f ca="1">IFERROR(__xludf.DUMMYFUNCTION("""COMPUTED_VALUE"""),"18331A05C3@mvgrce.edu.in")</f>
        <v>18331A05C3@mvgrce.edu.in</v>
      </c>
      <c r="O105" s="9" t="str">
        <f ca="1">IFERROR(__xludf.DUMMYFUNCTION("""COMPUTED_VALUE"""),"SEM-8")</f>
        <v>SEM-8</v>
      </c>
      <c r="P105" s="9"/>
      <c r="Q105" s="9"/>
      <c r="R105" s="9"/>
      <c r="S105" s="9"/>
      <c r="T105" s="9"/>
      <c r="U105" s="9"/>
      <c r="V105" s="9"/>
      <c r="W105" s="9"/>
      <c r="X105" s="9"/>
      <c r="Y105" s="9"/>
    </row>
    <row r="106" spans="1:25" ht="26.25" customHeight="1" x14ac:dyDescent="0.15">
      <c r="A106" s="9" t="str">
        <f ca="1">IFERROR(__xludf.DUMMYFUNCTION("""COMPUTED_VALUE"""),"Yuvaraj Chowday Ratnala")</f>
        <v>Yuvaraj Chowday Ratnala</v>
      </c>
      <c r="B106" s="9" t="str">
        <f ca="1">IFERROR(__xludf.DUMMYFUNCTION("""COMPUTED_VALUE"""),"18331A05C3")</f>
        <v>18331A05C3</v>
      </c>
      <c r="C106" s="78" t="str">
        <f ca="1">IFERROR(__xludf.DUMMYFUNCTION("""COMPUTED_VALUE"""),"Cyber security Essestials")</f>
        <v>Cyber security Essestials</v>
      </c>
      <c r="D106" s="9" t="str">
        <f ca="1">IFERROR(__xludf.DUMMYFUNCTION("""COMPUTED_VALUE"""),"Cisco")</f>
        <v>Cisco</v>
      </c>
      <c r="E106" s="9" t="str">
        <f ca="1">IFERROR(__xludf.DUMMYFUNCTION("""COMPUTED_VALUE"""),"-")</f>
        <v>-</v>
      </c>
      <c r="F106" s="79">
        <f ca="1">IFERROR(__xludf.DUMMYFUNCTION("""COMPUTED_VALUE"""),43818)</f>
        <v>43818</v>
      </c>
      <c r="G106" s="79">
        <f ca="1">IFERROR(__xludf.DUMMYFUNCTION("""COMPUTED_VALUE"""),43983)</f>
        <v>43983</v>
      </c>
      <c r="H106" s="72">
        <f ca="1">IFERROR(__xludf.DUMMYFUNCTION("""COMPUTED_VALUE"""),43983)</f>
        <v>43983</v>
      </c>
      <c r="I106" s="80">
        <f ca="1">IFERROR(__xludf.DUMMYFUNCTION("""COMPUTED_VALUE"""),85)</f>
        <v>85</v>
      </c>
      <c r="J106" s="9" t="str">
        <f ca="1">IFERROR(__xludf.DUMMYFUNCTION("""COMPUTED_VALUE"""),"Dr. Ravi Kiran Varma")</f>
        <v>Dr. Ravi Kiran Varma</v>
      </c>
      <c r="K106" s="73" t="str">
        <f ca="1">IFERROR(__xludf.DUMMYFUNCTION("""COMPUTED_VALUE"""),"https://drive.google.com/open?id=1-7cOBptRB-DD8CcNF69wOnEx9CBw8ZuN")</f>
        <v>https://drive.google.com/open?id=1-7cOBptRB-DD8CcNF69wOnEx9CBw8ZuN</v>
      </c>
      <c r="L106" s="9" t="str">
        <f ca="1">IFERROR(__xludf.DUMMYFUNCTION("""COMPUTED_VALUE"""),"2018-2022")</f>
        <v>2018-2022</v>
      </c>
      <c r="M106" s="9" t="str">
        <f ca="1">IFERROR(__xludf.DUMMYFUNCTION("""COMPUTED_VALUE"""),"S4: Student Certifications")</f>
        <v>S4: Student Certifications</v>
      </c>
      <c r="N106" s="9" t="str">
        <f ca="1">IFERROR(__xludf.DUMMYFUNCTION("""COMPUTED_VALUE"""),"18331A05C3@mvgrce.edu.in")</f>
        <v>18331A05C3@mvgrce.edu.in</v>
      </c>
      <c r="O106" s="9" t="str">
        <f ca="1">IFERROR(__xludf.DUMMYFUNCTION("""COMPUTED_VALUE"""),"SEM-8")</f>
        <v>SEM-8</v>
      </c>
      <c r="P106" s="9"/>
      <c r="Q106" s="9"/>
      <c r="R106" s="9"/>
      <c r="S106" s="9"/>
      <c r="T106" s="9"/>
      <c r="U106" s="9"/>
      <c r="V106" s="9"/>
      <c r="W106" s="9"/>
      <c r="X106" s="9"/>
      <c r="Y106" s="9"/>
    </row>
    <row r="107" spans="1:25" ht="26.25" customHeight="1" x14ac:dyDescent="0.15">
      <c r="A107" s="9" t="str">
        <f ca="1">IFERROR(__xludf.DUMMYFUNCTION("""COMPUTED_VALUE"""),"Yuvaraj Chowdary Ratnala")</f>
        <v>Yuvaraj Chowdary Ratnala</v>
      </c>
      <c r="B107" s="9" t="str">
        <f ca="1">IFERROR(__xludf.DUMMYFUNCTION("""COMPUTED_VALUE"""),"18331A05C3")</f>
        <v>18331A05C3</v>
      </c>
      <c r="C107" s="78" t="str">
        <f ca="1">IFERROR(__xludf.DUMMYFUNCTION("""COMPUTED_VALUE"""),"Introduction to Packet tracer")</f>
        <v>Introduction to Packet tracer</v>
      </c>
      <c r="D107" s="9" t="str">
        <f ca="1">IFERROR(__xludf.DUMMYFUNCTION("""COMPUTED_VALUE"""),"Cisco")</f>
        <v>Cisco</v>
      </c>
      <c r="E107" s="9" t="str">
        <f ca="1">IFERROR(__xludf.DUMMYFUNCTION("""COMPUTED_VALUE"""),"-")</f>
        <v>-</v>
      </c>
      <c r="F107" s="79">
        <f ca="1">IFERROR(__xludf.DUMMYFUNCTION("""COMPUTED_VALUE"""),43818)</f>
        <v>43818</v>
      </c>
      <c r="G107" s="79">
        <f ca="1">IFERROR(__xludf.DUMMYFUNCTION("""COMPUTED_VALUE"""),43983)</f>
        <v>43983</v>
      </c>
      <c r="H107" s="72">
        <f ca="1">IFERROR(__xludf.DUMMYFUNCTION("""COMPUTED_VALUE"""),43983)</f>
        <v>43983</v>
      </c>
      <c r="I107" s="80">
        <f ca="1">IFERROR(__xludf.DUMMYFUNCTION("""COMPUTED_VALUE"""),85)</f>
        <v>85</v>
      </c>
      <c r="J107" s="9" t="str">
        <f ca="1">IFERROR(__xludf.DUMMYFUNCTION("""COMPUTED_VALUE"""),"Dr. Ravi Kiran Varma")</f>
        <v>Dr. Ravi Kiran Varma</v>
      </c>
      <c r="K107" s="73" t="str">
        <f ca="1">IFERROR(__xludf.DUMMYFUNCTION("""COMPUTED_VALUE"""),"https://drive.google.com/open?id=1rafPhd2JGq6PbQEtzK_z-f8bXhTqly8M")</f>
        <v>https://drive.google.com/open?id=1rafPhd2JGq6PbQEtzK_z-f8bXhTqly8M</v>
      </c>
      <c r="L107" s="9" t="str">
        <f ca="1">IFERROR(__xludf.DUMMYFUNCTION("""COMPUTED_VALUE"""),"2018-2022")</f>
        <v>2018-2022</v>
      </c>
      <c r="M107" s="9" t="str">
        <f ca="1">IFERROR(__xludf.DUMMYFUNCTION("""COMPUTED_VALUE"""),"S4: Student Certifications")</f>
        <v>S4: Student Certifications</v>
      </c>
      <c r="N107" s="9" t="str">
        <f ca="1">IFERROR(__xludf.DUMMYFUNCTION("""COMPUTED_VALUE"""),"18331A05C3@mvgrce.edu.in")</f>
        <v>18331A05C3@mvgrce.edu.in</v>
      </c>
      <c r="O107" s="9" t="str">
        <f ca="1">IFERROR(__xludf.DUMMYFUNCTION("""COMPUTED_VALUE"""),"SEM-8")</f>
        <v>SEM-8</v>
      </c>
      <c r="P107" s="9"/>
      <c r="Q107" s="9"/>
      <c r="R107" s="9"/>
      <c r="S107" s="9"/>
      <c r="T107" s="9"/>
      <c r="U107" s="9"/>
      <c r="V107" s="9"/>
      <c r="W107" s="9"/>
      <c r="X107" s="9"/>
      <c r="Y107" s="9"/>
    </row>
    <row r="108" spans="1:25" ht="26.25" customHeight="1" x14ac:dyDescent="0.15">
      <c r="A108" s="9" t="str">
        <f ca="1">IFERROR(__xludf.DUMMYFUNCTION("""COMPUTED_VALUE"""),"METTA VAMSI PRANAV")</f>
        <v>METTA VAMSI PRANAV</v>
      </c>
      <c r="B108" s="9" t="str">
        <f ca="1">IFERROR(__xludf.DUMMYFUNCTION("""COMPUTED_VALUE"""),"18331A0598")</f>
        <v>18331A0598</v>
      </c>
      <c r="C108" s="78" t="str">
        <f ca="1">IFERROR(__xludf.DUMMYFUNCTION("""COMPUTED_VALUE"""),"AL For Everyone")</f>
        <v>AL For Everyone</v>
      </c>
      <c r="D108" s="9" t="str">
        <f ca="1">IFERROR(__xludf.DUMMYFUNCTION("""COMPUTED_VALUE"""),"Coursera")</f>
        <v>Coursera</v>
      </c>
      <c r="E108" s="9" t="str">
        <f ca="1">IFERROR(__xludf.DUMMYFUNCTION("""COMPUTED_VALUE"""),"2 months")</f>
        <v>2 months</v>
      </c>
      <c r="F108" s="79">
        <f ca="1">IFERROR(__xludf.DUMMYFUNCTION("""COMPUTED_VALUE"""),43908)</f>
        <v>43908</v>
      </c>
      <c r="G108" s="79">
        <f ca="1">IFERROR(__xludf.DUMMYFUNCTION("""COMPUTED_VALUE"""),43969)</f>
        <v>43969</v>
      </c>
      <c r="H108" s="72">
        <f ca="1">IFERROR(__xludf.DUMMYFUNCTION("""COMPUTED_VALUE"""),43969)</f>
        <v>43969</v>
      </c>
      <c r="I108" s="80">
        <f ca="1">IFERROR(__xludf.DUMMYFUNCTION("""COMPUTED_VALUE"""),100)</f>
        <v>100</v>
      </c>
      <c r="J108" s="9" t="str">
        <f ca="1">IFERROR(__xludf.DUMMYFUNCTION("""COMPUTED_VALUE"""),"Self Learning")</f>
        <v>Self Learning</v>
      </c>
      <c r="K108" s="73" t="str">
        <f ca="1">IFERROR(__xludf.DUMMYFUNCTION("""COMPUTED_VALUE"""),"https://drive.google.com/open?id=13C09EPcX1B9VGsXLB2h1XTf93qbuA80k")</f>
        <v>https://drive.google.com/open?id=13C09EPcX1B9VGsXLB2h1XTf93qbuA80k</v>
      </c>
      <c r="L108" s="9" t="str">
        <f ca="1">IFERROR(__xludf.DUMMYFUNCTION("""COMPUTED_VALUE"""),"2018-2022")</f>
        <v>2018-2022</v>
      </c>
      <c r="M108" s="9" t="str">
        <f ca="1">IFERROR(__xludf.DUMMYFUNCTION("""COMPUTED_VALUE"""),"S4: Student Certifications")</f>
        <v>S4: Student Certifications</v>
      </c>
      <c r="N108" s="9" t="str">
        <f ca="1">IFERROR(__xludf.DUMMYFUNCTION("""COMPUTED_VALUE"""),"vamsipranav9948@gmail.com")</f>
        <v>vamsipranav9948@gmail.com</v>
      </c>
      <c r="O108" s="9" t="str">
        <f ca="1">IFERROR(__xludf.DUMMYFUNCTION("""COMPUTED_VALUE"""),"SEM-4")</f>
        <v>SEM-4</v>
      </c>
      <c r="P108" s="9"/>
      <c r="Q108" s="9"/>
      <c r="R108" s="9"/>
      <c r="S108" s="9"/>
      <c r="T108" s="9"/>
      <c r="U108" s="9"/>
      <c r="V108" s="9"/>
      <c r="W108" s="9"/>
      <c r="X108" s="9"/>
      <c r="Y108" s="9"/>
    </row>
    <row r="109" spans="1:25" ht="26.25" customHeight="1" x14ac:dyDescent="0.15">
      <c r="A109" s="9" t="str">
        <f ca="1">IFERROR(__xludf.DUMMYFUNCTION("""COMPUTED_VALUE"""),"METTA VAMSI PRANAV")</f>
        <v>METTA VAMSI PRANAV</v>
      </c>
      <c r="B109" s="9" t="str">
        <f ca="1">IFERROR(__xludf.DUMMYFUNCTION("""COMPUTED_VALUE"""),"18331A0598")</f>
        <v>18331A0598</v>
      </c>
      <c r="C109" s="78" t="str">
        <f ca="1">IFERROR(__xludf.DUMMYFUNCTION("""COMPUTED_VALUE""")," Java")</f>
        <v xml:space="preserve"> Java</v>
      </c>
      <c r="D109" s="9" t="str">
        <f ca="1">IFERROR(__xludf.DUMMYFUNCTION("""COMPUTED_VALUE"""),"Coursera")</f>
        <v>Coursera</v>
      </c>
      <c r="E109" s="9" t="str">
        <f ca="1">IFERROR(__xludf.DUMMYFUNCTION("""COMPUTED_VALUE"""),"2 months")</f>
        <v>2 months</v>
      </c>
      <c r="F109" s="79">
        <f ca="1">IFERROR(__xludf.DUMMYFUNCTION("""COMPUTED_VALUE"""),43881)</f>
        <v>43881</v>
      </c>
      <c r="G109" s="79">
        <f ca="1">IFERROR(__xludf.DUMMYFUNCTION("""COMPUTED_VALUE"""),43941)</f>
        <v>43941</v>
      </c>
      <c r="H109" s="72">
        <f ca="1">IFERROR(__xludf.DUMMYFUNCTION("""COMPUTED_VALUE"""),43941)</f>
        <v>43941</v>
      </c>
      <c r="I109" s="80">
        <f ca="1">IFERROR(__xludf.DUMMYFUNCTION("""COMPUTED_VALUE"""),100)</f>
        <v>100</v>
      </c>
      <c r="J109" s="9" t="str">
        <f ca="1">IFERROR(__xludf.DUMMYFUNCTION("""COMPUTED_VALUE"""),"Self Learn")</f>
        <v>Self Learn</v>
      </c>
      <c r="K109" s="73" t="str">
        <f ca="1">IFERROR(__xludf.DUMMYFUNCTION("""COMPUTED_VALUE"""),"https://drive.google.com/open?id=1IWEHEfz3lbGYZAmHqbWoBE51TIggD5nL")</f>
        <v>https://drive.google.com/open?id=1IWEHEfz3lbGYZAmHqbWoBE51TIggD5nL</v>
      </c>
      <c r="L109" s="9" t="str">
        <f ca="1">IFERROR(__xludf.DUMMYFUNCTION("""COMPUTED_VALUE"""),"2018-2022")</f>
        <v>2018-2022</v>
      </c>
      <c r="M109" s="9" t="str">
        <f ca="1">IFERROR(__xludf.DUMMYFUNCTION("""COMPUTED_VALUE"""),"S4: Student Certifications")</f>
        <v>S4: Student Certifications</v>
      </c>
      <c r="N109" s="9" t="str">
        <f ca="1">IFERROR(__xludf.DUMMYFUNCTION("""COMPUTED_VALUE"""),"vamsipranav9948@gmail.com")</f>
        <v>vamsipranav9948@gmail.com</v>
      </c>
      <c r="O109" s="9" t="str">
        <f ca="1">IFERROR(__xludf.DUMMYFUNCTION("""COMPUTED_VALUE"""),"SEM-4")</f>
        <v>SEM-4</v>
      </c>
      <c r="P109" s="9"/>
      <c r="Q109" s="9"/>
      <c r="R109" s="9"/>
      <c r="S109" s="9"/>
      <c r="T109" s="9"/>
      <c r="U109" s="9"/>
      <c r="V109" s="9"/>
      <c r="W109" s="9"/>
      <c r="X109" s="9"/>
      <c r="Y109" s="9"/>
    </row>
    <row r="110" spans="1:25" ht="26.25" customHeight="1" x14ac:dyDescent="0.15">
      <c r="A110" s="9" t="str">
        <f ca="1">IFERROR(__xludf.DUMMYFUNCTION("""COMPUTED_VALUE"""),"Kusuma Patnaik Murahari")</f>
        <v>Kusuma Patnaik Murahari</v>
      </c>
      <c r="B110" s="9" t="str">
        <f ca="1">IFERROR(__xludf.DUMMYFUNCTION("""COMPUTED_VALUE"""),"18331A0584")</f>
        <v>18331A0584</v>
      </c>
      <c r="C110" s="78" t="str">
        <f ca="1">IFERROR(__xludf.DUMMYFUNCTION("""COMPUTED_VALUE"""),"CLA Programming Essentials in C")</f>
        <v>CLA Programming Essentials in C</v>
      </c>
      <c r="D110" s="9" t="str">
        <f ca="1">IFERROR(__xludf.DUMMYFUNCTION("""COMPUTED_VALUE"""),"Cisco")</f>
        <v>Cisco</v>
      </c>
      <c r="E110" s="9" t="str">
        <f ca="1">IFERROR(__xludf.DUMMYFUNCTION("""COMPUTED_VALUE"""),"2 months")</f>
        <v>2 months</v>
      </c>
      <c r="F110" s="79">
        <f ca="1">IFERROR(__xludf.DUMMYFUNCTION("""COMPUTED_VALUE"""),43586)</f>
        <v>43586</v>
      </c>
      <c r="G110" s="79">
        <f ca="1">IFERROR(__xludf.DUMMYFUNCTION("""COMPUTED_VALUE"""),43646)</f>
        <v>43646</v>
      </c>
      <c r="H110" s="72">
        <f ca="1">IFERROR(__xludf.DUMMYFUNCTION("""COMPUTED_VALUE"""),43652)</f>
        <v>43652</v>
      </c>
      <c r="I110" s="80">
        <f ca="1">IFERROR(__xludf.DUMMYFUNCTION("""COMPUTED_VALUE"""),100)</f>
        <v>100</v>
      </c>
      <c r="J110" s="9" t="str">
        <f ca="1">IFERROR(__xludf.DUMMYFUNCTION("""COMPUTED_VALUE"""),"VAMSI KRISHNA MAHABHASHYAM")</f>
        <v>VAMSI KRISHNA MAHABHASHYAM</v>
      </c>
      <c r="K110" s="73" t="str">
        <f ca="1">IFERROR(__xludf.DUMMYFUNCTION("""COMPUTED_VALUE"""),"https://drive.google.com/open?id=1JY06WZOLqu14PhonWHVOlvTMYjZ6411P")</f>
        <v>https://drive.google.com/open?id=1JY06WZOLqu14PhonWHVOlvTMYjZ6411P</v>
      </c>
      <c r="L110" s="9" t="str">
        <f ca="1">IFERROR(__xludf.DUMMYFUNCTION("""COMPUTED_VALUE"""),"2018-2022")</f>
        <v>2018-2022</v>
      </c>
      <c r="M110" s="9" t="str">
        <f ca="1">IFERROR(__xludf.DUMMYFUNCTION("""COMPUTED_VALUE"""),"S4: Student Certifications")</f>
        <v>S4: Student Certifications</v>
      </c>
      <c r="N110" s="9" t="str">
        <f ca="1">IFERROR(__xludf.DUMMYFUNCTION("""COMPUTED_VALUE"""),"muraharikusum2000@gmail.com")</f>
        <v>muraharikusum2000@gmail.com</v>
      </c>
      <c r="O110" s="9" t="str">
        <f ca="1">IFERROR(__xludf.DUMMYFUNCTION("""COMPUTED_VALUE"""),"SEM-8")</f>
        <v>SEM-8</v>
      </c>
      <c r="P110" s="9"/>
      <c r="Q110" s="9"/>
      <c r="R110" s="9"/>
      <c r="S110" s="9"/>
      <c r="T110" s="9"/>
      <c r="U110" s="9"/>
      <c r="V110" s="9"/>
      <c r="W110" s="9"/>
      <c r="X110" s="9"/>
      <c r="Y110" s="9"/>
    </row>
    <row r="111" spans="1:25" ht="26.25" customHeight="1" x14ac:dyDescent="0.15">
      <c r="A111" s="9" t="str">
        <f ca="1">IFERROR(__xludf.DUMMYFUNCTION("""COMPUTED_VALUE"""),"Kusuma Patnaik Murahari")</f>
        <v>Kusuma Patnaik Murahari</v>
      </c>
      <c r="B111" s="9" t="str">
        <f ca="1">IFERROR(__xludf.DUMMYFUNCTION("""COMPUTED_VALUE"""),"18331A0584")</f>
        <v>18331A0584</v>
      </c>
      <c r="C111" s="78" t="str">
        <f ca="1">IFERROR(__xludf.DUMMYFUNCTION("""COMPUTED_VALUE"""),"Cybersecurity Essentials")</f>
        <v>Cybersecurity Essentials</v>
      </c>
      <c r="D111" s="9" t="str">
        <f ca="1">IFERROR(__xludf.DUMMYFUNCTION("""COMPUTED_VALUE"""),"Cisco")</f>
        <v>Cisco</v>
      </c>
      <c r="E111" s="9" t="str">
        <f ca="1">IFERROR(__xludf.DUMMYFUNCTION("""COMPUTED_VALUE"""),"2 months")</f>
        <v>2 months</v>
      </c>
      <c r="F111" s="79">
        <f ca="1">IFERROR(__xludf.DUMMYFUNCTION("""COMPUTED_VALUE"""),43586)</f>
        <v>43586</v>
      </c>
      <c r="G111" s="79">
        <f ca="1">IFERROR(__xludf.DUMMYFUNCTION("""COMPUTED_VALUE"""),43646)</f>
        <v>43646</v>
      </c>
      <c r="H111" s="72">
        <f ca="1">IFERROR(__xludf.DUMMYFUNCTION("""COMPUTED_VALUE"""),43672)</f>
        <v>43672</v>
      </c>
      <c r="I111" s="80">
        <f ca="1">IFERROR(__xludf.DUMMYFUNCTION("""COMPUTED_VALUE"""),100)</f>
        <v>100</v>
      </c>
      <c r="J111" s="9" t="str">
        <f ca="1">IFERROR(__xludf.DUMMYFUNCTION("""COMPUTED_VALUE"""),"Subba Raju K V")</f>
        <v>Subba Raju K V</v>
      </c>
      <c r="K111" s="73" t="str">
        <f ca="1">IFERROR(__xludf.DUMMYFUNCTION("""COMPUTED_VALUE"""),"https://drive.google.com/open?id=1byWGeZTZx-0YwRF5T9ijQuTz8yqdfnDb")</f>
        <v>https://drive.google.com/open?id=1byWGeZTZx-0YwRF5T9ijQuTz8yqdfnDb</v>
      </c>
      <c r="L111" s="9" t="str">
        <f ca="1">IFERROR(__xludf.DUMMYFUNCTION("""COMPUTED_VALUE"""),"2018-2022")</f>
        <v>2018-2022</v>
      </c>
      <c r="M111" s="9" t="str">
        <f ca="1">IFERROR(__xludf.DUMMYFUNCTION("""COMPUTED_VALUE"""),"S4: Student Certifications")</f>
        <v>S4: Student Certifications</v>
      </c>
      <c r="N111" s="9" t="str">
        <f ca="1">IFERROR(__xludf.DUMMYFUNCTION("""COMPUTED_VALUE"""),"muraharikusum2000@gmail.com")</f>
        <v>muraharikusum2000@gmail.com</v>
      </c>
      <c r="O111" s="9" t="str">
        <f ca="1">IFERROR(__xludf.DUMMYFUNCTION("""COMPUTED_VALUE"""),"SEM-8")</f>
        <v>SEM-8</v>
      </c>
      <c r="P111" s="9"/>
      <c r="Q111" s="9"/>
      <c r="R111" s="9"/>
      <c r="S111" s="9"/>
      <c r="T111" s="9"/>
      <c r="U111" s="9"/>
      <c r="V111" s="9"/>
      <c r="W111" s="9"/>
      <c r="X111" s="9"/>
      <c r="Y111" s="9"/>
    </row>
    <row r="112" spans="1:25" ht="26.25" customHeight="1" x14ac:dyDescent="0.15">
      <c r="A112" s="9" t="str">
        <f ca="1">IFERROR(__xludf.DUMMYFUNCTION("""COMPUTED_VALUE"""),"Kusuma Patnaik Murahari")</f>
        <v>Kusuma Patnaik Murahari</v>
      </c>
      <c r="B112" s="9" t="str">
        <f ca="1">IFERROR(__xludf.DUMMYFUNCTION("""COMPUTED_VALUE"""),"18331A0584")</f>
        <v>18331A0584</v>
      </c>
      <c r="C112" s="78" t="str">
        <f ca="1">IFERROR(__xludf.DUMMYFUNCTION("""COMPUTED_VALUE"""),"Introduction to Cybersecurity")</f>
        <v>Introduction to Cybersecurity</v>
      </c>
      <c r="D112" s="9" t="str">
        <f ca="1">IFERROR(__xludf.DUMMYFUNCTION("""COMPUTED_VALUE"""),"Cisco")</f>
        <v>Cisco</v>
      </c>
      <c r="E112" s="9" t="str">
        <f ca="1">IFERROR(__xludf.DUMMYFUNCTION("""COMPUTED_VALUE"""),"2 months")</f>
        <v>2 months</v>
      </c>
      <c r="F112" s="79">
        <f ca="1">IFERROR(__xludf.DUMMYFUNCTION("""COMPUTED_VALUE"""),44287)</f>
        <v>44287</v>
      </c>
      <c r="G112" s="79">
        <f ca="1">IFERROR(__xludf.DUMMYFUNCTION("""COMPUTED_VALUE"""),44346)</f>
        <v>44346</v>
      </c>
      <c r="H112" s="72">
        <f ca="1">IFERROR(__xludf.DUMMYFUNCTION("""COMPUTED_VALUE"""),44374)</f>
        <v>44374</v>
      </c>
      <c r="I112" s="80">
        <f ca="1">IFERROR(__xludf.DUMMYFUNCTION("""COMPUTED_VALUE"""),100)</f>
        <v>100</v>
      </c>
      <c r="J112" s="9" t="str">
        <f ca="1">IFERROR(__xludf.DUMMYFUNCTION("""COMPUTED_VALUE"""),"Subba Raju K V")</f>
        <v>Subba Raju K V</v>
      </c>
      <c r="K112" s="73" t="str">
        <f ca="1">IFERROR(__xludf.DUMMYFUNCTION("""COMPUTED_VALUE"""),"https://drive.google.com/open?id=1Xt0pIDVap4OLOIehCGYbKilh3Ncco4Ld")</f>
        <v>https://drive.google.com/open?id=1Xt0pIDVap4OLOIehCGYbKilh3Ncco4Ld</v>
      </c>
      <c r="L112" s="9" t="str">
        <f ca="1">IFERROR(__xludf.DUMMYFUNCTION("""COMPUTED_VALUE"""),"2018-2022")</f>
        <v>2018-2022</v>
      </c>
      <c r="M112" s="9" t="str">
        <f ca="1">IFERROR(__xludf.DUMMYFUNCTION("""COMPUTED_VALUE"""),"S4: Student Certifications")</f>
        <v>S4: Student Certifications</v>
      </c>
      <c r="N112" s="9" t="str">
        <f ca="1">IFERROR(__xludf.DUMMYFUNCTION("""COMPUTED_VALUE"""),"muraharikusum2000@gmail.com")</f>
        <v>muraharikusum2000@gmail.com</v>
      </c>
      <c r="O112" s="9" t="str">
        <f ca="1">IFERROR(__xludf.DUMMYFUNCTION("""COMPUTED_VALUE"""),"SEM-8")</f>
        <v>SEM-8</v>
      </c>
      <c r="P112" s="9"/>
      <c r="Q112" s="9"/>
      <c r="R112" s="9"/>
      <c r="S112" s="9"/>
      <c r="T112" s="9"/>
      <c r="U112" s="9"/>
      <c r="V112" s="9"/>
      <c r="W112" s="9"/>
      <c r="X112" s="9"/>
      <c r="Y112" s="9"/>
    </row>
    <row r="113" spans="1:25" ht="26.25" customHeight="1" x14ac:dyDescent="0.15">
      <c r="A113" s="9" t="str">
        <f ca="1">IFERROR(__xludf.DUMMYFUNCTION("""COMPUTED_VALUE"""),"METTA VAMSI PRANAV")</f>
        <v>METTA VAMSI PRANAV</v>
      </c>
      <c r="B113" s="9" t="str">
        <f ca="1">IFERROR(__xludf.DUMMYFUNCTION("""COMPUTED_VALUE"""),"18331A0598")</f>
        <v>18331A0598</v>
      </c>
      <c r="C113" s="78" t="str">
        <f ca="1">IFERROR(__xludf.DUMMYFUNCTION("""COMPUTED_VALUE"""),"Programming for Everybody(Python)")</f>
        <v>Programming for Everybody(Python)</v>
      </c>
      <c r="D113" s="9" t="str">
        <f ca="1">IFERROR(__xludf.DUMMYFUNCTION("""COMPUTED_VALUE"""),"University Of MICHIGAN")</f>
        <v>University Of MICHIGAN</v>
      </c>
      <c r="E113" s="9" t="str">
        <f ca="1">IFERROR(__xludf.DUMMYFUNCTION("""COMPUTED_VALUE"""),"2 months")</f>
        <v>2 months</v>
      </c>
      <c r="F113" s="79">
        <f ca="1">IFERROR(__xludf.DUMMYFUNCTION("""COMPUTED_VALUE"""),43881)</f>
        <v>43881</v>
      </c>
      <c r="G113" s="79">
        <f ca="1">IFERROR(__xludf.DUMMYFUNCTION("""COMPUTED_VALUE"""),43941)</f>
        <v>43941</v>
      </c>
      <c r="H113" s="72">
        <f ca="1">IFERROR(__xludf.DUMMYFUNCTION("""COMPUTED_VALUE"""),43941)</f>
        <v>43941</v>
      </c>
      <c r="I113" s="80">
        <f ca="1">IFERROR(__xludf.DUMMYFUNCTION("""COMPUTED_VALUE"""),100)</f>
        <v>100</v>
      </c>
      <c r="J113" s="9" t="str">
        <f ca="1">IFERROR(__xludf.DUMMYFUNCTION("""COMPUTED_VALUE"""),"Self Learn")</f>
        <v>Self Learn</v>
      </c>
      <c r="K113" s="73" t="str">
        <f ca="1">IFERROR(__xludf.DUMMYFUNCTION("""COMPUTED_VALUE"""),"https://drive.google.com/open?id=1SHO-5VD9JUEPjog22cWO832kaqajphQy")</f>
        <v>https://drive.google.com/open?id=1SHO-5VD9JUEPjog22cWO832kaqajphQy</v>
      </c>
      <c r="L113" s="9" t="str">
        <f ca="1">IFERROR(__xludf.DUMMYFUNCTION("""COMPUTED_VALUE"""),"2018-2022")</f>
        <v>2018-2022</v>
      </c>
      <c r="M113" s="9" t="str">
        <f ca="1">IFERROR(__xludf.DUMMYFUNCTION("""COMPUTED_VALUE"""),"S4: Student Certifications")</f>
        <v>S4: Student Certifications</v>
      </c>
      <c r="N113" s="9" t="str">
        <f ca="1">IFERROR(__xludf.DUMMYFUNCTION("""COMPUTED_VALUE"""),"vamsipranav9948@gmail.com")</f>
        <v>vamsipranav9948@gmail.com</v>
      </c>
      <c r="O113" s="9" t="str">
        <f ca="1">IFERROR(__xludf.DUMMYFUNCTION("""COMPUTED_VALUE"""),"SEM-4")</f>
        <v>SEM-4</v>
      </c>
      <c r="P113" s="9"/>
      <c r="Q113" s="9"/>
      <c r="R113" s="9"/>
      <c r="S113" s="9"/>
      <c r="T113" s="9"/>
      <c r="U113" s="9"/>
      <c r="V113" s="9"/>
      <c r="W113" s="9"/>
      <c r="X113" s="9"/>
      <c r="Y113" s="9"/>
    </row>
    <row r="114" spans="1:25" ht="26.25" customHeight="1" x14ac:dyDescent="0.15">
      <c r="A114" s="9" t="str">
        <f ca="1">IFERROR(__xludf.DUMMYFUNCTION("""COMPUTED_VALUE"""),"Kusuma Patnaik Murahari")</f>
        <v>Kusuma Patnaik Murahari</v>
      </c>
      <c r="B114" s="9" t="str">
        <f ca="1">IFERROR(__xludf.DUMMYFUNCTION("""COMPUTED_VALUE"""),"18331A0584")</f>
        <v>18331A0584</v>
      </c>
      <c r="C114" s="78" t="str">
        <f ca="1">IFERROR(__xludf.DUMMYFUNCTION("""COMPUTED_VALUE"""),"Introduction to Packet Tracer")</f>
        <v>Introduction to Packet Tracer</v>
      </c>
      <c r="D114" s="9" t="str">
        <f ca="1">IFERROR(__xludf.DUMMYFUNCTION("""COMPUTED_VALUE"""),"Cisco")</f>
        <v>Cisco</v>
      </c>
      <c r="E114" s="9" t="str">
        <f ca="1">IFERROR(__xludf.DUMMYFUNCTION("""COMPUTED_VALUE"""),"2 months")</f>
        <v>2 months</v>
      </c>
      <c r="F114" s="79">
        <f ca="1">IFERROR(__xludf.DUMMYFUNCTION("""COMPUTED_VALUE"""),44317)</f>
        <v>44317</v>
      </c>
      <c r="G114" s="79">
        <f ca="1">IFERROR(__xludf.DUMMYFUNCTION("""COMPUTED_VALUE"""),44377)</f>
        <v>44377</v>
      </c>
      <c r="H114" s="72">
        <f ca="1">IFERROR(__xludf.DUMMYFUNCTION("""COMPUTED_VALUE"""),44384)</f>
        <v>44384</v>
      </c>
      <c r="I114" s="80">
        <f ca="1">IFERROR(__xludf.DUMMYFUNCTION("""COMPUTED_VALUE"""),100)</f>
        <v>100</v>
      </c>
      <c r="J114" s="9" t="str">
        <f ca="1">IFERROR(__xludf.DUMMYFUNCTION("""COMPUTED_VALUE"""),"DR. RAVI KIRAN VARMA PENMATSA")</f>
        <v>DR. RAVI KIRAN VARMA PENMATSA</v>
      </c>
      <c r="K114" s="73" t="str">
        <f ca="1">IFERROR(__xludf.DUMMYFUNCTION("""COMPUTED_VALUE"""),"https://drive.google.com/open?id=1o8gU9LI-eJ4hrwHkz7b6V6vX8bc2YFb7")</f>
        <v>https://drive.google.com/open?id=1o8gU9LI-eJ4hrwHkz7b6V6vX8bc2YFb7</v>
      </c>
      <c r="L114" s="9" t="str">
        <f ca="1">IFERROR(__xludf.DUMMYFUNCTION("""COMPUTED_VALUE"""),"2018-2022")</f>
        <v>2018-2022</v>
      </c>
      <c r="M114" s="9" t="str">
        <f ca="1">IFERROR(__xludf.DUMMYFUNCTION("""COMPUTED_VALUE"""),"S4: Student Certifications")</f>
        <v>S4: Student Certifications</v>
      </c>
      <c r="N114" s="9" t="str">
        <f ca="1">IFERROR(__xludf.DUMMYFUNCTION("""COMPUTED_VALUE"""),"muraharikusum2000@gmail.com")</f>
        <v>muraharikusum2000@gmail.com</v>
      </c>
      <c r="O114" s="9" t="str">
        <f ca="1">IFERROR(__xludf.DUMMYFUNCTION("""COMPUTED_VALUE"""),"SEM-8")</f>
        <v>SEM-8</v>
      </c>
      <c r="P114" s="9"/>
      <c r="Q114" s="9"/>
      <c r="R114" s="9"/>
      <c r="S114" s="9"/>
      <c r="T114" s="9"/>
      <c r="U114" s="9"/>
      <c r="V114" s="9"/>
      <c r="W114" s="9"/>
      <c r="X114" s="9"/>
      <c r="Y114" s="9"/>
    </row>
    <row r="115" spans="1:25" ht="26.25" customHeight="1" x14ac:dyDescent="0.15">
      <c r="A115" s="9" t="str">
        <f ca="1">IFERROR(__xludf.DUMMYFUNCTION("""COMPUTED_VALUE"""),"Kusuma Patnaik Murahari")</f>
        <v>Kusuma Patnaik Murahari</v>
      </c>
      <c r="B115" s="9" t="str">
        <f ca="1">IFERROR(__xludf.DUMMYFUNCTION("""COMPUTED_VALUE"""),"18331A0584")</f>
        <v>18331A0584</v>
      </c>
      <c r="C115" s="78" t="str">
        <f ca="1">IFERROR(__xludf.DUMMYFUNCTION("""COMPUTED_VALUE"""),"IT Essentials")</f>
        <v>IT Essentials</v>
      </c>
      <c r="D115" s="9" t="str">
        <f ca="1">IFERROR(__xludf.DUMMYFUNCTION("""COMPUTED_VALUE"""),"Cisco")</f>
        <v>Cisco</v>
      </c>
      <c r="E115" s="9" t="str">
        <f ca="1">IFERROR(__xludf.DUMMYFUNCTION("""COMPUTED_VALUE"""),"2 months")</f>
        <v>2 months</v>
      </c>
      <c r="F115" s="79">
        <f ca="1">IFERROR(__xludf.DUMMYFUNCTION("""COMPUTED_VALUE"""),43678)</f>
        <v>43678</v>
      </c>
      <c r="G115" s="79">
        <f ca="1">IFERROR(__xludf.DUMMYFUNCTION("""COMPUTED_VALUE"""),43738)</f>
        <v>43738</v>
      </c>
      <c r="H115" s="72">
        <f ca="1">IFERROR(__xludf.DUMMYFUNCTION("""COMPUTED_VALUE"""),43761)</f>
        <v>43761</v>
      </c>
      <c r="I115" s="80">
        <f ca="1">IFERROR(__xludf.DUMMYFUNCTION("""COMPUTED_VALUE"""),100)</f>
        <v>100</v>
      </c>
      <c r="J115" s="9" t="str">
        <f ca="1">IFERROR(__xludf.DUMMYFUNCTION("""COMPUTED_VALUE"""),"Dr. Suvarna Kumar Gogula")</f>
        <v>Dr. Suvarna Kumar Gogula</v>
      </c>
      <c r="K115" s="73" t="str">
        <f ca="1">IFERROR(__xludf.DUMMYFUNCTION("""COMPUTED_VALUE"""),"https://drive.google.com/open?id=1EfuGEnP_eBHvTjbT1pv_KO0PWBL4P-GW")</f>
        <v>https://drive.google.com/open?id=1EfuGEnP_eBHvTjbT1pv_KO0PWBL4P-GW</v>
      </c>
      <c r="L115" s="9" t="str">
        <f ca="1">IFERROR(__xludf.DUMMYFUNCTION("""COMPUTED_VALUE"""),"2018-2022")</f>
        <v>2018-2022</v>
      </c>
      <c r="M115" s="9" t="str">
        <f ca="1">IFERROR(__xludf.DUMMYFUNCTION("""COMPUTED_VALUE"""),"S4: Student Certifications")</f>
        <v>S4: Student Certifications</v>
      </c>
      <c r="N115" s="9" t="str">
        <f ca="1">IFERROR(__xludf.DUMMYFUNCTION("""COMPUTED_VALUE"""),"muraharikusum2000@gmail.com")</f>
        <v>muraharikusum2000@gmail.com</v>
      </c>
      <c r="O115" s="9" t="str">
        <f ca="1">IFERROR(__xludf.DUMMYFUNCTION("""COMPUTED_VALUE"""),"SEM-8")</f>
        <v>SEM-8</v>
      </c>
      <c r="P115" s="9"/>
      <c r="Q115" s="9"/>
      <c r="R115" s="9"/>
      <c r="S115" s="9"/>
      <c r="T115" s="9"/>
      <c r="U115" s="9"/>
      <c r="V115" s="9"/>
      <c r="W115" s="9"/>
      <c r="X115" s="9"/>
      <c r="Y115" s="9"/>
    </row>
    <row r="116" spans="1:25" ht="26.25" customHeight="1" x14ac:dyDescent="0.15">
      <c r="A116" s="9" t="str">
        <f ca="1">IFERROR(__xludf.DUMMYFUNCTION("""COMPUTED_VALUE"""),"KARUMURI SRI RAJ ARYAN")</f>
        <v>KARUMURI SRI RAJ ARYAN</v>
      </c>
      <c r="B116" s="9" t="str">
        <f ca="1">IFERROR(__xludf.DUMMYFUNCTION("""COMPUTED_VALUE"""),"18331A0571")</f>
        <v>18331A0571</v>
      </c>
      <c r="C116" s="78" t="str">
        <f ca="1">IFERROR(__xludf.DUMMYFUNCTION("""COMPUTED_VALUE"""),"MATLAB")</f>
        <v>MATLAB</v>
      </c>
      <c r="D116" s="9" t="str">
        <f ca="1">IFERROR(__xludf.DUMMYFUNCTION("""COMPUTED_VALUE"""),"MATLAB ONRAMP")</f>
        <v>MATLAB ONRAMP</v>
      </c>
      <c r="E116" s="9" t="str">
        <f ca="1">IFERROR(__xludf.DUMMYFUNCTION("""COMPUTED_VALUE"""),"2 MONTHS")</f>
        <v>2 MONTHS</v>
      </c>
      <c r="F116" s="79">
        <f ca="1">IFERROR(__xludf.DUMMYFUNCTION("""COMPUTED_VALUE"""),44190)</f>
        <v>44190</v>
      </c>
      <c r="G116" s="79">
        <f ca="1">IFERROR(__xludf.DUMMYFUNCTION("""COMPUTED_VALUE"""),44231)</f>
        <v>44231</v>
      </c>
      <c r="H116" s="72">
        <f ca="1">IFERROR(__xludf.DUMMYFUNCTION("""COMPUTED_VALUE"""),44231)</f>
        <v>44231</v>
      </c>
      <c r="I116" s="80">
        <f ca="1">IFERROR(__xludf.DUMMYFUNCTION("""COMPUTED_VALUE"""),100)</f>
        <v>100</v>
      </c>
      <c r="J116" s="9" t="str">
        <f ca="1">IFERROR(__xludf.DUMMYFUNCTION("""COMPUTED_VALUE"""),"SELF-LEARN")</f>
        <v>SELF-LEARN</v>
      </c>
      <c r="K116" s="73" t="str">
        <f ca="1">IFERROR(__xludf.DUMMYFUNCTION("""COMPUTED_VALUE"""),"https://drive.google.com/open?id=1YonZ6olGOZrggM5XjJjW_MC2fOeFo4X9")</f>
        <v>https://drive.google.com/open?id=1YonZ6olGOZrggM5XjJjW_MC2fOeFo4X9</v>
      </c>
      <c r="L116" s="9" t="str">
        <f ca="1">IFERROR(__xludf.DUMMYFUNCTION("""COMPUTED_VALUE"""),"2018-2022")</f>
        <v>2018-2022</v>
      </c>
      <c r="M116" s="9" t="str">
        <f ca="1">IFERROR(__xludf.DUMMYFUNCTION("""COMPUTED_VALUE"""),"S4: Student Certifications")</f>
        <v>S4: Student Certifications</v>
      </c>
      <c r="N116" s="9" t="str">
        <f ca="1">IFERROR(__xludf.DUMMYFUNCTION("""COMPUTED_VALUE"""),"aryankarumuri@gmail.com")</f>
        <v>aryankarumuri@gmail.com</v>
      </c>
      <c r="O116" s="9" t="str">
        <f ca="1">IFERROR(__xludf.DUMMYFUNCTION("""COMPUTED_VALUE"""),"SEM-1")</f>
        <v>SEM-1</v>
      </c>
      <c r="P116" s="9"/>
      <c r="Q116" s="9"/>
      <c r="R116" s="9"/>
      <c r="S116" s="9"/>
      <c r="T116" s="9"/>
      <c r="U116" s="9"/>
      <c r="V116" s="9"/>
      <c r="W116" s="9"/>
      <c r="X116" s="9"/>
      <c r="Y116" s="9"/>
    </row>
    <row r="117" spans="1:25" ht="26.25" customHeight="1" x14ac:dyDescent="0.15">
      <c r="A117" s="9" t="str">
        <f ca="1">IFERROR(__xludf.DUMMYFUNCTION("""COMPUTED_VALUE"""),"Kusuma Patnaik Murahari")</f>
        <v>Kusuma Patnaik Murahari</v>
      </c>
      <c r="B117" s="9" t="str">
        <f ca="1">IFERROR(__xludf.DUMMYFUNCTION("""COMPUTED_VALUE"""),"18331A0584")</f>
        <v>18331A0584</v>
      </c>
      <c r="C117" s="78" t="str">
        <f ca="1">IFERROR(__xludf.DUMMYFUNCTION("""COMPUTED_VALUE"""),"PCAP: Programming Essentials in Python")</f>
        <v>PCAP: Programming Essentials in Python</v>
      </c>
      <c r="D117" s="9" t="str">
        <f ca="1">IFERROR(__xludf.DUMMYFUNCTION("""COMPUTED_VALUE"""),"Cisco")</f>
        <v>Cisco</v>
      </c>
      <c r="E117" s="9" t="str">
        <f ca="1">IFERROR(__xludf.DUMMYFUNCTION("""COMPUTED_VALUE"""),"2 months")</f>
        <v>2 months</v>
      </c>
      <c r="F117" s="79">
        <f ca="1">IFERROR(__xludf.DUMMYFUNCTION("""COMPUTED_VALUE"""),43862)</f>
        <v>43862</v>
      </c>
      <c r="G117" s="79">
        <f ca="1">IFERROR(__xludf.DUMMYFUNCTION("""COMPUTED_VALUE"""),43921)</f>
        <v>43921</v>
      </c>
      <c r="H117" s="72">
        <f ca="1">IFERROR(__xludf.DUMMYFUNCTION("""COMPUTED_VALUE"""),43923)</f>
        <v>43923</v>
      </c>
      <c r="I117" s="80">
        <f ca="1">IFERROR(__xludf.DUMMYFUNCTION("""COMPUTED_VALUE"""),100)</f>
        <v>100</v>
      </c>
      <c r="J117" s="9" t="str">
        <f ca="1">IFERROR(__xludf.DUMMYFUNCTION("""COMPUTED_VALUE"""),"DR. RAVI KIRAN VARMA PENMATSA")</f>
        <v>DR. RAVI KIRAN VARMA PENMATSA</v>
      </c>
      <c r="K117" s="73" t="str">
        <f ca="1">IFERROR(__xludf.DUMMYFUNCTION("""COMPUTED_VALUE"""),"https://drive.google.com/open?id=1piUk9daAxG9HHSX9eiVkZqbXZtLN3M-g")</f>
        <v>https://drive.google.com/open?id=1piUk9daAxG9HHSX9eiVkZqbXZtLN3M-g</v>
      </c>
      <c r="L117" s="9" t="str">
        <f ca="1">IFERROR(__xludf.DUMMYFUNCTION("""COMPUTED_VALUE"""),"2018-2022")</f>
        <v>2018-2022</v>
      </c>
      <c r="M117" s="9" t="str">
        <f ca="1">IFERROR(__xludf.DUMMYFUNCTION("""COMPUTED_VALUE"""),"S4: Student Certifications")</f>
        <v>S4: Student Certifications</v>
      </c>
      <c r="N117" s="9" t="str">
        <f ca="1">IFERROR(__xludf.DUMMYFUNCTION("""COMPUTED_VALUE"""),"muraharikusum2000@gmail.com")</f>
        <v>muraharikusum2000@gmail.com</v>
      </c>
      <c r="O117" s="9" t="str">
        <f ca="1">IFERROR(__xludf.DUMMYFUNCTION("""COMPUTED_VALUE"""),"SEM-8")</f>
        <v>SEM-8</v>
      </c>
      <c r="P117" s="9"/>
      <c r="Q117" s="9"/>
      <c r="R117" s="9"/>
      <c r="S117" s="9"/>
      <c r="T117" s="9"/>
      <c r="U117" s="9"/>
      <c r="V117" s="9"/>
      <c r="W117" s="9"/>
      <c r="X117" s="9"/>
      <c r="Y117" s="9"/>
    </row>
    <row r="118" spans="1:25" ht="26.25" customHeight="1" x14ac:dyDescent="0.15">
      <c r="A118" s="9" t="str">
        <f ca="1">IFERROR(__xludf.DUMMYFUNCTION("""COMPUTED_VALUE"""),"METTA VAMSI PRANAV")</f>
        <v>METTA VAMSI PRANAV</v>
      </c>
      <c r="B118" s="9" t="str">
        <f ca="1">IFERROR(__xludf.DUMMYFUNCTION("""COMPUTED_VALUE"""),"18331A0598")</f>
        <v>18331A0598</v>
      </c>
      <c r="C118" s="78" t="str">
        <f ca="1">IFERROR(__xludf.DUMMYFUNCTION("""COMPUTED_VALUE"""),"CCNAv7: Introduction to Networks")</f>
        <v>CCNAv7: Introduction to Networks</v>
      </c>
      <c r="D118" s="9" t="str">
        <f ca="1">IFERROR(__xludf.DUMMYFUNCTION("""COMPUTED_VALUE"""),"Cisco")</f>
        <v>Cisco</v>
      </c>
      <c r="E118" s="9" t="str">
        <f ca="1">IFERROR(__xludf.DUMMYFUNCTION("""COMPUTED_VALUE"""),"2 months")</f>
        <v>2 months</v>
      </c>
      <c r="F118" s="79">
        <f ca="1">IFERROR(__xludf.DUMMYFUNCTION("""COMPUTED_VALUE"""),44383)</f>
        <v>44383</v>
      </c>
      <c r="G118" s="79">
        <f ca="1">IFERROR(__xludf.DUMMYFUNCTION("""COMPUTED_VALUE"""),44445)</f>
        <v>44445</v>
      </c>
      <c r="H118" s="72">
        <f ca="1">IFERROR(__xludf.DUMMYFUNCTION("""COMPUTED_VALUE"""),44445)</f>
        <v>44445</v>
      </c>
      <c r="I118" s="80">
        <f ca="1">IFERROR(__xludf.DUMMYFUNCTION("""COMPUTED_VALUE"""),100)</f>
        <v>100</v>
      </c>
      <c r="J118" s="9" t="str">
        <f ca="1">IFERROR(__xludf.DUMMYFUNCTION("""COMPUTED_VALUE"""),"DR. RAVI KIRAN VARMA PENMATSA")</f>
        <v>DR. RAVI KIRAN VARMA PENMATSA</v>
      </c>
      <c r="K118" s="73" t="str">
        <f ca="1">IFERROR(__xludf.DUMMYFUNCTION("""COMPUTED_VALUE"""),"https://drive.google.com/open?id=1AmiFS0aMD7bwcYvbhng9RsATTG5f7YaR")</f>
        <v>https://drive.google.com/open?id=1AmiFS0aMD7bwcYvbhng9RsATTG5f7YaR</v>
      </c>
      <c r="L118" s="9" t="str">
        <f ca="1">IFERROR(__xludf.DUMMYFUNCTION("""COMPUTED_VALUE"""),"2018-2022")</f>
        <v>2018-2022</v>
      </c>
      <c r="M118" s="9" t="str">
        <f ca="1">IFERROR(__xludf.DUMMYFUNCTION("""COMPUTED_VALUE"""),"S4: Student Certifications")</f>
        <v>S4: Student Certifications</v>
      </c>
      <c r="N118" s="9" t="str">
        <f ca="1">IFERROR(__xludf.DUMMYFUNCTION("""COMPUTED_VALUE"""),"vamsipranav9948@gmail.com")</f>
        <v>vamsipranav9948@gmail.com</v>
      </c>
      <c r="O118" s="9" t="str">
        <f ca="1">IFERROR(__xludf.DUMMYFUNCTION("""COMPUTED_VALUE"""),"SEM-6")</f>
        <v>SEM-6</v>
      </c>
      <c r="P118" s="9"/>
      <c r="Q118" s="9"/>
      <c r="R118" s="9"/>
      <c r="S118" s="9"/>
      <c r="T118" s="9"/>
      <c r="U118" s="9"/>
      <c r="V118" s="9"/>
      <c r="W118" s="9"/>
      <c r="X118" s="9"/>
      <c r="Y118" s="9"/>
    </row>
    <row r="119" spans="1:25" ht="26.25" customHeight="1" x14ac:dyDescent="0.15">
      <c r="A119" s="9" t="str">
        <f ca="1">IFERROR(__xludf.DUMMYFUNCTION("""COMPUTED_VALUE"""),"Kusuma Patnaik Murahari")</f>
        <v>Kusuma Patnaik Murahari</v>
      </c>
      <c r="B119" s="9" t="str">
        <f ca="1">IFERROR(__xludf.DUMMYFUNCTION("""COMPUTED_VALUE"""),"18331A0584")</f>
        <v>18331A0584</v>
      </c>
      <c r="C119" s="78" t="str">
        <f ca="1">IFERROR(__xludf.DUMMYFUNCTION("""COMPUTED_VALUE"""),"AWS Academy - Cloud Foundations")</f>
        <v>AWS Academy - Cloud Foundations</v>
      </c>
      <c r="D119" s="9" t="str">
        <f ca="1">IFERROR(__xludf.DUMMYFUNCTION("""COMPUTED_VALUE"""),"AWS")</f>
        <v>AWS</v>
      </c>
      <c r="E119" s="9" t="str">
        <f ca="1">IFERROR(__xludf.DUMMYFUNCTION("""COMPUTED_VALUE"""),"1 month")</f>
        <v>1 month</v>
      </c>
      <c r="F119" s="79">
        <f ca="1">IFERROR(__xludf.DUMMYFUNCTION("""COMPUTED_VALUE"""),44470)</f>
        <v>44470</v>
      </c>
      <c r="G119" s="79">
        <f ca="1">IFERROR(__xludf.DUMMYFUNCTION("""COMPUTED_VALUE"""),44500)</f>
        <v>44500</v>
      </c>
      <c r="H119" s="72">
        <f ca="1">IFERROR(__xludf.DUMMYFUNCTION("""COMPUTED_VALUE"""),44512)</f>
        <v>44512</v>
      </c>
      <c r="I119" s="80">
        <f ca="1">IFERROR(__xludf.DUMMYFUNCTION("""COMPUTED_VALUE"""),100)</f>
        <v>100</v>
      </c>
      <c r="J119" s="9" t="str">
        <f ca="1">IFERROR(__xludf.DUMMYFUNCTION("""COMPUTED_VALUE"""),"DR. RAVI KIRAN VARMA PENMATSA")</f>
        <v>DR. RAVI KIRAN VARMA PENMATSA</v>
      </c>
      <c r="K119" s="73" t="str">
        <f ca="1">IFERROR(__xludf.DUMMYFUNCTION("""COMPUTED_VALUE"""),"https://drive.google.com/open?id=1VUHajIfvsA2_Is5Aem3vaPKQ5aK14Pgy")</f>
        <v>https://drive.google.com/open?id=1VUHajIfvsA2_Is5Aem3vaPKQ5aK14Pgy</v>
      </c>
      <c r="L119" s="9" t="str">
        <f ca="1">IFERROR(__xludf.DUMMYFUNCTION("""COMPUTED_VALUE"""),"2018-2022")</f>
        <v>2018-2022</v>
      </c>
      <c r="M119" s="9" t="str">
        <f ca="1">IFERROR(__xludf.DUMMYFUNCTION("""COMPUTED_VALUE"""),"S4: Student Certifications")</f>
        <v>S4: Student Certifications</v>
      </c>
      <c r="N119" s="9" t="str">
        <f ca="1">IFERROR(__xludf.DUMMYFUNCTION("""COMPUTED_VALUE"""),"muraharikusum2000@gmail.com")</f>
        <v>muraharikusum2000@gmail.com</v>
      </c>
      <c r="O119" s="9" t="str">
        <f ca="1">IFERROR(__xludf.DUMMYFUNCTION("""COMPUTED_VALUE"""),"SEM-8")</f>
        <v>SEM-8</v>
      </c>
      <c r="P119" s="9"/>
      <c r="Q119" s="9"/>
      <c r="R119" s="9"/>
      <c r="S119" s="9"/>
      <c r="T119" s="9"/>
      <c r="U119" s="9"/>
      <c r="V119" s="9"/>
      <c r="W119" s="9"/>
      <c r="X119" s="9"/>
      <c r="Y119" s="9"/>
    </row>
    <row r="120" spans="1:25" ht="26.25" customHeight="1" x14ac:dyDescent="0.15">
      <c r="A120" s="9" t="str">
        <f ca="1">IFERROR(__xludf.DUMMYFUNCTION("""COMPUTED_VALUE"""),"KARUMURI SRI RAJ ARYAN")</f>
        <v>KARUMURI SRI RAJ ARYAN</v>
      </c>
      <c r="B120" s="9" t="str">
        <f ca="1">IFERROR(__xludf.DUMMYFUNCTION("""COMPUTED_VALUE"""),"18331A0571")</f>
        <v>18331A0571</v>
      </c>
      <c r="C120" s="78" t="str">
        <f ca="1">IFERROR(__xludf.DUMMYFUNCTION("""COMPUTED_VALUE"""),"ANDHRA PRADESH STATE SKILL DEVELOPMENT CORPORATION(APSSDC)")</f>
        <v>ANDHRA PRADESH STATE SKILL DEVELOPMENT CORPORATION(APSSDC)</v>
      </c>
      <c r="D120" s="9" t="str">
        <f ca="1">IFERROR(__xludf.DUMMYFUNCTION("""COMPUTED_VALUE"""),"ONLINE WEBINAR")</f>
        <v>ONLINE WEBINAR</v>
      </c>
      <c r="E120" s="9" t="str">
        <f ca="1">IFERROR(__xludf.DUMMYFUNCTION("""COMPUTED_VALUE"""),"3 HOURS")</f>
        <v>3 HOURS</v>
      </c>
      <c r="F120" s="79">
        <f ca="1">IFERROR(__xludf.DUMMYFUNCTION("""COMPUTED_VALUE"""),44033)</f>
        <v>44033</v>
      </c>
      <c r="G120" s="79">
        <f ca="1">IFERROR(__xludf.DUMMYFUNCTION("""COMPUTED_VALUE"""),44033)</f>
        <v>44033</v>
      </c>
      <c r="H120" s="72">
        <f ca="1">IFERROR(__xludf.DUMMYFUNCTION("""COMPUTED_VALUE"""),44033)</f>
        <v>44033</v>
      </c>
      <c r="I120" s="80">
        <f ca="1">IFERROR(__xludf.DUMMYFUNCTION("""COMPUTED_VALUE"""),100)</f>
        <v>100</v>
      </c>
      <c r="J120" s="9" t="str">
        <f ca="1">IFERROR(__xludf.DUMMYFUNCTION("""COMPUTED_VALUE"""),"SELF-LEARN")</f>
        <v>SELF-LEARN</v>
      </c>
      <c r="K120" s="73" t="str">
        <f ca="1">IFERROR(__xludf.DUMMYFUNCTION("""COMPUTED_VALUE"""),"https://drive.google.com/open?id=1kpORz2olsLac_KiQt0KQ39YxBR7-BvWk")</f>
        <v>https://drive.google.com/open?id=1kpORz2olsLac_KiQt0KQ39YxBR7-BvWk</v>
      </c>
      <c r="L120" s="9" t="str">
        <f ca="1">IFERROR(__xludf.DUMMYFUNCTION("""COMPUTED_VALUE"""),"2018-2022")</f>
        <v>2018-2022</v>
      </c>
      <c r="M120" s="9" t="str">
        <f ca="1">IFERROR(__xludf.DUMMYFUNCTION("""COMPUTED_VALUE"""),"S4: Student Certifications")</f>
        <v>S4: Student Certifications</v>
      </c>
      <c r="N120" s="9" t="str">
        <f ca="1">IFERROR(__xludf.DUMMYFUNCTION("""COMPUTED_VALUE"""),"aryankarumuri@gmail.com")</f>
        <v>aryankarumuri@gmail.com</v>
      </c>
      <c r="O120" s="9" t="str">
        <f ca="1">IFERROR(__xludf.DUMMYFUNCTION("""COMPUTED_VALUE"""),"SEM-8")</f>
        <v>SEM-8</v>
      </c>
      <c r="P120" s="9"/>
      <c r="Q120" s="9"/>
      <c r="R120" s="9"/>
      <c r="S120" s="9"/>
      <c r="T120" s="9"/>
      <c r="U120" s="9"/>
      <c r="V120" s="9"/>
      <c r="W120" s="9"/>
      <c r="X120" s="9"/>
      <c r="Y120" s="9"/>
    </row>
    <row r="121" spans="1:25" ht="26.25" customHeight="1" x14ac:dyDescent="0.15">
      <c r="A121" s="9" t="str">
        <f ca="1">IFERROR(__xludf.DUMMYFUNCTION("""COMPUTED_VALUE"""),"METTA VAMSI PRANAV")</f>
        <v>METTA VAMSI PRANAV</v>
      </c>
      <c r="B121" s="9" t="str">
        <f ca="1">IFERROR(__xludf.DUMMYFUNCTION("""COMPUTED_VALUE"""),"18331A0598")</f>
        <v>18331A0598</v>
      </c>
      <c r="C121" s="78" t="str">
        <f ca="1">IFERROR(__xludf.DUMMYFUNCTION("""COMPUTED_VALUE"""),"CCNAv7: Introduction to Networks")</f>
        <v>CCNAv7: Introduction to Networks</v>
      </c>
      <c r="D121" s="9" t="str">
        <f ca="1">IFERROR(__xludf.DUMMYFUNCTION("""COMPUTED_VALUE"""),"Cisco")</f>
        <v>Cisco</v>
      </c>
      <c r="E121" s="9" t="str">
        <f ca="1">IFERROR(__xludf.DUMMYFUNCTION("""COMPUTED_VALUE"""),"2 months")</f>
        <v>2 months</v>
      </c>
      <c r="F121" s="79">
        <f ca="1">IFERROR(__xludf.DUMMYFUNCTION("""COMPUTED_VALUE"""),44322)</f>
        <v>44322</v>
      </c>
      <c r="G121" s="79">
        <f ca="1">IFERROR(__xludf.DUMMYFUNCTION("""COMPUTED_VALUE"""),44383)</f>
        <v>44383</v>
      </c>
      <c r="H121" s="72">
        <f ca="1">IFERROR(__xludf.DUMMYFUNCTION("""COMPUTED_VALUE"""),44383)</f>
        <v>44383</v>
      </c>
      <c r="I121" s="80">
        <f ca="1">IFERROR(__xludf.DUMMYFUNCTION("""COMPUTED_VALUE"""),100)</f>
        <v>100</v>
      </c>
      <c r="J121" s="9" t="str">
        <f ca="1">IFERROR(__xludf.DUMMYFUNCTION("""COMPUTED_VALUE"""),"DR. RAVI KIRAN VARMA PENMATSA")</f>
        <v>DR. RAVI KIRAN VARMA PENMATSA</v>
      </c>
      <c r="K121" s="73" t="str">
        <f ca="1">IFERROR(__xludf.DUMMYFUNCTION("""COMPUTED_VALUE"""),"https://drive.google.com/open?id=1kKr1bqJud7rueQacoJtL1uRgQoDkwQuk")</f>
        <v>https://drive.google.com/open?id=1kKr1bqJud7rueQacoJtL1uRgQoDkwQuk</v>
      </c>
      <c r="L121" s="9" t="str">
        <f ca="1">IFERROR(__xludf.DUMMYFUNCTION("""COMPUTED_VALUE"""),"2018-2022")</f>
        <v>2018-2022</v>
      </c>
      <c r="M121" s="9" t="str">
        <f ca="1">IFERROR(__xludf.DUMMYFUNCTION("""COMPUTED_VALUE"""),"S4: Student Certifications")</f>
        <v>S4: Student Certifications</v>
      </c>
      <c r="N121" s="9" t="str">
        <f ca="1">IFERROR(__xludf.DUMMYFUNCTION("""COMPUTED_VALUE"""),"vamsipranav9948@gmail.com")</f>
        <v>vamsipranav9948@gmail.com</v>
      </c>
      <c r="O121" s="9" t="str">
        <f ca="1">IFERROR(__xludf.DUMMYFUNCTION("""COMPUTED_VALUE"""),"SEM-6")</f>
        <v>SEM-6</v>
      </c>
      <c r="P121" s="9"/>
      <c r="Q121" s="9"/>
      <c r="R121" s="9"/>
      <c r="S121" s="9"/>
      <c r="T121" s="9"/>
      <c r="U121" s="9"/>
      <c r="V121" s="9"/>
      <c r="W121" s="9"/>
      <c r="X121" s="9"/>
      <c r="Y121" s="9"/>
    </row>
    <row r="122" spans="1:25" ht="26.25" customHeight="1" x14ac:dyDescent="0.15">
      <c r="A122" s="9" t="str">
        <f ca="1">IFERROR(__xludf.DUMMYFUNCTION("""COMPUTED_VALUE"""),"Kusuma Patnaik Murahari")</f>
        <v>Kusuma Patnaik Murahari</v>
      </c>
      <c r="B122" s="9" t="str">
        <f ca="1">IFERROR(__xludf.DUMMYFUNCTION("""COMPUTED_VALUE"""),"18331A0584")</f>
        <v>18331A0584</v>
      </c>
      <c r="C122" s="78" t="str">
        <f ca="1">IFERROR(__xludf.DUMMYFUNCTION("""COMPUTED_VALUE"""),"Red Hat System Administration I")</f>
        <v>Red Hat System Administration I</v>
      </c>
      <c r="D122" s="9" t="str">
        <f ca="1">IFERROR(__xludf.DUMMYFUNCTION("""COMPUTED_VALUE"""),"Red Hat")</f>
        <v>Red Hat</v>
      </c>
      <c r="E122" s="9" t="str">
        <f ca="1">IFERROR(__xludf.DUMMYFUNCTION("""COMPUTED_VALUE"""),"1 month")</f>
        <v>1 month</v>
      </c>
      <c r="F122" s="79">
        <f ca="1">IFERROR(__xludf.DUMMYFUNCTION("""COMPUTED_VALUE"""),44621)</f>
        <v>44621</v>
      </c>
      <c r="G122" s="79">
        <f ca="1">IFERROR(__xludf.DUMMYFUNCTION("""COMPUTED_VALUE"""),44651)</f>
        <v>44651</v>
      </c>
      <c r="H122" s="72">
        <f ca="1">IFERROR(__xludf.DUMMYFUNCTION("""COMPUTED_VALUE"""),44658)</f>
        <v>44658</v>
      </c>
      <c r="I122" s="80">
        <f ca="1">IFERROR(__xludf.DUMMYFUNCTION("""COMPUTED_VALUE"""),100)</f>
        <v>100</v>
      </c>
      <c r="J122" s="9" t="str">
        <f ca="1">IFERROR(__xludf.DUMMYFUNCTION("""COMPUTED_VALUE"""),"Subba Raju K V")</f>
        <v>Subba Raju K V</v>
      </c>
      <c r="K122" s="73" t="str">
        <f ca="1">IFERROR(__xludf.DUMMYFUNCTION("""COMPUTED_VALUE"""),"https://drive.google.com/open?id=1w0iKuQmyjwGbJ7rYkESG66j1--K7Kw9x")</f>
        <v>https://drive.google.com/open?id=1w0iKuQmyjwGbJ7rYkESG66j1--K7Kw9x</v>
      </c>
      <c r="L122" s="9" t="str">
        <f ca="1">IFERROR(__xludf.DUMMYFUNCTION("""COMPUTED_VALUE"""),"2018-2022")</f>
        <v>2018-2022</v>
      </c>
      <c r="M122" s="9" t="str">
        <f ca="1">IFERROR(__xludf.DUMMYFUNCTION("""COMPUTED_VALUE"""),"S4: Student Certifications")</f>
        <v>S4: Student Certifications</v>
      </c>
      <c r="N122" s="9" t="str">
        <f ca="1">IFERROR(__xludf.DUMMYFUNCTION("""COMPUTED_VALUE"""),"muraharikusum2000@gmail.com")</f>
        <v>muraharikusum2000@gmail.com</v>
      </c>
      <c r="O122" s="9" t="str">
        <f ca="1">IFERROR(__xludf.DUMMYFUNCTION("""COMPUTED_VALUE"""),"SEM-8")</f>
        <v>SEM-8</v>
      </c>
      <c r="P122" s="9"/>
      <c r="Q122" s="9"/>
      <c r="R122" s="9"/>
      <c r="S122" s="9"/>
      <c r="T122" s="9"/>
      <c r="U122" s="9"/>
      <c r="V122" s="9"/>
      <c r="W122" s="9"/>
      <c r="X122" s="9"/>
      <c r="Y122" s="9"/>
    </row>
    <row r="123" spans="1:25" ht="26.25" customHeight="1" x14ac:dyDescent="0.15">
      <c r="A123" s="9" t="str">
        <f ca="1">IFERROR(__xludf.DUMMYFUNCTION("""COMPUTED_VALUE"""),"METTA VAMSI PRANAV")</f>
        <v>METTA VAMSI PRANAV</v>
      </c>
      <c r="B123" s="9" t="str">
        <f ca="1">IFERROR(__xludf.DUMMYFUNCTION("""COMPUTED_VALUE"""),"18331A0598")</f>
        <v>18331A0598</v>
      </c>
      <c r="C123" s="78" t="str">
        <f ca="1">IFERROR(__xludf.DUMMYFUNCTION("""COMPUTED_VALUE"""),"Introduction to Cybersecurity")</f>
        <v>Introduction to Cybersecurity</v>
      </c>
      <c r="D123" s="9" t="str">
        <f ca="1">IFERROR(__xludf.DUMMYFUNCTION("""COMPUTED_VALUE"""),"Cisco")</f>
        <v>Cisco</v>
      </c>
      <c r="E123" s="9" t="str">
        <f ca="1">IFERROR(__xludf.DUMMYFUNCTION("""COMPUTED_VALUE"""),"2 months")</f>
        <v>2 months</v>
      </c>
      <c r="F123" s="79">
        <f ca="1">IFERROR(__xludf.DUMMYFUNCTION("""COMPUTED_VALUE"""),44275)</f>
        <v>44275</v>
      </c>
      <c r="G123" s="79">
        <f ca="1">IFERROR(__xludf.DUMMYFUNCTION("""COMPUTED_VALUE"""),44336)</f>
        <v>44336</v>
      </c>
      <c r="H123" s="72">
        <f ca="1">IFERROR(__xludf.DUMMYFUNCTION("""COMPUTED_VALUE"""),44336)</f>
        <v>44336</v>
      </c>
      <c r="I123" s="80">
        <f ca="1">IFERROR(__xludf.DUMMYFUNCTION("""COMPUTED_VALUE"""),100)</f>
        <v>100</v>
      </c>
      <c r="J123" s="9" t="str">
        <f ca="1">IFERROR(__xludf.DUMMYFUNCTION("""COMPUTED_VALUE"""),"DR. RAVI KIRAN VARMA PENMATSA")</f>
        <v>DR. RAVI KIRAN VARMA PENMATSA</v>
      </c>
      <c r="K123" s="73" t="str">
        <f ca="1">IFERROR(__xludf.DUMMYFUNCTION("""COMPUTED_VALUE"""),"https://drive.google.com/open?id=15fJA4e5vCmqFwiHh6LlpgGNYDCeSn6_o")</f>
        <v>https://drive.google.com/open?id=15fJA4e5vCmqFwiHh6LlpgGNYDCeSn6_o</v>
      </c>
      <c r="L123" s="9" t="str">
        <f ca="1">IFERROR(__xludf.DUMMYFUNCTION("""COMPUTED_VALUE"""),"2018-2022")</f>
        <v>2018-2022</v>
      </c>
      <c r="M123" s="9" t="str">
        <f ca="1">IFERROR(__xludf.DUMMYFUNCTION("""COMPUTED_VALUE"""),"S4: Student Certifications")</f>
        <v>S4: Student Certifications</v>
      </c>
      <c r="N123" s="9" t="str">
        <f ca="1">IFERROR(__xludf.DUMMYFUNCTION("""COMPUTED_VALUE"""),"vamsipranav9948@gmail.com")</f>
        <v>vamsipranav9948@gmail.com</v>
      </c>
      <c r="O123" s="9" t="str">
        <f ca="1">IFERROR(__xludf.DUMMYFUNCTION("""COMPUTED_VALUE"""),"SEM-6")</f>
        <v>SEM-6</v>
      </c>
      <c r="P123" s="9"/>
      <c r="Q123" s="9"/>
      <c r="R123" s="9"/>
      <c r="S123" s="9"/>
      <c r="T123" s="9"/>
      <c r="U123" s="9"/>
      <c r="V123" s="9"/>
      <c r="W123" s="9"/>
      <c r="X123" s="9"/>
      <c r="Y123" s="9"/>
    </row>
    <row r="124" spans="1:25" ht="26.25" customHeight="1" x14ac:dyDescent="0.15">
      <c r="A124" s="9" t="str">
        <f ca="1">IFERROR(__xludf.DUMMYFUNCTION("""COMPUTED_VALUE"""),"METTA VAMSI PRANAV")</f>
        <v>METTA VAMSI PRANAV</v>
      </c>
      <c r="B124" s="9" t="str">
        <f ca="1">IFERROR(__xludf.DUMMYFUNCTION("""COMPUTED_VALUE"""),"18331A0598")</f>
        <v>18331A0598</v>
      </c>
      <c r="C124" s="78" t="str">
        <f ca="1">IFERROR(__xludf.DUMMYFUNCTION("""COMPUTED_VALUE"""),"AWS Academy Graduate - AWS Academy Cloud Foundations")</f>
        <v>AWS Academy Graduate - AWS Academy Cloud Foundations</v>
      </c>
      <c r="D124" s="9" t="str">
        <f ca="1">IFERROR(__xludf.DUMMYFUNCTION("""COMPUTED_VALUE"""),"AWS")</f>
        <v>AWS</v>
      </c>
      <c r="E124" s="9" t="str">
        <f ca="1">IFERROR(__xludf.DUMMYFUNCTION("""COMPUTED_VALUE"""),"2 Months")</f>
        <v>2 Months</v>
      </c>
      <c r="F124" s="79">
        <f ca="1">IFERROR(__xludf.DUMMYFUNCTION("""COMPUTED_VALUE"""),44479)</f>
        <v>44479</v>
      </c>
      <c r="G124" s="79">
        <f ca="1">IFERROR(__xludf.DUMMYFUNCTION("""COMPUTED_VALUE"""),44561)</f>
        <v>44561</v>
      </c>
      <c r="H124" s="72">
        <f ca="1">IFERROR(__xludf.DUMMYFUNCTION("""COMPUTED_VALUE"""),44561)</f>
        <v>44561</v>
      </c>
      <c r="I124" s="80">
        <f ca="1">IFERROR(__xludf.DUMMYFUNCTION("""COMPUTED_VALUE"""),100)</f>
        <v>100</v>
      </c>
      <c r="J124" s="9" t="str">
        <f ca="1">IFERROR(__xludf.DUMMYFUNCTION("""COMPUTED_VALUE"""),"Ravi Kiran Varma Penmatsa")</f>
        <v>Ravi Kiran Varma Penmatsa</v>
      </c>
      <c r="K124" s="73" t="str">
        <f ca="1">IFERROR(__xludf.DUMMYFUNCTION("""COMPUTED_VALUE"""),"https://drive.google.com/open?id=1lBR2uMs4Crdx2pUdhIF8OqE50WSzxF0M")</f>
        <v>https://drive.google.com/open?id=1lBR2uMs4Crdx2pUdhIF8OqE50WSzxF0M</v>
      </c>
      <c r="L124" s="9" t="str">
        <f ca="1">IFERROR(__xludf.DUMMYFUNCTION("""COMPUTED_VALUE"""),"2018-2022")</f>
        <v>2018-2022</v>
      </c>
      <c r="M124" s="9" t="str">
        <f ca="1">IFERROR(__xludf.DUMMYFUNCTION("""COMPUTED_VALUE"""),"S4: Student Certifications")</f>
        <v>S4: Student Certifications</v>
      </c>
      <c r="N124" s="9" t="str">
        <f ca="1">IFERROR(__xludf.DUMMYFUNCTION("""COMPUTED_VALUE"""),"vamsipranav9948@gmail.com")</f>
        <v>vamsipranav9948@gmail.com</v>
      </c>
      <c r="O124" s="9" t="str">
        <f ca="1">IFERROR(__xludf.DUMMYFUNCTION("""COMPUTED_VALUE"""),"SEM-7")</f>
        <v>SEM-7</v>
      </c>
      <c r="P124" s="9"/>
      <c r="Q124" s="9"/>
      <c r="R124" s="9"/>
      <c r="S124" s="9"/>
      <c r="T124" s="9"/>
      <c r="U124" s="9"/>
      <c r="V124" s="9"/>
      <c r="W124" s="9"/>
      <c r="X124" s="9"/>
      <c r="Y124" s="9"/>
    </row>
    <row r="125" spans="1:25" ht="26.25" customHeight="1" x14ac:dyDescent="0.15">
      <c r="A125" s="9" t="str">
        <f ca="1">IFERROR(__xludf.DUMMYFUNCTION("""COMPUTED_VALUE"""),"METTA VAMSI PRANAV")</f>
        <v>METTA VAMSI PRANAV</v>
      </c>
      <c r="B125" s="9" t="str">
        <f ca="1">IFERROR(__xludf.DUMMYFUNCTION("""COMPUTED_VALUE"""),"18331A0598")</f>
        <v>18331A0598</v>
      </c>
      <c r="C125" s="78" t="str">
        <f ca="1">IFERROR(__xludf.DUMMYFUNCTION("""COMPUTED_VALUE"""),"Cyber Security Foundation")</f>
        <v>Cyber Security Foundation</v>
      </c>
      <c r="D125" s="9" t="str">
        <f ca="1">IFERROR(__xludf.DUMMYFUNCTION("""COMPUTED_VALUE"""),"Palo Alto Networks Cyber Security Academy")</f>
        <v>Palo Alto Networks Cyber Security Academy</v>
      </c>
      <c r="E125" s="9" t="str">
        <f ca="1">IFERROR(__xludf.DUMMYFUNCTION("""COMPUTED_VALUE"""),"1 month")</f>
        <v>1 month</v>
      </c>
      <c r="F125" s="79">
        <f ca="1">IFERROR(__xludf.DUMMYFUNCTION("""COMPUTED_VALUE"""),44371)</f>
        <v>44371</v>
      </c>
      <c r="G125" s="79">
        <f ca="1">IFERROR(__xludf.DUMMYFUNCTION("""COMPUTED_VALUE"""),44401)</f>
        <v>44401</v>
      </c>
      <c r="H125" s="72">
        <f ca="1">IFERROR(__xludf.DUMMYFUNCTION("""COMPUTED_VALUE"""),44401)</f>
        <v>44401</v>
      </c>
      <c r="I125" s="80">
        <f ca="1">IFERROR(__xludf.DUMMYFUNCTION("""COMPUTED_VALUE"""),100)</f>
        <v>100</v>
      </c>
      <c r="J125" s="9" t="str">
        <f ca="1">IFERROR(__xludf.DUMMYFUNCTION("""COMPUTED_VALUE"""),"DR. RAVI KIRAN VARMA PENMATSA")</f>
        <v>DR. RAVI KIRAN VARMA PENMATSA</v>
      </c>
      <c r="K125" s="73" t="str">
        <f ca="1">IFERROR(__xludf.DUMMYFUNCTION("""COMPUTED_VALUE"""),"https://drive.google.com/open?id=1IqL4FoPNCX1j8hfwDq8zIaDgZf34hk3P")</f>
        <v>https://drive.google.com/open?id=1IqL4FoPNCX1j8hfwDq8zIaDgZf34hk3P</v>
      </c>
      <c r="L125" s="9" t="str">
        <f ca="1">IFERROR(__xludf.DUMMYFUNCTION("""COMPUTED_VALUE"""),"2018-2022")</f>
        <v>2018-2022</v>
      </c>
      <c r="M125" s="9" t="str">
        <f ca="1">IFERROR(__xludf.DUMMYFUNCTION("""COMPUTED_VALUE"""),"S4: Student Certifications")</f>
        <v>S4: Student Certifications</v>
      </c>
      <c r="N125" s="9" t="str">
        <f ca="1">IFERROR(__xludf.DUMMYFUNCTION("""COMPUTED_VALUE"""),"vamsipranav9948@gmail.com")</f>
        <v>vamsipranav9948@gmail.com</v>
      </c>
      <c r="O125" s="9" t="str">
        <f ca="1">IFERROR(__xludf.DUMMYFUNCTION("""COMPUTED_VALUE"""),"SEM-6")</f>
        <v>SEM-6</v>
      </c>
      <c r="P125" s="9"/>
      <c r="Q125" s="9"/>
      <c r="R125" s="9"/>
      <c r="S125" s="9"/>
      <c r="T125" s="9"/>
      <c r="U125" s="9"/>
      <c r="V125" s="9"/>
      <c r="W125" s="9"/>
      <c r="X125" s="9"/>
      <c r="Y125" s="9"/>
    </row>
    <row r="126" spans="1:25" ht="26.25" customHeight="1" x14ac:dyDescent="0.15">
      <c r="A126" s="9" t="str">
        <f ca="1">IFERROR(__xludf.DUMMYFUNCTION("""COMPUTED_VALUE"""),"KARUMURI SRI RAJ ARYAN")</f>
        <v>KARUMURI SRI RAJ ARYAN</v>
      </c>
      <c r="B126" s="9" t="str">
        <f ca="1">IFERROR(__xludf.DUMMYFUNCTION("""COMPUTED_VALUE"""),"18331A0571")</f>
        <v>18331A0571</v>
      </c>
      <c r="C126" s="78" t="str">
        <f ca="1">IFERROR(__xludf.DUMMYFUNCTION("""COMPUTED_VALUE"""),"CCNA module 1")</f>
        <v>CCNA module 1</v>
      </c>
      <c r="D126" s="9" t="str">
        <f ca="1">IFERROR(__xludf.DUMMYFUNCTION("""COMPUTED_VALUE"""),"CISCO")</f>
        <v>CISCO</v>
      </c>
      <c r="E126" s="9" t="str">
        <f ca="1">IFERROR(__xludf.DUMMYFUNCTION("""COMPUTED_VALUE"""),"3 months")</f>
        <v>3 months</v>
      </c>
      <c r="F126" s="79">
        <f ca="1">IFERROR(__xludf.DUMMYFUNCTION("""COMPUTED_VALUE"""),43515)</f>
        <v>43515</v>
      </c>
      <c r="G126" s="79">
        <f ca="1">IFERROR(__xludf.DUMMYFUNCTION("""COMPUTED_VALUE"""),43964)</f>
        <v>43964</v>
      </c>
      <c r="H126" s="72">
        <f ca="1">IFERROR(__xludf.DUMMYFUNCTION("""COMPUTED_VALUE"""),43964)</f>
        <v>43964</v>
      </c>
      <c r="I126" s="80">
        <f ca="1">IFERROR(__xludf.DUMMYFUNCTION("""COMPUTED_VALUE"""),90)</f>
        <v>90</v>
      </c>
      <c r="J126" s="9" t="str">
        <f ca="1">IFERROR(__xludf.DUMMYFUNCTION("""COMPUTED_VALUE"""),"Dr. Ravi Kiran Varma")</f>
        <v>Dr. Ravi Kiran Varma</v>
      </c>
      <c r="K126" s="73" t="str">
        <f ca="1">IFERROR(__xludf.DUMMYFUNCTION("""COMPUTED_VALUE"""),"https://drive.google.com/open?id=1b3VHZTk5JSmej9BlE4_egVB0SC9_mGf8")</f>
        <v>https://drive.google.com/open?id=1b3VHZTk5JSmej9BlE4_egVB0SC9_mGf8</v>
      </c>
      <c r="L126" s="9" t="str">
        <f ca="1">IFERROR(__xludf.DUMMYFUNCTION("""COMPUTED_VALUE"""),"2018-2022")</f>
        <v>2018-2022</v>
      </c>
      <c r="M126" s="9" t="str">
        <f ca="1">IFERROR(__xludf.DUMMYFUNCTION("""COMPUTED_VALUE"""),"S4: Student Certifications")</f>
        <v>S4: Student Certifications</v>
      </c>
      <c r="N126" s="9" t="str">
        <f ca="1">IFERROR(__xludf.DUMMYFUNCTION("""COMPUTED_VALUE"""),"aryankarumuri@gmail.com")</f>
        <v>aryankarumuri@gmail.com</v>
      </c>
      <c r="O126" s="9" t="str">
        <f ca="1">IFERROR(__xludf.DUMMYFUNCTION("""COMPUTED_VALUE"""),"SEM-8")</f>
        <v>SEM-8</v>
      </c>
      <c r="P126" s="9"/>
      <c r="Q126" s="9"/>
      <c r="R126" s="9"/>
      <c r="S126" s="9"/>
      <c r="T126" s="9"/>
      <c r="U126" s="9"/>
      <c r="V126" s="9"/>
      <c r="W126" s="9"/>
      <c r="X126" s="9"/>
      <c r="Y126" s="9"/>
    </row>
    <row r="127" spans="1:25" ht="26.25" customHeight="1" x14ac:dyDescent="0.15">
      <c r="A127" s="9" t="str">
        <f ca="1">IFERROR(__xludf.DUMMYFUNCTION("""COMPUTED_VALUE"""),"KARUMURI SRI RAJ ARYAN")</f>
        <v>KARUMURI SRI RAJ ARYAN</v>
      </c>
      <c r="B127" s="9" t="str">
        <f ca="1">IFERROR(__xludf.DUMMYFUNCTION("""COMPUTED_VALUE"""),"18331A0571")</f>
        <v>18331A0571</v>
      </c>
      <c r="C127" s="78" t="str">
        <f ca="1">IFERROR(__xludf.DUMMYFUNCTION("""COMPUTED_VALUE"""),"CCNA module 2")</f>
        <v>CCNA module 2</v>
      </c>
      <c r="D127" s="9" t="str">
        <f ca="1">IFERROR(__xludf.DUMMYFUNCTION("""COMPUTED_VALUE"""),"CISCO")</f>
        <v>CISCO</v>
      </c>
      <c r="E127" s="9" t="str">
        <f ca="1">IFERROR(__xludf.DUMMYFUNCTION("""COMPUTED_VALUE"""),"2 MONTHS")</f>
        <v>2 MONTHS</v>
      </c>
      <c r="F127" s="79">
        <f ca="1">IFERROR(__xludf.DUMMYFUNCTION("""COMPUTED_VALUE"""),43929)</f>
        <v>43929</v>
      </c>
      <c r="G127" s="79">
        <f ca="1">IFERROR(__xludf.DUMMYFUNCTION("""COMPUTED_VALUE"""),43991)</f>
        <v>43991</v>
      </c>
      <c r="H127" s="72">
        <f ca="1">IFERROR(__xludf.DUMMYFUNCTION("""COMPUTED_VALUE"""),43991)</f>
        <v>43991</v>
      </c>
      <c r="I127" s="80">
        <f ca="1">IFERROR(__xludf.DUMMYFUNCTION("""COMPUTED_VALUE"""),90)</f>
        <v>90</v>
      </c>
      <c r="J127" s="9" t="str">
        <f ca="1">IFERROR(__xludf.DUMMYFUNCTION("""COMPUTED_VALUE"""),"Dr. Ravi Kiran Varma")</f>
        <v>Dr. Ravi Kiran Varma</v>
      </c>
      <c r="K127" s="73" t="str">
        <f ca="1">IFERROR(__xludf.DUMMYFUNCTION("""COMPUTED_VALUE"""),"https://drive.google.com/open?id=1IZY82G5m3K69SqYjyhhh8SYU1Lr1Ps6M")</f>
        <v>https://drive.google.com/open?id=1IZY82G5m3K69SqYjyhhh8SYU1Lr1Ps6M</v>
      </c>
      <c r="L127" s="9" t="str">
        <f ca="1">IFERROR(__xludf.DUMMYFUNCTION("""COMPUTED_VALUE"""),"2018-2022")</f>
        <v>2018-2022</v>
      </c>
      <c r="M127" s="9" t="str">
        <f ca="1">IFERROR(__xludf.DUMMYFUNCTION("""COMPUTED_VALUE"""),"S4: Student Certifications")</f>
        <v>S4: Student Certifications</v>
      </c>
      <c r="N127" s="9" t="str">
        <f ca="1">IFERROR(__xludf.DUMMYFUNCTION("""COMPUTED_VALUE"""),"aryankarumuri@gmail.com")</f>
        <v>aryankarumuri@gmail.com</v>
      </c>
      <c r="O127" s="9" t="str">
        <f ca="1">IFERROR(__xludf.DUMMYFUNCTION("""COMPUTED_VALUE"""),"SEM-8")</f>
        <v>SEM-8</v>
      </c>
      <c r="P127" s="9"/>
      <c r="Q127" s="9"/>
      <c r="R127" s="9"/>
      <c r="S127" s="9"/>
      <c r="T127" s="9"/>
      <c r="U127" s="9"/>
      <c r="V127" s="9"/>
      <c r="W127" s="9"/>
      <c r="X127" s="9"/>
      <c r="Y127" s="9"/>
    </row>
    <row r="128" spans="1:25" ht="26.25" customHeight="1" x14ac:dyDescent="0.15">
      <c r="A128" s="9" t="str">
        <f ca="1">IFERROR(__xludf.DUMMYFUNCTION("""COMPUTED_VALUE"""),"KARUMURI SRI RAJ ARYAN")</f>
        <v>KARUMURI SRI RAJ ARYAN</v>
      </c>
      <c r="B128" s="9" t="str">
        <f ca="1">IFERROR(__xludf.DUMMYFUNCTION("""COMPUTED_VALUE"""),"18331A0571")</f>
        <v>18331A0571</v>
      </c>
      <c r="C128" s="78" t="str">
        <f ca="1">IFERROR(__xludf.DUMMYFUNCTION("""COMPUTED_VALUE"""),"CCNA module 3")</f>
        <v>CCNA module 3</v>
      </c>
      <c r="D128" s="9" t="str">
        <f ca="1">IFERROR(__xludf.DUMMYFUNCTION("""COMPUTED_VALUE"""),"Cisco")</f>
        <v>Cisco</v>
      </c>
      <c r="E128" s="9" t="str">
        <f ca="1">IFERROR(__xludf.DUMMYFUNCTION("""COMPUTED_VALUE"""),"1 Month")</f>
        <v>1 Month</v>
      </c>
      <c r="F128" s="79">
        <f ca="1">IFERROR(__xludf.DUMMYFUNCTION("""COMPUTED_VALUE"""),43994)</f>
        <v>43994</v>
      </c>
      <c r="G128" s="79">
        <f ca="1">IFERROR(__xludf.DUMMYFUNCTION("""COMPUTED_VALUE"""),44024)</f>
        <v>44024</v>
      </c>
      <c r="H128" s="72">
        <f ca="1">IFERROR(__xludf.DUMMYFUNCTION("""COMPUTED_VALUE"""),44024)</f>
        <v>44024</v>
      </c>
      <c r="I128" s="80">
        <f ca="1">IFERROR(__xludf.DUMMYFUNCTION("""COMPUTED_VALUE"""),94)</f>
        <v>94</v>
      </c>
      <c r="J128" s="9" t="str">
        <f ca="1">IFERROR(__xludf.DUMMYFUNCTION("""COMPUTED_VALUE"""),"Dr. Ravi Kiran Varma")</f>
        <v>Dr. Ravi Kiran Varma</v>
      </c>
      <c r="K128" s="73" t="str">
        <f ca="1">IFERROR(__xludf.DUMMYFUNCTION("""COMPUTED_VALUE"""),"https://drive.google.com/open?id=1KVm4N3gzrXfXIagHc0ay7TGiDHr14cyf")</f>
        <v>https://drive.google.com/open?id=1KVm4N3gzrXfXIagHc0ay7TGiDHr14cyf</v>
      </c>
      <c r="L128" s="9" t="str">
        <f ca="1">IFERROR(__xludf.DUMMYFUNCTION("""COMPUTED_VALUE"""),"2018-2022")</f>
        <v>2018-2022</v>
      </c>
      <c r="M128" s="9" t="str">
        <f ca="1">IFERROR(__xludf.DUMMYFUNCTION("""COMPUTED_VALUE"""),"S4: Student Certifications")</f>
        <v>S4: Student Certifications</v>
      </c>
      <c r="N128" s="9" t="str">
        <f ca="1">IFERROR(__xludf.DUMMYFUNCTION("""COMPUTED_VALUE"""),"aryankarumuri@gmail.com")</f>
        <v>aryankarumuri@gmail.com</v>
      </c>
      <c r="O128" s="9" t="str">
        <f ca="1">IFERROR(__xludf.DUMMYFUNCTION("""COMPUTED_VALUE"""),"SEM-8")</f>
        <v>SEM-8</v>
      </c>
      <c r="P128" s="9"/>
      <c r="Q128" s="9"/>
      <c r="R128" s="9"/>
      <c r="S128" s="9"/>
      <c r="T128" s="9"/>
      <c r="U128" s="9"/>
      <c r="V128" s="9"/>
      <c r="W128" s="9"/>
      <c r="X128" s="9"/>
      <c r="Y128" s="9"/>
    </row>
    <row r="129" spans="1:25" ht="26.25" customHeight="1" x14ac:dyDescent="0.15">
      <c r="A129" s="9" t="str">
        <f ca="1">IFERROR(__xludf.DUMMYFUNCTION("""COMPUTED_VALUE"""),"KARUMURI SRI RAJ ARYAN")</f>
        <v>KARUMURI SRI RAJ ARYAN</v>
      </c>
      <c r="B129" s="9" t="str">
        <f ca="1">IFERROR(__xludf.DUMMYFUNCTION("""COMPUTED_VALUE"""),"18331A0571")</f>
        <v>18331A0571</v>
      </c>
      <c r="C129" s="78" t="str">
        <f ca="1">IFERROR(__xludf.DUMMYFUNCTION("""COMPUTED_VALUE"""),"C PROGRAMMING")</f>
        <v>C PROGRAMMING</v>
      </c>
      <c r="D129" s="9" t="str">
        <f ca="1">IFERROR(__xludf.DUMMYFUNCTION("""COMPUTED_VALUE"""),"CISCO")</f>
        <v>CISCO</v>
      </c>
      <c r="E129" s="9" t="str">
        <f ca="1">IFERROR(__xludf.DUMMYFUNCTION("""COMPUTED_VALUE"""),"1 MONTH")</f>
        <v>1 MONTH</v>
      </c>
      <c r="F129" s="79">
        <f ca="1">IFERROR(__xludf.DUMMYFUNCTION("""COMPUTED_VALUE"""),43622)</f>
        <v>43622</v>
      </c>
      <c r="G129" s="79">
        <f ca="1">IFERROR(__xludf.DUMMYFUNCTION("""COMPUTED_VALUE"""),43652)</f>
        <v>43652</v>
      </c>
      <c r="H129" s="72">
        <f ca="1">IFERROR(__xludf.DUMMYFUNCTION("""COMPUTED_VALUE"""),43652)</f>
        <v>43652</v>
      </c>
      <c r="I129" s="80">
        <f ca="1">IFERROR(__xludf.DUMMYFUNCTION("""COMPUTED_VALUE"""),89)</f>
        <v>89</v>
      </c>
      <c r="J129" s="9" t="str">
        <f ca="1">IFERROR(__xludf.DUMMYFUNCTION("""COMPUTED_VALUE"""),"K.V. Subba Raju")</f>
        <v>K.V. Subba Raju</v>
      </c>
      <c r="K129" s="73" t="str">
        <f ca="1">IFERROR(__xludf.DUMMYFUNCTION("""COMPUTED_VALUE"""),"https://drive.google.com/open?id=1K0hyaMAaPsme28BcbSbWerGiglJgibIZ")</f>
        <v>https://drive.google.com/open?id=1K0hyaMAaPsme28BcbSbWerGiglJgibIZ</v>
      </c>
      <c r="L129" s="9" t="str">
        <f ca="1">IFERROR(__xludf.DUMMYFUNCTION("""COMPUTED_VALUE"""),"2018-2022")</f>
        <v>2018-2022</v>
      </c>
      <c r="M129" s="9" t="str">
        <f ca="1">IFERROR(__xludf.DUMMYFUNCTION("""COMPUTED_VALUE"""),"S4: Student Certifications")</f>
        <v>S4: Student Certifications</v>
      </c>
      <c r="N129" s="9" t="str">
        <f ca="1">IFERROR(__xludf.DUMMYFUNCTION("""COMPUTED_VALUE"""),"aryankarumuri@gmail.com")</f>
        <v>aryankarumuri@gmail.com</v>
      </c>
      <c r="O129" s="9" t="str">
        <f ca="1">IFERROR(__xludf.DUMMYFUNCTION("""COMPUTED_VALUE"""),"SEM-8")</f>
        <v>SEM-8</v>
      </c>
      <c r="P129" s="9"/>
      <c r="Q129" s="9"/>
      <c r="R129" s="9"/>
      <c r="S129" s="9"/>
      <c r="T129" s="9"/>
      <c r="U129" s="9"/>
      <c r="V129" s="9"/>
      <c r="W129" s="9"/>
      <c r="X129" s="9"/>
      <c r="Y129" s="9"/>
    </row>
    <row r="130" spans="1:25" ht="26.25" customHeight="1" x14ac:dyDescent="0.15">
      <c r="A130" s="9" t="str">
        <f ca="1">IFERROR(__xludf.DUMMYFUNCTION("""COMPUTED_VALUE"""),"KARUMURI SRI RAJ ARYAN")</f>
        <v>KARUMURI SRI RAJ ARYAN</v>
      </c>
      <c r="B130" s="9" t="str">
        <f ca="1">IFERROR(__xludf.DUMMYFUNCTION("""COMPUTED_VALUE"""),"18331A0571")</f>
        <v>18331A0571</v>
      </c>
      <c r="C130" s="78" t="str">
        <f ca="1">IFERROR(__xludf.DUMMYFUNCTION("""COMPUTED_VALUE"""),"PYTHON")</f>
        <v>PYTHON</v>
      </c>
      <c r="D130" s="9" t="str">
        <f ca="1">IFERROR(__xludf.DUMMYFUNCTION("""COMPUTED_VALUE"""),"CISCO")</f>
        <v>CISCO</v>
      </c>
      <c r="E130" s="9" t="str">
        <f ca="1">IFERROR(__xludf.DUMMYFUNCTION("""COMPUTED_VALUE"""),"1 MONTH")</f>
        <v>1 MONTH</v>
      </c>
      <c r="F130" s="79">
        <f ca="1">IFERROR(__xludf.DUMMYFUNCTION("""COMPUTED_VALUE"""),43910)</f>
        <v>43910</v>
      </c>
      <c r="G130" s="79">
        <f ca="1">IFERROR(__xludf.DUMMYFUNCTION("""COMPUTED_VALUE"""),43941)</f>
        <v>43941</v>
      </c>
      <c r="H130" s="72">
        <f ca="1">IFERROR(__xludf.DUMMYFUNCTION("""COMPUTED_VALUE"""),43941)</f>
        <v>43941</v>
      </c>
      <c r="I130" s="80">
        <f ca="1">IFERROR(__xludf.DUMMYFUNCTION("""COMPUTED_VALUE"""),96)</f>
        <v>96</v>
      </c>
      <c r="J130" s="9" t="str">
        <f ca="1">IFERROR(__xludf.DUMMYFUNCTION("""COMPUTED_VALUE"""),"Dr. Ravi Kiran Varma")</f>
        <v>Dr. Ravi Kiran Varma</v>
      </c>
      <c r="K130" s="73" t="str">
        <f ca="1">IFERROR(__xludf.DUMMYFUNCTION("""COMPUTED_VALUE"""),"https://drive.google.com/open?id=1ng_BFT84CIRQXxhWSzRE95sFg53StfXT")</f>
        <v>https://drive.google.com/open?id=1ng_BFT84CIRQXxhWSzRE95sFg53StfXT</v>
      </c>
      <c r="L130" s="9" t="str">
        <f ca="1">IFERROR(__xludf.DUMMYFUNCTION("""COMPUTED_VALUE"""),"2018-2022")</f>
        <v>2018-2022</v>
      </c>
      <c r="M130" s="9" t="str">
        <f ca="1">IFERROR(__xludf.DUMMYFUNCTION("""COMPUTED_VALUE"""),"S4: Student Certifications")</f>
        <v>S4: Student Certifications</v>
      </c>
      <c r="N130" s="9" t="str">
        <f ca="1">IFERROR(__xludf.DUMMYFUNCTION("""COMPUTED_VALUE"""),"aryankarumuri@gmail.com")</f>
        <v>aryankarumuri@gmail.com</v>
      </c>
      <c r="O130" s="9" t="str">
        <f ca="1">IFERROR(__xludf.DUMMYFUNCTION("""COMPUTED_VALUE"""),"SEM-8")</f>
        <v>SEM-8</v>
      </c>
      <c r="P130" s="9"/>
      <c r="Q130" s="9"/>
      <c r="R130" s="9"/>
      <c r="S130" s="9"/>
      <c r="T130" s="9"/>
      <c r="U130" s="9"/>
      <c r="V130" s="9"/>
      <c r="W130" s="9"/>
      <c r="X130" s="9"/>
      <c r="Y130" s="9"/>
    </row>
    <row r="131" spans="1:25" ht="26.25" customHeight="1" x14ac:dyDescent="0.15">
      <c r="A131" s="9" t="str">
        <f ca="1">IFERROR(__xludf.DUMMYFUNCTION("""COMPUTED_VALUE"""),"KARUMURI SRI RAJ ARYAN")</f>
        <v>KARUMURI SRI RAJ ARYAN</v>
      </c>
      <c r="B131" s="9" t="str">
        <f ca="1">IFERROR(__xludf.DUMMYFUNCTION("""COMPUTED_VALUE"""),"18331A0571")</f>
        <v>18331A0571</v>
      </c>
      <c r="C131" s="78" t="str">
        <f ca="1">IFERROR(__xludf.DUMMYFUNCTION("""COMPUTED_VALUE"""),"CODE RIDERS 2021")</f>
        <v>CODE RIDERS 2021</v>
      </c>
      <c r="D131" s="9" t="str">
        <f ca="1">IFERROR(__xludf.DUMMYFUNCTION("""COMPUTED_VALUE"""),"EduSkills")</f>
        <v>EduSkills</v>
      </c>
      <c r="E131" s="9" t="str">
        <f ca="1">IFERROR(__xludf.DUMMYFUNCTION("""COMPUTED_VALUE"""),"2 Months")</f>
        <v>2 Months</v>
      </c>
      <c r="F131" s="79">
        <f ca="1">IFERROR(__xludf.DUMMYFUNCTION("""COMPUTED_VALUE"""),44353)</f>
        <v>44353</v>
      </c>
      <c r="G131" s="79">
        <f ca="1">IFERROR(__xludf.DUMMYFUNCTION("""COMPUTED_VALUE"""),44406)</f>
        <v>44406</v>
      </c>
      <c r="H131" s="72">
        <f ca="1">IFERROR(__xludf.DUMMYFUNCTION("""COMPUTED_VALUE"""),44406)</f>
        <v>44406</v>
      </c>
      <c r="I131" s="80">
        <f ca="1">IFERROR(__xludf.DUMMYFUNCTION("""COMPUTED_VALUE"""),95)</f>
        <v>95</v>
      </c>
      <c r="J131" s="9" t="str">
        <f ca="1">IFERROR(__xludf.DUMMYFUNCTION("""COMPUTED_VALUE"""),"Dr. Ravi Kiran Varma")</f>
        <v>Dr. Ravi Kiran Varma</v>
      </c>
      <c r="K131" s="73" t="str">
        <f ca="1">IFERROR(__xludf.DUMMYFUNCTION("""COMPUTED_VALUE"""),"https://drive.google.com/open?id=1mdMxQKViLW6ytSLD-Vbdi4e36jaHSc9u")</f>
        <v>https://drive.google.com/open?id=1mdMxQKViLW6ytSLD-Vbdi4e36jaHSc9u</v>
      </c>
      <c r="L131" s="9" t="str">
        <f ca="1">IFERROR(__xludf.DUMMYFUNCTION("""COMPUTED_VALUE"""),"2018-2022")</f>
        <v>2018-2022</v>
      </c>
      <c r="M131" s="9" t="str">
        <f ca="1">IFERROR(__xludf.DUMMYFUNCTION("""COMPUTED_VALUE"""),"S4: Student Certifications")</f>
        <v>S4: Student Certifications</v>
      </c>
      <c r="N131" s="9" t="str">
        <f ca="1">IFERROR(__xludf.DUMMYFUNCTION("""COMPUTED_VALUE"""),"aryankarumuri@gmail.com")</f>
        <v>aryankarumuri@gmail.com</v>
      </c>
      <c r="O131" s="9" t="str">
        <f ca="1">IFERROR(__xludf.DUMMYFUNCTION("""COMPUTED_VALUE"""),"SEM-8")</f>
        <v>SEM-8</v>
      </c>
      <c r="P131" s="9"/>
      <c r="Q131" s="9"/>
      <c r="R131" s="9"/>
      <c r="S131" s="9"/>
      <c r="T131" s="9"/>
      <c r="U131" s="9"/>
      <c r="V131" s="9"/>
      <c r="W131" s="9"/>
      <c r="X131" s="9"/>
      <c r="Y131" s="9"/>
    </row>
    <row r="132" spans="1:25" ht="26.25" customHeight="1" x14ac:dyDescent="0.15">
      <c r="A132" s="9" t="str">
        <f ca="1">IFERROR(__xludf.DUMMYFUNCTION("""COMPUTED_VALUE"""),"Korlapu.Neelima")</f>
        <v>Korlapu.Neelima</v>
      </c>
      <c r="B132" s="9" t="str">
        <f ca="1">IFERROR(__xludf.DUMMYFUNCTION("""COMPUTED_VALUE"""),"19335A0508")</f>
        <v>19335A0508</v>
      </c>
      <c r="C132" s="78" t="str">
        <f ca="1">IFERROR(__xludf.DUMMYFUNCTION("""COMPUTED_VALUE"""),"AWS cloud solution architecture")</f>
        <v>AWS cloud solution architecture</v>
      </c>
      <c r="D132" s="9" t="str">
        <f ca="1">IFERROR(__xludf.DUMMYFUNCTION("""COMPUTED_VALUE"""),"AWS academy")</f>
        <v>AWS academy</v>
      </c>
      <c r="E132" s="9" t="str">
        <f ca="1">IFERROR(__xludf.DUMMYFUNCTION("""COMPUTED_VALUE"""),"3 months")</f>
        <v>3 months</v>
      </c>
      <c r="F132" s="79">
        <f ca="1">IFERROR(__xludf.DUMMYFUNCTION("""COMPUTED_VALUE"""),44477)</f>
        <v>44477</v>
      </c>
      <c r="G132" s="79">
        <f ca="1">IFERROR(__xludf.DUMMYFUNCTION("""COMPUTED_VALUE"""),44659)</f>
        <v>44659</v>
      </c>
      <c r="H132" s="72">
        <f ca="1">IFERROR(__xludf.DUMMYFUNCTION("""COMPUTED_VALUE"""),44596)</f>
        <v>44596</v>
      </c>
      <c r="I132" s="80">
        <f ca="1">IFERROR(__xludf.DUMMYFUNCTION("""COMPUTED_VALUE"""),100)</f>
        <v>100</v>
      </c>
      <c r="J132" s="9" t="str">
        <f ca="1">IFERROR(__xludf.DUMMYFUNCTION("""COMPUTED_VALUE"""),"P.Ravikiranvarma")</f>
        <v>P.Ravikiranvarma</v>
      </c>
      <c r="K132" s="73" t="str">
        <f ca="1">IFERROR(__xludf.DUMMYFUNCTION("""COMPUTED_VALUE"""),"https://drive.google.com/open?id=17Z1Pj0_3s3CNdVQcwfvjW-EQpt6p9MI8")</f>
        <v>https://drive.google.com/open?id=17Z1Pj0_3s3CNdVQcwfvjW-EQpt6p9MI8</v>
      </c>
      <c r="L132" s="9" t="str">
        <f ca="1">IFERROR(__xludf.DUMMYFUNCTION("""COMPUTED_VALUE"""),"2018-2022")</f>
        <v>2018-2022</v>
      </c>
      <c r="M132" s="9" t="str">
        <f ca="1">IFERROR(__xludf.DUMMYFUNCTION("""COMPUTED_VALUE"""),"S4: Student Certifications")</f>
        <v>S4: Student Certifications</v>
      </c>
      <c r="N132" s="9" t="str">
        <f ca="1">IFERROR(__xludf.DUMMYFUNCTION("""COMPUTED_VALUE"""),"kneelima2001@gmail.com")</f>
        <v>kneelima2001@gmail.com</v>
      </c>
      <c r="O132" s="9" t="str">
        <f ca="1">IFERROR(__xludf.DUMMYFUNCTION("""COMPUTED_VALUE"""),"SEM-7")</f>
        <v>SEM-7</v>
      </c>
      <c r="P132" s="9"/>
      <c r="Q132" s="9"/>
      <c r="R132" s="9"/>
      <c r="S132" s="9"/>
      <c r="T132" s="9"/>
      <c r="U132" s="9"/>
      <c r="V132" s="9"/>
      <c r="W132" s="9"/>
      <c r="X132" s="9"/>
      <c r="Y132" s="9"/>
    </row>
    <row r="133" spans="1:25" ht="26.25" customHeight="1" x14ac:dyDescent="0.15">
      <c r="A133" s="9" t="str">
        <f ca="1">IFERROR(__xludf.DUMMYFUNCTION("""COMPUTED_VALUE"""),"Korlapu. Neelima")</f>
        <v>Korlapu. Neelima</v>
      </c>
      <c r="B133" s="9" t="str">
        <f ca="1">IFERROR(__xludf.DUMMYFUNCTION("""COMPUTED_VALUE"""),"19335A0508")</f>
        <v>19335A0508</v>
      </c>
      <c r="C133" s="78" t="str">
        <f ca="1">IFERROR(__xludf.DUMMYFUNCTION("""COMPUTED_VALUE"""),"paloalto")</f>
        <v>paloalto</v>
      </c>
      <c r="D133" s="9" t="str">
        <f ca="1">IFERROR(__xludf.DUMMYFUNCTION("""COMPUTED_VALUE"""),"paloalto networks cybersecurity academy")</f>
        <v>paloalto networks cybersecurity academy</v>
      </c>
      <c r="E133" s="9" t="str">
        <f ca="1">IFERROR(__xludf.DUMMYFUNCTION("""COMPUTED_VALUE"""),"1month")</f>
        <v>1month</v>
      </c>
      <c r="F133" s="79">
        <f ca="1">IFERROR(__xludf.DUMMYFUNCTION("""COMPUTED_VALUE"""),44368)</f>
        <v>44368</v>
      </c>
      <c r="G133" s="79">
        <f ca="1">IFERROR(__xludf.DUMMYFUNCTION("""COMPUTED_VALUE"""),44398)</f>
        <v>44398</v>
      </c>
      <c r="H133" s="72">
        <f ca="1">IFERROR(__xludf.DUMMYFUNCTION("""COMPUTED_VALUE"""),44402)</f>
        <v>44402</v>
      </c>
      <c r="I133" s="80">
        <f ca="1">IFERROR(__xludf.DUMMYFUNCTION("""COMPUTED_VALUE"""),100)</f>
        <v>100</v>
      </c>
      <c r="J133" s="9" t="str">
        <f ca="1">IFERROR(__xludf.DUMMYFUNCTION("""COMPUTED_VALUE"""),"p. Ravikiranvarma")</f>
        <v>p. Ravikiranvarma</v>
      </c>
      <c r="K133" s="73" t="str">
        <f ca="1">IFERROR(__xludf.DUMMYFUNCTION("""COMPUTED_VALUE"""),"https://drive.google.com/open?id=12xA8tdA87ytI4YDWfbXDbBh_21lGhlC6")</f>
        <v>https://drive.google.com/open?id=12xA8tdA87ytI4YDWfbXDbBh_21lGhlC6</v>
      </c>
      <c r="L133" s="9" t="str">
        <f ca="1">IFERROR(__xludf.DUMMYFUNCTION("""COMPUTED_VALUE"""),"2018-2022")</f>
        <v>2018-2022</v>
      </c>
      <c r="M133" s="9" t="str">
        <f ca="1">IFERROR(__xludf.DUMMYFUNCTION("""COMPUTED_VALUE"""),"S4: Student Certifications")</f>
        <v>S4: Student Certifications</v>
      </c>
      <c r="N133" s="9" t="str">
        <f ca="1">IFERROR(__xludf.DUMMYFUNCTION("""COMPUTED_VALUE"""),"kneelima2001@gmail.com")</f>
        <v>kneelima2001@gmail.com</v>
      </c>
      <c r="O133" s="9" t="str">
        <f ca="1">IFERROR(__xludf.DUMMYFUNCTION("""COMPUTED_VALUE"""),"SEM-6")</f>
        <v>SEM-6</v>
      </c>
      <c r="P133" s="9"/>
      <c r="Q133" s="9"/>
      <c r="R133" s="9"/>
      <c r="S133" s="9"/>
      <c r="T133" s="9"/>
      <c r="U133" s="9"/>
      <c r="V133" s="9"/>
      <c r="W133" s="9"/>
      <c r="X133" s="9"/>
      <c r="Y133" s="9"/>
    </row>
    <row r="134" spans="1:25" ht="26.25" customHeight="1" x14ac:dyDescent="0.15">
      <c r="A134" s="69" t="str">
        <f ca="1">IFERROR(__xludf.DUMMYFUNCTION("""COMPUTED_VALUE"""),"SUBHASH VADLANA")</f>
        <v>SUBHASH VADLANA</v>
      </c>
      <c r="B134" s="69" t="str">
        <f ca="1">IFERROR(__xludf.DUMMYFUNCTION("""COMPUTED_VALUE"""),"18331A05G3")</f>
        <v>18331A05G3</v>
      </c>
      <c r="C134" s="81" t="str">
        <f ca="1">IFERROR(__xludf.DUMMYFUNCTION("""COMPUTED_VALUE"""),"Programming Essentials in Python")</f>
        <v>Programming Essentials in Python</v>
      </c>
      <c r="D134" s="69" t="str">
        <f ca="1">IFERROR(__xludf.DUMMYFUNCTION("""COMPUTED_VALUE"""),"CISCO")</f>
        <v>CISCO</v>
      </c>
      <c r="E134" s="69" t="str">
        <f ca="1">IFERROR(__xludf.DUMMYFUNCTION("""COMPUTED_VALUE"""),"4 weeks")</f>
        <v>4 weeks</v>
      </c>
      <c r="F134" s="82">
        <f ca="1">IFERROR(__xludf.DUMMYFUNCTION("""COMPUTED_VALUE"""),44362)</f>
        <v>44362</v>
      </c>
      <c r="G134" s="82">
        <f ca="1">IFERROR(__xludf.DUMMYFUNCTION("""COMPUTED_VALUE"""),44408)</f>
        <v>44408</v>
      </c>
      <c r="H134" s="74">
        <f ca="1">IFERROR(__xludf.DUMMYFUNCTION("""COMPUTED_VALUE"""),44386)</f>
        <v>44386</v>
      </c>
      <c r="I134" s="83">
        <f ca="1">IFERROR(__xludf.DUMMYFUNCTION("""COMPUTED_VALUE"""),80)</f>
        <v>80</v>
      </c>
      <c r="J134" s="69" t="str">
        <f ca="1">IFERROR(__xludf.DUMMYFUNCTION("""COMPUTED_VALUE"""),"DR. RAVI KIRAN VARMA PENMATSA")</f>
        <v>DR. RAVI KIRAN VARMA PENMATSA</v>
      </c>
      <c r="K134" s="75" t="str">
        <f ca="1">IFERROR(__xludf.DUMMYFUNCTION("""COMPUTED_VALUE"""),"https://drive.google.com/open?id=1UCYsFcfdCkQbSjAfAGs7hvKdplw9pvJo")</f>
        <v>https://drive.google.com/open?id=1UCYsFcfdCkQbSjAfAGs7hvKdplw9pvJo</v>
      </c>
      <c r="L134" s="69" t="str">
        <f ca="1">IFERROR(__xludf.DUMMYFUNCTION("""COMPUTED_VALUE"""),"2018-2022")</f>
        <v>2018-2022</v>
      </c>
      <c r="M134" s="69" t="str">
        <f ca="1">IFERROR(__xludf.DUMMYFUNCTION("""COMPUTED_VALUE"""),"S4: Student Certifications")</f>
        <v>S4: Student Certifications</v>
      </c>
      <c r="N134" s="69" t="str">
        <f ca="1">IFERROR(__xludf.DUMMYFUNCTION("""COMPUTED_VALUE"""),"subhash12345696@gmail.com")</f>
        <v>subhash12345696@gmail.com</v>
      </c>
      <c r="O134" s="69" t="str">
        <f ca="1">IFERROR(__xludf.DUMMYFUNCTION("""COMPUTED_VALUE"""),"SEM-8")</f>
        <v>SEM-8</v>
      </c>
      <c r="P134" s="69"/>
      <c r="Q134" s="69"/>
      <c r="R134" s="69"/>
      <c r="S134" s="69"/>
      <c r="T134" s="69"/>
      <c r="U134" s="69"/>
      <c r="V134" s="69"/>
      <c r="W134" s="69"/>
      <c r="X134" s="69"/>
      <c r="Y134" s="69"/>
    </row>
    <row r="135" spans="1:25" ht="26.25" customHeight="1" x14ac:dyDescent="0.15">
      <c r="A135" s="69" t="str">
        <f ca="1">IFERROR(__xludf.DUMMYFUNCTION("""COMPUTED_VALUE"""),"SUBHASH VADLANA")</f>
        <v>SUBHASH VADLANA</v>
      </c>
      <c r="B135" s="69" t="str">
        <f ca="1">IFERROR(__xludf.DUMMYFUNCTION("""COMPUTED_VALUE"""),"18331A05G3")</f>
        <v>18331A05G3</v>
      </c>
      <c r="C135" s="81" t="str">
        <f ca="1">IFERROR(__xludf.DUMMYFUNCTION("""COMPUTED_VALUE"""),"Introduction to Packet Tracer")</f>
        <v>Introduction to Packet Tracer</v>
      </c>
      <c r="D135" s="69" t="str">
        <f ca="1">IFERROR(__xludf.DUMMYFUNCTION("""COMPUTED_VALUE"""),"CISCO")</f>
        <v>CISCO</v>
      </c>
      <c r="E135" s="69" t="str">
        <f ca="1">IFERROR(__xludf.DUMMYFUNCTION("""COMPUTED_VALUE"""),"4 weeks")</f>
        <v>4 weeks</v>
      </c>
      <c r="F135" s="82">
        <f ca="1">IFERROR(__xludf.DUMMYFUNCTION("""COMPUTED_VALUE"""),44362)</f>
        <v>44362</v>
      </c>
      <c r="G135" s="82">
        <f ca="1">IFERROR(__xludf.DUMMYFUNCTION("""COMPUTED_VALUE"""),44408)</f>
        <v>44408</v>
      </c>
      <c r="H135" s="74">
        <f ca="1">IFERROR(__xludf.DUMMYFUNCTION("""COMPUTED_VALUE"""),44385)</f>
        <v>44385</v>
      </c>
      <c r="I135" s="83">
        <f ca="1">IFERROR(__xludf.DUMMYFUNCTION("""COMPUTED_VALUE"""),80)</f>
        <v>80</v>
      </c>
      <c r="J135" s="69" t="str">
        <f ca="1">IFERROR(__xludf.DUMMYFUNCTION("""COMPUTED_VALUE"""),"DR. RAVI KIRAN VARMA PENMATSA")</f>
        <v>DR. RAVI KIRAN VARMA PENMATSA</v>
      </c>
      <c r="K135" s="75" t="str">
        <f ca="1">IFERROR(__xludf.DUMMYFUNCTION("""COMPUTED_VALUE"""),"https://drive.google.com/open?id=1yH6xTcHoOf9YKgRhzLt1vsdSEVe9vBnF")</f>
        <v>https://drive.google.com/open?id=1yH6xTcHoOf9YKgRhzLt1vsdSEVe9vBnF</v>
      </c>
      <c r="L135" s="69" t="str">
        <f ca="1">IFERROR(__xludf.DUMMYFUNCTION("""COMPUTED_VALUE"""),"2018-2022")</f>
        <v>2018-2022</v>
      </c>
      <c r="M135" s="69" t="str">
        <f ca="1">IFERROR(__xludf.DUMMYFUNCTION("""COMPUTED_VALUE"""),"S4: Student Certifications")</f>
        <v>S4: Student Certifications</v>
      </c>
      <c r="N135" s="69" t="str">
        <f ca="1">IFERROR(__xludf.DUMMYFUNCTION("""COMPUTED_VALUE"""),"subhash12345696@gmail.com")</f>
        <v>subhash12345696@gmail.com</v>
      </c>
      <c r="O135" s="69" t="str">
        <f ca="1">IFERROR(__xludf.DUMMYFUNCTION("""COMPUTED_VALUE"""),"SEM-8")</f>
        <v>SEM-8</v>
      </c>
      <c r="P135" s="69"/>
      <c r="Q135" s="69"/>
      <c r="R135" s="69"/>
      <c r="S135" s="69"/>
      <c r="T135" s="69"/>
      <c r="U135" s="69"/>
      <c r="V135" s="69"/>
      <c r="W135" s="69"/>
      <c r="X135" s="69"/>
      <c r="Y135" s="69"/>
    </row>
    <row r="136" spans="1:25" ht="26.25" customHeight="1" x14ac:dyDescent="0.15">
      <c r="A136" s="69" t="str">
        <f ca="1">IFERROR(__xludf.DUMMYFUNCTION("""COMPUTED_VALUE"""),"SUBHASH VADLANA")</f>
        <v>SUBHASH VADLANA</v>
      </c>
      <c r="B136" s="69" t="str">
        <f ca="1">IFERROR(__xludf.DUMMYFUNCTION("""COMPUTED_VALUE"""),"18331A05G3")</f>
        <v>18331A05G3</v>
      </c>
      <c r="C136" s="81" t="str">
        <f ca="1">IFERROR(__xludf.DUMMYFUNCTION("""COMPUTED_VALUE"""),"Introduction to Cybersecurity")</f>
        <v>Introduction to Cybersecurity</v>
      </c>
      <c r="D136" s="69" t="str">
        <f ca="1">IFERROR(__xludf.DUMMYFUNCTION("""COMPUTED_VALUE"""),"CISCO")</f>
        <v>CISCO</v>
      </c>
      <c r="E136" s="69" t="str">
        <f ca="1">IFERROR(__xludf.DUMMYFUNCTION("""COMPUTED_VALUE"""),"4 weeks")</f>
        <v>4 weeks</v>
      </c>
      <c r="F136" s="82">
        <f ca="1">IFERROR(__xludf.DUMMYFUNCTION("""COMPUTED_VALUE"""),44311)</f>
        <v>44311</v>
      </c>
      <c r="G136" s="82">
        <f ca="1">IFERROR(__xludf.DUMMYFUNCTION("""COMPUTED_VALUE"""),44347)</f>
        <v>44347</v>
      </c>
      <c r="H136" s="74">
        <f ca="1">IFERROR(__xludf.DUMMYFUNCTION("""COMPUTED_VALUE"""),44336)</f>
        <v>44336</v>
      </c>
      <c r="I136" s="83">
        <f ca="1">IFERROR(__xludf.DUMMYFUNCTION("""COMPUTED_VALUE"""),80)</f>
        <v>80</v>
      </c>
      <c r="J136" s="69" t="str">
        <f ca="1">IFERROR(__xludf.DUMMYFUNCTION("""COMPUTED_VALUE"""),"DR. RAVI KIRAN VARMA PENMATSA")</f>
        <v>DR. RAVI KIRAN VARMA PENMATSA</v>
      </c>
      <c r="K136" s="75" t="str">
        <f ca="1">IFERROR(__xludf.DUMMYFUNCTION("""COMPUTED_VALUE"""),"https://drive.google.com/open?id=1LhLl8wf-mab2ISMydvdASHJw2x8W0HOp")</f>
        <v>https://drive.google.com/open?id=1LhLl8wf-mab2ISMydvdASHJw2x8W0HOp</v>
      </c>
      <c r="L136" s="69" t="str">
        <f ca="1">IFERROR(__xludf.DUMMYFUNCTION("""COMPUTED_VALUE"""),"2018-2022")</f>
        <v>2018-2022</v>
      </c>
      <c r="M136" s="69" t="str">
        <f ca="1">IFERROR(__xludf.DUMMYFUNCTION("""COMPUTED_VALUE"""),"S4: Student Certifications")</f>
        <v>S4: Student Certifications</v>
      </c>
      <c r="N136" s="69" t="str">
        <f ca="1">IFERROR(__xludf.DUMMYFUNCTION("""COMPUTED_VALUE"""),"subhash12345696@gmail.com")</f>
        <v>subhash12345696@gmail.com</v>
      </c>
      <c r="O136" s="69" t="str">
        <f ca="1">IFERROR(__xludf.DUMMYFUNCTION("""COMPUTED_VALUE"""),"SEM-8")</f>
        <v>SEM-8</v>
      </c>
      <c r="P136" s="69"/>
      <c r="Q136" s="69"/>
      <c r="R136" s="69"/>
      <c r="S136" s="69"/>
      <c r="T136" s="69"/>
      <c r="U136" s="69"/>
      <c r="V136" s="69"/>
      <c r="W136" s="69"/>
      <c r="X136" s="69"/>
      <c r="Y136" s="69"/>
    </row>
    <row r="137" spans="1:25" ht="26.25" customHeight="1" x14ac:dyDescent="0.15">
      <c r="A137" s="69" t="str">
        <f ca="1">IFERROR(__xludf.DUMMYFUNCTION("""COMPUTED_VALUE"""),"SUBHASH VADLANA")</f>
        <v>SUBHASH VADLANA</v>
      </c>
      <c r="B137" s="69" t="str">
        <f ca="1">IFERROR(__xludf.DUMMYFUNCTION("""COMPUTED_VALUE"""),"18331A05G3")</f>
        <v>18331A05G3</v>
      </c>
      <c r="C137" s="81" t="str">
        <f ca="1">IFERROR(__xludf.DUMMYFUNCTION("""COMPUTED_VALUE"""),"CCNAv7: Introduction to Networks")</f>
        <v>CCNAv7: Introduction to Networks</v>
      </c>
      <c r="D137" s="69" t="str">
        <f ca="1">IFERROR(__xludf.DUMMYFUNCTION("""COMPUTED_VALUE"""),"CISCO")</f>
        <v>CISCO</v>
      </c>
      <c r="E137" s="69" t="str">
        <f ca="1">IFERROR(__xludf.DUMMYFUNCTION("""COMPUTED_VALUE"""),"6 weeks")</f>
        <v>6 weeks</v>
      </c>
      <c r="F137" s="82">
        <f ca="1">IFERROR(__xludf.DUMMYFUNCTION("""COMPUTED_VALUE"""),43936)</f>
        <v>43936</v>
      </c>
      <c r="G137" s="82">
        <f ca="1">IFERROR(__xludf.DUMMYFUNCTION("""COMPUTED_VALUE"""),43982)</f>
        <v>43982</v>
      </c>
      <c r="H137" s="74">
        <f ca="1">IFERROR(__xludf.DUMMYFUNCTION("""COMPUTED_VALUE"""),43965)</f>
        <v>43965</v>
      </c>
      <c r="I137" s="83">
        <f ca="1">IFERROR(__xludf.DUMMYFUNCTION("""COMPUTED_VALUE"""),80)</f>
        <v>80</v>
      </c>
      <c r="J137" s="69" t="str">
        <f ca="1">IFERROR(__xludf.DUMMYFUNCTION("""COMPUTED_VALUE"""),"DR. RAVI KIRAN VARMA PENMATSA")</f>
        <v>DR. RAVI KIRAN VARMA PENMATSA</v>
      </c>
      <c r="K137" s="75" t="str">
        <f ca="1">IFERROR(__xludf.DUMMYFUNCTION("""COMPUTED_VALUE"""),"https://drive.google.com/open?id=1iwLu_bWwmWVWWsS1xqwK7HIQDR5WiX5h")</f>
        <v>https://drive.google.com/open?id=1iwLu_bWwmWVWWsS1xqwK7HIQDR5WiX5h</v>
      </c>
      <c r="L137" s="69" t="str">
        <f ca="1">IFERROR(__xludf.DUMMYFUNCTION("""COMPUTED_VALUE"""),"2018-2022")</f>
        <v>2018-2022</v>
      </c>
      <c r="M137" s="69" t="str">
        <f ca="1">IFERROR(__xludf.DUMMYFUNCTION("""COMPUTED_VALUE"""),"S4: Student Certifications")</f>
        <v>S4: Student Certifications</v>
      </c>
      <c r="N137" s="69" t="str">
        <f ca="1">IFERROR(__xludf.DUMMYFUNCTION("""COMPUTED_VALUE"""),"subhash12345696@gmail.com")</f>
        <v>subhash12345696@gmail.com</v>
      </c>
      <c r="O137" s="69" t="str">
        <f ca="1">IFERROR(__xludf.DUMMYFUNCTION("""COMPUTED_VALUE"""),"SEM-8")</f>
        <v>SEM-8</v>
      </c>
      <c r="P137" s="69"/>
      <c r="Q137" s="69"/>
      <c r="R137" s="69"/>
      <c r="S137" s="69"/>
      <c r="T137" s="69"/>
      <c r="U137" s="69"/>
      <c r="V137" s="69"/>
      <c r="W137" s="69"/>
      <c r="X137" s="69"/>
      <c r="Y137" s="69"/>
    </row>
    <row r="138" spans="1:25" ht="26.25" customHeight="1" x14ac:dyDescent="0.15">
      <c r="A138" s="69" t="str">
        <f ca="1">IFERROR(__xludf.DUMMYFUNCTION("""COMPUTED_VALUE"""),"SUBHASH VADLANA")</f>
        <v>SUBHASH VADLANA</v>
      </c>
      <c r="B138" s="69" t="str">
        <f ca="1">IFERROR(__xludf.DUMMYFUNCTION("""COMPUTED_VALUE"""),"18331A05G3")</f>
        <v>18331A05G3</v>
      </c>
      <c r="C138" s="81" t="str">
        <f ca="1">IFERROR(__xludf.DUMMYFUNCTION("""COMPUTED_VALUE"""),"CCNAv7: Switching, Routing, and Wireless Essentials")</f>
        <v>CCNAv7: Switching, Routing, and Wireless Essentials</v>
      </c>
      <c r="D138" s="69" t="str">
        <f ca="1">IFERROR(__xludf.DUMMYFUNCTION("""COMPUTED_VALUE"""),"CISCO")</f>
        <v>CISCO</v>
      </c>
      <c r="E138" s="69" t="str">
        <f ca="1">IFERROR(__xludf.DUMMYFUNCTION("""COMPUTED_VALUE"""),"6 weeks")</f>
        <v>6 weeks</v>
      </c>
      <c r="F138" s="82">
        <f ca="1">IFERROR(__xludf.DUMMYFUNCTION("""COMPUTED_VALUE"""),43966)</f>
        <v>43966</v>
      </c>
      <c r="G138" s="82">
        <f ca="1">IFERROR(__xludf.DUMMYFUNCTION("""COMPUTED_VALUE"""),44012)</f>
        <v>44012</v>
      </c>
      <c r="H138" s="74">
        <f ca="1">IFERROR(__xludf.DUMMYFUNCTION("""COMPUTED_VALUE"""),43991)</f>
        <v>43991</v>
      </c>
      <c r="I138" s="83">
        <f ca="1">IFERROR(__xludf.DUMMYFUNCTION("""COMPUTED_VALUE"""),80)</f>
        <v>80</v>
      </c>
      <c r="J138" s="69" t="str">
        <f ca="1">IFERROR(__xludf.DUMMYFUNCTION("""COMPUTED_VALUE"""),"DR. RAVI KIRAN VARMA PENMATSA")</f>
        <v>DR. RAVI KIRAN VARMA PENMATSA</v>
      </c>
      <c r="K138" s="75" t="str">
        <f ca="1">IFERROR(__xludf.DUMMYFUNCTION("""COMPUTED_VALUE"""),"https://drive.google.com/open?id=1UUOc2bc6eY3QzSTHXsUfbAZ3XLFm1tgt")</f>
        <v>https://drive.google.com/open?id=1UUOc2bc6eY3QzSTHXsUfbAZ3XLFm1tgt</v>
      </c>
      <c r="L138" s="69" t="str">
        <f ca="1">IFERROR(__xludf.DUMMYFUNCTION("""COMPUTED_VALUE"""),"2018-2022")</f>
        <v>2018-2022</v>
      </c>
      <c r="M138" s="69" t="str">
        <f ca="1">IFERROR(__xludf.DUMMYFUNCTION("""COMPUTED_VALUE"""),"S4: Student Certifications")</f>
        <v>S4: Student Certifications</v>
      </c>
      <c r="N138" s="69" t="str">
        <f ca="1">IFERROR(__xludf.DUMMYFUNCTION("""COMPUTED_VALUE"""),"subhash12345696@gmail.com")</f>
        <v>subhash12345696@gmail.com</v>
      </c>
      <c r="O138" s="69" t="str">
        <f ca="1">IFERROR(__xludf.DUMMYFUNCTION("""COMPUTED_VALUE"""),"SEM-8")</f>
        <v>SEM-8</v>
      </c>
      <c r="P138" s="69"/>
      <c r="Q138" s="69"/>
      <c r="R138" s="69"/>
      <c r="S138" s="69"/>
      <c r="T138" s="69"/>
      <c r="U138" s="69"/>
      <c r="V138" s="69"/>
      <c r="W138" s="69"/>
      <c r="X138" s="69"/>
      <c r="Y138" s="69"/>
    </row>
    <row r="139" spans="1:25" ht="26.25" customHeight="1" x14ac:dyDescent="0.15">
      <c r="A139" s="69" t="str">
        <f ca="1">IFERROR(__xludf.DUMMYFUNCTION("""COMPUTED_VALUE"""),"SUBHASH VADLANA")</f>
        <v>SUBHASH VADLANA</v>
      </c>
      <c r="B139" s="69" t="str">
        <f ca="1">IFERROR(__xludf.DUMMYFUNCTION("""COMPUTED_VALUE"""),"18331A05G3")</f>
        <v>18331A05G3</v>
      </c>
      <c r="C139" s="81" t="str">
        <f ca="1">IFERROR(__xludf.DUMMYFUNCTION("""COMPUTED_VALUE"""),"CCNAv7: Enterprise Networking, Security, and Automation")</f>
        <v>CCNAv7: Enterprise Networking, Security, and Automation</v>
      </c>
      <c r="D139" s="69" t="str">
        <f ca="1">IFERROR(__xludf.DUMMYFUNCTION("""COMPUTED_VALUE"""),"CISCO")</f>
        <v>CISCO</v>
      </c>
      <c r="E139" s="69" t="str">
        <f ca="1">IFERROR(__xludf.DUMMYFUNCTION("""COMPUTED_VALUE"""),"6 weeks")</f>
        <v>6 weeks</v>
      </c>
      <c r="F139" s="82">
        <f ca="1">IFERROR(__xludf.DUMMYFUNCTION("""COMPUTED_VALUE"""),44012)</f>
        <v>44012</v>
      </c>
      <c r="G139" s="82">
        <f ca="1">IFERROR(__xludf.DUMMYFUNCTION("""COMPUTED_VALUE"""),44043)</f>
        <v>44043</v>
      </c>
      <c r="H139" s="74">
        <f ca="1">IFERROR(__xludf.DUMMYFUNCTION("""COMPUTED_VALUE"""),44025)</f>
        <v>44025</v>
      </c>
      <c r="I139" s="83">
        <f ca="1">IFERROR(__xludf.DUMMYFUNCTION("""COMPUTED_VALUE"""),80)</f>
        <v>80</v>
      </c>
      <c r="J139" s="69" t="str">
        <f ca="1">IFERROR(__xludf.DUMMYFUNCTION("""COMPUTED_VALUE"""),"DR. RAVI KIRAN VARMA PENMATSA")</f>
        <v>DR. RAVI KIRAN VARMA PENMATSA</v>
      </c>
      <c r="K139" s="75" t="str">
        <f ca="1">IFERROR(__xludf.DUMMYFUNCTION("""COMPUTED_VALUE"""),"https://drive.google.com/open?id=1jBcezeHcAVh8Ra03iYZ5Gb6UyE3hDAEu")</f>
        <v>https://drive.google.com/open?id=1jBcezeHcAVh8Ra03iYZ5Gb6UyE3hDAEu</v>
      </c>
      <c r="L139" s="69" t="str">
        <f ca="1">IFERROR(__xludf.DUMMYFUNCTION("""COMPUTED_VALUE"""),"2018-2022")</f>
        <v>2018-2022</v>
      </c>
      <c r="M139" s="69" t="str">
        <f ca="1">IFERROR(__xludf.DUMMYFUNCTION("""COMPUTED_VALUE"""),"S4: Student Certifications")</f>
        <v>S4: Student Certifications</v>
      </c>
      <c r="N139" s="69" t="str">
        <f ca="1">IFERROR(__xludf.DUMMYFUNCTION("""COMPUTED_VALUE"""),"subhash12345696@gmail.com")</f>
        <v>subhash12345696@gmail.com</v>
      </c>
      <c r="O139" s="69" t="str">
        <f ca="1">IFERROR(__xludf.DUMMYFUNCTION("""COMPUTED_VALUE"""),"SEM-8")</f>
        <v>SEM-8</v>
      </c>
      <c r="P139" s="69"/>
      <c r="Q139" s="69"/>
      <c r="R139" s="69"/>
      <c r="S139" s="69"/>
      <c r="T139" s="69"/>
      <c r="U139" s="69"/>
      <c r="V139" s="69"/>
      <c r="W139" s="69"/>
      <c r="X139" s="69"/>
      <c r="Y139" s="69"/>
    </row>
    <row r="140" spans="1:25" ht="26.25" customHeight="1" x14ac:dyDescent="0.15">
      <c r="A140" s="69" t="str">
        <f ca="1">IFERROR(__xludf.DUMMYFUNCTION("""COMPUTED_VALUE"""),"SUBHASH VADLANA")</f>
        <v>SUBHASH VADLANA</v>
      </c>
      <c r="B140" s="69" t="str">
        <f ca="1">IFERROR(__xludf.DUMMYFUNCTION("""COMPUTED_VALUE"""),"18331A05G3")</f>
        <v>18331A05G3</v>
      </c>
      <c r="C140" s="81" t="str">
        <f ca="1">IFERROR(__xludf.DUMMYFUNCTION("""COMPUTED_VALUE"""),"Cybersecurity Essentials")</f>
        <v>Cybersecurity Essentials</v>
      </c>
      <c r="D140" s="69" t="str">
        <f ca="1">IFERROR(__xludf.DUMMYFUNCTION("""COMPUTED_VALUE"""),"CISCO")</f>
        <v>CISCO</v>
      </c>
      <c r="E140" s="69" t="str">
        <f ca="1">IFERROR(__xludf.DUMMYFUNCTION("""COMPUTED_VALUE"""),"4 weeks")</f>
        <v>4 weeks</v>
      </c>
      <c r="F140" s="82">
        <f ca="1">IFERROR(__xludf.DUMMYFUNCTION("""COMPUTED_VALUE"""),43641)</f>
        <v>43641</v>
      </c>
      <c r="G140" s="82">
        <f ca="1">IFERROR(__xludf.DUMMYFUNCTION("""COMPUTED_VALUE"""),43677)</f>
        <v>43677</v>
      </c>
      <c r="H140" s="74">
        <f ca="1">IFERROR(__xludf.DUMMYFUNCTION("""COMPUTED_VALUE"""),43676)</f>
        <v>43676</v>
      </c>
      <c r="I140" s="83">
        <f ca="1">IFERROR(__xludf.DUMMYFUNCTION("""COMPUTED_VALUE"""),80)</f>
        <v>80</v>
      </c>
      <c r="J140" s="69" t="str">
        <f ca="1">IFERROR(__xludf.DUMMYFUNCTION("""COMPUTED_VALUE"""),"DR. RAVI KIRAN VARMA PENMATSA")</f>
        <v>DR. RAVI KIRAN VARMA PENMATSA</v>
      </c>
      <c r="K140" s="75" t="str">
        <f ca="1">IFERROR(__xludf.DUMMYFUNCTION("""COMPUTED_VALUE"""),"https://drive.google.com/open?id=1ma_stHfWBNm3aii_BEU928E9YL2sHdt2")</f>
        <v>https://drive.google.com/open?id=1ma_stHfWBNm3aii_BEU928E9YL2sHdt2</v>
      </c>
      <c r="L140" s="69" t="str">
        <f ca="1">IFERROR(__xludf.DUMMYFUNCTION("""COMPUTED_VALUE"""),"2018-2022")</f>
        <v>2018-2022</v>
      </c>
      <c r="M140" s="69" t="str">
        <f ca="1">IFERROR(__xludf.DUMMYFUNCTION("""COMPUTED_VALUE"""),"S4: Student Certifications")</f>
        <v>S4: Student Certifications</v>
      </c>
      <c r="N140" s="69" t="str">
        <f ca="1">IFERROR(__xludf.DUMMYFUNCTION("""COMPUTED_VALUE"""),"subhash12345696@gmail.com")</f>
        <v>subhash12345696@gmail.com</v>
      </c>
      <c r="O140" s="69" t="str">
        <f ca="1">IFERROR(__xludf.DUMMYFUNCTION("""COMPUTED_VALUE"""),"SEM-8")</f>
        <v>SEM-8</v>
      </c>
      <c r="P140" s="69"/>
      <c r="Q140" s="69"/>
      <c r="R140" s="69"/>
      <c r="S140" s="69"/>
      <c r="T140" s="69"/>
      <c r="U140" s="69"/>
      <c r="V140" s="69"/>
      <c r="W140" s="69"/>
      <c r="X140" s="69"/>
      <c r="Y140" s="69"/>
    </row>
    <row r="141" spans="1:25" ht="26.25" customHeight="1" x14ac:dyDescent="0.15">
      <c r="A141" s="9" t="str">
        <f ca="1">IFERROR(__xludf.DUMMYFUNCTION("""COMPUTED_VALUE"""),"YASHWANTH BOGGARAPU")</f>
        <v>YASHWANTH BOGGARAPU</v>
      </c>
      <c r="B141" s="9" t="str">
        <f ca="1">IFERROR(__xludf.DUMMYFUNCTION("""COMPUTED_VALUE"""),"18331A0517")</f>
        <v>18331A0517</v>
      </c>
      <c r="C141" s="78" t="str">
        <f ca="1">IFERROR(__xludf.DUMMYFUNCTION("""COMPUTED_VALUE"""),"Python Data Structures")</f>
        <v>Python Data Structures</v>
      </c>
      <c r="D141" s="9" t="str">
        <f ca="1">IFERROR(__xludf.DUMMYFUNCTION("""COMPUTED_VALUE"""),"Course era")</f>
        <v>Course era</v>
      </c>
      <c r="E141" s="9" t="str">
        <f ca="1">IFERROR(__xludf.DUMMYFUNCTION("""COMPUTED_VALUE"""),"2 months")</f>
        <v>2 months</v>
      </c>
      <c r="F141" s="79">
        <f ca="1">IFERROR(__xludf.DUMMYFUNCTION("""COMPUTED_VALUE"""),43908)</f>
        <v>43908</v>
      </c>
      <c r="G141" s="79">
        <f ca="1">IFERROR(__xludf.DUMMYFUNCTION("""COMPUTED_VALUE"""),43967)</f>
        <v>43967</v>
      </c>
      <c r="H141" s="72">
        <f ca="1">IFERROR(__xludf.DUMMYFUNCTION("""COMPUTED_VALUE"""),43967)</f>
        <v>43967</v>
      </c>
      <c r="I141" s="80">
        <f ca="1">IFERROR(__xludf.DUMMYFUNCTION("""COMPUTED_VALUE"""),82)</f>
        <v>82</v>
      </c>
      <c r="J141" s="9" t="str">
        <f ca="1">IFERROR(__xludf.DUMMYFUNCTION("""COMPUTED_VALUE"""),"Self Learning")</f>
        <v>Self Learning</v>
      </c>
      <c r="K141" s="73" t="str">
        <f ca="1">IFERROR(__xludf.DUMMYFUNCTION("""COMPUTED_VALUE"""),"https://drive.google.com/open?id=1Dzwq6M6F0MneFVTbr_uNPH4It9kXbuBR")</f>
        <v>https://drive.google.com/open?id=1Dzwq6M6F0MneFVTbr_uNPH4It9kXbuBR</v>
      </c>
      <c r="L141" s="9" t="str">
        <f ca="1">IFERROR(__xludf.DUMMYFUNCTION("""COMPUTED_VALUE"""),"2018-2022")</f>
        <v>2018-2022</v>
      </c>
      <c r="M141" s="9" t="str">
        <f ca="1">IFERROR(__xludf.DUMMYFUNCTION("""COMPUTED_VALUE"""),"S4: Student Certifications")</f>
        <v>S4: Student Certifications</v>
      </c>
      <c r="N141" s="9" t="str">
        <f ca="1">IFERROR(__xludf.DUMMYFUNCTION("""COMPUTED_VALUE"""),"yashwanthboggarapu2000@gmail.com")</f>
        <v>yashwanthboggarapu2000@gmail.com</v>
      </c>
      <c r="O141" s="9" t="str">
        <f ca="1">IFERROR(__xludf.DUMMYFUNCTION("""COMPUTED_VALUE"""),"SEM-6")</f>
        <v>SEM-6</v>
      </c>
      <c r="P141" s="9"/>
      <c r="Q141" s="9"/>
      <c r="R141" s="9"/>
      <c r="S141" s="9"/>
      <c r="T141" s="9"/>
      <c r="U141" s="9"/>
      <c r="V141" s="9"/>
      <c r="W141" s="9"/>
      <c r="X141" s="9"/>
      <c r="Y141" s="9"/>
    </row>
    <row r="142" spans="1:25" ht="26.25" customHeight="1" x14ac:dyDescent="0.15">
      <c r="A142" s="69" t="str">
        <f ca="1">IFERROR(__xludf.DUMMYFUNCTION("""COMPUTED_VALUE"""),"SUBHASH VADLANA")</f>
        <v>SUBHASH VADLANA</v>
      </c>
      <c r="B142" s="69" t="str">
        <f ca="1">IFERROR(__xludf.DUMMYFUNCTION("""COMPUTED_VALUE"""),"18331A05G3")</f>
        <v>18331A05G3</v>
      </c>
      <c r="C142" s="81" t="str">
        <f ca="1">IFERROR(__xludf.DUMMYFUNCTION("""COMPUTED_VALUE"""),"Programming Essentials in C")</f>
        <v>Programming Essentials in C</v>
      </c>
      <c r="D142" s="69" t="str">
        <f ca="1">IFERROR(__xludf.DUMMYFUNCTION("""COMPUTED_VALUE"""),"CISCO")</f>
        <v>CISCO</v>
      </c>
      <c r="E142" s="69" t="str">
        <f ca="1">IFERROR(__xludf.DUMMYFUNCTION("""COMPUTED_VALUE"""),"6 weeks")</f>
        <v>6 weeks</v>
      </c>
      <c r="F142" s="82">
        <f ca="1">IFERROR(__xludf.DUMMYFUNCTION("""COMPUTED_VALUE"""),43549)</f>
        <v>43549</v>
      </c>
      <c r="G142" s="82">
        <f ca="1">IFERROR(__xludf.DUMMYFUNCTION("""COMPUTED_VALUE"""),43600)</f>
        <v>43600</v>
      </c>
      <c r="H142" s="74">
        <f ca="1">IFERROR(__xludf.DUMMYFUNCTION("""COMPUTED_VALUE"""),43585)</f>
        <v>43585</v>
      </c>
      <c r="I142" s="83">
        <f ca="1">IFERROR(__xludf.DUMMYFUNCTION("""COMPUTED_VALUE"""),80)</f>
        <v>80</v>
      </c>
      <c r="J142" s="69" t="str">
        <f ca="1">IFERROR(__xludf.DUMMYFUNCTION("""COMPUTED_VALUE"""),"DR. RAVI KIRAN VARMA PENMATSA")</f>
        <v>DR. RAVI KIRAN VARMA PENMATSA</v>
      </c>
      <c r="K142" s="75" t="str">
        <f ca="1">IFERROR(__xludf.DUMMYFUNCTION("""COMPUTED_VALUE"""),"https://drive.google.com/open?id=1MECCJigW9kZNViIwA4VPXhY5cUjsAjyS")</f>
        <v>https://drive.google.com/open?id=1MECCJigW9kZNViIwA4VPXhY5cUjsAjyS</v>
      </c>
      <c r="L142" s="69" t="str">
        <f ca="1">IFERROR(__xludf.DUMMYFUNCTION("""COMPUTED_VALUE"""),"2018-2022")</f>
        <v>2018-2022</v>
      </c>
      <c r="M142" s="69" t="str">
        <f ca="1">IFERROR(__xludf.DUMMYFUNCTION("""COMPUTED_VALUE"""),"S4: Student Certifications")</f>
        <v>S4: Student Certifications</v>
      </c>
      <c r="N142" s="69" t="str">
        <f ca="1">IFERROR(__xludf.DUMMYFUNCTION("""COMPUTED_VALUE"""),"subhash12345696@gmail.com")</f>
        <v>subhash12345696@gmail.com</v>
      </c>
      <c r="O142" s="69" t="str">
        <f ca="1">IFERROR(__xludf.DUMMYFUNCTION("""COMPUTED_VALUE"""),"SEM-8")</f>
        <v>SEM-8</v>
      </c>
      <c r="P142" s="69"/>
      <c r="Q142" s="69"/>
      <c r="R142" s="69"/>
      <c r="S142" s="69"/>
      <c r="T142" s="69"/>
      <c r="U142" s="69"/>
      <c r="V142" s="69"/>
      <c r="W142" s="69"/>
      <c r="X142" s="69"/>
      <c r="Y142" s="69"/>
    </row>
    <row r="143" spans="1:25" ht="26.25" customHeight="1" x14ac:dyDescent="0.15">
      <c r="A143" s="9" t="str">
        <f ca="1">IFERROR(__xludf.DUMMYFUNCTION("""COMPUTED_VALUE"""),"Bankupalli Srinidhi")</f>
        <v>Bankupalli Srinidhi</v>
      </c>
      <c r="B143" s="9" t="str">
        <f ca="1">IFERROR(__xludf.DUMMYFUNCTION("""COMPUTED_VALUE"""),"18331A0511")</f>
        <v>18331A0511</v>
      </c>
      <c r="C143" s="78" t="str">
        <f ca="1">IFERROR(__xludf.DUMMYFUNCTION("""COMPUTED_VALUE"""),"Introduction to css, html, JavaScript ")</f>
        <v xml:space="preserve">Introduction to css, html, JavaScript </v>
      </c>
      <c r="D143" s="9" t="str">
        <f ca="1">IFERROR(__xludf.DUMMYFUNCTION("""COMPUTED_VALUE"""),"Coursera")</f>
        <v>Coursera</v>
      </c>
      <c r="E143" s="9" t="str">
        <f ca="1">IFERROR(__xludf.DUMMYFUNCTION("""COMPUTED_VALUE"""),"3")</f>
        <v>3</v>
      </c>
      <c r="F143" s="79">
        <f ca="1">IFERROR(__xludf.DUMMYFUNCTION("""COMPUTED_VALUE"""),43983)</f>
        <v>43983</v>
      </c>
      <c r="G143" s="79">
        <f ca="1">IFERROR(__xludf.DUMMYFUNCTION("""COMPUTED_VALUE"""),44075)</f>
        <v>44075</v>
      </c>
      <c r="H143" s="72">
        <f ca="1">IFERROR(__xludf.DUMMYFUNCTION("""COMPUTED_VALUE"""),44084)</f>
        <v>44084</v>
      </c>
      <c r="I143" s="80">
        <f ca="1">IFERROR(__xludf.DUMMYFUNCTION("""COMPUTED_VALUE"""),80)</f>
        <v>80</v>
      </c>
      <c r="J143" s="9" t="str">
        <f ca="1">IFERROR(__xludf.DUMMYFUNCTION("""COMPUTED_VALUE"""),"MR. Ram santhosh Naidu")</f>
        <v>MR. Ram santhosh Naidu</v>
      </c>
      <c r="K143" s="73" t="str">
        <f ca="1">IFERROR(__xludf.DUMMYFUNCTION("""COMPUTED_VALUE"""),"https://drive.google.com/open?id=1UBOwEJ9I9SCa4QjFoguP6K2cUsxIiAtY")</f>
        <v>https://drive.google.com/open?id=1UBOwEJ9I9SCa4QjFoguP6K2cUsxIiAtY</v>
      </c>
      <c r="L143" s="9" t="str">
        <f ca="1">IFERROR(__xludf.DUMMYFUNCTION("""COMPUTED_VALUE"""),"2018-2022")</f>
        <v>2018-2022</v>
      </c>
      <c r="M143" s="9" t="str">
        <f ca="1">IFERROR(__xludf.DUMMYFUNCTION("""COMPUTED_VALUE"""),"S4: Student Certifications")</f>
        <v>S4: Student Certifications</v>
      </c>
      <c r="N143" s="9" t="str">
        <f ca="1">IFERROR(__xludf.DUMMYFUNCTION("""COMPUTED_VALUE"""),"srinidhivishwanath01@gmail.com")</f>
        <v>srinidhivishwanath01@gmail.com</v>
      </c>
      <c r="O143" s="9" t="str">
        <f ca="1">IFERROR(__xludf.DUMMYFUNCTION("""COMPUTED_VALUE"""),"SEM-8")</f>
        <v>SEM-8</v>
      </c>
      <c r="P143" s="9"/>
      <c r="Q143" s="9"/>
      <c r="R143" s="9"/>
      <c r="S143" s="9"/>
      <c r="T143" s="9"/>
      <c r="U143" s="9"/>
      <c r="V143" s="9"/>
      <c r="W143" s="9"/>
      <c r="X143" s="9"/>
      <c r="Y143" s="9"/>
    </row>
    <row r="144" spans="1:25" ht="26.25" customHeight="1" x14ac:dyDescent="0.15">
      <c r="A144" s="9" t="str">
        <f ca="1">IFERROR(__xludf.DUMMYFUNCTION("""COMPUTED_VALUE"""),"ASHOK KUMAR KORNU")</f>
        <v>ASHOK KUMAR KORNU</v>
      </c>
      <c r="B144" s="9" t="str">
        <f ca="1">IFERROR(__xludf.DUMMYFUNCTION("""COMPUTED_VALUE"""),"19335a0509")</f>
        <v>19335a0509</v>
      </c>
      <c r="C144" s="78" t="str">
        <f ca="1">IFERROR(__xludf.DUMMYFUNCTION("""COMPUTED_VALUE"""),"Cybersecurity Foundation")</f>
        <v>Cybersecurity Foundation</v>
      </c>
      <c r="D144" s="9" t="str">
        <f ca="1">IFERROR(__xludf.DUMMYFUNCTION("""COMPUTED_VALUE"""),"paloalto networks cybersecurity academy")</f>
        <v>paloalto networks cybersecurity academy</v>
      </c>
      <c r="E144" s="9" t="str">
        <f ca="1">IFERROR(__xludf.DUMMYFUNCTION("""COMPUTED_VALUE"""),"1 Month")</f>
        <v>1 Month</v>
      </c>
      <c r="F144" s="79">
        <f ca="1">IFERROR(__xludf.DUMMYFUNCTION("""COMPUTED_VALUE"""),44371)</f>
        <v>44371</v>
      </c>
      <c r="G144" s="79">
        <f ca="1">IFERROR(__xludf.DUMMYFUNCTION("""COMPUTED_VALUE"""),44401)</f>
        <v>44401</v>
      </c>
      <c r="H144" s="72">
        <f ca="1">IFERROR(__xludf.DUMMYFUNCTION("""COMPUTED_VALUE"""),44401)</f>
        <v>44401</v>
      </c>
      <c r="I144" s="80">
        <f ca="1">IFERROR(__xludf.DUMMYFUNCTION("""COMPUTED_VALUE"""),100)</f>
        <v>100</v>
      </c>
      <c r="J144" s="9" t="str">
        <f ca="1">IFERROR(__xludf.DUMMYFUNCTION("""COMPUTED_VALUE"""),"DR. RAVI KIRAN VARMA PENMATSA")</f>
        <v>DR. RAVI KIRAN VARMA PENMATSA</v>
      </c>
      <c r="K144" s="73" t="str">
        <f ca="1">IFERROR(__xludf.DUMMYFUNCTION("""COMPUTED_VALUE"""),"https://drive.google.com/open?id=1gtaQNNyKbecMF1hVt0kUst-Ow5gy0n_U")</f>
        <v>https://drive.google.com/open?id=1gtaQNNyKbecMF1hVt0kUst-Ow5gy0n_U</v>
      </c>
      <c r="L144" s="9" t="str">
        <f ca="1">IFERROR(__xludf.DUMMYFUNCTION("""COMPUTED_VALUE"""),"2019-2023")</f>
        <v>2019-2023</v>
      </c>
      <c r="M144" s="9" t="str">
        <f ca="1">IFERROR(__xludf.DUMMYFUNCTION("""COMPUTED_VALUE"""),"S4: Student Certifications")</f>
        <v>S4: Student Certifications</v>
      </c>
      <c r="N144" s="9" t="str">
        <f ca="1">IFERROR(__xludf.DUMMYFUNCTION("""COMPUTED_VALUE"""),"ashokkumarkornu2000@gmail.com")</f>
        <v>ashokkumarkornu2000@gmail.com</v>
      </c>
      <c r="O144" s="9" t="str">
        <f ca="1">IFERROR(__xludf.DUMMYFUNCTION("""COMPUTED_VALUE"""),"SEM-6")</f>
        <v>SEM-6</v>
      </c>
      <c r="P144" s="9"/>
      <c r="Q144" s="9"/>
      <c r="R144" s="9"/>
      <c r="S144" s="9"/>
      <c r="T144" s="9"/>
      <c r="U144" s="9"/>
      <c r="V144" s="9"/>
      <c r="W144" s="9"/>
      <c r="X144" s="9"/>
      <c r="Y144" s="9"/>
    </row>
    <row r="145" spans="1:25" ht="26.25" customHeight="1" x14ac:dyDescent="0.15">
      <c r="A145" s="69" t="str">
        <f ca="1">IFERROR(__xludf.DUMMYFUNCTION("""COMPUTED_VALUE"""),"Dabbiru Haneesh")</f>
        <v>Dabbiru Haneesh</v>
      </c>
      <c r="B145" s="69" t="str">
        <f ca="1">IFERROR(__xludf.DUMMYFUNCTION("""COMPUTED_VALUE"""),"18331A0528")</f>
        <v>18331A0528</v>
      </c>
      <c r="C145" s="81" t="str">
        <f ca="1">IFERROR(__xludf.DUMMYFUNCTION("""COMPUTED_VALUE"""),"MATLAB Onramp")</f>
        <v>MATLAB Onramp</v>
      </c>
      <c r="D145" s="69" t="str">
        <f ca="1">IFERROR(__xludf.DUMMYFUNCTION("""COMPUTED_VALUE"""),"math works")</f>
        <v>math works</v>
      </c>
      <c r="E145" s="69" t="str">
        <f ca="1">IFERROR(__xludf.DUMMYFUNCTION("""COMPUTED_VALUE"""),"2")</f>
        <v>2</v>
      </c>
      <c r="F145" s="82">
        <f ca="1">IFERROR(__xludf.DUMMYFUNCTION("""COMPUTED_VALUE"""),44166)</f>
        <v>44166</v>
      </c>
      <c r="G145" s="82">
        <f ca="1">IFERROR(__xludf.DUMMYFUNCTION("""COMPUTED_VALUE"""),44239)</f>
        <v>44239</v>
      </c>
      <c r="H145" s="74">
        <f ca="1">IFERROR(__xludf.DUMMYFUNCTION("""COMPUTED_VALUE"""),44239)</f>
        <v>44239</v>
      </c>
      <c r="I145" s="83">
        <f ca="1">IFERROR(__xludf.DUMMYFUNCTION("""COMPUTED_VALUE"""),100)</f>
        <v>100</v>
      </c>
      <c r="J145" s="69" t="str">
        <f ca="1">IFERROR(__xludf.DUMMYFUNCTION("""COMPUTED_VALUE"""),"patnaik sir")</f>
        <v>patnaik sir</v>
      </c>
      <c r="K145" s="75" t="str">
        <f ca="1">IFERROR(__xludf.DUMMYFUNCTION("""COMPUTED_VALUE"""),"https://drive.google.com/open?id=1QcqfuFaHa6H053vRvriHTe-x9DfBwCd5")</f>
        <v>https://drive.google.com/open?id=1QcqfuFaHa6H053vRvriHTe-x9DfBwCd5</v>
      </c>
      <c r="L145" s="69" t="str">
        <f ca="1">IFERROR(__xludf.DUMMYFUNCTION("""COMPUTED_VALUE"""),"2018-2022")</f>
        <v>2018-2022</v>
      </c>
      <c r="M145" s="69" t="str">
        <f ca="1">IFERROR(__xludf.DUMMYFUNCTION("""COMPUTED_VALUE"""),"S4: Student Certifications")</f>
        <v>S4: Student Certifications</v>
      </c>
      <c r="N145" s="69" t="str">
        <f ca="1">IFERROR(__xludf.DUMMYFUNCTION("""COMPUTED_VALUE"""),"dabbiruhaneesh@gmail.com")</f>
        <v>dabbiruhaneesh@gmail.com</v>
      </c>
      <c r="O145" s="69" t="str">
        <f ca="1">IFERROR(__xludf.DUMMYFUNCTION("""COMPUTED_VALUE"""),"SEM-8")</f>
        <v>SEM-8</v>
      </c>
      <c r="P145" s="69"/>
      <c r="Q145" s="69"/>
      <c r="R145" s="69"/>
      <c r="S145" s="69"/>
      <c r="T145" s="69"/>
      <c r="U145" s="69"/>
      <c r="V145" s="69"/>
      <c r="W145" s="69"/>
      <c r="X145" s="69"/>
      <c r="Y145" s="69"/>
    </row>
    <row r="146" spans="1:25" ht="26.25" customHeight="1" x14ac:dyDescent="0.15">
      <c r="A146" s="9" t="str">
        <f ca="1">IFERROR(__xludf.DUMMYFUNCTION("""COMPUTED_VALUE"""),"Arisetty Koulini priya")</f>
        <v>Arisetty Koulini priya</v>
      </c>
      <c r="B146" s="9" t="str">
        <f ca="1">IFERROR(__xludf.DUMMYFUNCTION("""COMPUTED_VALUE"""),"18331A0507")</f>
        <v>18331A0507</v>
      </c>
      <c r="C146" s="78" t="str">
        <f ca="1">IFERROR(__xludf.DUMMYFUNCTION("""COMPUTED_VALUE"""),"introduction to cloud identity,HTML,CSS,JavaScript,wed development,advanced styling with responsive design")</f>
        <v>introduction to cloud identity,HTML,CSS,JavaScript,wed development,advanced styling with responsive design</v>
      </c>
      <c r="D146" s="9" t="str">
        <f ca="1">IFERROR(__xludf.DUMMYFUNCTION("""COMPUTED_VALUE"""),"Google cloud,university of Michigan")</f>
        <v>Google cloud,university of Michigan</v>
      </c>
      <c r="E146" s="9" t="str">
        <f ca="1">IFERROR(__xludf.DUMMYFUNCTION("""COMPUTED_VALUE"""),"3 months")</f>
        <v>3 months</v>
      </c>
      <c r="F146" s="79">
        <f ca="1">IFERROR(__xludf.DUMMYFUNCTION("""COMPUTED_VALUE"""),43983)</f>
        <v>43983</v>
      </c>
      <c r="G146" s="79">
        <f ca="1">IFERROR(__xludf.DUMMYFUNCTION("""COMPUTED_VALUE"""),44075)</f>
        <v>44075</v>
      </c>
      <c r="H146" s="72">
        <f ca="1">IFERROR(__xludf.DUMMYFUNCTION("""COMPUTED_VALUE"""),44084)</f>
        <v>44084</v>
      </c>
      <c r="I146" s="80">
        <f ca="1">IFERROR(__xludf.DUMMYFUNCTION("""COMPUTED_VALUE"""),92)</f>
        <v>92</v>
      </c>
      <c r="J146" s="9" t="str">
        <f ca="1">IFERROR(__xludf.DUMMYFUNCTION("""COMPUTED_VALUE"""),"Lakshman rao")</f>
        <v>Lakshman rao</v>
      </c>
      <c r="K146" s="73" t="str">
        <f ca="1">IFERROR(__xludf.DUMMYFUNCTION("""COMPUTED_VALUE"""),"https://drive.google.com/open?id=1xOtwg-_8p-fxQ4Pa_pf12b4F16TkwHwQ")</f>
        <v>https://drive.google.com/open?id=1xOtwg-_8p-fxQ4Pa_pf12b4F16TkwHwQ</v>
      </c>
      <c r="L146" s="9" t="str">
        <f ca="1">IFERROR(__xludf.DUMMYFUNCTION("""COMPUTED_VALUE"""),"2018-2022")</f>
        <v>2018-2022</v>
      </c>
      <c r="M146" s="9" t="str">
        <f ca="1">IFERROR(__xludf.DUMMYFUNCTION("""COMPUTED_VALUE"""),"S4: Student Certifications")</f>
        <v>S4: Student Certifications</v>
      </c>
      <c r="N146" s="9" t="str">
        <f ca="1">IFERROR(__xludf.DUMMYFUNCTION("""COMPUTED_VALUE"""),"koulinipriya984984@gmail.com")</f>
        <v>koulinipriya984984@gmail.com</v>
      </c>
      <c r="O146" s="9" t="str">
        <f ca="1">IFERROR(__xludf.DUMMYFUNCTION("""COMPUTED_VALUE"""),"SEM-8")</f>
        <v>SEM-8</v>
      </c>
      <c r="P146" s="9"/>
      <c r="Q146" s="9"/>
      <c r="R146" s="9"/>
      <c r="S146" s="9"/>
      <c r="T146" s="9"/>
      <c r="U146" s="9"/>
      <c r="V146" s="9"/>
      <c r="W146" s="9"/>
      <c r="X146" s="9"/>
      <c r="Y146" s="9"/>
    </row>
    <row r="147" spans="1:25" ht="26.25" customHeight="1" x14ac:dyDescent="0.15">
      <c r="A147" s="9" t="str">
        <f ca="1">IFERROR(__xludf.DUMMYFUNCTION("""COMPUTED_VALUE"""),"Dabbiru Haneesh")</f>
        <v>Dabbiru Haneesh</v>
      </c>
      <c r="B147" s="9" t="str">
        <f ca="1">IFERROR(__xludf.DUMMYFUNCTION("""COMPUTED_VALUE"""),"18331A0528")</f>
        <v>18331A0528</v>
      </c>
      <c r="C147" s="78" t="str">
        <f ca="1">IFERROR(__xludf.DUMMYFUNCTION("""COMPUTED_VALUE"""),"python(Basic)")</f>
        <v>python(Basic)</v>
      </c>
      <c r="D147" s="9" t="str">
        <f ca="1">IFERROR(__xludf.DUMMYFUNCTION("""COMPUTED_VALUE"""),"hackerrank")</f>
        <v>hackerrank</v>
      </c>
      <c r="E147" s="9" t="str">
        <f ca="1">IFERROR(__xludf.DUMMYFUNCTION("""COMPUTED_VALUE"""),"0")</f>
        <v>0</v>
      </c>
      <c r="F147" s="79">
        <f ca="1">IFERROR(__xludf.DUMMYFUNCTION("""COMPUTED_VALUE"""),43991)</f>
        <v>43991</v>
      </c>
      <c r="G147" s="79">
        <f ca="1">IFERROR(__xludf.DUMMYFUNCTION("""COMPUTED_VALUE"""),43991)</f>
        <v>43991</v>
      </c>
      <c r="H147" s="72">
        <f ca="1">IFERROR(__xludf.DUMMYFUNCTION("""COMPUTED_VALUE"""),43991)</f>
        <v>43991</v>
      </c>
      <c r="I147" s="80">
        <f ca="1">IFERROR(__xludf.DUMMYFUNCTION("""COMPUTED_VALUE"""),100)</f>
        <v>100</v>
      </c>
      <c r="J147" s="9" t="str">
        <f ca="1">IFERROR(__xludf.DUMMYFUNCTION("""COMPUTED_VALUE"""),"None")</f>
        <v>None</v>
      </c>
      <c r="K147" s="73" t="str">
        <f ca="1">IFERROR(__xludf.DUMMYFUNCTION("""COMPUTED_VALUE"""),"https://drive.google.com/open?id=15V76iEt4CxmdQlVon3hNfEC99jdl_76T")</f>
        <v>https://drive.google.com/open?id=15V76iEt4CxmdQlVon3hNfEC99jdl_76T</v>
      </c>
      <c r="L147" s="9" t="str">
        <f ca="1">IFERROR(__xludf.DUMMYFUNCTION("""COMPUTED_VALUE"""),"2018-2022")</f>
        <v>2018-2022</v>
      </c>
      <c r="M147" s="9" t="str">
        <f ca="1">IFERROR(__xludf.DUMMYFUNCTION("""COMPUTED_VALUE"""),"S4: Student Certifications")</f>
        <v>S4: Student Certifications</v>
      </c>
      <c r="N147" s="9" t="str">
        <f ca="1">IFERROR(__xludf.DUMMYFUNCTION("""COMPUTED_VALUE"""),"dabbiruhaneesh@gmail.com")</f>
        <v>dabbiruhaneesh@gmail.com</v>
      </c>
      <c r="O147" s="9" t="str">
        <f ca="1">IFERROR(__xludf.DUMMYFUNCTION("""COMPUTED_VALUE"""),"SEM-8")</f>
        <v>SEM-8</v>
      </c>
      <c r="P147" s="9"/>
      <c r="Q147" s="9"/>
      <c r="R147" s="9"/>
      <c r="S147" s="9"/>
      <c r="T147" s="9"/>
      <c r="U147" s="9"/>
      <c r="V147" s="9"/>
      <c r="W147" s="9"/>
      <c r="X147" s="9"/>
      <c r="Y147" s="9"/>
    </row>
    <row r="148" spans="1:25" ht="26.25" customHeight="1" x14ac:dyDescent="0.15">
      <c r="A148" s="9" t="str">
        <f ca="1">IFERROR(__xludf.DUMMYFUNCTION("""COMPUTED_VALUE"""),"UMANANDAN SAGAR CHUKKA")</f>
        <v>UMANANDAN SAGAR CHUKKA</v>
      </c>
      <c r="B148" s="9" t="str">
        <f ca="1">IFERROR(__xludf.DUMMYFUNCTION("""COMPUTED_VALUE"""),"18331A05G1")</f>
        <v>18331A05G1</v>
      </c>
      <c r="C148" s="78" t="str">
        <f ca="1">IFERROR(__xludf.DUMMYFUNCTION("""COMPUTED_VALUE"""),"Cybersecurity Essentials")</f>
        <v>Cybersecurity Essentials</v>
      </c>
      <c r="D148" s="9" t="str">
        <f ca="1">IFERROR(__xludf.DUMMYFUNCTION("""COMPUTED_VALUE"""),"cisco")</f>
        <v>cisco</v>
      </c>
      <c r="E148" s="9" t="str">
        <f ca="1">IFERROR(__xludf.DUMMYFUNCTION("""COMPUTED_VALUE"""),"8 weeks")</f>
        <v>8 weeks</v>
      </c>
      <c r="F148" s="79">
        <f ca="1">IFERROR(__xludf.DUMMYFUNCTION("""COMPUTED_VALUE"""),43615)</f>
        <v>43615</v>
      </c>
      <c r="G148" s="79">
        <f ca="1">IFERROR(__xludf.DUMMYFUNCTION("""COMPUTED_VALUE"""),44660)</f>
        <v>44660</v>
      </c>
      <c r="H148" s="72">
        <f ca="1">IFERROR(__xludf.DUMMYFUNCTION("""COMPUTED_VALUE"""),43677)</f>
        <v>43677</v>
      </c>
      <c r="I148" s="80">
        <f ca="1">IFERROR(__xludf.DUMMYFUNCTION("""COMPUTED_VALUE"""),100)</f>
        <v>100</v>
      </c>
      <c r="J148" s="9" t="str">
        <f ca="1">IFERROR(__xludf.DUMMYFUNCTION("""COMPUTED_VALUE"""),"Dr,Ravi Kiran Varma Penmatsa")</f>
        <v>Dr,Ravi Kiran Varma Penmatsa</v>
      </c>
      <c r="K148" s="73" t="str">
        <f ca="1">IFERROR(__xludf.DUMMYFUNCTION("""COMPUTED_VALUE"""),"https://drive.google.com/open?id=1GfiUIYmtc5lHuKVXjJFvcD_dMpiJydpn")</f>
        <v>https://drive.google.com/open?id=1GfiUIYmtc5lHuKVXjJFvcD_dMpiJydpn</v>
      </c>
      <c r="L148" s="9" t="str">
        <f ca="1">IFERROR(__xludf.DUMMYFUNCTION("""COMPUTED_VALUE"""),"2018-2022")</f>
        <v>2018-2022</v>
      </c>
      <c r="M148" s="9" t="str">
        <f ca="1">IFERROR(__xludf.DUMMYFUNCTION("""COMPUTED_VALUE"""),"S4: Student Certifications")</f>
        <v>S4: Student Certifications</v>
      </c>
      <c r="N148" s="9" t="str">
        <f ca="1">IFERROR(__xludf.DUMMYFUNCTION("""COMPUTED_VALUE"""),"cusagar@gmail.com")</f>
        <v>cusagar@gmail.com</v>
      </c>
      <c r="O148" s="9" t="str">
        <f ca="1">IFERROR(__xludf.DUMMYFUNCTION("""COMPUTED_VALUE"""),"SEM-8")</f>
        <v>SEM-8</v>
      </c>
      <c r="P148" s="9"/>
      <c r="Q148" s="9"/>
      <c r="R148" s="9"/>
      <c r="S148" s="9"/>
      <c r="T148" s="9"/>
      <c r="U148" s="9"/>
      <c r="V148" s="9"/>
      <c r="W148" s="9"/>
      <c r="X148" s="9"/>
      <c r="Y148" s="9"/>
    </row>
    <row r="149" spans="1:25" ht="26.25" customHeight="1" x14ac:dyDescent="0.15">
      <c r="A149" s="9" t="str">
        <f ca="1">IFERROR(__xludf.DUMMYFUNCTION("""COMPUTED_VALUE"""),"ASHOK KUMAR KORNU")</f>
        <v>ASHOK KUMAR KORNU</v>
      </c>
      <c r="B149" s="9" t="str">
        <f ca="1">IFERROR(__xludf.DUMMYFUNCTION("""COMPUTED_VALUE"""),"19335A0509")</f>
        <v>19335A0509</v>
      </c>
      <c r="C149" s="78" t="str">
        <f ca="1">IFERROR(__xludf.DUMMYFUNCTION("""COMPUTED_VALUE"""),"Red Hat System Administration I (RH124)")</f>
        <v>Red Hat System Administration I (RH124)</v>
      </c>
      <c r="D149" s="9" t="str">
        <f ca="1">IFERROR(__xludf.DUMMYFUNCTION("""COMPUTED_VALUE"""),"AICTE")</f>
        <v>AICTE</v>
      </c>
      <c r="E149" s="9" t="str">
        <f ca="1">IFERROR(__xludf.DUMMYFUNCTION("""COMPUTED_VALUE"""),"1 Months")</f>
        <v>1 Months</v>
      </c>
      <c r="F149" s="79">
        <f ca="1">IFERROR(__xludf.DUMMYFUNCTION("""COMPUTED_VALUE"""),44652)</f>
        <v>44652</v>
      </c>
      <c r="G149" s="79">
        <f ca="1">IFERROR(__xludf.DUMMYFUNCTION("""COMPUTED_VALUE"""),44681)</f>
        <v>44681</v>
      </c>
      <c r="H149" s="72">
        <f ca="1">IFERROR(__xludf.DUMMYFUNCTION("""COMPUTED_VALUE"""),44624)</f>
        <v>44624</v>
      </c>
      <c r="I149" s="80">
        <f ca="1">IFERROR(__xludf.DUMMYFUNCTION("""COMPUTED_VALUE"""),100)</f>
        <v>100</v>
      </c>
      <c r="J149" s="9" t="str">
        <f ca="1">IFERROR(__xludf.DUMMYFUNCTION("""COMPUTED_VALUE"""),"Subba Raju K V")</f>
        <v>Subba Raju K V</v>
      </c>
      <c r="K149" s="73" t="str">
        <f ca="1">IFERROR(__xludf.DUMMYFUNCTION("""COMPUTED_VALUE"""),"https://drive.google.com/open?id=1mDHA3t9wZzaCRSYZW_V_mQyWBk9Pz8ex")</f>
        <v>https://drive.google.com/open?id=1mDHA3t9wZzaCRSYZW_V_mQyWBk9Pz8ex</v>
      </c>
      <c r="L149" s="9" t="str">
        <f ca="1">IFERROR(__xludf.DUMMYFUNCTION("""COMPUTED_VALUE"""),"2018-2022")</f>
        <v>2018-2022</v>
      </c>
      <c r="M149" s="9" t="str">
        <f ca="1">IFERROR(__xludf.DUMMYFUNCTION("""COMPUTED_VALUE"""),"S4: Student Certifications")</f>
        <v>S4: Student Certifications</v>
      </c>
      <c r="N149" s="9" t="str">
        <f ca="1">IFERROR(__xludf.DUMMYFUNCTION("""COMPUTED_VALUE"""),"ashokkumarkornu2000@gmail.com")</f>
        <v>ashokkumarkornu2000@gmail.com</v>
      </c>
      <c r="O149" s="9" t="str">
        <f ca="1">IFERROR(__xludf.DUMMYFUNCTION("""COMPUTED_VALUE"""),"SEM-8")</f>
        <v>SEM-8</v>
      </c>
      <c r="P149" s="9"/>
      <c r="Q149" s="9"/>
      <c r="R149" s="9"/>
      <c r="S149" s="9"/>
      <c r="T149" s="9"/>
      <c r="U149" s="9"/>
      <c r="V149" s="9"/>
      <c r="W149" s="9"/>
      <c r="X149" s="9"/>
      <c r="Y149" s="9"/>
    </row>
    <row r="150" spans="1:25" ht="26.25" customHeight="1" x14ac:dyDescent="0.15">
      <c r="A150" s="9" t="str">
        <f ca="1">IFERROR(__xludf.DUMMYFUNCTION("""COMPUTED_VALUE"""),"yegireddi sharmila")</f>
        <v>yegireddi sharmila</v>
      </c>
      <c r="B150" s="9" t="str">
        <f ca="1">IFERROR(__xludf.DUMMYFUNCTION("""COMPUTED_VALUE"""),"19335A0519")</f>
        <v>19335A0519</v>
      </c>
      <c r="C150" s="78" t="str">
        <f ca="1">IFERROR(__xludf.DUMMYFUNCTION("""COMPUTED_VALUE"""),"Cisco certification on essential programming in Python")</f>
        <v>Cisco certification on essential programming in Python</v>
      </c>
      <c r="D150" s="9" t="str">
        <f ca="1">IFERROR(__xludf.DUMMYFUNCTION("""COMPUTED_VALUE""")," Subba raju k v ")</f>
        <v xml:space="preserve"> Subba raju k v </v>
      </c>
      <c r="E150" s="9" t="str">
        <f ca="1">IFERROR(__xludf.DUMMYFUNCTION("""COMPUTED_VALUE"""),"2 months")</f>
        <v>2 months</v>
      </c>
      <c r="F150" s="79">
        <f ca="1">IFERROR(__xludf.DUMMYFUNCTION("""COMPUTED_VALUE"""),44322)</f>
        <v>44322</v>
      </c>
      <c r="G150" s="79">
        <f ca="1">IFERROR(__xludf.DUMMYFUNCTION("""COMPUTED_VALUE"""),44353)</f>
        <v>44353</v>
      </c>
      <c r="H150" s="72">
        <f ca="1">IFERROR(__xludf.DUMMYFUNCTION("""COMPUTED_VALUE"""),44383)</f>
        <v>44383</v>
      </c>
      <c r="I150" s="80">
        <f ca="1">IFERROR(__xludf.DUMMYFUNCTION("""COMPUTED_VALUE"""),88)</f>
        <v>88</v>
      </c>
      <c r="J150" s="9" t="str">
        <f ca="1">IFERROR(__xludf.DUMMYFUNCTION("""COMPUTED_VALUE"""),"Subba raju k v ")</f>
        <v xml:space="preserve">Subba raju k v </v>
      </c>
      <c r="K150" s="73" t="str">
        <f ca="1">IFERROR(__xludf.DUMMYFUNCTION("""COMPUTED_VALUE"""),"https://drive.google.com/open?id=1eVFF13KuKupbFEOlXh1v8SIRQmQg4b71")</f>
        <v>https://drive.google.com/open?id=1eVFF13KuKupbFEOlXh1v8SIRQmQg4b71</v>
      </c>
      <c r="L150" s="9" t="str">
        <f ca="1">IFERROR(__xludf.DUMMYFUNCTION("""COMPUTED_VALUE"""),"2018-2022")</f>
        <v>2018-2022</v>
      </c>
      <c r="M150" s="9" t="str">
        <f ca="1">IFERROR(__xludf.DUMMYFUNCTION("""COMPUTED_VALUE"""),"S4: Student Certifications")</f>
        <v>S4: Student Certifications</v>
      </c>
      <c r="N150" s="9" t="str">
        <f ca="1">IFERROR(__xludf.DUMMYFUNCTION("""COMPUTED_VALUE"""),"sharmilayegireddi@gmail.com")</f>
        <v>sharmilayegireddi@gmail.com</v>
      </c>
      <c r="O150" s="9" t="str">
        <f ca="1">IFERROR(__xludf.DUMMYFUNCTION("""COMPUTED_VALUE"""),"SEM-8")</f>
        <v>SEM-8</v>
      </c>
      <c r="P150" s="9"/>
      <c r="Q150" s="9"/>
      <c r="R150" s="9"/>
      <c r="S150" s="9"/>
      <c r="T150" s="9"/>
      <c r="U150" s="9"/>
      <c r="V150" s="9"/>
      <c r="W150" s="9"/>
      <c r="X150" s="9"/>
      <c r="Y150" s="9"/>
    </row>
    <row r="151" spans="1:25" ht="26.25" customHeight="1" x14ac:dyDescent="0.15">
      <c r="A151" s="9" t="str">
        <f ca="1">IFERROR(__xludf.DUMMYFUNCTION("""COMPUTED_VALUE"""),"yegireddi sharmila")</f>
        <v>yegireddi sharmila</v>
      </c>
      <c r="B151" s="9" t="str">
        <f ca="1">IFERROR(__xludf.DUMMYFUNCTION("""COMPUTED_VALUE"""),"19335A0519")</f>
        <v>19335A0519</v>
      </c>
      <c r="C151" s="78" t="str">
        <f ca="1">IFERROR(__xludf.DUMMYFUNCTION("""COMPUTED_VALUE"""),"CCNA on networking")</f>
        <v>CCNA on networking</v>
      </c>
      <c r="D151" s="9" t="str">
        <f ca="1">IFERROR(__xludf.DUMMYFUNCTION("""COMPUTED_VALUE"""),"Mvgr college of engineering")</f>
        <v>Mvgr college of engineering</v>
      </c>
      <c r="E151" s="9" t="str">
        <f ca="1">IFERROR(__xludf.DUMMYFUNCTION("""COMPUTED_VALUE"""),"2 months")</f>
        <v>2 months</v>
      </c>
      <c r="F151" s="79">
        <f ca="1">IFERROR(__xludf.DUMMYFUNCTION("""COMPUTED_VALUE"""),44320)</f>
        <v>44320</v>
      </c>
      <c r="G151" s="79">
        <f ca="1">IFERROR(__xludf.DUMMYFUNCTION("""COMPUTED_VALUE"""),44381)</f>
        <v>44381</v>
      </c>
      <c r="H151" s="72">
        <f ca="1">IFERROR(__xludf.DUMMYFUNCTION("""COMPUTED_VALUE"""),44290)</f>
        <v>44290</v>
      </c>
      <c r="I151" s="80">
        <f ca="1">IFERROR(__xludf.DUMMYFUNCTION("""COMPUTED_VALUE"""),90)</f>
        <v>90</v>
      </c>
      <c r="J151" s="9" t="str">
        <f ca="1">IFERROR(__xludf.DUMMYFUNCTION("""COMPUTED_VALUE"""),"Subba raju k v ")</f>
        <v xml:space="preserve">Subba raju k v </v>
      </c>
      <c r="K151" s="73" t="str">
        <f ca="1">IFERROR(__xludf.DUMMYFUNCTION("""COMPUTED_VALUE"""),"https://drive.google.com/open?id=1w-IsasqP3t24jS8fpAoDARXoUNdVPN0Y")</f>
        <v>https://drive.google.com/open?id=1w-IsasqP3t24jS8fpAoDARXoUNdVPN0Y</v>
      </c>
      <c r="L151" s="9" t="str">
        <f ca="1">IFERROR(__xludf.DUMMYFUNCTION("""COMPUTED_VALUE"""),"2018-2022")</f>
        <v>2018-2022</v>
      </c>
      <c r="M151" s="9" t="str">
        <f ca="1">IFERROR(__xludf.DUMMYFUNCTION("""COMPUTED_VALUE"""),"S4: Student Certifications")</f>
        <v>S4: Student Certifications</v>
      </c>
      <c r="N151" s="9" t="str">
        <f ca="1">IFERROR(__xludf.DUMMYFUNCTION("""COMPUTED_VALUE"""),"sharmilayegireddi@gmail.com")</f>
        <v>sharmilayegireddi@gmail.com</v>
      </c>
      <c r="O151" s="9" t="str">
        <f ca="1">IFERROR(__xludf.DUMMYFUNCTION("""COMPUTED_VALUE"""),"SEM-8")</f>
        <v>SEM-8</v>
      </c>
      <c r="P151" s="9"/>
      <c r="Q151" s="9"/>
      <c r="R151" s="9"/>
      <c r="S151" s="9"/>
      <c r="T151" s="9"/>
      <c r="U151" s="9"/>
      <c r="V151" s="9"/>
      <c r="W151" s="9"/>
      <c r="X151" s="9"/>
      <c r="Y151" s="9"/>
    </row>
    <row r="152" spans="1:25" ht="26.25" customHeight="1" x14ac:dyDescent="0.15">
      <c r="A152" s="9" t="str">
        <f ca="1">IFERROR(__xludf.DUMMYFUNCTION("""COMPUTED_VALUE"""),"ASHOK KUMAR KORNU")</f>
        <v>ASHOK KUMAR KORNU</v>
      </c>
      <c r="B152" s="9" t="str">
        <f ca="1">IFERROR(__xludf.DUMMYFUNCTION("""COMPUTED_VALUE"""),"19335A0509")</f>
        <v>19335A0509</v>
      </c>
      <c r="C152" s="78" t="str">
        <f ca="1">IFERROR(__xludf.DUMMYFUNCTION("""COMPUTED_VALUE"""),"CCNA")</f>
        <v>CCNA</v>
      </c>
      <c r="D152" s="9" t="str">
        <f ca="1">IFERROR(__xludf.DUMMYFUNCTION("""COMPUTED_VALUE"""),"CISCO")</f>
        <v>CISCO</v>
      </c>
      <c r="E152" s="9" t="str">
        <f ca="1">IFERROR(__xludf.DUMMYFUNCTION("""COMPUTED_VALUE"""),"1 Month")</f>
        <v>1 Month</v>
      </c>
      <c r="F152" s="79">
        <f ca="1">IFERROR(__xludf.DUMMYFUNCTION("""COMPUTED_VALUE"""),43928)</f>
        <v>43928</v>
      </c>
      <c r="G152" s="79">
        <f ca="1">IFERROR(__xludf.DUMMYFUNCTION("""COMPUTED_VALUE"""),43958)</f>
        <v>43958</v>
      </c>
      <c r="H152" s="72">
        <f ca="1">IFERROR(__xludf.DUMMYFUNCTION("""COMPUTED_VALUE"""),43958)</f>
        <v>43958</v>
      </c>
      <c r="I152" s="80">
        <f ca="1">IFERROR(__xludf.DUMMYFUNCTION("""COMPUTED_VALUE"""),100)</f>
        <v>100</v>
      </c>
      <c r="J152" s="9" t="str">
        <f ca="1">IFERROR(__xludf.DUMMYFUNCTION("""COMPUTED_VALUE"""),"Subba Raju K V")</f>
        <v>Subba Raju K V</v>
      </c>
      <c r="K152" s="73" t="str">
        <f ca="1">IFERROR(__xludf.DUMMYFUNCTION("""COMPUTED_VALUE"""),"https://drive.google.com/open?id=1pnUEp9JInySqXlPxfO-l_p6EtXy4QLJb")</f>
        <v>https://drive.google.com/open?id=1pnUEp9JInySqXlPxfO-l_p6EtXy4QLJb</v>
      </c>
      <c r="L152" s="9" t="str">
        <f ca="1">IFERROR(__xludf.DUMMYFUNCTION("""COMPUTED_VALUE"""),"2018-2022")</f>
        <v>2018-2022</v>
      </c>
      <c r="M152" s="9" t="str">
        <f ca="1">IFERROR(__xludf.DUMMYFUNCTION("""COMPUTED_VALUE"""),"S4: Student Certifications")</f>
        <v>S4: Student Certifications</v>
      </c>
      <c r="N152" s="9" t="str">
        <f ca="1">IFERROR(__xludf.DUMMYFUNCTION("""COMPUTED_VALUE"""),"ashokkumarkornu2000@gmail.com")</f>
        <v>ashokkumarkornu2000@gmail.com</v>
      </c>
      <c r="O152" s="9" t="str">
        <f ca="1">IFERROR(__xludf.DUMMYFUNCTION("""COMPUTED_VALUE"""),"SEM-4")</f>
        <v>SEM-4</v>
      </c>
      <c r="P152" s="9"/>
      <c r="Q152" s="9"/>
      <c r="R152" s="9"/>
      <c r="S152" s="9"/>
      <c r="T152" s="9"/>
      <c r="U152" s="9"/>
      <c r="V152" s="9"/>
      <c r="W152" s="9"/>
      <c r="X152" s="9"/>
      <c r="Y152" s="9"/>
    </row>
    <row r="153" spans="1:25" ht="26.25" customHeight="1" x14ac:dyDescent="0.15">
      <c r="A153" s="9" t="str">
        <f ca="1">IFERROR(__xludf.DUMMYFUNCTION("""COMPUTED_VALUE"""),"Venkata Jaswanth Potnuru")</f>
        <v>Venkata Jaswanth Potnuru</v>
      </c>
      <c r="B153" s="9" t="str">
        <f ca="1">IFERROR(__xludf.DUMMYFUNCTION("""COMPUTED_VALUE"""),"19335A0513")</f>
        <v>19335A0513</v>
      </c>
      <c r="C153" s="78" t="str">
        <f ca="1">IFERROR(__xludf.DUMMYFUNCTION("""COMPUTED_VALUE"""),"Web Technology")</f>
        <v>Web Technology</v>
      </c>
      <c r="D153" s="9" t="str">
        <f ca="1">IFERROR(__xludf.DUMMYFUNCTION("""COMPUTED_VALUE"""),"ShapeAi")</f>
        <v>ShapeAi</v>
      </c>
      <c r="E153" s="9" t="str">
        <f ca="1">IFERROR(__xludf.DUMMYFUNCTION("""COMPUTED_VALUE"""),"1 Month")</f>
        <v>1 Month</v>
      </c>
      <c r="F153" s="79">
        <f ca="1">IFERROR(__xludf.DUMMYFUNCTION("""COMPUTED_VALUE"""),44420)</f>
        <v>44420</v>
      </c>
      <c r="G153" s="79">
        <f ca="1">IFERROR(__xludf.DUMMYFUNCTION("""COMPUTED_VALUE"""),44451)</f>
        <v>44451</v>
      </c>
      <c r="H153" s="72">
        <f ca="1">IFERROR(__xludf.DUMMYFUNCTION("""COMPUTED_VALUE"""),44451)</f>
        <v>44451</v>
      </c>
      <c r="I153" s="80">
        <f ca="1">IFERROR(__xludf.DUMMYFUNCTION("""COMPUTED_VALUE"""),90)</f>
        <v>90</v>
      </c>
      <c r="J153" s="9" t="str">
        <f ca="1">IFERROR(__xludf.DUMMYFUNCTION("""COMPUTED_VALUE"""),"-")</f>
        <v>-</v>
      </c>
      <c r="K153" s="73" t="str">
        <f ca="1">IFERROR(__xludf.DUMMYFUNCTION("""COMPUTED_VALUE"""),"https://drive.google.com/open?id=1C1cf7JpQvnbLHJbkSl_GcfXU09Em_cL1")</f>
        <v>https://drive.google.com/open?id=1C1cf7JpQvnbLHJbkSl_GcfXU09Em_cL1</v>
      </c>
      <c r="L153" s="9" t="str">
        <f ca="1">IFERROR(__xludf.DUMMYFUNCTION("""COMPUTED_VALUE"""),"2018-2022")</f>
        <v>2018-2022</v>
      </c>
      <c r="M153" s="9" t="str">
        <f ca="1">IFERROR(__xludf.DUMMYFUNCTION("""COMPUTED_VALUE"""),"S4: Student Certifications")</f>
        <v>S4: Student Certifications</v>
      </c>
      <c r="N153" s="9" t="str">
        <f ca="1">IFERROR(__xludf.DUMMYFUNCTION("""COMPUTED_VALUE"""),"venkatajaswanth10@gmail.com")</f>
        <v>venkatajaswanth10@gmail.com</v>
      </c>
      <c r="O153" s="9" t="str">
        <f ca="1">IFERROR(__xludf.DUMMYFUNCTION("""COMPUTED_VALUE"""),"SEM-6")</f>
        <v>SEM-6</v>
      </c>
      <c r="P153" s="9"/>
      <c r="Q153" s="9"/>
      <c r="R153" s="9"/>
      <c r="S153" s="9"/>
      <c r="T153" s="9"/>
      <c r="U153" s="9"/>
      <c r="V153" s="9"/>
      <c r="W153" s="9"/>
      <c r="X153" s="9"/>
      <c r="Y153" s="9"/>
    </row>
    <row r="154" spans="1:25" ht="26.25" customHeight="1" x14ac:dyDescent="0.15">
      <c r="A154" s="9" t="str">
        <f ca="1">IFERROR(__xludf.DUMMYFUNCTION("""COMPUTED_VALUE"""),"Venkata Jaswanth Potnuru")</f>
        <v>Venkata Jaswanth Potnuru</v>
      </c>
      <c r="B154" s="9" t="str">
        <f ca="1">IFERROR(__xludf.DUMMYFUNCTION("""COMPUTED_VALUE"""),"19335A0513")</f>
        <v>19335A0513</v>
      </c>
      <c r="C154" s="78" t="str">
        <f ca="1">IFERROR(__xludf.DUMMYFUNCTION("""COMPUTED_VALUE"""),"Python Programming For Everyone")</f>
        <v>Python Programming For Everyone</v>
      </c>
      <c r="D154" s="9" t="str">
        <f ca="1">IFERROR(__xludf.DUMMYFUNCTION("""COMPUTED_VALUE"""),"Sri Venkateswara College of Engineering &amp; Technology")</f>
        <v>Sri Venkateswara College of Engineering &amp; Technology</v>
      </c>
      <c r="E154" s="9" t="str">
        <f ca="1">IFERROR(__xludf.DUMMYFUNCTION("""COMPUTED_VALUE"""),"1 Day")</f>
        <v>1 Day</v>
      </c>
      <c r="F154" s="79">
        <f ca="1">IFERROR(__xludf.DUMMYFUNCTION("""COMPUTED_VALUE"""),44350)</f>
        <v>44350</v>
      </c>
      <c r="G154" s="79">
        <f ca="1">IFERROR(__xludf.DUMMYFUNCTION("""COMPUTED_VALUE"""),44350)</f>
        <v>44350</v>
      </c>
      <c r="H154" s="72">
        <f ca="1">IFERROR(__xludf.DUMMYFUNCTION("""COMPUTED_VALUE"""),44350)</f>
        <v>44350</v>
      </c>
      <c r="I154" s="80">
        <f ca="1">IFERROR(__xludf.DUMMYFUNCTION("""COMPUTED_VALUE"""),90)</f>
        <v>90</v>
      </c>
      <c r="J154" s="9" t="str">
        <f ca="1">IFERROR(__xludf.DUMMYFUNCTION("""COMPUTED_VALUE"""),"-")</f>
        <v>-</v>
      </c>
      <c r="K154" s="73" t="str">
        <f ca="1">IFERROR(__xludf.DUMMYFUNCTION("""COMPUTED_VALUE"""),"https://drive.google.com/open?id=1Rgp9RcpL0amYzwFCwfvoSHP8-_qz7L8J")</f>
        <v>https://drive.google.com/open?id=1Rgp9RcpL0amYzwFCwfvoSHP8-_qz7L8J</v>
      </c>
      <c r="L154" s="9" t="str">
        <f ca="1">IFERROR(__xludf.DUMMYFUNCTION("""COMPUTED_VALUE"""),"2018-2022")</f>
        <v>2018-2022</v>
      </c>
      <c r="M154" s="9" t="str">
        <f ca="1">IFERROR(__xludf.DUMMYFUNCTION("""COMPUTED_VALUE"""),"S4: Student Certifications")</f>
        <v>S4: Student Certifications</v>
      </c>
      <c r="N154" s="9" t="str">
        <f ca="1">IFERROR(__xludf.DUMMYFUNCTION("""COMPUTED_VALUE"""),"venkatajaswanth10@gmail.com")</f>
        <v>venkatajaswanth10@gmail.com</v>
      </c>
      <c r="O154" s="9" t="str">
        <f ca="1">IFERROR(__xludf.DUMMYFUNCTION("""COMPUTED_VALUE"""),"SEM-5")</f>
        <v>SEM-5</v>
      </c>
      <c r="P154" s="9"/>
      <c r="Q154" s="9"/>
      <c r="R154" s="9"/>
      <c r="S154" s="9"/>
      <c r="T154" s="9"/>
      <c r="U154" s="9"/>
      <c r="V154" s="9"/>
      <c r="W154" s="9"/>
      <c r="X154" s="9"/>
      <c r="Y154" s="9"/>
    </row>
    <row r="155" spans="1:25" ht="26.25" customHeight="1" x14ac:dyDescent="0.15">
      <c r="A155" s="9" t="str">
        <f ca="1">IFERROR(__xludf.DUMMYFUNCTION("""COMPUTED_VALUE"""),"yegireddi sharmila")</f>
        <v>yegireddi sharmila</v>
      </c>
      <c r="B155" s="9" t="str">
        <f ca="1">IFERROR(__xludf.DUMMYFUNCTION("""COMPUTED_VALUE"""),"19335A0519")</f>
        <v>19335A0519</v>
      </c>
      <c r="C155" s="78" t="str">
        <f ca="1">IFERROR(__xludf.DUMMYFUNCTION("""COMPUTED_VALUE"""),"Palo alto on cyber security")</f>
        <v>Palo alto on cyber security</v>
      </c>
      <c r="D155" s="9" t="str">
        <f ca="1">IFERROR(__xludf.DUMMYFUNCTION("""COMPUTED_VALUE"""),"Mvgr college of engineering")</f>
        <v>Mvgr college of engineering</v>
      </c>
      <c r="E155" s="9" t="str">
        <f ca="1">IFERROR(__xludf.DUMMYFUNCTION("""COMPUTED_VALUE"""),"1 month")</f>
        <v>1 month</v>
      </c>
      <c r="F155" s="79">
        <f ca="1">IFERROR(__xludf.DUMMYFUNCTION("""COMPUTED_VALUE"""),44371)</f>
        <v>44371</v>
      </c>
      <c r="G155" s="79">
        <f ca="1">IFERROR(__xludf.DUMMYFUNCTION("""COMPUTED_VALUE"""),44401)</f>
        <v>44401</v>
      </c>
      <c r="H155" s="72">
        <f ca="1">IFERROR(__xludf.DUMMYFUNCTION("""COMPUTED_VALUE"""),44310)</f>
        <v>44310</v>
      </c>
      <c r="I155" s="80">
        <f ca="1">IFERROR(__xludf.DUMMYFUNCTION("""COMPUTED_VALUE"""),91)</f>
        <v>91</v>
      </c>
      <c r="J155" s="9" t="str">
        <f ca="1">IFERROR(__xludf.DUMMYFUNCTION("""COMPUTED_VALUE"""),"Ravi kiran varma")</f>
        <v>Ravi kiran varma</v>
      </c>
      <c r="K155" s="73" t="str">
        <f ca="1">IFERROR(__xludf.DUMMYFUNCTION("""COMPUTED_VALUE"""),"https://drive.google.com/open?id=1nMcjeDp3LFt1z1cRZug48GyfV1fbyZTG")</f>
        <v>https://drive.google.com/open?id=1nMcjeDp3LFt1z1cRZug48GyfV1fbyZTG</v>
      </c>
      <c r="L155" s="9" t="str">
        <f ca="1">IFERROR(__xludf.DUMMYFUNCTION("""COMPUTED_VALUE"""),"2018-2022")</f>
        <v>2018-2022</v>
      </c>
      <c r="M155" s="9" t="str">
        <f ca="1">IFERROR(__xludf.DUMMYFUNCTION("""COMPUTED_VALUE"""),"S4: Student Certifications")</f>
        <v>S4: Student Certifications</v>
      </c>
      <c r="N155" s="9" t="str">
        <f ca="1">IFERROR(__xludf.DUMMYFUNCTION("""COMPUTED_VALUE"""),"sharmilayegireddi@gmail.com")</f>
        <v>sharmilayegireddi@gmail.com</v>
      </c>
      <c r="O155" s="9" t="str">
        <f ca="1">IFERROR(__xludf.DUMMYFUNCTION("""COMPUTED_VALUE"""),"SEM-8")</f>
        <v>SEM-8</v>
      </c>
      <c r="P155" s="9"/>
      <c r="Q155" s="9"/>
      <c r="R155" s="9"/>
      <c r="S155" s="9"/>
      <c r="T155" s="9"/>
      <c r="U155" s="9"/>
      <c r="V155" s="9"/>
      <c r="W155" s="9"/>
      <c r="X155" s="9"/>
      <c r="Y155" s="9"/>
    </row>
    <row r="156" spans="1:25" ht="26.25" customHeight="1" x14ac:dyDescent="0.15">
      <c r="A156" s="9" t="str">
        <f ca="1">IFERROR(__xludf.DUMMYFUNCTION("""COMPUTED_VALUE"""),"ASHOK KUMAR KORNU")</f>
        <v>ASHOK KUMAR KORNU</v>
      </c>
      <c r="B156" s="9" t="str">
        <f ca="1">IFERROR(__xludf.DUMMYFUNCTION("""COMPUTED_VALUE"""),"19335A0509")</f>
        <v>19335A0509</v>
      </c>
      <c r="C156" s="78" t="str">
        <f ca="1">IFERROR(__xludf.DUMMYFUNCTION("""COMPUTED_VALUE"""),"CCNA")</f>
        <v>CCNA</v>
      </c>
      <c r="D156" s="9" t="str">
        <f ca="1">IFERROR(__xludf.DUMMYFUNCTION("""COMPUTED_VALUE"""),"CISCO")</f>
        <v>CISCO</v>
      </c>
      <c r="E156" s="9" t="str">
        <f ca="1">IFERROR(__xludf.DUMMYFUNCTION("""COMPUTED_VALUE"""),"1 Month")</f>
        <v>1 Month</v>
      </c>
      <c r="F156" s="79">
        <f ca="1">IFERROR(__xludf.DUMMYFUNCTION("""COMPUTED_VALUE"""),44287)</f>
        <v>44287</v>
      </c>
      <c r="G156" s="79">
        <f ca="1">IFERROR(__xludf.DUMMYFUNCTION("""COMPUTED_VALUE"""),44317)</f>
        <v>44317</v>
      </c>
      <c r="H156" s="72">
        <f ca="1">IFERROR(__xludf.DUMMYFUNCTION("""COMPUTED_VALUE"""),44317)</f>
        <v>44317</v>
      </c>
      <c r="I156" s="80">
        <f ca="1">IFERROR(__xludf.DUMMYFUNCTION("""COMPUTED_VALUE"""),100)</f>
        <v>100</v>
      </c>
      <c r="J156" s="9" t="str">
        <f ca="1">IFERROR(__xludf.DUMMYFUNCTION("""COMPUTED_VALUE"""),"Subba Raju K V")</f>
        <v>Subba Raju K V</v>
      </c>
      <c r="K156" s="73" t="str">
        <f ca="1">IFERROR(__xludf.DUMMYFUNCTION("""COMPUTED_VALUE"""),"https://drive.google.com/open?id=1_x0w13DUxgU5mRVbSDHa4RMMIgT0_CiY")</f>
        <v>https://drive.google.com/open?id=1_x0w13DUxgU5mRVbSDHa4RMMIgT0_CiY</v>
      </c>
      <c r="L156" s="9" t="str">
        <f ca="1">IFERROR(__xludf.DUMMYFUNCTION("""COMPUTED_VALUE"""),"2018-2022")</f>
        <v>2018-2022</v>
      </c>
      <c r="M156" s="9" t="str">
        <f ca="1">IFERROR(__xludf.DUMMYFUNCTION("""COMPUTED_VALUE"""),"S4: Student Certifications")</f>
        <v>S4: Student Certifications</v>
      </c>
      <c r="N156" s="9" t="str">
        <f ca="1">IFERROR(__xludf.DUMMYFUNCTION("""COMPUTED_VALUE"""),"ashokkumarkornu2000@gmail.com")</f>
        <v>ashokkumarkornu2000@gmail.com</v>
      </c>
      <c r="O156" s="9" t="str">
        <f ca="1">IFERROR(__xludf.DUMMYFUNCTION("""COMPUTED_VALUE"""),"SEM-4")</f>
        <v>SEM-4</v>
      </c>
      <c r="P156" s="9"/>
      <c r="Q156" s="9"/>
      <c r="R156" s="9"/>
      <c r="S156" s="9"/>
      <c r="T156" s="9"/>
      <c r="U156" s="9"/>
      <c r="V156" s="9"/>
      <c r="W156" s="9"/>
      <c r="X156" s="9"/>
      <c r="Y156" s="9"/>
    </row>
    <row r="157" spans="1:25" ht="26.25" customHeight="1" x14ac:dyDescent="0.15">
      <c r="A157" s="9" t="str">
        <f ca="1">IFERROR(__xludf.DUMMYFUNCTION("""COMPUTED_VALUE"""),"ASHOK KUMAR KORNU")</f>
        <v>ASHOK KUMAR KORNU</v>
      </c>
      <c r="B157" s="9" t="str">
        <f ca="1">IFERROR(__xludf.DUMMYFUNCTION("""COMPUTED_VALUE"""),"19335A0509")</f>
        <v>19335A0509</v>
      </c>
      <c r="C157" s="78" t="str">
        <f ca="1">IFERROR(__xludf.DUMMYFUNCTION("""COMPUTED_VALUE"""),"Introduction to Cybersecurity")</f>
        <v>Introduction to Cybersecurity</v>
      </c>
      <c r="D157" s="9" t="str">
        <f ca="1">IFERROR(__xludf.DUMMYFUNCTION("""COMPUTED_VALUE"""),"CISCO")</f>
        <v>CISCO</v>
      </c>
      <c r="E157" s="9" t="str">
        <f ca="1">IFERROR(__xludf.DUMMYFUNCTION("""COMPUTED_VALUE"""),"1 MONTH")</f>
        <v>1 MONTH</v>
      </c>
      <c r="F157" s="79">
        <f ca="1">IFERROR(__xludf.DUMMYFUNCTION("""COMPUTED_VALUE"""),44287)</f>
        <v>44287</v>
      </c>
      <c r="G157" s="79">
        <f ca="1">IFERROR(__xludf.DUMMYFUNCTION("""COMPUTED_VALUE"""),44317)</f>
        <v>44317</v>
      </c>
      <c r="H157" s="72">
        <f ca="1">IFERROR(__xludf.DUMMYFUNCTION("""COMPUTED_VALUE"""),44287)</f>
        <v>44287</v>
      </c>
      <c r="I157" s="80">
        <f ca="1">IFERROR(__xludf.DUMMYFUNCTION("""COMPUTED_VALUE"""),100)</f>
        <v>100</v>
      </c>
      <c r="J157" s="9" t="str">
        <f ca="1">IFERROR(__xludf.DUMMYFUNCTION("""COMPUTED_VALUE"""),"DR. RAVI KIRAN VARMA PENMATSA")</f>
        <v>DR. RAVI KIRAN VARMA PENMATSA</v>
      </c>
      <c r="K157" s="73" t="str">
        <f ca="1">IFERROR(__xludf.DUMMYFUNCTION("""COMPUTED_VALUE"""),"https://drive.google.com/open?id=1vZ6h6NmWY4HXvyOSIHu-uiERHOWH-pa3")</f>
        <v>https://drive.google.com/open?id=1vZ6h6NmWY4HXvyOSIHu-uiERHOWH-pa3</v>
      </c>
      <c r="L157" s="9" t="str">
        <f ca="1">IFERROR(__xludf.DUMMYFUNCTION("""COMPUTED_VALUE"""),"2018-2022")</f>
        <v>2018-2022</v>
      </c>
      <c r="M157" s="9" t="str">
        <f ca="1">IFERROR(__xludf.DUMMYFUNCTION("""COMPUTED_VALUE"""),"S4: Student Certifications")</f>
        <v>S4: Student Certifications</v>
      </c>
      <c r="N157" s="9" t="str">
        <f ca="1">IFERROR(__xludf.DUMMYFUNCTION("""COMPUTED_VALUE"""),"ashokkumarkornu2000@gmail.com")</f>
        <v>ashokkumarkornu2000@gmail.com</v>
      </c>
      <c r="O157" s="9" t="str">
        <f ca="1">IFERROR(__xludf.DUMMYFUNCTION("""COMPUTED_VALUE"""),"SEM-4")</f>
        <v>SEM-4</v>
      </c>
      <c r="P157" s="9"/>
      <c r="Q157" s="9"/>
      <c r="R157" s="9"/>
      <c r="S157" s="9"/>
      <c r="T157" s="9"/>
      <c r="U157" s="9"/>
      <c r="V157" s="9"/>
      <c r="W157" s="9"/>
      <c r="X157" s="9"/>
      <c r="Y157" s="9"/>
    </row>
    <row r="158" spans="1:25" ht="26.25" customHeight="1" x14ac:dyDescent="0.15">
      <c r="A158" s="9" t="str">
        <f ca="1">IFERROR(__xludf.DUMMYFUNCTION("""COMPUTED_VALUE"""),"ASHOK KUMAR KORNU")</f>
        <v>ASHOK KUMAR KORNU</v>
      </c>
      <c r="B158" s="9" t="str">
        <f ca="1">IFERROR(__xludf.DUMMYFUNCTION("""COMPUTED_VALUE"""),"19335A0509")</f>
        <v>19335A0509</v>
      </c>
      <c r="C158" s="78" t="str">
        <f ca="1">IFERROR(__xludf.DUMMYFUNCTION("""COMPUTED_VALUE"""),"Introduction to Packet Tracer")</f>
        <v>Introduction to Packet Tracer</v>
      </c>
      <c r="D158" s="9" t="str">
        <f ca="1">IFERROR(__xludf.DUMMYFUNCTION("""COMPUTED_VALUE"""),"CISCO")</f>
        <v>CISCO</v>
      </c>
      <c r="E158" s="9" t="str">
        <f ca="1">IFERROR(__xludf.DUMMYFUNCTION("""COMPUTED_VALUE"""),"1 MONTH")</f>
        <v>1 MONTH</v>
      </c>
      <c r="F158" s="79">
        <f ca="1">IFERROR(__xludf.DUMMYFUNCTION("""COMPUTED_VALUE"""),44287)</f>
        <v>44287</v>
      </c>
      <c r="G158" s="79">
        <f ca="1">IFERROR(__xludf.DUMMYFUNCTION("""COMPUTED_VALUE"""),44287)</f>
        <v>44287</v>
      </c>
      <c r="H158" s="72">
        <f ca="1">IFERROR(__xludf.DUMMYFUNCTION("""COMPUTED_VALUE"""),44287)</f>
        <v>44287</v>
      </c>
      <c r="I158" s="80">
        <f ca="1">IFERROR(__xludf.DUMMYFUNCTION("""COMPUTED_VALUE"""),100)</f>
        <v>100</v>
      </c>
      <c r="J158" s="9" t="str">
        <f ca="1">IFERROR(__xludf.DUMMYFUNCTION("""COMPUTED_VALUE"""),"DR. RAVI KIRAN VARMA PENMATSA")</f>
        <v>DR. RAVI KIRAN VARMA PENMATSA</v>
      </c>
      <c r="K158" s="73" t="str">
        <f ca="1">IFERROR(__xludf.DUMMYFUNCTION("""COMPUTED_VALUE"""),"https://drive.google.com/open?id=1jdJWtZhz8H41QJNUaf5RtjX52LNo8Api")</f>
        <v>https://drive.google.com/open?id=1jdJWtZhz8H41QJNUaf5RtjX52LNo8Api</v>
      </c>
      <c r="L158" s="9" t="str">
        <f ca="1">IFERROR(__xludf.DUMMYFUNCTION("""COMPUTED_VALUE"""),"2018-2022")</f>
        <v>2018-2022</v>
      </c>
      <c r="M158" s="9" t="str">
        <f ca="1">IFERROR(__xludf.DUMMYFUNCTION("""COMPUTED_VALUE"""),"S4: Student Certifications")</f>
        <v>S4: Student Certifications</v>
      </c>
      <c r="N158" s="9" t="str">
        <f ca="1">IFERROR(__xludf.DUMMYFUNCTION("""COMPUTED_VALUE"""),"ashokkumarkornu2000@gmail.com")</f>
        <v>ashokkumarkornu2000@gmail.com</v>
      </c>
      <c r="O158" s="9" t="str">
        <f ca="1">IFERROR(__xludf.DUMMYFUNCTION("""COMPUTED_VALUE"""),"SEM-4")</f>
        <v>SEM-4</v>
      </c>
      <c r="P158" s="9"/>
      <c r="Q158" s="9"/>
      <c r="R158" s="9"/>
      <c r="S158" s="9"/>
      <c r="T158" s="9"/>
      <c r="U158" s="9"/>
      <c r="V158" s="9"/>
      <c r="W158" s="9"/>
      <c r="X158" s="9"/>
      <c r="Y158" s="9"/>
    </row>
    <row r="159" spans="1:25" ht="26.25" customHeight="1" x14ac:dyDescent="0.15">
      <c r="A159" s="9" t="str">
        <f ca="1">IFERROR(__xludf.DUMMYFUNCTION("""COMPUTED_VALUE"""),"ASHOK KUMAR KORNU")</f>
        <v>ASHOK KUMAR KORNU</v>
      </c>
      <c r="B159" s="9" t="str">
        <f ca="1">IFERROR(__xludf.DUMMYFUNCTION("""COMPUTED_VALUE"""),"19335A0509")</f>
        <v>19335A0509</v>
      </c>
      <c r="C159" s="78" t="str">
        <f ca="1">IFERROR(__xludf.DUMMYFUNCTION("""COMPUTED_VALUE"""),"Coderiders")</f>
        <v>Coderiders</v>
      </c>
      <c r="D159" s="9" t="str">
        <f ca="1">IFERROR(__xludf.DUMMYFUNCTION("""COMPUTED_VALUE"""),"CISCO")</f>
        <v>CISCO</v>
      </c>
      <c r="E159" s="9" t="str">
        <f ca="1">IFERROR(__xludf.DUMMYFUNCTION("""COMPUTED_VALUE"""),"1 MONTH")</f>
        <v>1 MONTH</v>
      </c>
      <c r="F159" s="79">
        <f ca="1">IFERROR(__xludf.DUMMYFUNCTION("""COMPUTED_VALUE"""),44348)</f>
        <v>44348</v>
      </c>
      <c r="G159" s="79">
        <f ca="1">IFERROR(__xludf.DUMMYFUNCTION("""COMPUTED_VALUE"""),44378)</f>
        <v>44378</v>
      </c>
      <c r="H159" s="72">
        <f ca="1">IFERROR(__xludf.DUMMYFUNCTION("""COMPUTED_VALUE"""),44378)</f>
        <v>44378</v>
      </c>
      <c r="I159" s="80">
        <f ca="1">IFERROR(__xludf.DUMMYFUNCTION("""COMPUTED_VALUE"""),100)</f>
        <v>100</v>
      </c>
      <c r="J159" s="9" t="str">
        <f ca="1">IFERROR(__xludf.DUMMYFUNCTION("""COMPUTED_VALUE"""),"NA")</f>
        <v>NA</v>
      </c>
      <c r="K159" s="73" t="str">
        <f ca="1">IFERROR(__xludf.DUMMYFUNCTION("""COMPUTED_VALUE"""),"https://drive.google.com/open?id=1nRDBC7pTdfCiYyaiOh-weXyRCKy4G_dh")</f>
        <v>https://drive.google.com/open?id=1nRDBC7pTdfCiYyaiOh-weXyRCKy4G_dh</v>
      </c>
      <c r="L159" s="9" t="str">
        <f ca="1">IFERROR(__xludf.DUMMYFUNCTION("""COMPUTED_VALUE"""),"2018-2022")</f>
        <v>2018-2022</v>
      </c>
      <c r="M159" s="9" t="str">
        <f ca="1">IFERROR(__xludf.DUMMYFUNCTION("""COMPUTED_VALUE"""),"S4: Student Certifications")</f>
        <v>S4: Student Certifications</v>
      </c>
      <c r="N159" s="9" t="str">
        <f ca="1">IFERROR(__xludf.DUMMYFUNCTION("""COMPUTED_VALUE"""),"ashokkumarkornu2000@gmail.com")</f>
        <v>ashokkumarkornu2000@gmail.com</v>
      </c>
      <c r="O159" s="9" t="str">
        <f ca="1">IFERROR(__xludf.DUMMYFUNCTION("""COMPUTED_VALUE"""),"SEM-5")</f>
        <v>SEM-5</v>
      </c>
      <c r="P159" s="9"/>
      <c r="Q159" s="9"/>
      <c r="R159" s="9"/>
      <c r="S159" s="9"/>
      <c r="T159" s="9"/>
      <c r="U159" s="9"/>
      <c r="V159" s="9"/>
      <c r="W159" s="9"/>
      <c r="X159" s="9"/>
      <c r="Y159" s="9"/>
    </row>
    <row r="160" spans="1:25" ht="26.25" customHeight="1" x14ac:dyDescent="0.15">
      <c r="A160" s="9" t="str">
        <f ca="1">IFERROR(__xludf.DUMMYFUNCTION("""COMPUTED_VALUE"""),"Bankupalli Srinidhi")</f>
        <v>Bankupalli Srinidhi</v>
      </c>
      <c r="B160" s="9" t="str">
        <f ca="1">IFERROR(__xludf.DUMMYFUNCTION("""COMPUTED_VALUE"""),"18331A0511")</f>
        <v>18331A0511</v>
      </c>
      <c r="C160" s="78" t="str">
        <f ca="1">IFERROR(__xludf.DUMMYFUNCTION("""COMPUTED_VALUE"""),"Html")</f>
        <v>Html</v>
      </c>
      <c r="D160" s="9" t="str">
        <f ca="1">IFERROR(__xludf.DUMMYFUNCTION("""COMPUTED_VALUE"""),"Coursera")</f>
        <v>Coursera</v>
      </c>
      <c r="E160" s="9" t="str">
        <f ca="1">IFERROR(__xludf.DUMMYFUNCTION("""COMPUTED_VALUE"""),"3 months ")</f>
        <v xml:space="preserve">3 months </v>
      </c>
      <c r="F160" s="79">
        <f ca="1">IFERROR(__xludf.DUMMYFUNCTION("""COMPUTED_VALUE"""),43983)</f>
        <v>43983</v>
      </c>
      <c r="G160" s="79">
        <f ca="1">IFERROR(__xludf.DUMMYFUNCTION("""COMPUTED_VALUE"""),44075)</f>
        <v>44075</v>
      </c>
      <c r="H160" s="72">
        <f ca="1">IFERROR(__xludf.DUMMYFUNCTION("""COMPUTED_VALUE"""),44084)</f>
        <v>44084</v>
      </c>
      <c r="I160" s="80">
        <f ca="1">IFERROR(__xludf.DUMMYFUNCTION("""COMPUTED_VALUE"""),80)</f>
        <v>80</v>
      </c>
      <c r="J160" s="9" t="str">
        <f ca="1">IFERROR(__xludf.DUMMYFUNCTION("""COMPUTED_VALUE"""),"Ram santhosh naidu ")</f>
        <v xml:space="preserve">Ram santhosh naidu </v>
      </c>
      <c r="K160" s="73" t="str">
        <f ca="1">IFERROR(__xludf.DUMMYFUNCTION("""COMPUTED_VALUE"""),"https://drive.google.com/open?id=10DIYGLHZ9tYfI1fQ5KChqCTvurgWNlZo")</f>
        <v>https://drive.google.com/open?id=10DIYGLHZ9tYfI1fQ5KChqCTvurgWNlZo</v>
      </c>
      <c r="L160" s="9" t="str">
        <f ca="1">IFERROR(__xludf.DUMMYFUNCTION("""COMPUTED_VALUE"""),"2018-2022")</f>
        <v>2018-2022</v>
      </c>
      <c r="M160" s="9" t="str">
        <f ca="1">IFERROR(__xludf.DUMMYFUNCTION("""COMPUTED_VALUE"""),"S4: Student Certifications")</f>
        <v>S4: Student Certifications</v>
      </c>
      <c r="N160" s="9" t="str">
        <f ca="1">IFERROR(__xludf.DUMMYFUNCTION("""COMPUTED_VALUE"""),"srinidhivishwanath01@gmail.com")</f>
        <v>srinidhivishwanath01@gmail.com</v>
      </c>
      <c r="O160" s="9" t="str">
        <f ca="1">IFERROR(__xludf.DUMMYFUNCTION("""COMPUTED_VALUE"""),"SEM-8")</f>
        <v>SEM-8</v>
      </c>
      <c r="P160" s="9"/>
      <c r="Q160" s="9"/>
      <c r="R160" s="9"/>
      <c r="S160" s="9"/>
      <c r="T160" s="9"/>
      <c r="U160" s="9"/>
      <c r="V160" s="9"/>
      <c r="W160" s="9"/>
      <c r="X160" s="9"/>
      <c r="Y160" s="9"/>
    </row>
    <row r="161" spans="1:25" ht="26.25" customHeight="1" x14ac:dyDescent="0.15">
      <c r="A161" s="9" t="str">
        <f ca="1">IFERROR(__xludf.DUMMYFUNCTION("""COMPUTED_VALUE"""),"Bankupalli Srinidhi")</f>
        <v>Bankupalli Srinidhi</v>
      </c>
      <c r="B161" s="9" t="str">
        <f ca="1">IFERROR(__xludf.DUMMYFUNCTION("""COMPUTED_VALUE"""),"18331A0511")</f>
        <v>18331A0511</v>
      </c>
      <c r="C161" s="78" t="str">
        <f ca="1">IFERROR(__xludf.DUMMYFUNCTION("""COMPUTED_VALUE"""),"Javascript")</f>
        <v>Javascript</v>
      </c>
      <c r="D161" s="9" t="str">
        <f ca="1">IFERROR(__xludf.DUMMYFUNCTION("""COMPUTED_VALUE"""),"Coursera")</f>
        <v>Coursera</v>
      </c>
      <c r="E161" s="9" t="str">
        <f ca="1">IFERROR(__xludf.DUMMYFUNCTION("""COMPUTED_VALUE"""),"3 months")</f>
        <v>3 months</v>
      </c>
      <c r="F161" s="79">
        <f ca="1">IFERROR(__xludf.DUMMYFUNCTION("""COMPUTED_VALUE"""),43983)</f>
        <v>43983</v>
      </c>
      <c r="G161" s="79">
        <f ca="1">IFERROR(__xludf.DUMMYFUNCTION("""COMPUTED_VALUE"""),44075)</f>
        <v>44075</v>
      </c>
      <c r="H161" s="72">
        <f ca="1">IFERROR(__xludf.DUMMYFUNCTION("""COMPUTED_VALUE"""),44084)</f>
        <v>44084</v>
      </c>
      <c r="I161" s="80">
        <f ca="1">IFERROR(__xludf.DUMMYFUNCTION("""COMPUTED_VALUE"""),80)</f>
        <v>80</v>
      </c>
      <c r="J161" s="9" t="str">
        <f ca="1">IFERROR(__xludf.DUMMYFUNCTION("""COMPUTED_VALUE"""),"Ram santhosh naidu")</f>
        <v>Ram santhosh naidu</v>
      </c>
      <c r="K161" s="73" t="str">
        <f ca="1">IFERROR(__xludf.DUMMYFUNCTION("""COMPUTED_VALUE"""),"https://drive.google.com/open?id=1Nir40EKmnh1bKY3MAizZPSeaLrKAGV1h")</f>
        <v>https://drive.google.com/open?id=1Nir40EKmnh1bKY3MAizZPSeaLrKAGV1h</v>
      </c>
      <c r="L161" s="9" t="str">
        <f ca="1">IFERROR(__xludf.DUMMYFUNCTION("""COMPUTED_VALUE"""),"2018-2022")</f>
        <v>2018-2022</v>
      </c>
      <c r="M161" s="9" t="str">
        <f ca="1">IFERROR(__xludf.DUMMYFUNCTION("""COMPUTED_VALUE"""),"S4: Student Certifications")</f>
        <v>S4: Student Certifications</v>
      </c>
      <c r="N161" s="9" t="str">
        <f ca="1">IFERROR(__xludf.DUMMYFUNCTION("""COMPUTED_VALUE"""),"srinidhivishwanath01@gmail.com")</f>
        <v>srinidhivishwanath01@gmail.com</v>
      </c>
      <c r="O161" s="9" t="str">
        <f ca="1">IFERROR(__xludf.DUMMYFUNCTION("""COMPUTED_VALUE"""),"SEM-8")</f>
        <v>SEM-8</v>
      </c>
      <c r="P161" s="9"/>
      <c r="Q161" s="9"/>
      <c r="R161" s="9"/>
      <c r="S161" s="9"/>
      <c r="T161" s="9"/>
      <c r="U161" s="9"/>
      <c r="V161" s="9"/>
      <c r="W161" s="9"/>
      <c r="X161" s="9"/>
      <c r="Y161" s="9"/>
    </row>
    <row r="162" spans="1:25" ht="26.25" customHeight="1" x14ac:dyDescent="0.15">
      <c r="A162" s="9" t="str">
        <f ca="1">IFERROR(__xludf.DUMMYFUNCTION("""COMPUTED_VALUE"""),"ASHOK KUMAR KORNU")</f>
        <v>ASHOK KUMAR KORNU</v>
      </c>
      <c r="B162" s="9" t="str">
        <f ca="1">IFERROR(__xludf.DUMMYFUNCTION("""COMPUTED_VALUE"""),"19335A0509")</f>
        <v>19335A0509</v>
      </c>
      <c r="C162" s="78" t="str">
        <f ca="1">IFERROR(__xludf.DUMMYFUNCTION("""COMPUTED_VALUE"""),"SQL QUIZ")</f>
        <v>SQL QUIZ</v>
      </c>
      <c r="D162" s="9" t="str">
        <f ca="1">IFERROR(__xludf.DUMMYFUNCTION("""COMPUTED_VALUE"""),"Vignan’s Institute of Engineering")</f>
        <v>Vignan’s Institute of Engineering</v>
      </c>
      <c r="E162" s="9" t="str">
        <f ca="1">IFERROR(__xludf.DUMMYFUNCTION("""COMPUTED_VALUE"""),"1 DAY")</f>
        <v>1 DAY</v>
      </c>
      <c r="F162" s="79">
        <f ca="1">IFERROR(__xludf.DUMMYFUNCTION("""COMPUTED_VALUE"""),43979)</f>
        <v>43979</v>
      </c>
      <c r="G162" s="79">
        <f ca="1">IFERROR(__xludf.DUMMYFUNCTION("""COMPUTED_VALUE"""),43979)</f>
        <v>43979</v>
      </c>
      <c r="H162" s="72">
        <f ca="1">IFERROR(__xludf.DUMMYFUNCTION("""COMPUTED_VALUE"""),43979)</f>
        <v>43979</v>
      </c>
      <c r="I162" s="80">
        <f ca="1">IFERROR(__xludf.DUMMYFUNCTION("""COMPUTED_VALUE"""),100)</f>
        <v>100</v>
      </c>
      <c r="J162" s="9" t="str">
        <f ca="1">IFERROR(__xludf.DUMMYFUNCTION("""COMPUTED_VALUE"""),"NA")</f>
        <v>NA</v>
      </c>
      <c r="K162" s="73" t="str">
        <f ca="1">IFERROR(__xludf.DUMMYFUNCTION("""COMPUTED_VALUE"""),"https://drive.google.com/open?id=1ZF9MwusSUKSs-S0c6iZa-SxEZTgYzEi5")</f>
        <v>https://drive.google.com/open?id=1ZF9MwusSUKSs-S0c6iZa-SxEZTgYzEi5</v>
      </c>
      <c r="L162" s="9" t="str">
        <f ca="1">IFERROR(__xludf.DUMMYFUNCTION("""COMPUTED_VALUE"""),"2018-2022")</f>
        <v>2018-2022</v>
      </c>
      <c r="M162" s="9" t="str">
        <f ca="1">IFERROR(__xludf.DUMMYFUNCTION("""COMPUTED_VALUE"""),"S4: Student Certifications")</f>
        <v>S4: Student Certifications</v>
      </c>
      <c r="N162" s="9" t="str">
        <f ca="1">IFERROR(__xludf.DUMMYFUNCTION("""COMPUTED_VALUE"""),"ashokkumarkornu2000@gmail.com")</f>
        <v>ashokkumarkornu2000@gmail.com</v>
      </c>
      <c r="O162" s="9" t="str">
        <f ca="1">IFERROR(__xludf.DUMMYFUNCTION("""COMPUTED_VALUE"""),"SEM-4")</f>
        <v>SEM-4</v>
      </c>
      <c r="P162" s="9"/>
      <c r="Q162" s="9"/>
      <c r="R162" s="9"/>
      <c r="S162" s="9"/>
      <c r="T162" s="9"/>
      <c r="U162" s="9"/>
      <c r="V162" s="9"/>
      <c r="W162" s="9"/>
      <c r="X162" s="9"/>
      <c r="Y162" s="9"/>
    </row>
    <row r="163" spans="1:25" ht="26.25" customHeight="1" x14ac:dyDescent="0.15">
      <c r="A163" s="9" t="str">
        <f ca="1">IFERROR(__xludf.DUMMYFUNCTION("""COMPUTED_VALUE"""),"Bankupalli Srinidhi")</f>
        <v>Bankupalli Srinidhi</v>
      </c>
      <c r="B163" s="9" t="str">
        <f ca="1">IFERROR(__xludf.DUMMYFUNCTION("""COMPUTED_VALUE"""),"18331A0511")</f>
        <v>18331A0511</v>
      </c>
      <c r="C163" s="78" t="str">
        <f ca="1">IFERROR(__xludf.DUMMYFUNCTION("""COMPUTED_VALUE"""),"Css")</f>
        <v>Css</v>
      </c>
      <c r="D163" s="9" t="str">
        <f ca="1">IFERROR(__xludf.DUMMYFUNCTION("""COMPUTED_VALUE"""),"Coursera")</f>
        <v>Coursera</v>
      </c>
      <c r="E163" s="9" t="str">
        <f ca="1">IFERROR(__xludf.DUMMYFUNCTION("""COMPUTED_VALUE"""),"3 months")</f>
        <v>3 months</v>
      </c>
      <c r="F163" s="79">
        <f ca="1">IFERROR(__xludf.DUMMYFUNCTION("""COMPUTED_VALUE"""),43983)</f>
        <v>43983</v>
      </c>
      <c r="G163" s="79">
        <f ca="1">IFERROR(__xludf.DUMMYFUNCTION("""COMPUTED_VALUE"""),44075)</f>
        <v>44075</v>
      </c>
      <c r="H163" s="72">
        <f ca="1">IFERROR(__xludf.DUMMYFUNCTION("""COMPUTED_VALUE"""),44084)</f>
        <v>44084</v>
      </c>
      <c r="I163" s="80">
        <f ca="1">IFERROR(__xludf.DUMMYFUNCTION("""COMPUTED_VALUE"""),80)</f>
        <v>80</v>
      </c>
      <c r="J163" s="9" t="str">
        <f ca="1">IFERROR(__xludf.DUMMYFUNCTION("""COMPUTED_VALUE"""),"Ram santhosh naidu")</f>
        <v>Ram santhosh naidu</v>
      </c>
      <c r="K163" s="73" t="str">
        <f ca="1">IFERROR(__xludf.DUMMYFUNCTION("""COMPUTED_VALUE"""),"https://drive.google.com/open?id=16YuOgPrHQn_L_0OMIhQ71G9-Q5oVq_75")</f>
        <v>https://drive.google.com/open?id=16YuOgPrHQn_L_0OMIhQ71G9-Q5oVq_75</v>
      </c>
      <c r="L163" s="9" t="str">
        <f ca="1">IFERROR(__xludf.DUMMYFUNCTION("""COMPUTED_VALUE"""),"2018-2022")</f>
        <v>2018-2022</v>
      </c>
      <c r="M163" s="9" t="str">
        <f ca="1">IFERROR(__xludf.DUMMYFUNCTION("""COMPUTED_VALUE"""),"S4: Student Certifications")</f>
        <v>S4: Student Certifications</v>
      </c>
      <c r="N163" s="9" t="str">
        <f ca="1">IFERROR(__xludf.DUMMYFUNCTION("""COMPUTED_VALUE"""),"srinidhivishwanath01@gmail.com")</f>
        <v>srinidhivishwanath01@gmail.com</v>
      </c>
      <c r="O163" s="9" t="str">
        <f ca="1">IFERROR(__xludf.DUMMYFUNCTION("""COMPUTED_VALUE"""),"SEM-8")</f>
        <v>SEM-8</v>
      </c>
      <c r="P163" s="9"/>
      <c r="Q163" s="9"/>
      <c r="R163" s="9"/>
      <c r="S163" s="9"/>
      <c r="T163" s="9"/>
      <c r="U163" s="9"/>
      <c r="V163" s="9"/>
      <c r="W163" s="9"/>
      <c r="X163" s="9"/>
      <c r="Y163" s="9"/>
    </row>
    <row r="164" spans="1:25" ht="26.25" customHeight="1" x14ac:dyDescent="0.15">
      <c r="A164" s="9" t="str">
        <f ca="1">IFERROR(__xludf.DUMMYFUNCTION("""COMPUTED_VALUE"""),"GUMMALURI A V LAKSHMI SRI LEKHA")</f>
        <v>GUMMALURI A V LAKSHMI SRI LEKHA</v>
      </c>
      <c r="B164" s="9" t="str">
        <f ca="1">IFERROR(__xludf.DUMMYFUNCTION("""COMPUTED_VALUE"""),"18331A0555")</f>
        <v>18331A0555</v>
      </c>
      <c r="C164" s="78" t="str">
        <f ca="1">IFERROR(__xludf.DUMMYFUNCTION("""COMPUTED_VALUE"""),"css3")</f>
        <v>css3</v>
      </c>
      <c r="D164" s="9" t="str">
        <f ca="1">IFERROR(__xludf.DUMMYFUNCTION("""COMPUTED_VALUE"""),"University of Michigan")</f>
        <v>University of Michigan</v>
      </c>
      <c r="E164" s="9" t="str">
        <f ca="1">IFERROR(__xludf.DUMMYFUNCTION("""COMPUTED_VALUE"""),"1mnth")</f>
        <v>1mnth</v>
      </c>
      <c r="F164" s="79">
        <f ca="1">IFERROR(__xludf.DUMMYFUNCTION("""COMPUTED_VALUE"""),43952)</f>
        <v>43952</v>
      </c>
      <c r="G164" s="79">
        <f ca="1">IFERROR(__xludf.DUMMYFUNCTION("""COMPUTED_VALUE"""),43986)</f>
        <v>43986</v>
      </c>
      <c r="H164" s="72">
        <f ca="1">IFERROR(__xludf.DUMMYFUNCTION("""COMPUTED_VALUE"""),43986)</f>
        <v>43986</v>
      </c>
      <c r="I164" s="80">
        <f ca="1">IFERROR(__xludf.DUMMYFUNCTION("""COMPUTED_VALUE"""),88)</f>
        <v>88</v>
      </c>
      <c r="J164" s="9" t="str">
        <f ca="1">IFERROR(__xludf.DUMMYFUNCTION("""COMPUTED_VALUE"""),"NA")</f>
        <v>NA</v>
      </c>
      <c r="K164" s="73" t="str">
        <f ca="1">IFERROR(__xludf.DUMMYFUNCTION("""COMPUTED_VALUE"""),"https://drive.google.com/open?id=1wr-9g-h1nNPln7TH18Vd8LrJ__ulov_d")</f>
        <v>https://drive.google.com/open?id=1wr-9g-h1nNPln7TH18Vd8LrJ__ulov_d</v>
      </c>
      <c r="L164" s="9" t="str">
        <f ca="1">IFERROR(__xludf.DUMMYFUNCTION("""COMPUTED_VALUE"""),"2018-2022")</f>
        <v>2018-2022</v>
      </c>
      <c r="M164" s="9" t="str">
        <f ca="1">IFERROR(__xludf.DUMMYFUNCTION("""COMPUTED_VALUE"""),"S4: Student Certifications")</f>
        <v>S4: Student Certifications</v>
      </c>
      <c r="N164" s="9" t="str">
        <f ca="1">IFERROR(__xludf.DUMMYFUNCTION("""COMPUTED_VALUE"""),"lekhasree1430@gmail.com")</f>
        <v>lekhasree1430@gmail.com</v>
      </c>
      <c r="O164" s="9" t="str">
        <f ca="1">IFERROR(__xludf.DUMMYFUNCTION("""COMPUTED_VALUE"""),"SEM-8")</f>
        <v>SEM-8</v>
      </c>
      <c r="P164" s="9"/>
      <c r="Q164" s="9"/>
      <c r="R164" s="9"/>
      <c r="S164" s="9"/>
      <c r="T164" s="9"/>
      <c r="U164" s="9"/>
      <c r="V164" s="9"/>
      <c r="W164" s="9"/>
      <c r="X164" s="9"/>
      <c r="Y164" s="9"/>
    </row>
    <row r="165" spans="1:25" ht="26.25" customHeight="1" x14ac:dyDescent="0.15">
      <c r="A165" s="9" t="str">
        <f ca="1">IFERROR(__xludf.DUMMYFUNCTION("""COMPUTED_VALUE"""),"ASHOK KUMAR KORNU")</f>
        <v>ASHOK KUMAR KORNU</v>
      </c>
      <c r="B165" s="9" t="str">
        <f ca="1">IFERROR(__xludf.DUMMYFUNCTION("""COMPUTED_VALUE"""),"19335A0509")</f>
        <v>19335A0509</v>
      </c>
      <c r="C165" s="78" t="str">
        <f ca="1">IFERROR(__xludf.DUMMYFUNCTION("""COMPUTED_VALUE"""),"AL For Everyone")</f>
        <v>AL For Everyone</v>
      </c>
      <c r="D165" s="9" t="str">
        <f ca="1">IFERROR(__xludf.DUMMYFUNCTION("""COMPUTED_VALUE"""),"Coursera")</f>
        <v>Coursera</v>
      </c>
      <c r="E165" s="9" t="str">
        <f ca="1">IFERROR(__xludf.DUMMYFUNCTION("""COMPUTED_VALUE"""),"1 MONTH")</f>
        <v>1 MONTH</v>
      </c>
      <c r="F165" s="79">
        <f ca="1">IFERROR(__xludf.DUMMYFUNCTION("""COMPUTED_VALUE"""),44434)</f>
        <v>44434</v>
      </c>
      <c r="G165" s="79">
        <f ca="1">IFERROR(__xludf.DUMMYFUNCTION("""COMPUTED_VALUE"""),44465)</f>
        <v>44465</v>
      </c>
      <c r="H165" s="72">
        <f ca="1">IFERROR(__xludf.DUMMYFUNCTION("""COMPUTED_VALUE"""),44465)</f>
        <v>44465</v>
      </c>
      <c r="I165" s="80">
        <f ca="1">IFERROR(__xludf.DUMMYFUNCTION("""COMPUTED_VALUE"""),100)</f>
        <v>100</v>
      </c>
      <c r="J165" s="9" t="str">
        <f ca="1">IFERROR(__xludf.DUMMYFUNCTION("""COMPUTED_VALUE"""),"NA")</f>
        <v>NA</v>
      </c>
      <c r="K165" s="73" t="str">
        <f ca="1">IFERROR(__xludf.DUMMYFUNCTION("""COMPUTED_VALUE"""),"https://drive.google.com/open?id=16XuY4EmUqK2kjZQKWp85qX6PVR4EofpK")</f>
        <v>https://drive.google.com/open?id=16XuY4EmUqK2kjZQKWp85qX6PVR4EofpK</v>
      </c>
      <c r="L165" s="9" t="str">
        <f ca="1">IFERROR(__xludf.DUMMYFUNCTION("""COMPUTED_VALUE"""),"2018-2022")</f>
        <v>2018-2022</v>
      </c>
      <c r="M165" s="9" t="str">
        <f ca="1">IFERROR(__xludf.DUMMYFUNCTION("""COMPUTED_VALUE"""),"S4: Student Certifications")</f>
        <v>S4: Student Certifications</v>
      </c>
      <c r="N165" s="9" t="str">
        <f ca="1">IFERROR(__xludf.DUMMYFUNCTION("""COMPUTED_VALUE"""),"ashokkumarkornu2000@gmail.com")</f>
        <v>ashokkumarkornu2000@gmail.com</v>
      </c>
      <c r="O165" s="9" t="str">
        <f ca="1">IFERROR(__xludf.DUMMYFUNCTION("""COMPUTED_VALUE"""),"SEM-6")</f>
        <v>SEM-6</v>
      </c>
      <c r="P165" s="9"/>
      <c r="Q165" s="9"/>
      <c r="R165" s="9"/>
      <c r="S165" s="9"/>
      <c r="T165" s="9"/>
      <c r="U165" s="9"/>
      <c r="V165" s="9"/>
      <c r="W165" s="9"/>
      <c r="X165" s="9"/>
      <c r="Y165" s="9"/>
    </row>
    <row r="166" spans="1:25" ht="26.25" customHeight="1" x14ac:dyDescent="0.15">
      <c r="A166" s="9" t="str">
        <f ca="1">IFERROR(__xludf.DUMMYFUNCTION("""COMPUTED_VALUE"""),"GUMMALURI A V LAKSHMI SRI LEKHA")</f>
        <v>GUMMALURI A V LAKSHMI SRI LEKHA</v>
      </c>
      <c r="B166" s="9" t="str">
        <f ca="1">IFERROR(__xludf.DUMMYFUNCTION("""COMPUTED_VALUE"""),"18331A0555")</f>
        <v>18331A0555</v>
      </c>
      <c r="C166" s="78" t="str">
        <f ca="1">IFERROR(__xludf.DUMMYFUNCTION("""COMPUTED_VALUE"""),"Programming for everybody(getting started with python)")</f>
        <v>Programming for everybody(getting started with python)</v>
      </c>
      <c r="D166" s="9" t="str">
        <f ca="1">IFERROR(__xludf.DUMMYFUNCTION("""COMPUTED_VALUE"""),"University of Michigan(Coursera)")</f>
        <v>University of Michigan(Coursera)</v>
      </c>
      <c r="E166" s="9" t="str">
        <f ca="1">IFERROR(__xludf.DUMMYFUNCTION("""COMPUTED_VALUE"""),"1month")</f>
        <v>1month</v>
      </c>
      <c r="F166" s="79">
        <f ca="1">IFERROR(__xludf.DUMMYFUNCTION("""COMPUTED_VALUE"""),43952)</f>
        <v>43952</v>
      </c>
      <c r="G166" s="79">
        <f ca="1">IFERROR(__xludf.DUMMYFUNCTION("""COMPUTED_VALUE"""),43984)</f>
        <v>43984</v>
      </c>
      <c r="H166" s="72">
        <f ca="1">IFERROR(__xludf.DUMMYFUNCTION("""COMPUTED_VALUE"""),43984)</f>
        <v>43984</v>
      </c>
      <c r="I166" s="80">
        <f ca="1">IFERROR(__xludf.DUMMYFUNCTION("""COMPUTED_VALUE"""),90)</f>
        <v>90</v>
      </c>
      <c r="J166" s="9" t="str">
        <f ca="1">IFERROR(__xludf.DUMMYFUNCTION("""COMPUTED_VALUE"""),"NA")</f>
        <v>NA</v>
      </c>
      <c r="K166" s="73" t="str">
        <f ca="1">IFERROR(__xludf.DUMMYFUNCTION("""COMPUTED_VALUE"""),"https://drive.google.com/open?id=1lkOA7apObZaQGPC_yRymnEcyRs5JFC-y")</f>
        <v>https://drive.google.com/open?id=1lkOA7apObZaQGPC_yRymnEcyRs5JFC-y</v>
      </c>
      <c r="L166" s="9" t="str">
        <f ca="1">IFERROR(__xludf.DUMMYFUNCTION("""COMPUTED_VALUE"""),"2018-2022")</f>
        <v>2018-2022</v>
      </c>
      <c r="M166" s="9" t="str">
        <f ca="1">IFERROR(__xludf.DUMMYFUNCTION("""COMPUTED_VALUE"""),"S4: Student Certifications")</f>
        <v>S4: Student Certifications</v>
      </c>
      <c r="N166" s="9" t="str">
        <f ca="1">IFERROR(__xludf.DUMMYFUNCTION("""COMPUTED_VALUE"""),"lekhasree1430@gmail.com")</f>
        <v>lekhasree1430@gmail.com</v>
      </c>
      <c r="O166" s="9" t="str">
        <f ca="1">IFERROR(__xludf.DUMMYFUNCTION("""COMPUTED_VALUE"""),"SEM-8")</f>
        <v>SEM-8</v>
      </c>
      <c r="P166" s="9"/>
      <c r="Q166" s="9"/>
      <c r="R166" s="9"/>
      <c r="S166" s="9"/>
      <c r="T166" s="9"/>
      <c r="U166" s="9"/>
      <c r="V166" s="9"/>
      <c r="W166" s="9"/>
      <c r="X166" s="9"/>
      <c r="Y166" s="9"/>
    </row>
    <row r="167" spans="1:25" ht="26.25" customHeight="1" x14ac:dyDescent="0.15">
      <c r="A167" s="9" t="str">
        <f ca="1">IFERROR(__xludf.DUMMYFUNCTION("""COMPUTED_VALUE"""),"ASHOK KUMAR KORNU")</f>
        <v>ASHOK KUMAR KORNU</v>
      </c>
      <c r="B167" s="9" t="str">
        <f ca="1">IFERROR(__xludf.DUMMYFUNCTION("""COMPUTED_VALUE"""),"19335A0509")</f>
        <v>19335A0509</v>
      </c>
      <c r="C167" s="78" t="str">
        <f ca="1">IFERROR(__xludf.DUMMYFUNCTION("""COMPUTED_VALUE"""),"Crash Course on Python")</f>
        <v>Crash Course on Python</v>
      </c>
      <c r="D167" s="9" t="str">
        <f ca="1">IFERROR(__xludf.DUMMYFUNCTION("""COMPUTED_VALUE"""),"Coursera")</f>
        <v>Coursera</v>
      </c>
      <c r="E167" s="9" t="str">
        <f ca="1">IFERROR(__xludf.DUMMYFUNCTION("""COMPUTED_VALUE"""),"1 MONTH")</f>
        <v>1 MONTH</v>
      </c>
      <c r="F167" s="79">
        <f ca="1">IFERROR(__xludf.DUMMYFUNCTION("""COMPUTED_VALUE"""),44438)</f>
        <v>44438</v>
      </c>
      <c r="G167" s="79">
        <f ca="1">IFERROR(__xludf.DUMMYFUNCTION("""COMPUTED_VALUE"""),44469)</f>
        <v>44469</v>
      </c>
      <c r="H167" s="72">
        <f ca="1">IFERROR(__xludf.DUMMYFUNCTION("""COMPUTED_VALUE"""),44469)</f>
        <v>44469</v>
      </c>
      <c r="I167" s="80">
        <f ca="1">IFERROR(__xludf.DUMMYFUNCTION("""COMPUTED_VALUE"""),100)</f>
        <v>100</v>
      </c>
      <c r="J167" s="9" t="str">
        <f ca="1">IFERROR(__xludf.DUMMYFUNCTION("""COMPUTED_VALUE"""),"NA")</f>
        <v>NA</v>
      </c>
      <c r="K167" s="73" t="str">
        <f ca="1">IFERROR(__xludf.DUMMYFUNCTION("""COMPUTED_VALUE"""),"https://drive.google.com/open?id=1a01qIrRTj6Es2vSmI86QnjWKufkpZF5_")</f>
        <v>https://drive.google.com/open?id=1a01qIrRTj6Es2vSmI86QnjWKufkpZF5_</v>
      </c>
      <c r="L167" s="9" t="str">
        <f ca="1">IFERROR(__xludf.DUMMYFUNCTION("""COMPUTED_VALUE"""),"2018-2022")</f>
        <v>2018-2022</v>
      </c>
      <c r="M167" s="9" t="str">
        <f ca="1">IFERROR(__xludf.DUMMYFUNCTION("""COMPUTED_VALUE"""),"S4: Student Certifications")</f>
        <v>S4: Student Certifications</v>
      </c>
      <c r="N167" s="9" t="str">
        <f ca="1">IFERROR(__xludf.DUMMYFUNCTION("""COMPUTED_VALUE"""),"ashokkumarkornu2000@gmail.com")</f>
        <v>ashokkumarkornu2000@gmail.com</v>
      </c>
      <c r="O167" s="9" t="str">
        <f ca="1">IFERROR(__xludf.DUMMYFUNCTION("""COMPUTED_VALUE"""),"SEM-6")</f>
        <v>SEM-6</v>
      </c>
      <c r="P167" s="9"/>
      <c r="Q167" s="9"/>
      <c r="R167" s="9"/>
      <c r="S167" s="9"/>
      <c r="T167" s="9"/>
      <c r="U167" s="9"/>
      <c r="V167" s="9"/>
      <c r="W167" s="9"/>
      <c r="X167" s="9"/>
      <c r="Y167" s="9"/>
    </row>
    <row r="168" spans="1:25" ht="26.25" customHeight="1" x14ac:dyDescent="0.15">
      <c r="A168" s="9" t="str">
        <f ca="1">IFERROR(__xludf.DUMMYFUNCTION("""COMPUTED_VALUE"""),"GUMMALURI A V LAKSHMI SRI LEKHA")</f>
        <v>GUMMALURI A V LAKSHMI SRI LEKHA</v>
      </c>
      <c r="B168" s="9" t="str">
        <f ca="1">IFERROR(__xludf.DUMMYFUNCTION("""COMPUTED_VALUE"""),"18331A0555")</f>
        <v>18331A0555</v>
      </c>
      <c r="C168" s="78" t="str">
        <f ca="1">IFERROR(__xludf.DUMMYFUNCTION("""COMPUTED_VALUE"""),"Cloud Identity")</f>
        <v>Cloud Identity</v>
      </c>
      <c r="D168" s="9" t="str">
        <f ca="1">IFERROR(__xludf.DUMMYFUNCTION("""COMPUTED_VALUE"""),"University of Michigan(Coursera)")</f>
        <v>University of Michigan(Coursera)</v>
      </c>
      <c r="E168" s="9" t="str">
        <f ca="1">IFERROR(__xludf.DUMMYFUNCTION("""COMPUTED_VALUE"""),"1month")</f>
        <v>1month</v>
      </c>
      <c r="F168" s="79">
        <f ca="1">IFERROR(__xludf.DUMMYFUNCTION("""COMPUTED_VALUE"""),43952)</f>
        <v>43952</v>
      </c>
      <c r="G168" s="79">
        <f ca="1">IFERROR(__xludf.DUMMYFUNCTION("""COMPUTED_VALUE"""),43984)</f>
        <v>43984</v>
      </c>
      <c r="H168" s="72">
        <f ca="1">IFERROR(__xludf.DUMMYFUNCTION("""COMPUTED_VALUE"""),43984)</f>
        <v>43984</v>
      </c>
      <c r="I168" s="80">
        <f ca="1">IFERROR(__xludf.DUMMYFUNCTION("""COMPUTED_VALUE"""),87)</f>
        <v>87</v>
      </c>
      <c r="J168" s="9" t="str">
        <f ca="1">IFERROR(__xludf.DUMMYFUNCTION("""COMPUTED_VALUE"""),"NA")</f>
        <v>NA</v>
      </c>
      <c r="K168" s="73" t="str">
        <f ca="1">IFERROR(__xludf.DUMMYFUNCTION("""COMPUTED_VALUE"""),"https://drive.google.com/open?id=1usRNj28J-Yv6kinZKevnEFcpZdFjXnlv")</f>
        <v>https://drive.google.com/open?id=1usRNj28J-Yv6kinZKevnEFcpZdFjXnlv</v>
      </c>
      <c r="L168" s="9" t="str">
        <f ca="1">IFERROR(__xludf.DUMMYFUNCTION("""COMPUTED_VALUE"""),"2018-2022")</f>
        <v>2018-2022</v>
      </c>
      <c r="M168" s="9" t="str">
        <f ca="1">IFERROR(__xludf.DUMMYFUNCTION("""COMPUTED_VALUE"""),"S4: Student Certifications")</f>
        <v>S4: Student Certifications</v>
      </c>
      <c r="N168" s="9" t="str">
        <f ca="1">IFERROR(__xludf.DUMMYFUNCTION("""COMPUTED_VALUE"""),"lekhasree1430@gmail.com")</f>
        <v>lekhasree1430@gmail.com</v>
      </c>
      <c r="O168" s="9" t="str">
        <f ca="1">IFERROR(__xludf.DUMMYFUNCTION("""COMPUTED_VALUE"""),"SEM-8")</f>
        <v>SEM-8</v>
      </c>
      <c r="P168" s="9"/>
      <c r="Q168" s="9"/>
      <c r="R168" s="9"/>
      <c r="S168" s="9"/>
      <c r="T168" s="9"/>
      <c r="U168" s="9"/>
      <c r="V168" s="9"/>
      <c r="W168" s="9"/>
      <c r="X168" s="9"/>
      <c r="Y168" s="9"/>
    </row>
    <row r="169" spans="1:25" ht="26.25" customHeight="1" x14ac:dyDescent="0.15">
      <c r="A169" s="9" t="str">
        <f ca="1">IFERROR(__xludf.DUMMYFUNCTION("""COMPUTED_VALUE"""),"ASHOK KUMAR KORNU")</f>
        <v>ASHOK KUMAR KORNU</v>
      </c>
      <c r="B169" s="9" t="str">
        <f ca="1">IFERROR(__xludf.DUMMYFUNCTION("""COMPUTED_VALUE"""),"19335A0509")</f>
        <v>19335A0509</v>
      </c>
      <c r="C169" s="78" t="str">
        <f ca="1">IFERROR(__xludf.DUMMYFUNCTION("""COMPUTED_VALUE"""),"Tracking Student Growth using Google Slides")</f>
        <v>Tracking Student Growth using Google Slides</v>
      </c>
      <c r="D169" s="9" t="str">
        <f ca="1">IFERROR(__xludf.DUMMYFUNCTION("""COMPUTED_VALUE"""),"Coursera")</f>
        <v>Coursera</v>
      </c>
      <c r="E169" s="9" t="str">
        <f ca="1">IFERROR(__xludf.DUMMYFUNCTION("""COMPUTED_VALUE"""),"1 MONTH")</f>
        <v>1 MONTH</v>
      </c>
      <c r="F169" s="79">
        <f ca="1">IFERROR(__xludf.DUMMYFUNCTION("""COMPUTED_VALUE"""),44438)</f>
        <v>44438</v>
      </c>
      <c r="G169" s="79">
        <f ca="1">IFERROR(__xludf.DUMMYFUNCTION("""COMPUTED_VALUE"""),44469)</f>
        <v>44469</v>
      </c>
      <c r="H169" s="72">
        <f ca="1">IFERROR(__xludf.DUMMYFUNCTION("""COMPUTED_VALUE"""),44469)</f>
        <v>44469</v>
      </c>
      <c r="I169" s="80">
        <f ca="1">IFERROR(__xludf.DUMMYFUNCTION("""COMPUTED_VALUE"""),100)</f>
        <v>100</v>
      </c>
      <c r="J169" s="9" t="str">
        <f ca="1">IFERROR(__xludf.DUMMYFUNCTION("""COMPUTED_VALUE"""),"NA")</f>
        <v>NA</v>
      </c>
      <c r="K169" s="73" t="str">
        <f ca="1">IFERROR(__xludf.DUMMYFUNCTION("""COMPUTED_VALUE"""),"https://drive.google.com/open?id=1MX5GaLHjFSuq5PDC4RNThxuwL5EraFCr")</f>
        <v>https://drive.google.com/open?id=1MX5GaLHjFSuq5PDC4RNThxuwL5EraFCr</v>
      </c>
      <c r="L169" s="9" t="str">
        <f ca="1">IFERROR(__xludf.DUMMYFUNCTION("""COMPUTED_VALUE"""),"2018-2022")</f>
        <v>2018-2022</v>
      </c>
      <c r="M169" s="9" t="str">
        <f ca="1">IFERROR(__xludf.DUMMYFUNCTION("""COMPUTED_VALUE"""),"S4: Student Certifications")</f>
        <v>S4: Student Certifications</v>
      </c>
      <c r="N169" s="9" t="str">
        <f ca="1">IFERROR(__xludf.DUMMYFUNCTION("""COMPUTED_VALUE"""),"ashokkumarkornu2000@gmail.com")</f>
        <v>ashokkumarkornu2000@gmail.com</v>
      </c>
      <c r="O169" s="9" t="str">
        <f ca="1">IFERROR(__xludf.DUMMYFUNCTION("""COMPUTED_VALUE"""),"SEM-6")</f>
        <v>SEM-6</v>
      </c>
      <c r="P169" s="9"/>
      <c r="Q169" s="9"/>
      <c r="R169" s="9"/>
      <c r="S169" s="9"/>
      <c r="T169" s="9"/>
      <c r="U169" s="9"/>
      <c r="V169" s="9"/>
      <c r="W169" s="9"/>
      <c r="X169" s="9"/>
      <c r="Y169" s="9"/>
    </row>
    <row r="170" spans="1:25" ht="26.25" customHeight="1" x14ac:dyDescent="0.15">
      <c r="A170" s="9" t="str">
        <f ca="1">IFERROR(__xludf.DUMMYFUNCTION("""COMPUTED_VALUE"""),"GUMMALURI A V LAKSHMI SRI LEKHA")</f>
        <v>GUMMALURI A V LAKSHMI SRI LEKHA</v>
      </c>
      <c r="B170" s="9" t="str">
        <f ca="1">IFERROR(__xludf.DUMMYFUNCTION("""COMPUTED_VALUE"""),"18331A0555")</f>
        <v>18331A0555</v>
      </c>
      <c r="C170" s="78" t="str">
        <f ca="1">IFERROR(__xludf.DUMMYFUNCTION("""COMPUTED_VALUE"""),"HTML5")</f>
        <v>HTML5</v>
      </c>
      <c r="D170" s="9" t="str">
        <f ca="1">IFERROR(__xludf.DUMMYFUNCTION("""COMPUTED_VALUE"""),"University of Michigan(Coursera)")</f>
        <v>University of Michigan(Coursera)</v>
      </c>
      <c r="E170" s="9" t="str">
        <f ca="1">IFERROR(__xludf.DUMMYFUNCTION("""COMPUTED_VALUE"""),"1month")</f>
        <v>1month</v>
      </c>
      <c r="F170" s="79">
        <f ca="1">IFERROR(__xludf.DUMMYFUNCTION("""COMPUTED_VALUE"""),43952)</f>
        <v>43952</v>
      </c>
      <c r="G170" s="79">
        <f ca="1">IFERROR(__xludf.DUMMYFUNCTION("""COMPUTED_VALUE"""),43982)</f>
        <v>43982</v>
      </c>
      <c r="H170" s="72">
        <f ca="1">IFERROR(__xludf.DUMMYFUNCTION("""COMPUTED_VALUE"""),43982)</f>
        <v>43982</v>
      </c>
      <c r="I170" s="80">
        <f ca="1">IFERROR(__xludf.DUMMYFUNCTION("""COMPUTED_VALUE"""),80)</f>
        <v>80</v>
      </c>
      <c r="J170" s="9" t="str">
        <f ca="1">IFERROR(__xludf.DUMMYFUNCTION("""COMPUTED_VALUE"""),"NA")</f>
        <v>NA</v>
      </c>
      <c r="K170" s="73" t="str">
        <f ca="1">IFERROR(__xludf.DUMMYFUNCTION("""COMPUTED_VALUE"""),"https://drive.google.com/open?id=1XD6n55u4083weBmzcpH610mjDGhsoYfd")</f>
        <v>https://drive.google.com/open?id=1XD6n55u4083weBmzcpH610mjDGhsoYfd</v>
      </c>
      <c r="L170" s="9" t="str">
        <f ca="1">IFERROR(__xludf.DUMMYFUNCTION("""COMPUTED_VALUE"""),"2018-2022")</f>
        <v>2018-2022</v>
      </c>
      <c r="M170" s="9" t="str">
        <f ca="1">IFERROR(__xludf.DUMMYFUNCTION("""COMPUTED_VALUE"""),"S4: Student Certifications")</f>
        <v>S4: Student Certifications</v>
      </c>
      <c r="N170" s="9" t="str">
        <f ca="1">IFERROR(__xludf.DUMMYFUNCTION("""COMPUTED_VALUE"""),"lekhasree1430@gmail.com")</f>
        <v>lekhasree1430@gmail.com</v>
      </c>
      <c r="O170" s="9" t="str">
        <f ca="1">IFERROR(__xludf.DUMMYFUNCTION("""COMPUTED_VALUE"""),"SEM-8")</f>
        <v>SEM-8</v>
      </c>
      <c r="P170" s="9"/>
      <c r="Q170" s="9"/>
      <c r="R170" s="9"/>
      <c r="S170" s="9"/>
      <c r="T170" s="9"/>
      <c r="U170" s="9"/>
      <c r="V170" s="9"/>
      <c r="W170" s="9"/>
      <c r="X170" s="9"/>
      <c r="Y170" s="9"/>
    </row>
    <row r="171" spans="1:25" ht="26.25" customHeight="1" x14ac:dyDescent="0.15">
      <c r="A171" s="9" t="str">
        <f ca="1">IFERROR(__xludf.DUMMYFUNCTION("""COMPUTED_VALUE"""),"GUMMALURI A V LAKSHMI SRI LEKHA")</f>
        <v>GUMMALURI A V LAKSHMI SRI LEKHA</v>
      </c>
      <c r="B171" s="9" t="str">
        <f ca="1">IFERROR(__xludf.DUMMYFUNCTION("""COMPUTED_VALUE"""),"18331A0555")</f>
        <v>18331A0555</v>
      </c>
      <c r="C171" s="78" t="str">
        <f ca="1">IFERROR(__xludf.DUMMYFUNCTION("""COMPUTED_VALUE"""),"JavaScript")</f>
        <v>JavaScript</v>
      </c>
      <c r="D171" s="9" t="str">
        <f ca="1">IFERROR(__xludf.DUMMYFUNCTION("""COMPUTED_VALUE"""),"University of Michigan(Coursera)")</f>
        <v>University of Michigan(Coursera)</v>
      </c>
      <c r="E171" s="9" t="str">
        <f ca="1">IFERROR(__xludf.DUMMYFUNCTION("""COMPUTED_VALUE"""),"1month")</f>
        <v>1month</v>
      </c>
      <c r="F171" s="79">
        <f ca="1">IFERROR(__xludf.DUMMYFUNCTION("""COMPUTED_VALUE"""),43952)</f>
        <v>43952</v>
      </c>
      <c r="G171" s="79">
        <f ca="1">IFERROR(__xludf.DUMMYFUNCTION("""COMPUTED_VALUE"""),43984)</f>
        <v>43984</v>
      </c>
      <c r="H171" s="72">
        <f ca="1">IFERROR(__xludf.DUMMYFUNCTION("""COMPUTED_VALUE"""),43984)</f>
        <v>43984</v>
      </c>
      <c r="I171" s="80">
        <f ca="1">IFERROR(__xludf.DUMMYFUNCTION("""COMPUTED_VALUE"""),78)</f>
        <v>78</v>
      </c>
      <c r="J171" s="9" t="str">
        <f ca="1">IFERROR(__xludf.DUMMYFUNCTION("""COMPUTED_VALUE"""),"NA")</f>
        <v>NA</v>
      </c>
      <c r="K171" s="73" t="str">
        <f ca="1">IFERROR(__xludf.DUMMYFUNCTION("""COMPUTED_VALUE"""),"https://drive.google.com/open?id=1fr51ofb1W2cxRhP0PDjYmOEyIGpYgfmd")</f>
        <v>https://drive.google.com/open?id=1fr51ofb1W2cxRhP0PDjYmOEyIGpYgfmd</v>
      </c>
      <c r="L171" s="9" t="str">
        <f ca="1">IFERROR(__xludf.DUMMYFUNCTION("""COMPUTED_VALUE"""),"2018-2022")</f>
        <v>2018-2022</v>
      </c>
      <c r="M171" s="9" t="str">
        <f ca="1">IFERROR(__xludf.DUMMYFUNCTION("""COMPUTED_VALUE"""),"S4: Student Certifications")</f>
        <v>S4: Student Certifications</v>
      </c>
      <c r="N171" s="9" t="str">
        <f ca="1">IFERROR(__xludf.DUMMYFUNCTION("""COMPUTED_VALUE"""),"lekhasree1430@gmail.com")</f>
        <v>lekhasree1430@gmail.com</v>
      </c>
      <c r="O171" s="9" t="str">
        <f ca="1">IFERROR(__xludf.DUMMYFUNCTION("""COMPUTED_VALUE"""),"SEM-8")</f>
        <v>SEM-8</v>
      </c>
      <c r="P171" s="9"/>
      <c r="Q171" s="9"/>
      <c r="R171" s="9"/>
      <c r="S171" s="9"/>
      <c r="T171" s="9"/>
      <c r="U171" s="9"/>
      <c r="V171" s="9"/>
      <c r="W171" s="9"/>
      <c r="X171" s="9"/>
      <c r="Y171" s="9"/>
    </row>
    <row r="172" spans="1:25" ht="26.25" customHeight="1" x14ac:dyDescent="0.15">
      <c r="A172" s="9" t="str">
        <f ca="1">IFERROR(__xludf.DUMMYFUNCTION("""COMPUTED_VALUE"""),"GUMMALURI A V LAKSHMI SRI LEKHA")</f>
        <v>GUMMALURI A V LAKSHMI SRI LEKHA</v>
      </c>
      <c r="B172" s="9" t="str">
        <f ca="1">IFERROR(__xludf.DUMMYFUNCTION("""COMPUTED_VALUE"""),"18331A0555")</f>
        <v>18331A0555</v>
      </c>
      <c r="C172" s="78" t="str">
        <f ca="1">IFERROR(__xludf.DUMMYFUNCTION("""COMPUTED_VALUE"""),"Webdevelopment")</f>
        <v>Webdevelopment</v>
      </c>
      <c r="D172" s="9" t="str">
        <f ca="1">IFERROR(__xludf.DUMMYFUNCTION("""COMPUTED_VALUE"""),"Coursera")</f>
        <v>Coursera</v>
      </c>
      <c r="E172" s="9" t="str">
        <f ca="1">IFERROR(__xludf.DUMMYFUNCTION("""COMPUTED_VALUE"""),"1month")</f>
        <v>1month</v>
      </c>
      <c r="F172" s="79">
        <f ca="1">IFERROR(__xludf.DUMMYFUNCTION("""COMPUTED_VALUE"""),43929)</f>
        <v>43929</v>
      </c>
      <c r="G172" s="79">
        <f ca="1">IFERROR(__xludf.DUMMYFUNCTION("""COMPUTED_VALUE"""),43960)</f>
        <v>43960</v>
      </c>
      <c r="H172" s="72">
        <f ca="1">IFERROR(__xludf.DUMMYFUNCTION("""COMPUTED_VALUE"""),43960)</f>
        <v>43960</v>
      </c>
      <c r="I172" s="80">
        <f ca="1">IFERROR(__xludf.DUMMYFUNCTION("""COMPUTED_VALUE"""),89)</f>
        <v>89</v>
      </c>
      <c r="J172" s="9" t="str">
        <f ca="1">IFERROR(__xludf.DUMMYFUNCTION("""COMPUTED_VALUE"""),"NA")</f>
        <v>NA</v>
      </c>
      <c r="K172" s="73" t="str">
        <f ca="1">IFERROR(__xludf.DUMMYFUNCTION("""COMPUTED_VALUE"""),"https://drive.google.com/open?id=1DYVycUg39LYXa1MTaM-5hZYiPhY52zHM")</f>
        <v>https://drive.google.com/open?id=1DYVycUg39LYXa1MTaM-5hZYiPhY52zHM</v>
      </c>
      <c r="L172" s="9" t="str">
        <f ca="1">IFERROR(__xludf.DUMMYFUNCTION("""COMPUTED_VALUE"""),"2018-2022")</f>
        <v>2018-2022</v>
      </c>
      <c r="M172" s="9" t="str">
        <f ca="1">IFERROR(__xludf.DUMMYFUNCTION("""COMPUTED_VALUE"""),"S4: Student Certifications")</f>
        <v>S4: Student Certifications</v>
      </c>
      <c r="N172" s="9" t="str">
        <f ca="1">IFERROR(__xludf.DUMMYFUNCTION("""COMPUTED_VALUE"""),"lekhasree1430@gmail.com")</f>
        <v>lekhasree1430@gmail.com</v>
      </c>
      <c r="O172" s="9" t="str">
        <f ca="1">IFERROR(__xludf.DUMMYFUNCTION("""COMPUTED_VALUE"""),"SEM-8")</f>
        <v>SEM-8</v>
      </c>
      <c r="P172" s="9"/>
      <c r="Q172" s="9"/>
      <c r="R172" s="9"/>
      <c r="S172" s="9"/>
      <c r="T172" s="9"/>
      <c r="U172" s="9"/>
      <c r="V172" s="9"/>
      <c r="W172" s="9"/>
      <c r="X172" s="9"/>
      <c r="Y172" s="9"/>
    </row>
    <row r="173" spans="1:25" ht="26.25" customHeight="1" x14ac:dyDescent="0.15">
      <c r="A173" s="9" t="str">
        <f ca="1">IFERROR(__xludf.DUMMYFUNCTION("""COMPUTED_VALUE"""),"GUMMALURI A V LAKSHMI SRI LEKHA")</f>
        <v>GUMMALURI A V LAKSHMI SRI LEKHA</v>
      </c>
      <c r="B173" s="9" t="str">
        <f ca="1">IFERROR(__xludf.DUMMYFUNCTION("""COMPUTED_VALUE"""),"18331A0555")</f>
        <v>18331A0555</v>
      </c>
      <c r="C173" s="78" t="str">
        <f ca="1">IFERROR(__xludf.DUMMYFUNCTION("""COMPUTED_VALUE"""),"Programming in C")</f>
        <v>Programming in C</v>
      </c>
      <c r="D173" s="9" t="str">
        <f ca="1">IFERROR(__xludf.DUMMYFUNCTION("""COMPUTED_VALUE"""),"Datapro")</f>
        <v>Datapro</v>
      </c>
      <c r="E173" s="9" t="str">
        <f ca="1">IFERROR(__xludf.DUMMYFUNCTION("""COMPUTED_VALUE"""),"100days")</f>
        <v>100days</v>
      </c>
      <c r="F173" s="79">
        <f ca="1">IFERROR(__xludf.DUMMYFUNCTION("""COMPUTED_VALUE"""),43237)</f>
        <v>43237</v>
      </c>
      <c r="G173" s="79">
        <f ca="1">IFERROR(__xludf.DUMMYFUNCTION("""COMPUTED_VALUE"""),43284)</f>
        <v>43284</v>
      </c>
      <c r="H173" s="72">
        <f ca="1">IFERROR(__xludf.DUMMYFUNCTION("""COMPUTED_VALUE"""),43348)</f>
        <v>43348</v>
      </c>
      <c r="I173" s="80">
        <f ca="1">IFERROR(__xludf.DUMMYFUNCTION("""COMPUTED_VALUE"""),74)</f>
        <v>74</v>
      </c>
      <c r="J173" s="9" t="str">
        <f ca="1">IFERROR(__xludf.DUMMYFUNCTION("""COMPUTED_VALUE"""),"NA")</f>
        <v>NA</v>
      </c>
      <c r="K173" s="73" t="str">
        <f ca="1">IFERROR(__xludf.DUMMYFUNCTION("""COMPUTED_VALUE"""),"https://drive.google.com/open?id=1jXktun-HZQccdZTo1gydXxzOLTvv5CnM")</f>
        <v>https://drive.google.com/open?id=1jXktun-HZQccdZTo1gydXxzOLTvv5CnM</v>
      </c>
      <c r="L173" s="9" t="str">
        <f ca="1">IFERROR(__xludf.DUMMYFUNCTION("""COMPUTED_VALUE"""),"2018-2022")</f>
        <v>2018-2022</v>
      </c>
      <c r="M173" s="9" t="str">
        <f ca="1">IFERROR(__xludf.DUMMYFUNCTION("""COMPUTED_VALUE"""),"S4: Student Certifications")</f>
        <v>S4: Student Certifications</v>
      </c>
      <c r="N173" s="9" t="str">
        <f ca="1">IFERROR(__xludf.DUMMYFUNCTION("""COMPUTED_VALUE"""),"lekhasree1430@gmail.com")</f>
        <v>lekhasree1430@gmail.com</v>
      </c>
      <c r="O173" s="9" t="str">
        <f ca="1">IFERROR(__xludf.DUMMYFUNCTION("""COMPUTED_VALUE"""),"SEM-8")</f>
        <v>SEM-8</v>
      </c>
      <c r="P173" s="9"/>
      <c r="Q173" s="9"/>
      <c r="R173" s="9"/>
      <c r="S173" s="9"/>
      <c r="T173" s="9"/>
      <c r="U173" s="9"/>
      <c r="V173" s="9"/>
      <c r="W173" s="9"/>
      <c r="X173" s="9"/>
      <c r="Y173" s="9"/>
    </row>
    <row r="174" spans="1:25" ht="26.25" customHeight="1" x14ac:dyDescent="0.15">
      <c r="A174" s="9" t="str">
        <f ca="1">IFERROR(__xludf.DUMMYFUNCTION("""COMPUTED_VALUE"""),"Srihita Gottimukkala")</f>
        <v>Srihita Gottimukkala</v>
      </c>
      <c r="B174" s="9" t="str">
        <f ca="1">IFERROR(__xludf.DUMMYFUNCTION("""COMPUTED_VALUE"""),"18331A0551")</f>
        <v>18331A0551</v>
      </c>
      <c r="C174" s="78" t="str">
        <f ca="1">IFERROR(__xludf.DUMMYFUNCTION("""COMPUTED_VALUE"""),"AWS Academy Cloud Foundations")</f>
        <v>AWS Academy Cloud Foundations</v>
      </c>
      <c r="D174" s="9" t="str">
        <f ca="1">IFERROR(__xludf.DUMMYFUNCTION("""COMPUTED_VALUE"""),"AWS Academy")</f>
        <v>AWS Academy</v>
      </c>
      <c r="E174" s="9" t="str">
        <f ca="1">IFERROR(__xludf.DUMMYFUNCTION("""COMPUTED_VALUE"""),"1 month")</f>
        <v>1 month</v>
      </c>
      <c r="F174" s="79">
        <f ca="1">IFERROR(__xludf.DUMMYFUNCTION("""COMPUTED_VALUE"""),44516)</f>
        <v>44516</v>
      </c>
      <c r="G174" s="79">
        <f ca="1">IFERROR(__xludf.DUMMYFUNCTION("""COMPUTED_VALUE"""),44546)</f>
        <v>44546</v>
      </c>
      <c r="H174" s="72">
        <f ca="1">IFERROR(__xludf.DUMMYFUNCTION("""COMPUTED_VALUE"""),44546)</f>
        <v>44546</v>
      </c>
      <c r="I174" s="80">
        <f ca="1">IFERROR(__xludf.DUMMYFUNCTION("""COMPUTED_VALUE"""),100)</f>
        <v>100</v>
      </c>
      <c r="J174" s="9" t="str">
        <f ca="1">IFERROR(__xludf.DUMMYFUNCTION("""COMPUTED_VALUE"""),"DR. Ravi Kiran Varma")</f>
        <v>DR. Ravi Kiran Varma</v>
      </c>
      <c r="K174" s="73" t="str">
        <f ca="1">IFERROR(__xludf.DUMMYFUNCTION("""COMPUTED_VALUE"""),"https://drive.google.com/open?id=1HEFFnq8T2crffT5UhOJ7A7csKpf6EYKP")</f>
        <v>https://drive.google.com/open?id=1HEFFnq8T2crffT5UhOJ7A7csKpf6EYKP</v>
      </c>
      <c r="L174" s="9" t="str">
        <f ca="1">IFERROR(__xludf.DUMMYFUNCTION("""COMPUTED_VALUE"""),"2018-2022")</f>
        <v>2018-2022</v>
      </c>
      <c r="M174" s="9" t="str">
        <f ca="1">IFERROR(__xludf.DUMMYFUNCTION("""COMPUTED_VALUE"""),"S4: Student Certifications")</f>
        <v>S4: Student Certifications</v>
      </c>
      <c r="N174" s="9" t="str">
        <f ca="1">IFERROR(__xludf.DUMMYFUNCTION("""COMPUTED_VALUE"""),"shrivarma29@gmail.com")</f>
        <v>shrivarma29@gmail.com</v>
      </c>
      <c r="O174" s="9" t="str">
        <f ca="1">IFERROR(__xludf.DUMMYFUNCTION("""COMPUTED_VALUE"""),"SEM-8")</f>
        <v>SEM-8</v>
      </c>
      <c r="P174" s="9"/>
      <c r="Q174" s="9"/>
      <c r="R174" s="9"/>
      <c r="S174" s="9"/>
      <c r="T174" s="9"/>
      <c r="U174" s="9"/>
      <c r="V174" s="9"/>
      <c r="W174" s="9"/>
      <c r="X174" s="9"/>
      <c r="Y174" s="9"/>
    </row>
    <row r="175" spans="1:25" ht="26.25" customHeight="1" x14ac:dyDescent="0.15">
      <c r="A175" s="9" t="str">
        <f ca="1">IFERROR(__xludf.DUMMYFUNCTION("""COMPUTED_VALUE"""),"SATHWICK SADANALA")</f>
        <v>SATHWICK SADANALA</v>
      </c>
      <c r="B175" s="9" t="str">
        <f ca="1">IFERROR(__xludf.DUMMYFUNCTION("""COMPUTED_VALUE"""),"18331A05C6")</f>
        <v>18331A05C6</v>
      </c>
      <c r="C175" s="78" t="str">
        <f ca="1">IFERROR(__xludf.DUMMYFUNCTION("""COMPUTED_VALUE"""),"Code riders 2021")</f>
        <v>Code riders 2021</v>
      </c>
      <c r="D175" s="9" t="str">
        <f ca="1">IFERROR(__xludf.DUMMYFUNCTION("""COMPUTED_VALUE"""),"Eduskills ")</f>
        <v xml:space="preserve">Eduskills </v>
      </c>
      <c r="E175" s="9" t="str">
        <f ca="1">IFERROR(__xludf.DUMMYFUNCTION("""COMPUTED_VALUE"""),"June-july2021")</f>
        <v>June-july2021</v>
      </c>
      <c r="F175" s="79">
        <f ca="1">IFERROR(__xludf.DUMMYFUNCTION("""COMPUTED_VALUE"""),44348)</f>
        <v>44348</v>
      </c>
      <c r="G175" s="79">
        <f ca="1">IFERROR(__xludf.DUMMYFUNCTION("""COMPUTED_VALUE"""),44408)</f>
        <v>44408</v>
      </c>
      <c r="H175" s="72">
        <f ca="1">IFERROR(__xludf.DUMMYFUNCTION("""COMPUTED_VALUE"""),44408)</f>
        <v>44408</v>
      </c>
      <c r="I175" s="80">
        <f ca="1">IFERROR(__xludf.DUMMYFUNCTION("""COMPUTED_VALUE"""),87)</f>
        <v>87</v>
      </c>
      <c r="J175" s="9" t="str">
        <f ca="1">IFERROR(__xludf.DUMMYFUNCTION("""COMPUTED_VALUE"""),"Cisco")</f>
        <v>Cisco</v>
      </c>
      <c r="K175" s="73" t="str">
        <f ca="1">IFERROR(__xludf.DUMMYFUNCTION("""COMPUTED_VALUE"""),"https://drive.google.com/open?id=1uiOk2DJDaRpvDEfg1RYv1Q7VzJqGW4l0")</f>
        <v>https://drive.google.com/open?id=1uiOk2DJDaRpvDEfg1RYv1Q7VzJqGW4l0</v>
      </c>
      <c r="L175" s="9" t="str">
        <f ca="1">IFERROR(__xludf.DUMMYFUNCTION("""COMPUTED_VALUE"""),"2018-2022")</f>
        <v>2018-2022</v>
      </c>
      <c r="M175" s="9" t="str">
        <f ca="1">IFERROR(__xludf.DUMMYFUNCTION("""COMPUTED_VALUE"""),"S4: Student Certifications")</f>
        <v>S4: Student Certifications</v>
      </c>
      <c r="N175" s="9" t="str">
        <f ca="1">IFERROR(__xludf.DUMMYFUNCTION("""COMPUTED_VALUE"""),"sadanalasathwick@gmail.com")</f>
        <v>sadanalasathwick@gmail.com</v>
      </c>
      <c r="O175" s="9" t="str">
        <f ca="1">IFERROR(__xludf.DUMMYFUNCTION("""COMPUTED_VALUE"""),"SEM-5")</f>
        <v>SEM-5</v>
      </c>
      <c r="P175" s="9"/>
      <c r="Q175" s="9"/>
      <c r="R175" s="9"/>
      <c r="S175" s="9"/>
      <c r="T175" s="9"/>
      <c r="U175" s="9"/>
      <c r="V175" s="9"/>
      <c r="W175" s="9"/>
      <c r="X175" s="9"/>
      <c r="Y175" s="9"/>
    </row>
    <row r="176" spans="1:25" ht="26.25" customHeight="1" x14ac:dyDescent="0.15">
      <c r="A176" s="9" t="str">
        <f ca="1">IFERROR(__xludf.DUMMYFUNCTION("""COMPUTED_VALUE"""),"Srihita Gottimukkala")</f>
        <v>Srihita Gottimukkala</v>
      </c>
      <c r="B176" s="9" t="str">
        <f ca="1">IFERROR(__xludf.DUMMYFUNCTION("""COMPUTED_VALUE"""),"18331A0551")</f>
        <v>18331A0551</v>
      </c>
      <c r="C176" s="78" t="str">
        <f ca="1">IFERROR(__xludf.DUMMYFUNCTION("""COMPUTED_VALUE"""),"Cybersecurity Essentials")</f>
        <v>Cybersecurity Essentials</v>
      </c>
      <c r="D176" s="9" t="str">
        <f ca="1">IFERROR(__xludf.DUMMYFUNCTION("""COMPUTED_VALUE"""),"Cisco")</f>
        <v>Cisco</v>
      </c>
      <c r="E176" s="9" t="str">
        <f ca="1">IFERROR(__xludf.DUMMYFUNCTION("""COMPUTED_VALUE"""),"2 months")</f>
        <v>2 months</v>
      </c>
      <c r="F176" s="79">
        <f ca="1">IFERROR(__xludf.DUMMYFUNCTION("""COMPUTED_VALUE"""),43614)</f>
        <v>43614</v>
      </c>
      <c r="G176" s="79">
        <f ca="1">IFERROR(__xludf.DUMMYFUNCTION("""COMPUTED_VALUE"""),43675)</f>
        <v>43675</v>
      </c>
      <c r="H176" s="72">
        <f ca="1">IFERROR(__xludf.DUMMYFUNCTION("""COMPUTED_VALUE"""),43675)</f>
        <v>43675</v>
      </c>
      <c r="I176" s="80">
        <f ca="1">IFERROR(__xludf.DUMMYFUNCTION("""COMPUTED_VALUE"""),100)</f>
        <v>100</v>
      </c>
      <c r="J176" s="9" t="str">
        <f ca="1">IFERROR(__xludf.DUMMYFUNCTION("""COMPUTED_VALUE"""),"Dr P Ravi Kiran Varma")</f>
        <v>Dr P Ravi Kiran Varma</v>
      </c>
      <c r="K176" s="73" t="str">
        <f ca="1">IFERROR(__xludf.DUMMYFUNCTION("""COMPUTED_VALUE"""),"https://drive.google.com/open?id=1MiDY-YLGQZZKBUxNOYnsMV3T58qcYnWx")</f>
        <v>https://drive.google.com/open?id=1MiDY-YLGQZZKBUxNOYnsMV3T58qcYnWx</v>
      </c>
      <c r="L176" s="9" t="str">
        <f ca="1">IFERROR(__xludf.DUMMYFUNCTION("""COMPUTED_VALUE"""),"2018-2022")</f>
        <v>2018-2022</v>
      </c>
      <c r="M176" s="9" t="str">
        <f ca="1">IFERROR(__xludf.DUMMYFUNCTION("""COMPUTED_VALUE"""),"S4: Student Certifications")</f>
        <v>S4: Student Certifications</v>
      </c>
      <c r="N176" s="9" t="str">
        <f ca="1">IFERROR(__xludf.DUMMYFUNCTION("""COMPUTED_VALUE"""),"shrivarma29@gmail.com")</f>
        <v>shrivarma29@gmail.com</v>
      </c>
      <c r="O176" s="9" t="str">
        <f ca="1">IFERROR(__xludf.DUMMYFUNCTION("""COMPUTED_VALUE"""),"SEM-8")</f>
        <v>SEM-8</v>
      </c>
      <c r="P176" s="9"/>
      <c r="Q176" s="9"/>
      <c r="R176" s="9"/>
      <c r="S176" s="9"/>
      <c r="T176" s="9"/>
      <c r="U176" s="9"/>
      <c r="V176" s="9"/>
      <c r="W176" s="9"/>
      <c r="X176" s="9"/>
      <c r="Y176" s="9"/>
    </row>
    <row r="177" spans="1:25" ht="26.25" customHeight="1" x14ac:dyDescent="0.15">
      <c r="A177" s="9" t="str">
        <f ca="1">IFERROR(__xludf.DUMMYFUNCTION("""COMPUTED_VALUE"""),"Iddiboina Bala Kishore")</f>
        <v>Iddiboina Bala Kishore</v>
      </c>
      <c r="B177" s="9" t="str">
        <f ca="1">IFERROR(__xludf.DUMMYFUNCTION("""COMPUTED_VALUE"""),"18331A0558")</f>
        <v>18331A0558</v>
      </c>
      <c r="C177" s="78" t="str">
        <f ca="1">IFERROR(__xludf.DUMMYFUNCTION("""COMPUTED_VALUE"""),"AWS CLOUD FOUNDATIONS")</f>
        <v>AWS CLOUD FOUNDATIONS</v>
      </c>
      <c r="D177" s="9" t="str">
        <f ca="1">IFERROR(__xludf.DUMMYFUNCTION("""COMPUTED_VALUE"""),"AWS")</f>
        <v>AWS</v>
      </c>
      <c r="E177" s="9" t="str">
        <f ca="1">IFERROR(__xludf.DUMMYFUNCTION("""COMPUTED_VALUE"""),"10 weeks")</f>
        <v>10 weeks</v>
      </c>
      <c r="F177" s="79">
        <f ca="1">IFERROR(__xludf.DUMMYFUNCTION("""COMPUTED_VALUE"""),44489)</f>
        <v>44489</v>
      </c>
      <c r="G177" s="79">
        <f ca="1">IFERROR(__xludf.DUMMYFUNCTION("""COMPUTED_VALUE"""),44557)</f>
        <v>44557</v>
      </c>
      <c r="H177" s="72">
        <f ca="1">IFERROR(__xludf.DUMMYFUNCTION("""COMPUTED_VALUE"""),44556)</f>
        <v>44556</v>
      </c>
      <c r="I177" s="80">
        <f ca="1">IFERROR(__xludf.DUMMYFUNCTION("""COMPUTED_VALUE"""),0)</f>
        <v>0</v>
      </c>
      <c r="J177" s="9" t="str">
        <f ca="1">IFERROR(__xludf.DUMMYFUNCTION("""COMPUTED_VALUE"""),"P RAVI KIRAN VARMA")</f>
        <v>P RAVI KIRAN VARMA</v>
      </c>
      <c r="K177" s="73" t="str">
        <f ca="1">IFERROR(__xludf.DUMMYFUNCTION("""COMPUTED_VALUE"""),"https://drive.google.com/open?id=1GHLPz2KKWtbbMW9wN7c_o4y2rt_PJ1IG")</f>
        <v>https://drive.google.com/open?id=1GHLPz2KKWtbbMW9wN7c_o4y2rt_PJ1IG</v>
      </c>
      <c r="L177" s="9" t="str">
        <f ca="1">IFERROR(__xludf.DUMMYFUNCTION("""COMPUTED_VALUE"""),"2018-2022")</f>
        <v>2018-2022</v>
      </c>
      <c r="M177" s="9" t="str">
        <f ca="1">IFERROR(__xludf.DUMMYFUNCTION("""COMPUTED_VALUE"""),"S4: Student Certifications")</f>
        <v>S4: Student Certifications</v>
      </c>
      <c r="N177" s="9" t="str">
        <f ca="1">IFERROR(__xludf.DUMMYFUNCTION("""COMPUTED_VALUE"""),"balakishore810@gmail.com")</f>
        <v>balakishore810@gmail.com</v>
      </c>
      <c r="O177" s="9" t="str">
        <f ca="1">IFERROR(__xludf.DUMMYFUNCTION("""COMPUTED_VALUE"""),"SEM-8")</f>
        <v>SEM-8</v>
      </c>
      <c r="P177" s="9"/>
      <c r="Q177" s="9"/>
      <c r="R177" s="9"/>
      <c r="S177" s="9"/>
      <c r="T177" s="9"/>
      <c r="U177" s="9"/>
      <c r="V177" s="9"/>
      <c r="W177" s="9"/>
      <c r="X177" s="9"/>
      <c r="Y177" s="9"/>
    </row>
    <row r="178" spans="1:25" ht="26.25" customHeight="1" x14ac:dyDescent="0.15">
      <c r="A178" s="9" t="str">
        <f ca="1">IFERROR(__xludf.DUMMYFUNCTION("""COMPUTED_VALUE"""),"Srihita Gottimukkala")</f>
        <v>Srihita Gottimukkala</v>
      </c>
      <c r="B178" s="9" t="str">
        <f ca="1">IFERROR(__xludf.DUMMYFUNCTION("""COMPUTED_VALUE"""),"18331A0551")</f>
        <v>18331A0551</v>
      </c>
      <c r="C178" s="78" t="str">
        <f ca="1">IFERROR(__xludf.DUMMYFUNCTION("""COMPUTED_VALUE"""),"Introduction to packet Tracer")</f>
        <v>Introduction to packet Tracer</v>
      </c>
      <c r="D178" s="9" t="str">
        <f ca="1">IFERROR(__xludf.DUMMYFUNCTION("""COMPUTED_VALUE"""),"Cisco")</f>
        <v>Cisco</v>
      </c>
      <c r="E178" s="9" t="str">
        <f ca="1">IFERROR(__xludf.DUMMYFUNCTION("""COMPUTED_VALUE"""),"3 months")</f>
        <v>3 months</v>
      </c>
      <c r="F178" s="79">
        <f ca="1">IFERROR(__xludf.DUMMYFUNCTION("""COMPUTED_VALUE"""),44292)</f>
        <v>44292</v>
      </c>
      <c r="G178" s="79">
        <f ca="1">IFERROR(__xludf.DUMMYFUNCTION("""COMPUTED_VALUE"""),44383)</f>
        <v>44383</v>
      </c>
      <c r="H178" s="72">
        <f ca="1">IFERROR(__xludf.DUMMYFUNCTION("""COMPUTED_VALUE"""),44383)</f>
        <v>44383</v>
      </c>
      <c r="I178" s="80">
        <f ca="1">IFERROR(__xludf.DUMMYFUNCTION("""COMPUTED_VALUE"""),100)</f>
        <v>100</v>
      </c>
      <c r="J178" s="9" t="str">
        <f ca="1">IFERROR(__xludf.DUMMYFUNCTION("""COMPUTED_VALUE"""),"Dr P Ravi Kiran Varma")</f>
        <v>Dr P Ravi Kiran Varma</v>
      </c>
      <c r="K178" s="73" t="str">
        <f ca="1">IFERROR(__xludf.DUMMYFUNCTION("""COMPUTED_VALUE"""),"https://drive.google.com/open?id=1fppRokg8O_ztDJx0mkm7EqY01BpPMsrL")</f>
        <v>https://drive.google.com/open?id=1fppRokg8O_ztDJx0mkm7EqY01BpPMsrL</v>
      </c>
      <c r="L178" s="9" t="str">
        <f ca="1">IFERROR(__xludf.DUMMYFUNCTION("""COMPUTED_VALUE"""),"2018-2022")</f>
        <v>2018-2022</v>
      </c>
      <c r="M178" s="9" t="str">
        <f ca="1">IFERROR(__xludf.DUMMYFUNCTION("""COMPUTED_VALUE"""),"S4: Student Certifications")</f>
        <v>S4: Student Certifications</v>
      </c>
      <c r="N178" s="9" t="str">
        <f ca="1">IFERROR(__xludf.DUMMYFUNCTION("""COMPUTED_VALUE"""),"shrivarma29@gmail.com")</f>
        <v>shrivarma29@gmail.com</v>
      </c>
      <c r="O178" s="9" t="str">
        <f ca="1">IFERROR(__xludf.DUMMYFUNCTION("""COMPUTED_VALUE"""),"SEM-8")</f>
        <v>SEM-8</v>
      </c>
      <c r="P178" s="9"/>
      <c r="Q178" s="9"/>
      <c r="R178" s="9"/>
      <c r="S178" s="9"/>
      <c r="T178" s="9"/>
      <c r="U178" s="9"/>
      <c r="V178" s="9"/>
      <c r="W178" s="9"/>
      <c r="X178" s="9"/>
      <c r="Y178" s="9"/>
    </row>
    <row r="179" spans="1:25" ht="26.25" customHeight="1" x14ac:dyDescent="0.15">
      <c r="A179" s="9" t="str">
        <f ca="1">IFERROR(__xludf.DUMMYFUNCTION("""COMPUTED_VALUE"""),"Sathwick Sadanala")</f>
        <v>Sathwick Sadanala</v>
      </c>
      <c r="B179" s="9" t="str">
        <f ca="1">IFERROR(__xludf.DUMMYFUNCTION("""COMPUTED_VALUE"""),"18331A05C6 ")</f>
        <v xml:space="preserve">18331A05C6 </v>
      </c>
      <c r="C179" s="78" t="str">
        <f ca="1">IFERROR(__xludf.DUMMYFUNCTION("""COMPUTED_VALUE"""),"Programming essentials in C")</f>
        <v>Programming essentials in C</v>
      </c>
      <c r="D179" s="9" t="str">
        <f ca="1">IFERROR(__xludf.DUMMYFUNCTION("""COMPUTED_VALUE"""),"Cisco")</f>
        <v>Cisco</v>
      </c>
      <c r="E179" s="9" t="str">
        <f ca="1">IFERROR(__xludf.DUMMYFUNCTION("""COMPUTED_VALUE"""),"1month")</f>
        <v>1month</v>
      </c>
      <c r="F179" s="79">
        <f ca="1">IFERROR(__xludf.DUMMYFUNCTION("""COMPUTED_VALUE"""),43525)</f>
        <v>43525</v>
      </c>
      <c r="G179" s="79">
        <f ca="1">IFERROR(__xludf.DUMMYFUNCTION("""COMPUTED_VALUE"""),43585)</f>
        <v>43585</v>
      </c>
      <c r="H179" s="72">
        <f ca="1">IFERROR(__xludf.DUMMYFUNCTION("""COMPUTED_VALUE"""),43585)</f>
        <v>43585</v>
      </c>
      <c r="I179" s="80">
        <f ca="1">IFERROR(__xludf.DUMMYFUNCTION("""COMPUTED_VALUE"""),89)</f>
        <v>89</v>
      </c>
      <c r="J179" s="9" t="str">
        <f ca="1">IFERROR(__xludf.DUMMYFUNCTION("""COMPUTED_VALUE"""),"Dr.Ravin Kiran Varma Penmatsa")</f>
        <v>Dr.Ravin Kiran Varma Penmatsa</v>
      </c>
      <c r="K179" s="73" t="str">
        <f ca="1">IFERROR(__xludf.DUMMYFUNCTION("""COMPUTED_VALUE"""),"https://drive.google.com/open?id=1OD_4ylnlGP-3KVccawhDmymp_XieJ2JT")</f>
        <v>https://drive.google.com/open?id=1OD_4ylnlGP-3KVccawhDmymp_XieJ2JT</v>
      </c>
      <c r="L179" s="9" t="str">
        <f ca="1">IFERROR(__xludf.DUMMYFUNCTION("""COMPUTED_VALUE"""),"2018-2022")</f>
        <v>2018-2022</v>
      </c>
      <c r="M179" s="9" t="str">
        <f ca="1">IFERROR(__xludf.DUMMYFUNCTION("""COMPUTED_VALUE"""),"S4: Student Certifications")</f>
        <v>S4: Student Certifications</v>
      </c>
      <c r="N179" s="9" t="str">
        <f ca="1">IFERROR(__xludf.DUMMYFUNCTION("""COMPUTED_VALUE"""),"sadanalasathwick@gmail.com")</f>
        <v>sadanalasathwick@gmail.com</v>
      </c>
      <c r="O179" s="9" t="str">
        <f ca="1">IFERROR(__xludf.DUMMYFUNCTION("""COMPUTED_VALUE"""),"SEM-2")</f>
        <v>SEM-2</v>
      </c>
      <c r="P179" s="9"/>
      <c r="Q179" s="9"/>
      <c r="R179" s="9"/>
      <c r="S179" s="9"/>
      <c r="T179" s="9"/>
      <c r="U179" s="9"/>
      <c r="V179" s="9"/>
      <c r="W179" s="9"/>
      <c r="X179" s="9"/>
      <c r="Y179" s="9"/>
    </row>
    <row r="180" spans="1:25" ht="26.25" customHeight="1" x14ac:dyDescent="0.15">
      <c r="A180" s="9" t="str">
        <f ca="1">IFERROR(__xludf.DUMMYFUNCTION("""COMPUTED_VALUE"""),"Srihita Gottimukkala")</f>
        <v>Srihita Gottimukkala</v>
      </c>
      <c r="B180" s="9" t="str">
        <f ca="1">IFERROR(__xludf.DUMMYFUNCTION("""COMPUTED_VALUE"""),"18331A0551")</f>
        <v>18331A0551</v>
      </c>
      <c r="C180" s="78" t="str">
        <f ca="1">IFERROR(__xludf.DUMMYFUNCTION("""COMPUTED_VALUE"""),"Cybersecurity Foundation")</f>
        <v>Cybersecurity Foundation</v>
      </c>
      <c r="D180" s="9" t="str">
        <f ca="1">IFERROR(__xludf.DUMMYFUNCTION("""COMPUTED_VALUE"""),"Palo Alto Networks")</f>
        <v>Palo Alto Networks</v>
      </c>
      <c r="E180" s="9" t="str">
        <f ca="1">IFERROR(__xludf.DUMMYFUNCTION("""COMPUTED_VALUE"""),"1 month")</f>
        <v>1 month</v>
      </c>
      <c r="F180" s="79">
        <f ca="1">IFERROR(__xludf.DUMMYFUNCTION("""COMPUTED_VALUE"""),44371)</f>
        <v>44371</v>
      </c>
      <c r="G180" s="79">
        <f ca="1">IFERROR(__xludf.DUMMYFUNCTION("""COMPUTED_VALUE"""),44401)</f>
        <v>44401</v>
      </c>
      <c r="H180" s="72">
        <f ca="1">IFERROR(__xludf.DUMMYFUNCTION("""COMPUTED_VALUE"""),44401)</f>
        <v>44401</v>
      </c>
      <c r="I180" s="80">
        <f ca="1">IFERROR(__xludf.DUMMYFUNCTION("""COMPUTED_VALUE"""),100)</f>
        <v>100</v>
      </c>
      <c r="J180" s="9" t="str">
        <f ca="1">IFERROR(__xludf.DUMMYFUNCTION("""COMPUTED_VALUE"""),"DR P Ravi Kiran Varma")</f>
        <v>DR P Ravi Kiran Varma</v>
      </c>
      <c r="K180" s="73" t="str">
        <f ca="1">IFERROR(__xludf.DUMMYFUNCTION("""COMPUTED_VALUE"""),"https://drive.google.com/open?id=1_6uI5I0pLhwAN-tYYgmJI22WJ1ACcGYu")</f>
        <v>https://drive.google.com/open?id=1_6uI5I0pLhwAN-tYYgmJI22WJ1ACcGYu</v>
      </c>
      <c r="L180" s="9" t="str">
        <f ca="1">IFERROR(__xludf.DUMMYFUNCTION("""COMPUTED_VALUE"""),"2018-2022")</f>
        <v>2018-2022</v>
      </c>
      <c r="M180" s="9" t="str">
        <f ca="1">IFERROR(__xludf.DUMMYFUNCTION("""COMPUTED_VALUE"""),"S4: Student Certifications")</f>
        <v>S4: Student Certifications</v>
      </c>
      <c r="N180" s="9" t="str">
        <f ca="1">IFERROR(__xludf.DUMMYFUNCTION("""COMPUTED_VALUE"""),"shrivarma29@gmail.com")</f>
        <v>shrivarma29@gmail.com</v>
      </c>
      <c r="O180" s="9" t="str">
        <f ca="1">IFERROR(__xludf.DUMMYFUNCTION("""COMPUTED_VALUE"""),"SEM-8")</f>
        <v>SEM-8</v>
      </c>
      <c r="P180" s="9"/>
      <c r="Q180" s="9"/>
      <c r="R180" s="9"/>
      <c r="S180" s="9"/>
      <c r="T180" s="9"/>
      <c r="U180" s="9"/>
      <c r="V180" s="9"/>
      <c r="W180" s="9"/>
      <c r="X180" s="9"/>
      <c r="Y180" s="9"/>
    </row>
    <row r="181" spans="1:25" ht="26.25" customHeight="1" x14ac:dyDescent="0.15">
      <c r="A181" s="9" t="str">
        <f ca="1">IFERROR(__xludf.DUMMYFUNCTION("""COMPUTED_VALUE"""),"Sathwick Sadanala")</f>
        <v>Sathwick Sadanala</v>
      </c>
      <c r="B181" s="9" t="str">
        <f ca="1">IFERROR(__xludf.DUMMYFUNCTION("""COMPUTED_VALUE"""),"18331A05C6 ")</f>
        <v xml:space="preserve">18331A05C6 </v>
      </c>
      <c r="C181" s="78" t="str">
        <f ca="1">IFERROR(__xludf.DUMMYFUNCTION("""COMPUTED_VALUE"""),"Cybersecurity essentials")</f>
        <v>Cybersecurity essentials</v>
      </c>
      <c r="D181" s="9" t="str">
        <f ca="1">IFERROR(__xludf.DUMMYFUNCTION("""COMPUTED_VALUE"""),"Cisco")</f>
        <v>Cisco</v>
      </c>
      <c r="E181" s="9" t="str">
        <f ca="1">IFERROR(__xludf.DUMMYFUNCTION("""COMPUTED_VALUE"""),"1 month")</f>
        <v>1 month</v>
      </c>
      <c r="F181" s="79">
        <f ca="1">IFERROR(__xludf.DUMMYFUNCTION("""COMPUTED_VALUE"""),44256)</f>
        <v>44256</v>
      </c>
      <c r="G181" s="79">
        <f ca="1">IFERROR(__xludf.DUMMYFUNCTION("""COMPUTED_VALUE"""),44316)</f>
        <v>44316</v>
      </c>
      <c r="H181" s="72">
        <f ca="1">IFERROR(__xludf.DUMMYFUNCTION("""COMPUTED_VALUE"""),44316)</f>
        <v>44316</v>
      </c>
      <c r="I181" s="80">
        <f ca="1">IFERROR(__xludf.DUMMYFUNCTION("""COMPUTED_VALUE"""),85)</f>
        <v>85</v>
      </c>
      <c r="J181" s="9" t="str">
        <f ca="1">IFERROR(__xludf.DUMMYFUNCTION("""COMPUTED_VALUE"""),"Dr.Ravin Kiran Varma Penmatsa")</f>
        <v>Dr.Ravin Kiran Varma Penmatsa</v>
      </c>
      <c r="K181" s="73" t="str">
        <f ca="1">IFERROR(__xludf.DUMMYFUNCTION("""COMPUTED_VALUE"""),"https://drive.google.com/open?id=1VRlGOrW3Zj480S4jLzaknk543AyUWlZD")</f>
        <v>https://drive.google.com/open?id=1VRlGOrW3Zj480S4jLzaknk543AyUWlZD</v>
      </c>
      <c r="L181" s="9" t="str">
        <f ca="1">IFERROR(__xludf.DUMMYFUNCTION("""COMPUTED_VALUE"""),"2018-2022")</f>
        <v>2018-2022</v>
      </c>
      <c r="M181" s="9" t="str">
        <f ca="1">IFERROR(__xludf.DUMMYFUNCTION("""COMPUTED_VALUE"""),"S4: Student Certifications")</f>
        <v>S4: Student Certifications</v>
      </c>
      <c r="N181" s="9" t="str">
        <f ca="1">IFERROR(__xludf.DUMMYFUNCTION("""COMPUTED_VALUE"""),"sadanalasathwick@gmail.com")</f>
        <v>sadanalasathwick@gmail.com</v>
      </c>
      <c r="O181" s="9" t="str">
        <f ca="1">IFERROR(__xludf.DUMMYFUNCTION("""COMPUTED_VALUE"""),"SEM-5")</f>
        <v>SEM-5</v>
      </c>
      <c r="P181" s="9"/>
      <c r="Q181" s="9"/>
      <c r="R181" s="9"/>
      <c r="S181" s="9"/>
      <c r="T181" s="9"/>
      <c r="U181" s="9"/>
      <c r="V181" s="9"/>
      <c r="W181" s="9"/>
      <c r="X181" s="9"/>
      <c r="Y181" s="9"/>
    </row>
    <row r="182" spans="1:25" ht="26.25" customHeight="1" x14ac:dyDescent="0.15">
      <c r="A182" s="9" t="str">
        <f ca="1">IFERROR(__xludf.DUMMYFUNCTION("""COMPUTED_VALUE"""),"Sathwick Sadanala ")</f>
        <v xml:space="preserve">Sathwick Sadanala </v>
      </c>
      <c r="B182" s="9" t="str">
        <f ca="1">IFERROR(__xludf.DUMMYFUNCTION("""COMPUTED_VALUE"""),"18331A05C6 ")</f>
        <v xml:space="preserve">18331A05C6 </v>
      </c>
      <c r="C182" s="78" t="str">
        <f ca="1">IFERROR(__xludf.DUMMYFUNCTION("""COMPUTED_VALUE"""),"Introduction to Packet Tracer")</f>
        <v>Introduction to Packet Tracer</v>
      </c>
      <c r="D182" s="9" t="str">
        <f ca="1">IFERROR(__xludf.DUMMYFUNCTION("""COMPUTED_VALUE"""),"Cisco")</f>
        <v>Cisco</v>
      </c>
      <c r="E182" s="9" t="str">
        <f ca="1">IFERROR(__xludf.DUMMYFUNCTION("""COMPUTED_VALUE"""),"1month")</f>
        <v>1month</v>
      </c>
      <c r="F182" s="79">
        <f ca="1">IFERROR(__xludf.DUMMYFUNCTION("""COMPUTED_VALUE"""),44257)</f>
        <v>44257</v>
      </c>
      <c r="G182" s="79">
        <f ca="1">IFERROR(__xludf.DUMMYFUNCTION("""COMPUTED_VALUE"""),44315)</f>
        <v>44315</v>
      </c>
      <c r="H182" s="72">
        <f ca="1">IFERROR(__xludf.DUMMYFUNCTION("""COMPUTED_VALUE"""),44315)</f>
        <v>44315</v>
      </c>
      <c r="I182" s="80">
        <f ca="1">IFERROR(__xludf.DUMMYFUNCTION("""COMPUTED_VALUE"""),86)</f>
        <v>86</v>
      </c>
      <c r="J182" s="9" t="str">
        <f ca="1">IFERROR(__xludf.DUMMYFUNCTION("""COMPUTED_VALUE"""),"Dr.Ravi Kiran Varma Penmatsa")</f>
        <v>Dr.Ravi Kiran Varma Penmatsa</v>
      </c>
      <c r="K182" s="73" t="str">
        <f ca="1">IFERROR(__xludf.DUMMYFUNCTION("""COMPUTED_VALUE"""),"https://drive.google.com/open?id=1saIgyXhIKHIP0qj41JYjjetOKWSi9XTp")</f>
        <v>https://drive.google.com/open?id=1saIgyXhIKHIP0qj41JYjjetOKWSi9XTp</v>
      </c>
      <c r="L182" s="9" t="str">
        <f ca="1">IFERROR(__xludf.DUMMYFUNCTION("""COMPUTED_VALUE"""),"2018-2022")</f>
        <v>2018-2022</v>
      </c>
      <c r="M182" s="9" t="str">
        <f ca="1">IFERROR(__xludf.DUMMYFUNCTION("""COMPUTED_VALUE"""),"S4: Student Certifications")</f>
        <v>S4: Student Certifications</v>
      </c>
      <c r="N182" s="9" t="str">
        <f ca="1">IFERROR(__xludf.DUMMYFUNCTION("""COMPUTED_VALUE"""),"sadanalasathwick@gmail.com")</f>
        <v>sadanalasathwick@gmail.com</v>
      </c>
      <c r="O182" s="9" t="str">
        <f ca="1">IFERROR(__xludf.DUMMYFUNCTION("""COMPUTED_VALUE"""),"SEM-5")</f>
        <v>SEM-5</v>
      </c>
      <c r="P182" s="9"/>
      <c r="Q182" s="9"/>
      <c r="R182" s="9"/>
      <c r="S182" s="9"/>
      <c r="T182" s="9"/>
      <c r="U182" s="9"/>
      <c r="V182" s="9"/>
      <c r="W182" s="9"/>
      <c r="X182" s="9"/>
      <c r="Y182" s="9"/>
    </row>
    <row r="183" spans="1:25" ht="26.25" customHeight="1" x14ac:dyDescent="0.15">
      <c r="A183" s="9" t="str">
        <f ca="1">IFERROR(__xludf.DUMMYFUNCTION("""COMPUTED_VALUE"""),"Sagirisetty Teja sri")</f>
        <v>Sagirisetty Teja sri</v>
      </c>
      <c r="B183" s="9" t="str">
        <f ca="1">IFERROR(__xludf.DUMMYFUNCTION("""COMPUTED_VALUE"""),"18331A05D0")</f>
        <v>18331A05D0</v>
      </c>
      <c r="C183" s="78" t="str">
        <f ca="1">IFERROR(__xludf.DUMMYFUNCTION("""COMPUTED_VALUE"""),"CCNAv7 ")</f>
        <v xml:space="preserve">CCNAv7 </v>
      </c>
      <c r="D183" s="9" t="str">
        <f ca="1">IFERROR(__xludf.DUMMYFUNCTION("""COMPUTED_VALUE"""),"CISCO")</f>
        <v>CISCO</v>
      </c>
      <c r="E183" s="9" t="str">
        <f ca="1">IFERROR(__xludf.DUMMYFUNCTION("""COMPUTED_VALUE"""),"6 months")</f>
        <v>6 months</v>
      </c>
      <c r="F183" s="79">
        <f ca="1">IFERROR(__xludf.DUMMYFUNCTION("""COMPUTED_VALUE"""),44177)</f>
        <v>44177</v>
      </c>
      <c r="G183" s="79">
        <f ca="1">IFERROR(__xludf.DUMMYFUNCTION("""COMPUTED_VALUE"""),44307)</f>
        <v>44307</v>
      </c>
      <c r="H183" s="72">
        <f ca="1">IFERROR(__xludf.DUMMYFUNCTION("""COMPUTED_VALUE"""),44328)</f>
        <v>44328</v>
      </c>
      <c r="I183" s="80">
        <f ca="1">IFERROR(__xludf.DUMMYFUNCTION("""COMPUTED_VALUE"""),90)</f>
        <v>90</v>
      </c>
      <c r="J183" s="9" t="str">
        <f ca="1">IFERROR(__xludf.DUMMYFUNCTION("""COMPUTED_VALUE"""),"RAVI KIRAN VARMA")</f>
        <v>RAVI KIRAN VARMA</v>
      </c>
      <c r="K183" s="73" t="str">
        <f ca="1">IFERROR(__xludf.DUMMYFUNCTION("""COMPUTED_VALUE"""),"https://drive.google.com/open?id=1iMgoMdOng_18ssDd4lHi-8f00MaO0xdx")</f>
        <v>https://drive.google.com/open?id=1iMgoMdOng_18ssDd4lHi-8f00MaO0xdx</v>
      </c>
      <c r="L183" s="9" t="str">
        <f ca="1">IFERROR(__xludf.DUMMYFUNCTION("""COMPUTED_VALUE"""),"2018-2022")</f>
        <v>2018-2022</v>
      </c>
      <c r="M183" s="9" t="str">
        <f ca="1">IFERROR(__xludf.DUMMYFUNCTION("""COMPUTED_VALUE"""),"S4: Student Certifications")</f>
        <v>S4: Student Certifications</v>
      </c>
      <c r="N183" s="9" t="str">
        <f ca="1">IFERROR(__xludf.DUMMYFUNCTION("""COMPUTED_VALUE"""),"tejasri.sagirisetty@gmail.com")</f>
        <v>tejasri.sagirisetty@gmail.com</v>
      </c>
      <c r="O183" s="9" t="str">
        <f ca="1">IFERROR(__xludf.DUMMYFUNCTION("""COMPUTED_VALUE"""),"SEM-8")</f>
        <v>SEM-8</v>
      </c>
      <c r="P183" s="9"/>
      <c r="Q183" s="9"/>
      <c r="R183" s="9"/>
      <c r="S183" s="9"/>
      <c r="T183" s="9"/>
      <c r="U183" s="9"/>
      <c r="V183" s="9"/>
      <c r="W183" s="9"/>
      <c r="X183" s="9"/>
      <c r="Y183" s="9"/>
    </row>
    <row r="184" spans="1:25" ht="26.25" customHeight="1" x14ac:dyDescent="0.15">
      <c r="A184" s="9" t="str">
        <f ca="1">IFERROR(__xludf.DUMMYFUNCTION("""COMPUTED_VALUE"""),"AKASAPU HEMANTH KUMAR")</f>
        <v>AKASAPU HEMANTH KUMAR</v>
      </c>
      <c r="B184" s="9" t="str">
        <f ca="1">IFERROR(__xludf.DUMMYFUNCTION("""COMPUTED_VALUE"""),"18331A0502 ")</f>
        <v xml:space="preserve">18331A0502 </v>
      </c>
      <c r="C184" s="78" t="str">
        <f ca="1">IFERROR(__xludf.DUMMYFUNCTION("""COMPUTED_VALUE"""),"Coding ninja")</f>
        <v>Coding ninja</v>
      </c>
      <c r="D184" s="9" t="str">
        <f ca="1">IFERROR(__xludf.DUMMYFUNCTION("""COMPUTED_VALUE"""),"Coding ninja")</f>
        <v>Coding ninja</v>
      </c>
      <c r="E184" s="9" t="str">
        <f ca="1">IFERROR(__xludf.DUMMYFUNCTION("""COMPUTED_VALUE"""),"5days")</f>
        <v>5days</v>
      </c>
      <c r="F184" s="79">
        <f ca="1">IFERROR(__xludf.DUMMYFUNCTION("""COMPUTED_VALUE"""),44602)</f>
        <v>44602</v>
      </c>
      <c r="G184" s="79">
        <f ca="1">IFERROR(__xludf.DUMMYFUNCTION("""COMPUTED_VALUE"""),44666)</f>
        <v>44666</v>
      </c>
      <c r="H184" s="72">
        <f ca="1">IFERROR(__xludf.DUMMYFUNCTION("""COMPUTED_VALUE"""),44666)</f>
        <v>44666</v>
      </c>
      <c r="I184" s="80">
        <f ca="1">IFERROR(__xludf.DUMMYFUNCTION("""COMPUTED_VALUE"""),96)</f>
        <v>96</v>
      </c>
      <c r="J184" s="9" t="str">
        <f ca="1">IFERROR(__xludf.DUMMYFUNCTION("""COMPUTED_VALUE"""),"Self learn")</f>
        <v>Self learn</v>
      </c>
      <c r="K184" s="73" t="str">
        <f ca="1">IFERROR(__xludf.DUMMYFUNCTION("""COMPUTED_VALUE"""),"https://drive.google.com/open?id=1fIttXo-0e7AW-B6zZWeKtI9UqK1Vr7U-")</f>
        <v>https://drive.google.com/open?id=1fIttXo-0e7AW-B6zZWeKtI9UqK1Vr7U-</v>
      </c>
      <c r="L184" s="9" t="str">
        <f ca="1">IFERROR(__xludf.DUMMYFUNCTION("""COMPUTED_VALUE"""),"2018-2022")</f>
        <v>2018-2022</v>
      </c>
      <c r="M184" s="9" t="str">
        <f ca="1">IFERROR(__xludf.DUMMYFUNCTION("""COMPUTED_VALUE"""),"S4: Student Certifications")</f>
        <v>S4: Student Certifications</v>
      </c>
      <c r="N184" s="9" t="str">
        <f ca="1">IFERROR(__xludf.DUMMYFUNCTION("""COMPUTED_VALUE"""),"akasapuhemanthkumar@gmail.com")</f>
        <v>akasapuhemanthkumar@gmail.com</v>
      </c>
      <c r="O184" s="9" t="str">
        <f ca="1">IFERROR(__xludf.DUMMYFUNCTION("""COMPUTED_VALUE"""),"SEM-8")</f>
        <v>SEM-8</v>
      </c>
      <c r="P184" s="9"/>
      <c r="Q184" s="9"/>
      <c r="R184" s="9"/>
      <c r="S184" s="9"/>
      <c r="T184" s="9"/>
      <c r="U184" s="9"/>
      <c r="V184" s="9"/>
      <c r="W184" s="9"/>
      <c r="X184" s="9"/>
      <c r="Y184" s="9"/>
    </row>
    <row r="185" spans="1:25" ht="26.25" customHeight="1" x14ac:dyDescent="0.15">
      <c r="A185" s="9" t="str">
        <f ca="1">IFERROR(__xludf.DUMMYFUNCTION("""COMPUTED_VALUE"""),"Sathwick Sadanala")</f>
        <v>Sathwick Sadanala</v>
      </c>
      <c r="B185" s="9" t="str">
        <f ca="1">IFERROR(__xludf.DUMMYFUNCTION("""COMPUTED_VALUE"""),"18331A05C6 ")</f>
        <v xml:space="preserve">18331A05C6 </v>
      </c>
      <c r="C185" s="78" t="str">
        <f ca="1">IFERROR(__xludf.DUMMYFUNCTION("""COMPUTED_VALUE"""),"Cybersecurity foundation")</f>
        <v>Cybersecurity foundation</v>
      </c>
      <c r="D185" s="9" t="str">
        <f ca="1">IFERROR(__xludf.DUMMYFUNCTION("""COMPUTED_VALUE"""),"Palo Alto networks Cybersecurity academy ")</f>
        <v xml:space="preserve">Palo Alto networks Cybersecurity academy </v>
      </c>
      <c r="E185" s="9" t="str">
        <f ca="1">IFERROR(__xludf.DUMMYFUNCTION("""COMPUTED_VALUE"""),"1 month")</f>
        <v>1 month</v>
      </c>
      <c r="F185" s="79">
        <f ca="1">IFERROR(__xludf.DUMMYFUNCTION("""COMPUTED_VALUE"""),44348)</f>
        <v>44348</v>
      </c>
      <c r="G185" s="79">
        <f ca="1">IFERROR(__xludf.DUMMYFUNCTION("""COMPUTED_VALUE"""),44408)</f>
        <v>44408</v>
      </c>
      <c r="H185" s="72">
        <f ca="1">IFERROR(__xludf.DUMMYFUNCTION("""COMPUTED_VALUE"""),44402)</f>
        <v>44402</v>
      </c>
      <c r="I185" s="80">
        <f ca="1">IFERROR(__xludf.DUMMYFUNCTION("""COMPUTED_VALUE"""),90)</f>
        <v>90</v>
      </c>
      <c r="J185" s="9" t="str">
        <f ca="1">IFERROR(__xludf.DUMMYFUNCTION("""COMPUTED_VALUE"""),"Dr.Ravi Kiran Varma Penmatsa")</f>
        <v>Dr.Ravi Kiran Varma Penmatsa</v>
      </c>
      <c r="K185" s="73" t="str">
        <f ca="1">IFERROR(__xludf.DUMMYFUNCTION("""COMPUTED_VALUE"""),"https://drive.google.com/open?id=1TE7yeZAMwFyhxq-xeNKV41D9Sw_m3tKg")</f>
        <v>https://drive.google.com/open?id=1TE7yeZAMwFyhxq-xeNKV41D9Sw_m3tKg</v>
      </c>
      <c r="L185" s="9" t="str">
        <f ca="1">IFERROR(__xludf.DUMMYFUNCTION("""COMPUTED_VALUE"""),"2018-2022")</f>
        <v>2018-2022</v>
      </c>
      <c r="M185" s="9" t="str">
        <f ca="1">IFERROR(__xludf.DUMMYFUNCTION("""COMPUTED_VALUE"""),"S4: Student Certifications")</f>
        <v>S4: Student Certifications</v>
      </c>
      <c r="N185" s="9" t="str">
        <f ca="1">IFERROR(__xludf.DUMMYFUNCTION("""COMPUTED_VALUE"""),"sadanalasathwick@gmail.com")</f>
        <v>sadanalasathwick@gmail.com</v>
      </c>
      <c r="O185" s="9" t="str">
        <f ca="1">IFERROR(__xludf.DUMMYFUNCTION("""COMPUTED_VALUE"""),"SEM-5")</f>
        <v>SEM-5</v>
      </c>
      <c r="P185" s="9"/>
      <c r="Q185" s="9"/>
      <c r="R185" s="9"/>
      <c r="S185" s="9"/>
      <c r="T185" s="9"/>
      <c r="U185" s="9"/>
      <c r="V185" s="9"/>
      <c r="W185" s="9"/>
      <c r="X185" s="9"/>
      <c r="Y185" s="9"/>
    </row>
    <row r="186" spans="1:25" ht="26.25" customHeight="1" x14ac:dyDescent="0.15">
      <c r="A186" s="9" t="str">
        <f ca="1">IFERROR(__xludf.DUMMYFUNCTION("""COMPUTED_VALUE"""),"KOLLI YASWANTH KUMAR")</f>
        <v>KOLLI YASWANTH KUMAR</v>
      </c>
      <c r="B186" s="9" t="str">
        <f ca="1">IFERROR(__xludf.DUMMYFUNCTION("""COMPUTED_VALUE"""),"18331A0579")</f>
        <v>18331A0579</v>
      </c>
      <c r="C186" s="78" t="str">
        <f ca="1">IFERROR(__xludf.DUMMYFUNCTION("""COMPUTED_VALUE"""),"Cybersecurity Essentials")</f>
        <v>Cybersecurity Essentials</v>
      </c>
      <c r="D186" s="9" t="str">
        <f ca="1">IFERROR(__xludf.DUMMYFUNCTION("""COMPUTED_VALUE"""),"Cisco")</f>
        <v>Cisco</v>
      </c>
      <c r="E186" s="9" t="str">
        <f ca="1">IFERROR(__xludf.DUMMYFUNCTION("""COMPUTED_VALUE"""),"1 month")</f>
        <v>1 month</v>
      </c>
      <c r="F186" s="79">
        <f ca="1">IFERROR(__xludf.DUMMYFUNCTION("""COMPUTED_VALUE"""),43644)</f>
        <v>43644</v>
      </c>
      <c r="G186" s="79">
        <f ca="1">IFERROR(__xludf.DUMMYFUNCTION("""COMPUTED_VALUE"""),44770)</f>
        <v>44770</v>
      </c>
      <c r="H186" s="72">
        <f ca="1">IFERROR(__xludf.DUMMYFUNCTION("""COMPUTED_VALUE"""),43677)</f>
        <v>43677</v>
      </c>
      <c r="I186" s="80">
        <f ca="1">IFERROR(__xludf.DUMMYFUNCTION("""COMPUTED_VALUE"""),85)</f>
        <v>85</v>
      </c>
      <c r="J186" s="9" t="str">
        <f ca="1">IFERROR(__xludf.DUMMYFUNCTION("""COMPUTED_VALUE"""),"Dr. Ravi Kiran Varma Penamatsa")</f>
        <v>Dr. Ravi Kiran Varma Penamatsa</v>
      </c>
      <c r="K186" s="73" t="str">
        <f ca="1">IFERROR(__xludf.DUMMYFUNCTION("""COMPUTED_VALUE"""),"https://drive.google.com/open?id=1-SoacEr93mcC-8vYxjGNQEffwQCJoh-c")</f>
        <v>https://drive.google.com/open?id=1-SoacEr93mcC-8vYxjGNQEffwQCJoh-c</v>
      </c>
      <c r="L186" s="9" t="str">
        <f ca="1">IFERROR(__xludf.DUMMYFUNCTION("""COMPUTED_VALUE"""),"2018-2022")</f>
        <v>2018-2022</v>
      </c>
      <c r="M186" s="9" t="str">
        <f ca="1">IFERROR(__xludf.DUMMYFUNCTION("""COMPUTED_VALUE"""),"S4: Student Certifications")</f>
        <v>S4: Student Certifications</v>
      </c>
      <c r="N186" s="9" t="str">
        <f ca="1">IFERROR(__xludf.DUMMYFUNCTION("""COMPUTED_VALUE"""),"yaswanthroshan1045@gmail.com")</f>
        <v>yaswanthroshan1045@gmail.com</v>
      </c>
      <c r="O186" s="9" t="str">
        <f ca="1">IFERROR(__xludf.DUMMYFUNCTION("""COMPUTED_VALUE"""),"SEM-3")</f>
        <v>SEM-3</v>
      </c>
      <c r="P186" s="9"/>
      <c r="Q186" s="9"/>
      <c r="R186" s="9"/>
      <c r="S186" s="9"/>
      <c r="T186" s="9"/>
      <c r="U186" s="9"/>
      <c r="V186" s="9"/>
      <c r="W186" s="9"/>
      <c r="X186" s="9"/>
      <c r="Y186" s="9"/>
    </row>
    <row r="187" spans="1:25" ht="26.25" customHeight="1" x14ac:dyDescent="0.15">
      <c r="A187" s="9" t="str">
        <f ca="1">IFERROR(__xludf.DUMMYFUNCTION("""COMPUTED_VALUE"""),"Sagirisetty Teja sri")</f>
        <v>Sagirisetty Teja sri</v>
      </c>
      <c r="B187" s="9" t="str">
        <f ca="1">IFERROR(__xludf.DUMMYFUNCTION("""COMPUTED_VALUE"""),"18331A05D0")</f>
        <v>18331A05D0</v>
      </c>
      <c r="C187" s="78" t="str">
        <f ca="1">IFERROR(__xludf.DUMMYFUNCTION("""COMPUTED_VALUE"""),"CLA - C")</f>
        <v>CLA - C</v>
      </c>
      <c r="D187" s="9" t="str">
        <f ca="1">IFERROR(__xludf.DUMMYFUNCTION("""COMPUTED_VALUE"""),"CISCO")</f>
        <v>CISCO</v>
      </c>
      <c r="E187" s="9" t="str">
        <f ca="1">IFERROR(__xludf.DUMMYFUNCTION("""COMPUTED_VALUE"""),"6 months")</f>
        <v>6 months</v>
      </c>
      <c r="F187" s="79">
        <f ca="1">IFERROR(__xludf.DUMMYFUNCTION("""COMPUTED_VALUE"""),43443)</f>
        <v>43443</v>
      </c>
      <c r="G187" s="79">
        <f ca="1">IFERROR(__xludf.DUMMYFUNCTION("""COMPUTED_VALUE"""),43597)</f>
        <v>43597</v>
      </c>
      <c r="H187" s="72">
        <f ca="1">IFERROR(__xludf.DUMMYFUNCTION("""COMPUTED_VALUE"""),43618)</f>
        <v>43618</v>
      </c>
      <c r="I187" s="80">
        <f ca="1">IFERROR(__xludf.DUMMYFUNCTION("""COMPUTED_VALUE"""),85)</f>
        <v>85</v>
      </c>
      <c r="J187" s="9" t="str">
        <f ca="1">IFERROR(__xludf.DUMMYFUNCTION("""COMPUTED_VALUE"""),"RAVI KIRAN VARMA")</f>
        <v>RAVI KIRAN VARMA</v>
      </c>
      <c r="K187" s="73" t="str">
        <f ca="1">IFERROR(__xludf.DUMMYFUNCTION("""COMPUTED_VALUE"""),"https://drive.google.com/open?id=1PGe_YhDZ1SXbP36ChnZ2JAqpqC42knJJ")</f>
        <v>https://drive.google.com/open?id=1PGe_YhDZ1SXbP36ChnZ2JAqpqC42knJJ</v>
      </c>
      <c r="L187" s="9" t="str">
        <f ca="1">IFERROR(__xludf.DUMMYFUNCTION("""COMPUTED_VALUE"""),"2018-2022")</f>
        <v>2018-2022</v>
      </c>
      <c r="M187" s="9" t="str">
        <f ca="1">IFERROR(__xludf.DUMMYFUNCTION("""COMPUTED_VALUE"""),"S4: Student Certifications")</f>
        <v>S4: Student Certifications</v>
      </c>
      <c r="N187" s="9" t="str">
        <f ca="1">IFERROR(__xludf.DUMMYFUNCTION("""COMPUTED_VALUE"""),"tejasri.sagirisetty@gmail.com")</f>
        <v>tejasri.sagirisetty@gmail.com</v>
      </c>
      <c r="O187" s="9" t="str">
        <f ca="1">IFERROR(__xludf.DUMMYFUNCTION("""COMPUTED_VALUE"""),"SEM-8")</f>
        <v>SEM-8</v>
      </c>
      <c r="P187" s="9"/>
      <c r="Q187" s="9"/>
      <c r="R187" s="9"/>
      <c r="S187" s="9"/>
      <c r="T187" s="9"/>
      <c r="U187" s="9"/>
      <c r="V187" s="9"/>
      <c r="W187" s="9"/>
      <c r="X187" s="9"/>
      <c r="Y187" s="9"/>
    </row>
    <row r="188" spans="1:25" ht="26.25" customHeight="1" x14ac:dyDescent="0.15">
      <c r="A188" s="9" t="str">
        <f ca="1">IFERROR(__xludf.DUMMYFUNCTION("""COMPUTED_VALUE"""),"Sathwick Sadanala")</f>
        <v>Sathwick Sadanala</v>
      </c>
      <c r="B188" s="9" t="str">
        <f ca="1">IFERROR(__xludf.DUMMYFUNCTION("""COMPUTED_VALUE"""),"18331A05C6 ")</f>
        <v xml:space="preserve">18331A05C6 </v>
      </c>
      <c r="C188" s="78" t="str">
        <f ca="1">IFERROR(__xludf.DUMMYFUNCTION("""COMPUTED_VALUE"""),"Programming essesntials in C++")</f>
        <v>Programming essesntials in C++</v>
      </c>
      <c r="D188" s="9" t="str">
        <f ca="1">IFERROR(__xludf.DUMMYFUNCTION("""COMPUTED_VALUE"""),"Cisco")</f>
        <v>Cisco</v>
      </c>
      <c r="E188" s="9" t="str">
        <f ca="1">IFERROR(__xludf.DUMMYFUNCTION("""COMPUTED_VALUE"""),"1 month")</f>
        <v>1 month</v>
      </c>
      <c r="F188" s="79">
        <f ca="1">IFERROR(__xludf.DUMMYFUNCTION("""COMPUTED_VALUE"""),43922)</f>
        <v>43922</v>
      </c>
      <c r="G188" s="79">
        <f ca="1">IFERROR(__xludf.DUMMYFUNCTION("""COMPUTED_VALUE"""),43982)</f>
        <v>43982</v>
      </c>
      <c r="H188" s="72">
        <f ca="1">IFERROR(__xludf.DUMMYFUNCTION("""COMPUTED_VALUE"""),43982)</f>
        <v>43982</v>
      </c>
      <c r="I188" s="80">
        <f ca="1">IFERROR(__xludf.DUMMYFUNCTION("""COMPUTED_VALUE"""),91)</f>
        <v>91</v>
      </c>
      <c r="J188" s="9" t="str">
        <f ca="1">IFERROR(__xludf.DUMMYFUNCTION("""COMPUTED_VALUE"""),"Self learn")</f>
        <v>Self learn</v>
      </c>
      <c r="K188" s="73" t="str">
        <f ca="1">IFERROR(__xludf.DUMMYFUNCTION("""COMPUTED_VALUE"""),"https://drive.google.com/open?id=1wwftrjGcCgXc829tPDxaqXf_VUtsK_MT")</f>
        <v>https://drive.google.com/open?id=1wwftrjGcCgXc829tPDxaqXf_VUtsK_MT</v>
      </c>
      <c r="L188" s="9" t="str">
        <f ca="1">IFERROR(__xludf.DUMMYFUNCTION("""COMPUTED_VALUE"""),"2018-2022")</f>
        <v>2018-2022</v>
      </c>
      <c r="M188" s="9" t="str">
        <f ca="1">IFERROR(__xludf.DUMMYFUNCTION("""COMPUTED_VALUE"""),"S4: Student Certifications")</f>
        <v>S4: Student Certifications</v>
      </c>
      <c r="N188" s="9" t="str">
        <f ca="1">IFERROR(__xludf.DUMMYFUNCTION("""COMPUTED_VALUE"""),"sadanalasathwick@gmail.com")</f>
        <v>sadanalasathwick@gmail.com</v>
      </c>
      <c r="O188" s="9" t="str">
        <f ca="1">IFERROR(__xludf.DUMMYFUNCTION("""COMPUTED_VALUE"""),"SEM-4")</f>
        <v>SEM-4</v>
      </c>
      <c r="P188" s="9"/>
      <c r="Q188" s="9"/>
      <c r="R188" s="9"/>
      <c r="S188" s="9"/>
      <c r="T188" s="9"/>
      <c r="U188" s="9"/>
      <c r="V188" s="9"/>
      <c r="W188" s="9"/>
      <c r="X188" s="9"/>
      <c r="Y188" s="9"/>
    </row>
    <row r="189" spans="1:25" ht="26.25" customHeight="1" x14ac:dyDescent="0.15">
      <c r="A189" s="9" t="str">
        <f ca="1">IFERROR(__xludf.DUMMYFUNCTION("""COMPUTED_VALUE"""),"BUDIDI SURYA SAI MAHESWAR")</f>
        <v>BUDIDI SURYA SAI MAHESWAR</v>
      </c>
      <c r="B189" s="9" t="str">
        <f ca="1">IFERROR(__xludf.DUMMYFUNCTION("""COMPUTED_VALUE"""),"18331A0521")</f>
        <v>18331A0521</v>
      </c>
      <c r="C189" s="78" t="str">
        <f ca="1">IFERROR(__xludf.DUMMYFUNCTION("""COMPUTED_VALUE"""),"AWS")</f>
        <v>AWS</v>
      </c>
      <c r="D189" s="9" t="str">
        <f ca="1">IFERROR(__xludf.DUMMYFUNCTION("""COMPUTED_VALUE"""),"AICTE")</f>
        <v>AICTE</v>
      </c>
      <c r="E189" s="9" t="str">
        <f ca="1">IFERROR(__xludf.DUMMYFUNCTION("""COMPUTED_VALUE"""),"3months")</f>
        <v>3months</v>
      </c>
      <c r="F189" s="79">
        <f ca="1">IFERROR(__xludf.DUMMYFUNCTION("""COMPUTED_VALUE"""),44476)</f>
        <v>44476</v>
      </c>
      <c r="G189" s="79">
        <f ca="1">IFERROR(__xludf.DUMMYFUNCTION("""COMPUTED_VALUE"""),44537)</f>
        <v>44537</v>
      </c>
      <c r="H189" s="72">
        <f ca="1">IFERROR(__xludf.DUMMYFUNCTION("""COMPUTED_VALUE"""),44535)</f>
        <v>44535</v>
      </c>
      <c r="I189" s="80">
        <f ca="1">IFERROR(__xludf.DUMMYFUNCTION("""COMPUTED_VALUE"""),100)</f>
        <v>100</v>
      </c>
      <c r="J189" s="9" t="str">
        <f ca="1">IFERROR(__xludf.DUMMYFUNCTION("""COMPUTED_VALUE"""),"Dr. P. Ravi Kiran Varma")</f>
        <v>Dr. P. Ravi Kiran Varma</v>
      </c>
      <c r="K189" s="73" t="str">
        <f ca="1">IFERROR(__xludf.DUMMYFUNCTION("""COMPUTED_VALUE"""),"https://drive.google.com/open?id=1-SvlkiljJgizcW340DsSkgyrIk5El_Fs")</f>
        <v>https://drive.google.com/open?id=1-SvlkiljJgizcW340DsSkgyrIk5El_Fs</v>
      </c>
      <c r="L189" s="9" t="str">
        <f ca="1">IFERROR(__xludf.DUMMYFUNCTION("""COMPUTED_VALUE"""),"2018-2022")</f>
        <v>2018-2022</v>
      </c>
      <c r="M189" s="9" t="str">
        <f ca="1">IFERROR(__xludf.DUMMYFUNCTION("""COMPUTED_VALUE"""),"S4: Student Certifications")</f>
        <v>S4: Student Certifications</v>
      </c>
      <c r="N189" s="9" t="str">
        <f ca="1">IFERROR(__xludf.DUMMYFUNCTION("""COMPUTED_VALUE"""),"suryamahesh2000@gmail.com")</f>
        <v>suryamahesh2000@gmail.com</v>
      </c>
      <c r="O189" s="9" t="str">
        <f ca="1">IFERROR(__xludf.DUMMYFUNCTION("""COMPUTED_VALUE"""),"SEM-7")</f>
        <v>SEM-7</v>
      </c>
      <c r="P189" s="9"/>
      <c r="Q189" s="9"/>
      <c r="R189" s="9"/>
      <c r="S189" s="9"/>
      <c r="T189" s="9"/>
      <c r="U189" s="9"/>
      <c r="V189" s="9"/>
      <c r="W189" s="9"/>
      <c r="X189" s="9"/>
      <c r="Y189" s="9"/>
    </row>
    <row r="190" spans="1:25" ht="26.25" customHeight="1" x14ac:dyDescent="0.15">
      <c r="A190" s="9" t="str">
        <f ca="1">IFERROR(__xludf.DUMMYFUNCTION("""COMPUTED_VALUE"""),"Sagirisetty Teja sri")</f>
        <v>Sagirisetty Teja sri</v>
      </c>
      <c r="B190" s="9" t="str">
        <f ca="1">IFERROR(__xludf.DUMMYFUNCTION("""COMPUTED_VALUE"""),"18331A05D0")</f>
        <v>18331A05D0</v>
      </c>
      <c r="C190" s="78" t="str">
        <f ca="1">IFERROR(__xludf.DUMMYFUNCTION("""COMPUTED_VALUE"""),"Python - PCAP")</f>
        <v>Python - PCAP</v>
      </c>
      <c r="D190" s="9" t="str">
        <f ca="1">IFERROR(__xludf.DUMMYFUNCTION("""COMPUTED_VALUE"""),"CISCO")</f>
        <v>CISCO</v>
      </c>
      <c r="E190" s="9" t="str">
        <f ca="1">IFERROR(__xludf.DUMMYFUNCTION("""COMPUTED_VALUE"""),"3 months")</f>
        <v>3 months</v>
      </c>
      <c r="F190" s="79">
        <f ca="1">IFERROR(__xludf.DUMMYFUNCTION("""COMPUTED_VALUE"""),43489)</f>
        <v>43489</v>
      </c>
      <c r="G190" s="79">
        <f ca="1">IFERROR(__xludf.DUMMYFUNCTION("""COMPUTED_VALUE"""),43548)</f>
        <v>43548</v>
      </c>
      <c r="H190" s="72">
        <f ca="1">IFERROR(__xludf.DUMMYFUNCTION("""COMPUTED_VALUE"""),43585)</f>
        <v>43585</v>
      </c>
      <c r="I190" s="80">
        <f ca="1">IFERROR(__xludf.DUMMYFUNCTION("""COMPUTED_VALUE"""),90)</f>
        <v>90</v>
      </c>
      <c r="J190" s="9" t="str">
        <f ca="1">IFERROR(__xludf.DUMMYFUNCTION("""COMPUTED_VALUE"""),"RAVI KIRAN VARMA ")</f>
        <v xml:space="preserve">RAVI KIRAN VARMA </v>
      </c>
      <c r="K190" s="73" t="str">
        <f ca="1">IFERROR(__xludf.DUMMYFUNCTION("""COMPUTED_VALUE"""),"https://drive.google.com/open?id=1DWHd-7ka-ee46X0CkP17v6AZjHeQ7aA7")</f>
        <v>https://drive.google.com/open?id=1DWHd-7ka-ee46X0CkP17v6AZjHeQ7aA7</v>
      </c>
      <c r="L190" s="9" t="str">
        <f ca="1">IFERROR(__xludf.DUMMYFUNCTION("""COMPUTED_VALUE"""),"2018-2022")</f>
        <v>2018-2022</v>
      </c>
      <c r="M190" s="9" t="str">
        <f ca="1">IFERROR(__xludf.DUMMYFUNCTION("""COMPUTED_VALUE"""),"S4: Student Certifications")</f>
        <v>S4: Student Certifications</v>
      </c>
      <c r="N190" s="9" t="str">
        <f ca="1">IFERROR(__xludf.DUMMYFUNCTION("""COMPUTED_VALUE"""),"tejasri.sagirisetty@gmail.com")</f>
        <v>tejasri.sagirisetty@gmail.com</v>
      </c>
      <c r="O190" s="9" t="str">
        <f ca="1">IFERROR(__xludf.DUMMYFUNCTION("""COMPUTED_VALUE"""),"SEM-8")</f>
        <v>SEM-8</v>
      </c>
      <c r="P190" s="9"/>
      <c r="Q190" s="9"/>
      <c r="R190" s="9"/>
      <c r="S190" s="9"/>
      <c r="T190" s="9"/>
      <c r="U190" s="9"/>
      <c r="V190" s="9"/>
      <c r="W190" s="9"/>
      <c r="X190" s="9"/>
      <c r="Y190" s="9"/>
    </row>
    <row r="191" spans="1:25" ht="26.25" customHeight="1" x14ac:dyDescent="0.15">
      <c r="A191" s="9" t="str">
        <f ca="1">IFERROR(__xludf.DUMMYFUNCTION("""COMPUTED_VALUE"""),"Penumatcha sai vamsi krishna varma")</f>
        <v>Penumatcha sai vamsi krishna varma</v>
      </c>
      <c r="B191" s="9" t="str">
        <f ca="1">IFERROR(__xludf.DUMMYFUNCTION("""COMPUTED_VALUE"""),"18331A05B9")</f>
        <v>18331A05B9</v>
      </c>
      <c r="C191" s="78" t="str">
        <f ca="1">IFERROR(__xludf.DUMMYFUNCTION("""COMPUTED_VALUE"""),"Java tutorial course")</f>
        <v>Java tutorial course</v>
      </c>
      <c r="D191" s="9" t="str">
        <f ca="1">IFERROR(__xludf.DUMMYFUNCTION("""COMPUTED_VALUE"""),"Sololearn")</f>
        <v>Sololearn</v>
      </c>
      <c r="E191" s="9" t="str">
        <f ca="1">IFERROR(__xludf.DUMMYFUNCTION("""COMPUTED_VALUE"""),"8 weeks")</f>
        <v>8 weeks</v>
      </c>
      <c r="F191" s="79">
        <f ca="1">IFERROR(__xludf.DUMMYFUNCTION("""COMPUTED_VALUE"""),43971)</f>
        <v>43971</v>
      </c>
      <c r="G191" s="79">
        <f ca="1">IFERROR(__xludf.DUMMYFUNCTION("""COMPUTED_VALUE"""),44033)</f>
        <v>44033</v>
      </c>
      <c r="H191" s="72">
        <f ca="1">IFERROR(__xludf.DUMMYFUNCTION("""COMPUTED_VALUE"""),44027)</f>
        <v>44027</v>
      </c>
      <c r="I191" s="80">
        <f ca="1">IFERROR(__xludf.DUMMYFUNCTION("""COMPUTED_VALUE"""),70)</f>
        <v>70</v>
      </c>
      <c r="J191" s="9" t="str">
        <f ca="1">IFERROR(__xludf.DUMMYFUNCTION("""COMPUTED_VALUE"""),"Self learn")</f>
        <v>Self learn</v>
      </c>
      <c r="K191" s="73" t="str">
        <f ca="1">IFERROR(__xludf.DUMMYFUNCTION("""COMPUTED_VALUE"""),"https://drive.google.com/open?id=17N3BeMW8Hmh9A0Hdl076geARXIkgtdJg")</f>
        <v>https://drive.google.com/open?id=17N3BeMW8Hmh9A0Hdl076geARXIkgtdJg</v>
      </c>
      <c r="L191" s="9" t="str">
        <f ca="1">IFERROR(__xludf.DUMMYFUNCTION("""COMPUTED_VALUE"""),"2018-2022")</f>
        <v>2018-2022</v>
      </c>
      <c r="M191" s="9" t="str">
        <f ca="1">IFERROR(__xludf.DUMMYFUNCTION("""COMPUTED_VALUE"""),"S4: Student Certifications")</f>
        <v>S4: Student Certifications</v>
      </c>
      <c r="N191" s="9" t="str">
        <f ca="1">IFERROR(__xludf.DUMMYFUNCTION("""COMPUTED_VALUE"""),"varmavamsi38@gmail.com")</f>
        <v>varmavamsi38@gmail.com</v>
      </c>
      <c r="O191" s="9" t="str">
        <f ca="1">IFERROR(__xludf.DUMMYFUNCTION("""COMPUTED_VALUE"""),"SEM-4")</f>
        <v>SEM-4</v>
      </c>
      <c r="P191" s="9"/>
      <c r="Q191" s="9"/>
      <c r="R191" s="9"/>
      <c r="S191" s="9"/>
      <c r="T191" s="9"/>
      <c r="U191" s="9"/>
      <c r="V191" s="9"/>
      <c r="W191" s="9"/>
      <c r="X191" s="9"/>
      <c r="Y191" s="9"/>
    </row>
    <row r="192" spans="1:25" ht="26.25" customHeight="1" x14ac:dyDescent="0.15">
      <c r="A192" s="9" t="str">
        <f ca="1">IFERROR(__xludf.DUMMYFUNCTION("""COMPUTED_VALUE"""),"Sathwick Sadanala ")</f>
        <v xml:space="preserve">Sathwick Sadanala </v>
      </c>
      <c r="B192" s="9" t="str">
        <f ca="1">IFERROR(__xludf.DUMMYFUNCTION("""COMPUTED_VALUE"""),"18331A05C6 ")</f>
        <v xml:space="preserve">18331A05C6 </v>
      </c>
      <c r="C192" s="78" t="str">
        <f ca="1">IFERROR(__xludf.DUMMYFUNCTION("""COMPUTED_VALUE"""),"Programming essesntials in Python")</f>
        <v>Programming essesntials in Python</v>
      </c>
      <c r="D192" s="9" t="str">
        <f ca="1">IFERROR(__xludf.DUMMYFUNCTION("""COMPUTED_VALUE"""),"Cisco")</f>
        <v>Cisco</v>
      </c>
      <c r="E192" s="9" t="str">
        <f ca="1">IFERROR(__xludf.DUMMYFUNCTION("""COMPUTED_VALUE"""),"1 month")</f>
        <v>1 month</v>
      </c>
      <c r="F192" s="79">
        <f ca="1">IFERROR(__xludf.DUMMYFUNCTION("""COMPUTED_VALUE"""),44287)</f>
        <v>44287</v>
      </c>
      <c r="G192" s="79">
        <f ca="1">IFERROR(__xludf.DUMMYFUNCTION("""COMPUTED_VALUE"""),44317)</f>
        <v>44317</v>
      </c>
      <c r="H192" s="72">
        <f ca="1">IFERROR(__xludf.DUMMYFUNCTION("""COMPUTED_VALUE"""),44322)</f>
        <v>44322</v>
      </c>
      <c r="I192" s="80">
        <f ca="1">IFERROR(__xludf.DUMMYFUNCTION("""COMPUTED_VALUE"""),90)</f>
        <v>90</v>
      </c>
      <c r="J192" s="9" t="str">
        <f ca="1">IFERROR(__xludf.DUMMYFUNCTION("""COMPUTED_VALUE"""),"Dr.Ravi Kiran Varma Penmatsa")</f>
        <v>Dr.Ravi Kiran Varma Penmatsa</v>
      </c>
      <c r="K192" s="73" t="str">
        <f ca="1">IFERROR(__xludf.DUMMYFUNCTION("""COMPUTED_VALUE"""),"https://drive.google.com/open?id=12-80y08be4n2P68It-eHdVNU-Tzf5XWU")</f>
        <v>https://drive.google.com/open?id=12-80y08be4n2P68It-eHdVNU-Tzf5XWU</v>
      </c>
      <c r="L192" s="9" t="str">
        <f ca="1">IFERROR(__xludf.DUMMYFUNCTION("""COMPUTED_VALUE"""),"2018-2022")</f>
        <v>2018-2022</v>
      </c>
      <c r="M192" s="9" t="str">
        <f ca="1">IFERROR(__xludf.DUMMYFUNCTION("""COMPUTED_VALUE"""),"S4: Student Certifications")</f>
        <v>S4: Student Certifications</v>
      </c>
      <c r="N192" s="9" t="str">
        <f ca="1">IFERROR(__xludf.DUMMYFUNCTION("""COMPUTED_VALUE"""),"sadanalasathwick@gmail.com")</f>
        <v>sadanalasathwick@gmail.com</v>
      </c>
      <c r="O192" s="9" t="str">
        <f ca="1">IFERROR(__xludf.DUMMYFUNCTION("""COMPUTED_VALUE"""),"SEM-6")</f>
        <v>SEM-6</v>
      </c>
      <c r="P192" s="9"/>
      <c r="Q192" s="9"/>
      <c r="R192" s="9"/>
      <c r="S192" s="9"/>
      <c r="T192" s="9"/>
      <c r="U192" s="9"/>
      <c r="V192" s="9"/>
      <c r="W192" s="9"/>
      <c r="X192" s="9"/>
      <c r="Y192" s="9"/>
    </row>
    <row r="193" spans="1:25" ht="26.25" customHeight="1" x14ac:dyDescent="0.15">
      <c r="A193" s="9" t="str">
        <f ca="1">IFERROR(__xludf.DUMMYFUNCTION("""COMPUTED_VALUE"""),"KANTUMUTCHU DINESH ")</f>
        <v xml:space="preserve">KANTUMUTCHU DINESH </v>
      </c>
      <c r="B193" s="9" t="str">
        <f ca="1">IFERROR(__xludf.DUMMYFUNCTION("""COMPUTED_VALUE"""),"18331A0569")</f>
        <v>18331A0569</v>
      </c>
      <c r="C193" s="78" t="str">
        <f ca="1">IFERROR(__xludf.DUMMYFUNCTION("""COMPUTED_VALUE"""),"AI for Everyone ")</f>
        <v xml:space="preserve">AI for Everyone </v>
      </c>
      <c r="D193" s="9" t="str">
        <f ca="1">IFERROR(__xludf.DUMMYFUNCTION("""COMPUTED_VALUE"""),"COURSERA ")</f>
        <v xml:space="preserve">COURSERA </v>
      </c>
      <c r="E193" s="9" t="str">
        <f ca="1">IFERROR(__xludf.DUMMYFUNCTION("""COMPUTED_VALUE"""),"2 months")</f>
        <v>2 months</v>
      </c>
      <c r="F193" s="79">
        <f ca="1">IFERROR(__xludf.DUMMYFUNCTION("""COMPUTED_VALUE"""),44000)</f>
        <v>44000</v>
      </c>
      <c r="G193" s="79">
        <f ca="1">IFERROR(__xludf.DUMMYFUNCTION("""COMPUTED_VALUE"""),44057)</f>
        <v>44057</v>
      </c>
      <c r="H193" s="72">
        <f ca="1">IFERROR(__xludf.DUMMYFUNCTION("""COMPUTED_VALUE"""),44057)</f>
        <v>44057</v>
      </c>
      <c r="I193" s="80">
        <f ca="1">IFERROR(__xludf.DUMMYFUNCTION("""COMPUTED_VALUE"""),80)</f>
        <v>80</v>
      </c>
      <c r="J193" s="9" t="str">
        <f ca="1">IFERROR(__xludf.DUMMYFUNCTION("""COMPUTED_VALUE"""),"--")</f>
        <v>--</v>
      </c>
      <c r="K193" s="73" t="str">
        <f ca="1">IFERROR(__xludf.DUMMYFUNCTION("""COMPUTED_VALUE"""),"https://drive.google.com/open?id=1KKoUmR5Osd9B5_nwo1qlelMAibn-9ZoZ")</f>
        <v>https://drive.google.com/open?id=1KKoUmR5Osd9B5_nwo1qlelMAibn-9ZoZ</v>
      </c>
      <c r="L193" s="9" t="str">
        <f ca="1">IFERROR(__xludf.DUMMYFUNCTION("""COMPUTED_VALUE"""),"2018-2022")</f>
        <v>2018-2022</v>
      </c>
      <c r="M193" s="9" t="str">
        <f ca="1">IFERROR(__xludf.DUMMYFUNCTION("""COMPUTED_VALUE"""),"S4: Student Certifications")</f>
        <v>S4: Student Certifications</v>
      </c>
      <c r="N193" s="9" t="str">
        <f ca="1">IFERROR(__xludf.DUMMYFUNCTION("""COMPUTED_VALUE"""),"imdinesh26@gmail.com")</f>
        <v>imdinesh26@gmail.com</v>
      </c>
      <c r="O193" s="9" t="str">
        <f ca="1">IFERROR(__xludf.DUMMYFUNCTION("""COMPUTED_VALUE"""),"SEM-8")</f>
        <v>SEM-8</v>
      </c>
      <c r="P193" s="9"/>
      <c r="Q193" s="9"/>
      <c r="R193" s="9"/>
      <c r="S193" s="9"/>
      <c r="T193" s="9"/>
      <c r="U193" s="9"/>
      <c r="V193" s="9"/>
      <c r="W193" s="9"/>
      <c r="X193" s="9"/>
      <c r="Y193" s="9"/>
    </row>
    <row r="194" spans="1:25" ht="26.25" customHeight="1" x14ac:dyDescent="0.15">
      <c r="A194" s="9" t="str">
        <f ca="1">IFERROR(__xludf.DUMMYFUNCTION("""COMPUTED_VALUE"""),"sadanalasathwick@gmail.com ")</f>
        <v xml:space="preserve">sadanalasathwick@gmail.com </v>
      </c>
      <c r="B194" s="9" t="str">
        <f ca="1">IFERROR(__xludf.DUMMYFUNCTION("""COMPUTED_VALUE"""),"18331A05C6 ")</f>
        <v xml:space="preserve">18331A05C6 </v>
      </c>
      <c r="C194" s="78" t="str">
        <f ca="1">IFERROR(__xludf.DUMMYFUNCTION("""COMPUTED_VALUE"""),"Introduction to cybersecurity ")</f>
        <v xml:space="preserve">Introduction to cybersecurity </v>
      </c>
      <c r="D194" s="9" t="str">
        <f ca="1">IFERROR(__xludf.DUMMYFUNCTION("""COMPUTED_VALUE"""),"Cisco")</f>
        <v>Cisco</v>
      </c>
      <c r="E194" s="9" t="str">
        <f ca="1">IFERROR(__xludf.DUMMYFUNCTION("""COMPUTED_VALUE"""),"1month")</f>
        <v>1month</v>
      </c>
      <c r="F194" s="79">
        <f ca="1">IFERROR(__xludf.DUMMYFUNCTION("""COMPUTED_VALUE"""),44279)</f>
        <v>44279</v>
      </c>
      <c r="G194" s="79">
        <f ca="1">IFERROR(__xludf.DUMMYFUNCTION("""COMPUTED_VALUE"""),44310)</f>
        <v>44310</v>
      </c>
      <c r="H194" s="72">
        <f ca="1">IFERROR(__xludf.DUMMYFUNCTION("""COMPUTED_VALUE"""),44312)</f>
        <v>44312</v>
      </c>
      <c r="I194" s="80">
        <f ca="1">IFERROR(__xludf.DUMMYFUNCTION("""COMPUTED_VALUE"""),91)</f>
        <v>91</v>
      </c>
      <c r="J194" s="9" t="str">
        <f ca="1">IFERROR(__xludf.DUMMYFUNCTION("""COMPUTED_VALUE"""),"Dr.Ravi kiran varma penmatsa")</f>
        <v>Dr.Ravi kiran varma penmatsa</v>
      </c>
      <c r="K194" s="73" t="str">
        <f ca="1">IFERROR(__xludf.DUMMYFUNCTION("""COMPUTED_VALUE"""),"https://drive.google.com/open?id=1lwiSYH1TMda63duErMfjJzJNHJ3lznq7")</f>
        <v>https://drive.google.com/open?id=1lwiSYH1TMda63duErMfjJzJNHJ3lznq7</v>
      </c>
      <c r="L194" s="9" t="str">
        <f ca="1">IFERROR(__xludf.DUMMYFUNCTION("""COMPUTED_VALUE"""),"2018-2022")</f>
        <v>2018-2022</v>
      </c>
      <c r="M194" s="9" t="str">
        <f ca="1">IFERROR(__xludf.DUMMYFUNCTION("""COMPUTED_VALUE"""),"S4: Student Certifications")</f>
        <v>S4: Student Certifications</v>
      </c>
      <c r="N194" s="9" t="str">
        <f ca="1">IFERROR(__xludf.DUMMYFUNCTION("""COMPUTED_VALUE"""),"sadanalasathwick@gmail.com")</f>
        <v>sadanalasathwick@gmail.com</v>
      </c>
      <c r="O194" s="9" t="str">
        <f ca="1">IFERROR(__xludf.DUMMYFUNCTION("""COMPUTED_VALUE"""),"SEM-5")</f>
        <v>SEM-5</v>
      </c>
      <c r="P194" s="9"/>
      <c r="Q194" s="9"/>
      <c r="R194" s="9"/>
      <c r="S194" s="9"/>
      <c r="T194" s="9"/>
      <c r="U194" s="9"/>
      <c r="V194" s="9"/>
      <c r="W194" s="9"/>
      <c r="X194" s="9"/>
      <c r="Y194" s="9"/>
    </row>
    <row r="195" spans="1:25" ht="26.25" customHeight="1" x14ac:dyDescent="0.15">
      <c r="A195" s="9" t="str">
        <f ca="1">IFERROR(__xludf.DUMMYFUNCTION("""COMPUTED_VALUE"""),"KANTUMUTCHU DINESH ")</f>
        <v xml:space="preserve">KANTUMUTCHU DINESH </v>
      </c>
      <c r="B195" s="9" t="str">
        <f ca="1">IFERROR(__xludf.DUMMYFUNCTION("""COMPUTED_VALUE"""),"18331A0569")</f>
        <v>18331A0569</v>
      </c>
      <c r="C195" s="78" t="str">
        <f ca="1">IFERROR(__xludf.DUMMYFUNCTION("""COMPUTED_VALUE"""),"Programming For Everybody Getting Started with Python ")</f>
        <v xml:space="preserve">Programming For Everybody Getting Started with Python </v>
      </c>
      <c r="D195" s="9" t="str">
        <f ca="1">IFERROR(__xludf.DUMMYFUNCTION("""COMPUTED_VALUE"""),"COURSERA ")</f>
        <v xml:space="preserve">COURSERA </v>
      </c>
      <c r="E195" s="9" t="str">
        <f ca="1">IFERROR(__xludf.DUMMYFUNCTION("""COMPUTED_VALUE"""),"1 month ")</f>
        <v xml:space="preserve">1 month </v>
      </c>
      <c r="F195" s="79">
        <f ca="1">IFERROR(__xludf.DUMMYFUNCTION("""COMPUTED_VALUE"""),43975)</f>
        <v>43975</v>
      </c>
      <c r="G195" s="79">
        <f ca="1">IFERROR(__xludf.DUMMYFUNCTION("""COMPUTED_VALUE"""),44009)</f>
        <v>44009</v>
      </c>
      <c r="H195" s="72">
        <f ca="1">IFERROR(__xludf.DUMMYFUNCTION("""COMPUTED_VALUE"""),44009)</f>
        <v>44009</v>
      </c>
      <c r="I195" s="80">
        <f ca="1">IFERROR(__xludf.DUMMYFUNCTION("""COMPUTED_VALUE"""),80)</f>
        <v>80</v>
      </c>
      <c r="J195" s="9" t="str">
        <f ca="1">IFERROR(__xludf.DUMMYFUNCTION("""COMPUTED_VALUE"""),"-")</f>
        <v>-</v>
      </c>
      <c r="K195" s="73" t="str">
        <f ca="1">IFERROR(__xludf.DUMMYFUNCTION("""COMPUTED_VALUE"""),"https://drive.google.com/open?id=18ZGvBLENRDpnFtEk8pa5vgpH8LovCSxW")</f>
        <v>https://drive.google.com/open?id=18ZGvBLENRDpnFtEk8pa5vgpH8LovCSxW</v>
      </c>
      <c r="L195" s="9" t="str">
        <f ca="1">IFERROR(__xludf.DUMMYFUNCTION("""COMPUTED_VALUE"""),"2018-2022")</f>
        <v>2018-2022</v>
      </c>
      <c r="M195" s="9" t="str">
        <f ca="1">IFERROR(__xludf.DUMMYFUNCTION("""COMPUTED_VALUE"""),"S4: Student Certifications")</f>
        <v>S4: Student Certifications</v>
      </c>
      <c r="N195" s="9" t="str">
        <f ca="1">IFERROR(__xludf.DUMMYFUNCTION("""COMPUTED_VALUE"""),"imdinesh26@gmail.com")</f>
        <v>imdinesh26@gmail.com</v>
      </c>
      <c r="O195" s="9" t="str">
        <f ca="1">IFERROR(__xludf.DUMMYFUNCTION("""COMPUTED_VALUE"""),"SEM-8")</f>
        <v>SEM-8</v>
      </c>
      <c r="P195" s="9"/>
      <c r="Q195" s="9"/>
      <c r="R195" s="9"/>
      <c r="S195" s="9"/>
      <c r="T195" s="9"/>
      <c r="U195" s="9"/>
      <c r="V195" s="9"/>
      <c r="W195" s="9"/>
      <c r="X195" s="9"/>
      <c r="Y195" s="9"/>
    </row>
    <row r="196" spans="1:25" ht="26.25" customHeight="1" x14ac:dyDescent="0.15">
      <c r="A196" s="9" t="str">
        <f ca="1">IFERROR(__xludf.DUMMYFUNCTION("""COMPUTED_VALUE"""),"KANTUMUTCHU DINESH ")</f>
        <v xml:space="preserve">KANTUMUTCHU DINESH </v>
      </c>
      <c r="B196" s="9" t="str">
        <f ca="1">IFERROR(__xludf.DUMMYFUNCTION("""COMPUTED_VALUE"""),"18331A0569")</f>
        <v>18331A0569</v>
      </c>
      <c r="C196" s="78" t="str">
        <f ca="1">IFERROR(__xludf.DUMMYFUNCTION("""COMPUTED_VALUE"""),"Python Data Structures ")</f>
        <v xml:space="preserve">Python Data Structures </v>
      </c>
      <c r="D196" s="9" t="str">
        <f ca="1">IFERROR(__xludf.DUMMYFUNCTION("""COMPUTED_VALUE"""),"COURSERA ")</f>
        <v xml:space="preserve">COURSERA </v>
      </c>
      <c r="E196" s="9" t="str">
        <f ca="1">IFERROR(__xludf.DUMMYFUNCTION("""COMPUTED_VALUE"""),"1 month ")</f>
        <v xml:space="preserve">1 month </v>
      </c>
      <c r="F196" s="79">
        <f ca="1">IFERROR(__xludf.DUMMYFUNCTION("""COMPUTED_VALUE"""),44071)</f>
        <v>44071</v>
      </c>
      <c r="G196" s="79">
        <f ca="1">IFERROR(__xludf.DUMMYFUNCTION("""COMPUTED_VALUE"""),44100)</f>
        <v>44100</v>
      </c>
      <c r="H196" s="72">
        <f ca="1">IFERROR(__xludf.DUMMYFUNCTION("""COMPUTED_VALUE"""),44100)</f>
        <v>44100</v>
      </c>
      <c r="I196" s="80">
        <f ca="1">IFERROR(__xludf.DUMMYFUNCTION("""COMPUTED_VALUE"""),75)</f>
        <v>75</v>
      </c>
      <c r="J196" s="9" t="str">
        <f ca="1">IFERROR(__xludf.DUMMYFUNCTION("""COMPUTED_VALUE"""),"- ")</f>
        <v xml:space="preserve">- </v>
      </c>
      <c r="K196" s="73" t="str">
        <f ca="1">IFERROR(__xludf.DUMMYFUNCTION("""COMPUTED_VALUE"""),"https://drive.google.com/open?id=1YYL7ajowjC05hE-1lr9jnWEK3HxBaqXe")</f>
        <v>https://drive.google.com/open?id=1YYL7ajowjC05hE-1lr9jnWEK3HxBaqXe</v>
      </c>
      <c r="L196" s="9" t="str">
        <f ca="1">IFERROR(__xludf.DUMMYFUNCTION("""COMPUTED_VALUE"""),"2018-2022")</f>
        <v>2018-2022</v>
      </c>
      <c r="M196" s="9" t="str">
        <f ca="1">IFERROR(__xludf.DUMMYFUNCTION("""COMPUTED_VALUE"""),"S4: Student Certifications")</f>
        <v>S4: Student Certifications</v>
      </c>
      <c r="N196" s="9" t="str">
        <f ca="1">IFERROR(__xludf.DUMMYFUNCTION("""COMPUTED_VALUE"""),"imdinesh26@gmail.com")</f>
        <v>imdinesh26@gmail.com</v>
      </c>
      <c r="O196" s="9" t="str">
        <f ca="1">IFERROR(__xludf.DUMMYFUNCTION("""COMPUTED_VALUE"""),"SEM-8")</f>
        <v>SEM-8</v>
      </c>
      <c r="P196" s="9"/>
      <c r="Q196" s="9"/>
      <c r="R196" s="9"/>
      <c r="S196" s="9"/>
      <c r="T196" s="9"/>
      <c r="U196" s="9"/>
      <c r="V196" s="9"/>
      <c r="W196" s="9"/>
      <c r="X196" s="9"/>
      <c r="Y196" s="9"/>
    </row>
    <row r="197" spans="1:25" ht="26.25" customHeight="1" x14ac:dyDescent="0.15">
      <c r="A197" s="9" t="str">
        <f ca="1">IFERROR(__xludf.DUMMYFUNCTION("""COMPUTED_VALUE"""),"Sathwick Sadanala ")</f>
        <v xml:space="preserve">Sathwick Sadanala </v>
      </c>
      <c r="B197" s="9" t="str">
        <f ca="1">IFERROR(__xludf.DUMMYFUNCTION("""COMPUTED_VALUE"""),"18331A05C6 ")</f>
        <v xml:space="preserve">18331A05C6 </v>
      </c>
      <c r="C197" s="78" t="str">
        <f ca="1">IFERROR(__xludf.DUMMYFUNCTION("""COMPUTED_VALUE"""),"Introduction to networks")</f>
        <v>Introduction to networks</v>
      </c>
      <c r="D197" s="9" t="str">
        <f ca="1">IFERROR(__xludf.DUMMYFUNCTION("""COMPUTED_VALUE"""),"Cisco")</f>
        <v>Cisco</v>
      </c>
      <c r="E197" s="9" t="str">
        <f ca="1">IFERROR(__xludf.DUMMYFUNCTION("""COMPUTED_VALUE"""),"1month")</f>
        <v>1month</v>
      </c>
      <c r="F197" s="79">
        <f ca="1">IFERROR(__xludf.DUMMYFUNCTION("""COMPUTED_VALUE"""),43929)</f>
        <v>43929</v>
      </c>
      <c r="G197" s="79">
        <f ca="1">IFERROR(__xludf.DUMMYFUNCTION("""COMPUTED_VALUE"""),43959)</f>
        <v>43959</v>
      </c>
      <c r="H197" s="72">
        <f ca="1">IFERROR(__xludf.DUMMYFUNCTION("""COMPUTED_VALUE"""),43964)</f>
        <v>43964</v>
      </c>
      <c r="I197" s="80">
        <f ca="1">IFERROR(__xludf.DUMMYFUNCTION("""COMPUTED_VALUE"""),92)</f>
        <v>92</v>
      </c>
      <c r="J197" s="9" t="str">
        <f ca="1">IFERROR(__xludf.DUMMYFUNCTION("""COMPUTED_VALUE"""),"Dr.Ravi kiran Varma")</f>
        <v>Dr.Ravi kiran Varma</v>
      </c>
      <c r="K197" s="73" t="str">
        <f ca="1">IFERROR(__xludf.DUMMYFUNCTION("""COMPUTED_VALUE"""),"https://drive.google.com/open?id=1L9wjC6vG7nuYvjdimem2IuS0Bw1r4G8G")</f>
        <v>https://drive.google.com/open?id=1L9wjC6vG7nuYvjdimem2IuS0Bw1r4G8G</v>
      </c>
      <c r="L197" s="9" t="str">
        <f ca="1">IFERROR(__xludf.DUMMYFUNCTION("""COMPUTED_VALUE"""),"2018-2022")</f>
        <v>2018-2022</v>
      </c>
      <c r="M197" s="9" t="str">
        <f ca="1">IFERROR(__xludf.DUMMYFUNCTION("""COMPUTED_VALUE"""),"S4: Student Certifications")</f>
        <v>S4: Student Certifications</v>
      </c>
      <c r="N197" s="9" t="str">
        <f ca="1">IFERROR(__xludf.DUMMYFUNCTION("""COMPUTED_VALUE"""),"sadanalasathwick@gmail.com")</f>
        <v>sadanalasathwick@gmail.com</v>
      </c>
      <c r="O197" s="9" t="str">
        <f ca="1">IFERROR(__xludf.DUMMYFUNCTION("""COMPUTED_VALUE"""),"SEM-4")</f>
        <v>SEM-4</v>
      </c>
      <c r="P197" s="9"/>
      <c r="Q197" s="9"/>
      <c r="R197" s="9"/>
      <c r="S197" s="9"/>
      <c r="T197" s="9"/>
      <c r="U197" s="9"/>
      <c r="V197" s="9"/>
      <c r="W197" s="9"/>
      <c r="X197" s="9"/>
      <c r="Y197" s="9"/>
    </row>
    <row r="198" spans="1:25" ht="26.25" customHeight="1" x14ac:dyDescent="0.15">
      <c r="A198" s="9" t="str">
        <f ca="1">IFERROR(__xludf.DUMMYFUNCTION("""COMPUTED_VALUE"""),"KANTUMUTCHU DINESH ")</f>
        <v xml:space="preserve">KANTUMUTCHU DINESH </v>
      </c>
      <c r="B198" s="9" t="str">
        <f ca="1">IFERROR(__xludf.DUMMYFUNCTION("""COMPUTED_VALUE"""),"18331A0569")</f>
        <v>18331A0569</v>
      </c>
      <c r="C198" s="78" t="str">
        <f ca="1">IFERROR(__xludf.DUMMYFUNCTION("""COMPUTED_VALUE"""),"SQL for Data Science ")</f>
        <v xml:space="preserve">SQL for Data Science </v>
      </c>
      <c r="D198" s="9" t="str">
        <f ca="1">IFERROR(__xludf.DUMMYFUNCTION("""COMPUTED_VALUE"""),"COURSERA ")</f>
        <v xml:space="preserve">COURSERA </v>
      </c>
      <c r="E198" s="9" t="str">
        <f ca="1">IFERROR(__xludf.DUMMYFUNCTION("""COMPUTED_VALUE"""),"2 month ")</f>
        <v xml:space="preserve">2 month </v>
      </c>
      <c r="F198" s="79">
        <f ca="1">IFERROR(__xludf.DUMMYFUNCTION("""COMPUTED_VALUE"""),44482)</f>
        <v>44482</v>
      </c>
      <c r="G198" s="79">
        <f ca="1">IFERROR(__xludf.DUMMYFUNCTION("""COMPUTED_VALUE"""),44551)</f>
        <v>44551</v>
      </c>
      <c r="H198" s="72">
        <f ca="1">IFERROR(__xludf.DUMMYFUNCTION("""COMPUTED_VALUE"""),44552)</f>
        <v>44552</v>
      </c>
      <c r="I198" s="80">
        <f ca="1">IFERROR(__xludf.DUMMYFUNCTION("""COMPUTED_VALUE"""),85)</f>
        <v>85</v>
      </c>
      <c r="J198" s="9" t="str">
        <f ca="1">IFERROR(__xludf.DUMMYFUNCTION("""COMPUTED_VALUE"""),"-")</f>
        <v>-</v>
      </c>
      <c r="K198" s="73" t="str">
        <f ca="1">IFERROR(__xludf.DUMMYFUNCTION("""COMPUTED_VALUE"""),"https://drive.google.com/open?id=1WrZ6G5U0Tk1c9ooBvCrvbKrBvHPNs9mF")</f>
        <v>https://drive.google.com/open?id=1WrZ6G5U0Tk1c9ooBvCrvbKrBvHPNs9mF</v>
      </c>
      <c r="L198" s="9" t="str">
        <f ca="1">IFERROR(__xludf.DUMMYFUNCTION("""COMPUTED_VALUE"""),"2018-2022")</f>
        <v>2018-2022</v>
      </c>
      <c r="M198" s="9" t="str">
        <f ca="1">IFERROR(__xludf.DUMMYFUNCTION("""COMPUTED_VALUE"""),"S4: Student Certifications")</f>
        <v>S4: Student Certifications</v>
      </c>
      <c r="N198" s="9" t="str">
        <f ca="1">IFERROR(__xludf.DUMMYFUNCTION("""COMPUTED_VALUE"""),"imdinesh26@gmail.com")</f>
        <v>imdinesh26@gmail.com</v>
      </c>
      <c r="O198" s="9" t="str">
        <f ca="1">IFERROR(__xludf.DUMMYFUNCTION("""COMPUTED_VALUE"""),"SEM-8")</f>
        <v>SEM-8</v>
      </c>
      <c r="P198" s="9"/>
      <c r="Q198" s="9"/>
      <c r="R198" s="9"/>
      <c r="S198" s="9"/>
      <c r="T198" s="9"/>
      <c r="U198" s="9"/>
      <c r="V198" s="9"/>
      <c r="W198" s="9"/>
      <c r="X198" s="9"/>
      <c r="Y198" s="9"/>
    </row>
    <row r="199" spans="1:25" ht="26.25" customHeight="1" x14ac:dyDescent="0.15">
      <c r="A199" s="9" t="str">
        <f ca="1">IFERROR(__xludf.DUMMYFUNCTION("""COMPUTED_VALUE"""),"Sathwick Sadanala ")</f>
        <v xml:space="preserve">Sathwick Sadanala </v>
      </c>
      <c r="B199" s="9" t="str">
        <f ca="1">IFERROR(__xludf.DUMMYFUNCTION("""COMPUTED_VALUE"""),"18331A05C6 ")</f>
        <v xml:space="preserve">18331A05C6 </v>
      </c>
      <c r="C199" s="78" t="str">
        <f ca="1">IFERROR(__xludf.DUMMYFUNCTION("""COMPUTED_VALUE"""),"Switching,  routinng and wireless essentials ")</f>
        <v xml:space="preserve">Switching,  routinng and wireless essentials </v>
      </c>
      <c r="D199" s="9" t="str">
        <f ca="1">IFERROR(__xludf.DUMMYFUNCTION("""COMPUTED_VALUE"""),"Cisco")</f>
        <v>Cisco</v>
      </c>
      <c r="E199" s="9" t="str">
        <f ca="1">IFERROR(__xludf.DUMMYFUNCTION("""COMPUTED_VALUE"""),"1month")</f>
        <v>1month</v>
      </c>
      <c r="F199" s="79">
        <f ca="1">IFERROR(__xludf.DUMMYFUNCTION("""COMPUTED_VALUE"""),43952)</f>
        <v>43952</v>
      </c>
      <c r="G199" s="79">
        <f ca="1">IFERROR(__xludf.DUMMYFUNCTION("""COMPUTED_VALUE"""),43983)</f>
        <v>43983</v>
      </c>
      <c r="H199" s="72">
        <f ca="1">IFERROR(__xludf.DUMMYFUNCTION("""COMPUTED_VALUE"""),43990)</f>
        <v>43990</v>
      </c>
      <c r="I199" s="80">
        <f ca="1">IFERROR(__xludf.DUMMYFUNCTION("""COMPUTED_VALUE"""),84)</f>
        <v>84</v>
      </c>
      <c r="J199" s="9" t="str">
        <f ca="1">IFERROR(__xludf.DUMMYFUNCTION("""COMPUTED_VALUE"""),"Dr.Ravi kiran varma")</f>
        <v>Dr.Ravi kiran varma</v>
      </c>
      <c r="K199" s="73" t="str">
        <f ca="1">IFERROR(__xludf.DUMMYFUNCTION("""COMPUTED_VALUE"""),"https://drive.google.com/open?id=1-zCDceZm8HrT2MI98eNitL7FcvuByl22")</f>
        <v>https://drive.google.com/open?id=1-zCDceZm8HrT2MI98eNitL7FcvuByl22</v>
      </c>
      <c r="L199" s="9" t="str">
        <f ca="1">IFERROR(__xludf.DUMMYFUNCTION("""COMPUTED_VALUE"""),"2018-2022")</f>
        <v>2018-2022</v>
      </c>
      <c r="M199" s="9" t="str">
        <f ca="1">IFERROR(__xludf.DUMMYFUNCTION("""COMPUTED_VALUE"""),"S4: Student Certifications")</f>
        <v>S4: Student Certifications</v>
      </c>
      <c r="N199" s="9" t="str">
        <f ca="1">IFERROR(__xludf.DUMMYFUNCTION("""COMPUTED_VALUE"""),"sadanalasathwick@gmail.com")</f>
        <v>sadanalasathwick@gmail.com</v>
      </c>
      <c r="O199" s="9" t="str">
        <f ca="1">IFERROR(__xludf.DUMMYFUNCTION("""COMPUTED_VALUE"""),"SEM-4")</f>
        <v>SEM-4</v>
      </c>
      <c r="P199" s="9"/>
      <c r="Q199" s="9"/>
      <c r="R199" s="9"/>
      <c r="S199" s="9"/>
      <c r="T199" s="9"/>
      <c r="U199" s="9"/>
      <c r="V199" s="9"/>
      <c r="W199" s="9"/>
      <c r="X199" s="9"/>
      <c r="Y199" s="9"/>
    </row>
    <row r="200" spans="1:25" ht="26.25" customHeight="1" x14ac:dyDescent="0.15">
      <c r="A200" s="9" t="str">
        <f ca="1">IFERROR(__xludf.DUMMYFUNCTION("""COMPUTED_VALUE"""),"Sathwick Sadanala")</f>
        <v>Sathwick Sadanala</v>
      </c>
      <c r="B200" s="9" t="str">
        <f ca="1">IFERROR(__xludf.DUMMYFUNCTION("""COMPUTED_VALUE"""),"18331A05C6 ")</f>
        <v xml:space="preserve">18331A05C6 </v>
      </c>
      <c r="C200" s="78" t="str">
        <f ca="1">IFERROR(__xludf.DUMMYFUNCTION("""COMPUTED_VALUE"""),"Enterprise,networking,security and automation ")</f>
        <v xml:space="preserve">Enterprise,networking,security and automation </v>
      </c>
      <c r="D200" s="9" t="str">
        <f ca="1">IFERROR(__xludf.DUMMYFUNCTION("""COMPUTED_VALUE"""),"Cisco")</f>
        <v>Cisco</v>
      </c>
      <c r="E200" s="9" t="str">
        <f ca="1">IFERROR(__xludf.DUMMYFUNCTION("""COMPUTED_VALUE"""),"1month")</f>
        <v>1month</v>
      </c>
      <c r="F200" s="79">
        <f ca="1">IFERROR(__xludf.DUMMYFUNCTION("""COMPUTED_VALUE"""),43985)</f>
        <v>43985</v>
      </c>
      <c r="G200" s="79">
        <f ca="1">IFERROR(__xludf.DUMMYFUNCTION("""COMPUTED_VALUE"""),44015)</f>
        <v>44015</v>
      </c>
      <c r="H200" s="72">
        <f ca="1">IFERROR(__xludf.DUMMYFUNCTION("""COMPUTED_VALUE"""),44024)</f>
        <v>44024</v>
      </c>
      <c r="I200" s="80">
        <f ca="1">IFERROR(__xludf.DUMMYFUNCTION("""COMPUTED_VALUE"""),90)</f>
        <v>90</v>
      </c>
      <c r="J200" s="9" t="str">
        <f ca="1">IFERROR(__xludf.DUMMYFUNCTION("""COMPUTED_VALUE"""),"Dr.Ravi kiran varma")</f>
        <v>Dr.Ravi kiran varma</v>
      </c>
      <c r="K200" s="73" t="str">
        <f ca="1">IFERROR(__xludf.DUMMYFUNCTION("""COMPUTED_VALUE"""),"https://drive.google.com/open?id=15XHduGDa7PgoZDaYpRg4GrCbAe0JtMuG")</f>
        <v>https://drive.google.com/open?id=15XHduGDa7PgoZDaYpRg4GrCbAe0JtMuG</v>
      </c>
      <c r="L200" s="9" t="str">
        <f ca="1">IFERROR(__xludf.DUMMYFUNCTION("""COMPUTED_VALUE"""),"2018-2022")</f>
        <v>2018-2022</v>
      </c>
      <c r="M200" s="9" t="str">
        <f ca="1">IFERROR(__xludf.DUMMYFUNCTION("""COMPUTED_VALUE"""),"S4: Student Certifications")</f>
        <v>S4: Student Certifications</v>
      </c>
      <c r="N200" s="9" t="str">
        <f ca="1">IFERROR(__xludf.DUMMYFUNCTION("""COMPUTED_VALUE"""),"sadanalasathwick@gmail.com")</f>
        <v>sadanalasathwick@gmail.com</v>
      </c>
      <c r="O200" s="9" t="str">
        <f ca="1">IFERROR(__xludf.DUMMYFUNCTION("""COMPUTED_VALUE"""),"SEM-4")</f>
        <v>SEM-4</v>
      </c>
      <c r="P200" s="9"/>
      <c r="Q200" s="9"/>
      <c r="R200" s="9"/>
      <c r="S200" s="9"/>
      <c r="T200" s="9"/>
      <c r="U200" s="9"/>
      <c r="V200" s="9"/>
      <c r="W200" s="9"/>
      <c r="X200" s="9"/>
      <c r="Y200" s="9"/>
    </row>
    <row r="201" spans="1:25" ht="26.25" customHeight="1" x14ac:dyDescent="0.15">
      <c r="A201" s="9" t="str">
        <f ca="1">IFERROR(__xludf.DUMMYFUNCTION("""COMPUTED_VALUE"""),"Kantumutchu Dinesh ")</f>
        <v xml:space="preserve">Kantumutchu Dinesh </v>
      </c>
      <c r="B201" s="9" t="str">
        <f ca="1">IFERROR(__xludf.DUMMYFUNCTION("""COMPUTED_VALUE"""),"18331A0569")</f>
        <v>18331A0569</v>
      </c>
      <c r="C201" s="78" t="str">
        <f ca="1">IFERROR(__xludf.DUMMYFUNCTION("""COMPUTED_VALUE"""),"Build a mobile app with Google sheets on Glide and No Coding ")</f>
        <v xml:space="preserve">Build a mobile app with Google sheets on Glide and No Coding </v>
      </c>
      <c r="D201" s="9" t="str">
        <f ca="1">IFERROR(__xludf.DUMMYFUNCTION("""COMPUTED_VALUE"""),"COURSERA ")</f>
        <v xml:space="preserve">COURSERA </v>
      </c>
      <c r="E201" s="9" t="str">
        <f ca="1">IFERROR(__xludf.DUMMYFUNCTION("""COMPUTED_VALUE"""),"1 day ")</f>
        <v xml:space="preserve">1 day </v>
      </c>
      <c r="F201" s="79">
        <f ca="1">IFERROR(__xludf.DUMMYFUNCTION("""COMPUTED_VALUE"""),44652)</f>
        <v>44652</v>
      </c>
      <c r="G201" s="79">
        <f ca="1">IFERROR(__xludf.DUMMYFUNCTION("""COMPUTED_VALUE"""),44653)</f>
        <v>44653</v>
      </c>
      <c r="H201" s="72">
        <f ca="1">IFERROR(__xludf.DUMMYFUNCTION("""COMPUTED_VALUE"""),44653)</f>
        <v>44653</v>
      </c>
      <c r="I201" s="80">
        <f ca="1">IFERROR(__xludf.DUMMYFUNCTION("""COMPUTED_VALUE"""),90)</f>
        <v>90</v>
      </c>
      <c r="J201" s="9" t="str">
        <f ca="1">IFERROR(__xludf.DUMMYFUNCTION("""COMPUTED_VALUE"""),"-")</f>
        <v>-</v>
      </c>
      <c r="K201" s="73" t="str">
        <f ca="1">IFERROR(__xludf.DUMMYFUNCTION("""COMPUTED_VALUE"""),"https://drive.google.com/open?id=1ruTJxLfRD91bBKO3FXzsuBZ404E4nE-J")</f>
        <v>https://drive.google.com/open?id=1ruTJxLfRD91bBKO3FXzsuBZ404E4nE-J</v>
      </c>
      <c r="L201" s="9" t="str">
        <f ca="1">IFERROR(__xludf.DUMMYFUNCTION("""COMPUTED_VALUE"""),"2018-2022")</f>
        <v>2018-2022</v>
      </c>
      <c r="M201" s="9" t="str">
        <f ca="1">IFERROR(__xludf.DUMMYFUNCTION("""COMPUTED_VALUE"""),"S4: Student Certifications")</f>
        <v>S4: Student Certifications</v>
      </c>
      <c r="N201" s="9" t="str">
        <f ca="1">IFERROR(__xludf.DUMMYFUNCTION("""COMPUTED_VALUE"""),"imdinesh26@gmail.com")</f>
        <v>imdinesh26@gmail.com</v>
      </c>
      <c r="O201" s="9" t="str">
        <f ca="1">IFERROR(__xludf.DUMMYFUNCTION("""COMPUTED_VALUE"""),"SEM-8")</f>
        <v>SEM-8</v>
      </c>
      <c r="P201" s="9"/>
      <c r="Q201" s="9"/>
      <c r="R201" s="9"/>
      <c r="S201" s="9"/>
      <c r="T201" s="9"/>
      <c r="U201" s="9"/>
      <c r="V201" s="9"/>
      <c r="W201" s="9"/>
      <c r="X201" s="9"/>
      <c r="Y201" s="9"/>
    </row>
    <row r="202" spans="1:25" ht="26.25" customHeight="1" x14ac:dyDescent="0.15">
      <c r="A202" s="9" t="str">
        <f ca="1">IFERROR(__xludf.DUMMYFUNCTION("""COMPUTED_VALUE"""),"Sagirisetty Teja sri")</f>
        <v>Sagirisetty Teja sri</v>
      </c>
      <c r="B202" s="9" t="str">
        <f ca="1">IFERROR(__xludf.DUMMYFUNCTION("""COMPUTED_VALUE"""),"18331A05D0")</f>
        <v>18331A05D0</v>
      </c>
      <c r="C202" s="78" t="str">
        <f ca="1">IFERROR(__xludf.DUMMYFUNCTION("""COMPUTED_VALUE"""),"AWS")</f>
        <v>AWS</v>
      </c>
      <c r="D202" s="9" t="str">
        <f ca="1">IFERROR(__xludf.DUMMYFUNCTION("""COMPUTED_VALUE"""),"AICTE")</f>
        <v>AICTE</v>
      </c>
      <c r="E202" s="9" t="str">
        <f ca="1">IFERROR(__xludf.DUMMYFUNCTION("""COMPUTED_VALUE"""),"2 months")</f>
        <v>2 months</v>
      </c>
      <c r="F202" s="79">
        <f ca="1">IFERROR(__xludf.DUMMYFUNCTION("""COMPUTED_VALUE"""),44481)</f>
        <v>44481</v>
      </c>
      <c r="G202" s="79">
        <f ca="1">IFERROR(__xludf.DUMMYFUNCTION("""COMPUTED_VALUE"""),44542)</f>
        <v>44542</v>
      </c>
      <c r="H202" s="72">
        <f ca="1">IFERROR(__xludf.DUMMYFUNCTION("""COMPUTED_VALUE"""),44542)</f>
        <v>44542</v>
      </c>
      <c r="I202" s="80">
        <f ca="1">IFERROR(__xludf.DUMMYFUNCTION("""COMPUTED_VALUE"""),90)</f>
        <v>90</v>
      </c>
      <c r="J202" s="9" t="str">
        <f ca="1">IFERROR(__xludf.DUMMYFUNCTION("""COMPUTED_VALUE"""),"RAVI KIRAN VARMA")</f>
        <v>RAVI KIRAN VARMA</v>
      </c>
      <c r="K202" s="73" t="str">
        <f ca="1">IFERROR(__xludf.DUMMYFUNCTION("""COMPUTED_VALUE"""),"https://drive.google.com/open?id=1qXwc475uw5BmiNnSXgm_E1KoedXTkkgW")</f>
        <v>https://drive.google.com/open?id=1qXwc475uw5BmiNnSXgm_E1KoedXTkkgW</v>
      </c>
      <c r="L202" s="9" t="str">
        <f ca="1">IFERROR(__xludf.DUMMYFUNCTION("""COMPUTED_VALUE"""),"2018-2022")</f>
        <v>2018-2022</v>
      </c>
      <c r="M202" s="9" t="str">
        <f ca="1">IFERROR(__xludf.DUMMYFUNCTION("""COMPUTED_VALUE"""),"S4: Student Certifications")</f>
        <v>S4: Student Certifications</v>
      </c>
      <c r="N202" s="9" t="str">
        <f ca="1">IFERROR(__xludf.DUMMYFUNCTION("""COMPUTED_VALUE"""),"tejasri.sagirisetty@gmail.com")</f>
        <v>tejasri.sagirisetty@gmail.com</v>
      </c>
      <c r="O202" s="9" t="str">
        <f ca="1">IFERROR(__xludf.DUMMYFUNCTION("""COMPUTED_VALUE"""),"SEM-8")</f>
        <v>SEM-8</v>
      </c>
      <c r="P202" s="9"/>
      <c r="Q202" s="9"/>
      <c r="R202" s="9"/>
      <c r="S202" s="9"/>
      <c r="T202" s="9"/>
      <c r="U202" s="9"/>
      <c r="V202" s="9"/>
      <c r="W202" s="9"/>
      <c r="X202" s="9"/>
      <c r="Y202" s="9"/>
    </row>
    <row r="203" spans="1:25" ht="26.25" customHeight="1" x14ac:dyDescent="0.15">
      <c r="A203" s="9" t="str">
        <f ca="1">IFERROR(__xludf.DUMMYFUNCTION("""COMPUTED_VALUE"""),"Datla Vasanth Gopal Raju ")</f>
        <v xml:space="preserve">Datla Vasanth Gopal Raju </v>
      </c>
      <c r="B203" s="9" t="str">
        <f ca="1">IFERROR(__xludf.DUMMYFUNCTION("""COMPUTED_VALUE"""),"18331A05H5")</f>
        <v>18331A05H5</v>
      </c>
      <c r="C203" s="78" t="str">
        <f ca="1">IFERROR(__xludf.DUMMYFUNCTION("""COMPUTED_VALUE"""),"AWS cloud foundations")</f>
        <v>AWS cloud foundations</v>
      </c>
      <c r="D203" s="9" t="str">
        <f ca="1">IFERROR(__xludf.DUMMYFUNCTION("""COMPUTED_VALUE"""),"AICTE")</f>
        <v>AICTE</v>
      </c>
      <c r="E203" s="9" t="str">
        <f ca="1">IFERROR(__xludf.DUMMYFUNCTION("""COMPUTED_VALUE"""),"10 weeks")</f>
        <v>10 weeks</v>
      </c>
      <c r="F203" s="79">
        <f ca="1">IFERROR(__xludf.DUMMYFUNCTION("""COMPUTED_VALUE"""),44527)</f>
        <v>44527</v>
      </c>
      <c r="G203" s="79">
        <f ca="1">IFERROR(__xludf.DUMMYFUNCTION("""COMPUTED_VALUE"""),44583)</f>
        <v>44583</v>
      </c>
      <c r="H203" s="72">
        <f ca="1">IFERROR(__xludf.DUMMYFUNCTION("""COMPUTED_VALUE"""),44583)</f>
        <v>44583</v>
      </c>
      <c r="I203" s="80">
        <f ca="1">IFERROR(__xludf.DUMMYFUNCTION("""COMPUTED_VALUE"""),90)</f>
        <v>90</v>
      </c>
      <c r="J203" s="9" t="str">
        <f ca="1">IFERROR(__xludf.DUMMYFUNCTION("""COMPUTED_VALUE"""),"Dr.Ravi Kiran varma")</f>
        <v>Dr.Ravi Kiran varma</v>
      </c>
      <c r="K203" s="73" t="str">
        <f ca="1">IFERROR(__xludf.DUMMYFUNCTION("""COMPUTED_VALUE"""),"https://drive.google.com/open?id=14K6nY5Zmu7aYFBOqjAHAjykSQh084Liz")</f>
        <v>https://drive.google.com/open?id=14K6nY5Zmu7aYFBOqjAHAjykSQh084Liz</v>
      </c>
      <c r="L203" s="9" t="str">
        <f ca="1">IFERROR(__xludf.DUMMYFUNCTION("""COMPUTED_VALUE"""),"2018-2022")</f>
        <v>2018-2022</v>
      </c>
      <c r="M203" s="9" t="str">
        <f ca="1">IFERROR(__xludf.DUMMYFUNCTION("""COMPUTED_VALUE"""),"S4: Student Certifications")</f>
        <v>S4: Student Certifications</v>
      </c>
      <c r="N203" s="9" t="str">
        <f ca="1">IFERROR(__xludf.DUMMYFUNCTION("""COMPUTED_VALUE"""),"vasanthdatla@gmail.com")</f>
        <v>vasanthdatla@gmail.com</v>
      </c>
      <c r="O203" s="9" t="str">
        <f ca="1">IFERROR(__xludf.DUMMYFUNCTION("""COMPUTED_VALUE"""),"SEM-7")</f>
        <v>SEM-7</v>
      </c>
      <c r="P203" s="9"/>
      <c r="Q203" s="9"/>
      <c r="R203" s="9"/>
      <c r="S203" s="9"/>
      <c r="T203" s="9"/>
      <c r="U203" s="9"/>
      <c r="V203" s="9"/>
      <c r="W203" s="9"/>
      <c r="X203" s="9"/>
      <c r="Y203" s="9"/>
    </row>
    <row r="204" spans="1:25" ht="26.25" customHeight="1" x14ac:dyDescent="0.15">
      <c r="A204" s="9" t="str">
        <f ca="1">IFERROR(__xludf.DUMMYFUNCTION("""COMPUTED_VALUE"""),"Madhavi Latha Maduthuri")</f>
        <v>Madhavi Latha Maduthuri</v>
      </c>
      <c r="B204" s="9" t="str">
        <f ca="1">IFERROR(__xludf.DUMMYFUNCTION("""COMPUTED_VALUE"""),"18331A0590")</f>
        <v>18331A0590</v>
      </c>
      <c r="C204" s="78" t="str">
        <f ca="1">IFERROR(__xludf.DUMMYFUNCTION("""COMPUTED_VALUE"""),"Cisci Introduction to packet tracker")</f>
        <v>Cisci Introduction to packet tracker</v>
      </c>
      <c r="D204" s="9" t="str">
        <f ca="1">IFERROR(__xludf.DUMMYFUNCTION("""COMPUTED_VALUE"""),"Cisco Introduction to packet Tracker")</f>
        <v>Cisco Introduction to packet Tracker</v>
      </c>
      <c r="E204" s="9" t="str">
        <f ca="1">IFERROR(__xludf.DUMMYFUNCTION("""COMPUTED_VALUE"""),"2")</f>
        <v>2</v>
      </c>
      <c r="F204" s="79">
        <f ca="1">IFERROR(__xludf.DUMMYFUNCTION("""COMPUTED_VALUE"""),44245)</f>
        <v>44245</v>
      </c>
      <c r="G204" s="79">
        <f ca="1">IFERROR(__xludf.DUMMYFUNCTION("""COMPUTED_VALUE"""),44295)</f>
        <v>44295</v>
      </c>
      <c r="H204" s="72">
        <f ca="1">IFERROR(__xludf.DUMMYFUNCTION("""COMPUTED_VALUE"""),44316)</f>
        <v>44316</v>
      </c>
      <c r="I204" s="80">
        <f ca="1">IFERROR(__xludf.DUMMYFUNCTION("""COMPUTED_VALUE"""),100)</f>
        <v>100</v>
      </c>
      <c r="J204" s="9" t="str">
        <f ca="1">IFERROR(__xludf.DUMMYFUNCTION("""COMPUTED_VALUE"""),"Subba Raju K V")</f>
        <v>Subba Raju K V</v>
      </c>
      <c r="K204" s="73" t="str">
        <f ca="1">IFERROR(__xludf.DUMMYFUNCTION("""COMPUTED_VALUE"""),"https://drive.google.com/open?id=1Sa0mof6HF9WoRTINJHjV102SRQUn-hmg")</f>
        <v>https://drive.google.com/open?id=1Sa0mof6HF9WoRTINJHjV102SRQUn-hmg</v>
      </c>
      <c r="L204" s="9" t="str">
        <f ca="1">IFERROR(__xludf.DUMMYFUNCTION("""COMPUTED_VALUE"""),"2018-2022")</f>
        <v>2018-2022</v>
      </c>
      <c r="M204" s="9" t="str">
        <f ca="1">IFERROR(__xludf.DUMMYFUNCTION("""COMPUTED_VALUE"""),"S4: Student Certifications")</f>
        <v>S4: Student Certifications</v>
      </c>
      <c r="N204" s="9" t="str">
        <f ca="1">IFERROR(__xludf.DUMMYFUNCTION("""COMPUTED_VALUE"""),"madhavimaduthuri5@gmail.com")</f>
        <v>madhavimaduthuri5@gmail.com</v>
      </c>
      <c r="O204" s="9" t="str">
        <f ca="1">IFERROR(__xludf.DUMMYFUNCTION("""COMPUTED_VALUE"""),"SEM-8")</f>
        <v>SEM-8</v>
      </c>
      <c r="P204" s="9"/>
      <c r="Q204" s="9"/>
      <c r="R204" s="9"/>
      <c r="S204" s="9"/>
      <c r="T204" s="9"/>
      <c r="U204" s="9"/>
      <c r="V204" s="9"/>
      <c r="W204" s="9"/>
      <c r="X204" s="9"/>
      <c r="Y204" s="9"/>
    </row>
    <row r="205" spans="1:25" ht="26.25" customHeight="1" x14ac:dyDescent="0.15">
      <c r="A205" s="9" t="str">
        <f ca="1">IFERROR(__xludf.DUMMYFUNCTION("""COMPUTED_VALUE"""),"Lalita Manoj Kumar Banisetty")</f>
        <v>Lalita Manoj Kumar Banisetty</v>
      </c>
      <c r="B205" s="9" t="str">
        <f ca="1">IFERROR(__xludf.DUMMYFUNCTION("""COMPUTED_VALUE"""),"18331A0586")</f>
        <v>18331A0586</v>
      </c>
      <c r="C205" s="78" t="str">
        <f ca="1">IFERROR(__xludf.DUMMYFUNCTION("""COMPUTED_VALUE"""),"PCAP: Programming Essentials in Python")</f>
        <v>PCAP: Programming Essentials in Python</v>
      </c>
      <c r="D205" s="9" t="str">
        <f ca="1">IFERROR(__xludf.DUMMYFUNCTION("""COMPUTED_VALUE"""),"CCNA")</f>
        <v>CCNA</v>
      </c>
      <c r="E205" s="9" t="str">
        <f ca="1">IFERROR(__xludf.DUMMYFUNCTION("""COMPUTED_VALUE"""),"1 week")</f>
        <v>1 week</v>
      </c>
      <c r="F205" s="79">
        <f ca="1">IFERROR(__xludf.DUMMYFUNCTION("""COMPUTED_VALUE"""),44370)</f>
        <v>44370</v>
      </c>
      <c r="G205" s="79">
        <f ca="1">IFERROR(__xludf.DUMMYFUNCTION("""COMPUTED_VALUE"""),44377)</f>
        <v>44377</v>
      </c>
      <c r="H205" s="72">
        <f ca="1">IFERROR(__xludf.DUMMYFUNCTION("""COMPUTED_VALUE"""),44377)</f>
        <v>44377</v>
      </c>
      <c r="I205" s="80">
        <f ca="1">IFERROR(__xludf.DUMMYFUNCTION("""COMPUTED_VALUE"""),100)</f>
        <v>100</v>
      </c>
      <c r="J205" s="9" t="str">
        <f ca="1">IFERROR(__xludf.DUMMYFUNCTION("""COMPUTED_VALUE"""),"Subba Raju K V")</f>
        <v>Subba Raju K V</v>
      </c>
      <c r="K205" s="73" t="str">
        <f ca="1">IFERROR(__xludf.DUMMYFUNCTION("""COMPUTED_VALUE"""),"https://drive.google.com/open?id=1GUfl4mlnXROBrfPau_24WDQdpP5kWsjX")</f>
        <v>https://drive.google.com/open?id=1GUfl4mlnXROBrfPau_24WDQdpP5kWsjX</v>
      </c>
      <c r="L205" s="9" t="str">
        <f ca="1">IFERROR(__xludf.DUMMYFUNCTION("""COMPUTED_VALUE"""),"2018-2022")</f>
        <v>2018-2022</v>
      </c>
      <c r="M205" s="9" t="str">
        <f ca="1">IFERROR(__xludf.DUMMYFUNCTION("""COMPUTED_VALUE"""),"S4: Student Certifications")</f>
        <v>S4: Student Certifications</v>
      </c>
      <c r="N205" s="9" t="str">
        <f ca="1">IFERROR(__xludf.DUMMYFUNCTION("""COMPUTED_VALUE"""),"mano.benesetti@gmail.com")</f>
        <v>mano.benesetti@gmail.com</v>
      </c>
      <c r="O205" s="9" t="str">
        <f ca="1">IFERROR(__xludf.DUMMYFUNCTION("""COMPUTED_VALUE"""),"SEM-8")</f>
        <v>SEM-8</v>
      </c>
      <c r="P205" s="9"/>
      <c r="Q205" s="9"/>
      <c r="R205" s="9"/>
      <c r="S205" s="9"/>
      <c r="T205" s="9"/>
      <c r="U205" s="9"/>
      <c r="V205" s="9"/>
      <c r="W205" s="9"/>
      <c r="X205" s="9"/>
      <c r="Y205" s="9"/>
    </row>
    <row r="206" spans="1:25" ht="26.25" customHeight="1" x14ac:dyDescent="0.15">
      <c r="A206" s="9" t="str">
        <f ca="1">IFERROR(__xludf.DUMMYFUNCTION("""COMPUTED_VALUE"""),"Madhavi Latha Maduthuri")</f>
        <v>Madhavi Latha Maduthuri</v>
      </c>
      <c r="B206" s="9" t="str">
        <f ca="1">IFERROR(__xludf.DUMMYFUNCTION("""COMPUTED_VALUE"""),"18331A0590")</f>
        <v>18331A0590</v>
      </c>
      <c r="C206" s="78" t="str">
        <f ca="1">IFERROR(__xludf.DUMMYFUNCTION("""COMPUTED_VALUE"""),"Cybersecurity essentials")</f>
        <v>Cybersecurity essentials</v>
      </c>
      <c r="D206" s="9" t="str">
        <f ca="1">IFERROR(__xludf.DUMMYFUNCTION("""COMPUTED_VALUE"""),"Cisco")</f>
        <v>Cisco</v>
      </c>
      <c r="E206" s="9" t="str">
        <f ca="1">IFERROR(__xludf.DUMMYFUNCTION("""COMPUTED_VALUE"""),"2months")</f>
        <v>2months</v>
      </c>
      <c r="F206" s="79">
        <f ca="1">IFERROR(__xludf.DUMMYFUNCTION("""COMPUTED_VALUE"""),44237)</f>
        <v>44237</v>
      </c>
      <c r="G206" s="79">
        <f ca="1">IFERROR(__xludf.DUMMYFUNCTION("""COMPUTED_VALUE"""),44295)</f>
        <v>44295</v>
      </c>
      <c r="H206" s="72">
        <f ca="1">IFERROR(__xludf.DUMMYFUNCTION("""COMPUTED_VALUE"""),44302)</f>
        <v>44302</v>
      </c>
      <c r="I206" s="80">
        <f ca="1">IFERROR(__xludf.DUMMYFUNCTION("""COMPUTED_VALUE"""),100)</f>
        <v>100</v>
      </c>
      <c r="J206" s="9" t="str">
        <f ca="1">IFERROR(__xludf.DUMMYFUNCTION("""COMPUTED_VALUE"""),"Dr.Ravi Kiran Varma Penmatsa")</f>
        <v>Dr.Ravi Kiran Varma Penmatsa</v>
      </c>
      <c r="K206" s="73" t="str">
        <f ca="1">IFERROR(__xludf.DUMMYFUNCTION("""COMPUTED_VALUE"""),"https://drive.google.com/open?id=12i9WYJZrumjVke4Oq75AvPlAIc806ql5")</f>
        <v>https://drive.google.com/open?id=12i9WYJZrumjVke4Oq75AvPlAIc806ql5</v>
      </c>
      <c r="L206" s="9" t="str">
        <f ca="1">IFERROR(__xludf.DUMMYFUNCTION("""COMPUTED_VALUE"""),"2018-2022")</f>
        <v>2018-2022</v>
      </c>
      <c r="M206" s="9" t="str">
        <f ca="1">IFERROR(__xludf.DUMMYFUNCTION("""COMPUTED_VALUE"""),"S4: Student Certifications")</f>
        <v>S4: Student Certifications</v>
      </c>
      <c r="N206" s="9" t="str">
        <f ca="1">IFERROR(__xludf.DUMMYFUNCTION("""COMPUTED_VALUE"""),"madhavimaduthuri5@gmail.com")</f>
        <v>madhavimaduthuri5@gmail.com</v>
      </c>
      <c r="O206" s="9" t="str">
        <f ca="1">IFERROR(__xludf.DUMMYFUNCTION("""COMPUTED_VALUE"""),"SEM-8")</f>
        <v>SEM-8</v>
      </c>
      <c r="P206" s="9"/>
      <c r="Q206" s="9"/>
      <c r="R206" s="9"/>
      <c r="S206" s="9"/>
      <c r="T206" s="9"/>
      <c r="U206" s="9"/>
      <c r="V206" s="9"/>
      <c r="W206" s="9"/>
      <c r="X206" s="9"/>
      <c r="Y206" s="9"/>
    </row>
    <row r="207" spans="1:25" ht="26.25" customHeight="1" x14ac:dyDescent="0.15">
      <c r="A207" s="9" t="str">
        <f ca="1">IFERROR(__xludf.DUMMYFUNCTION("""COMPUTED_VALUE"""),"Lalita Manoj Kumar Banisetty")</f>
        <v>Lalita Manoj Kumar Banisetty</v>
      </c>
      <c r="B207" s="9" t="str">
        <f ca="1">IFERROR(__xludf.DUMMYFUNCTION("""COMPUTED_VALUE"""),"18331A0586")</f>
        <v>18331A0586</v>
      </c>
      <c r="C207" s="78" t="str">
        <f ca="1">IFERROR(__xludf.DUMMYFUNCTION("""COMPUTED_VALUE"""),"Cybersecurity Essentials")</f>
        <v>Cybersecurity Essentials</v>
      </c>
      <c r="D207" s="9" t="str">
        <f ca="1">IFERROR(__xludf.DUMMYFUNCTION("""COMPUTED_VALUE"""),"CCNA")</f>
        <v>CCNA</v>
      </c>
      <c r="E207" s="9" t="str">
        <f ca="1">IFERROR(__xludf.DUMMYFUNCTION("""COMPUTED_VALUE"""),"1 week")</f>
        <v>1 week</v>
      </c>
      <c r="F207" s="79">
        <f ca="1">IFERROR(__xludf.DUMMYFUNCTION("""COMPUTED_VALUE"""),43669)</f>
        <v>43669</v>
      </c>
      <c r="G207" s="79">
        <f ca="1">IFERROR(__xludf.DUMMYFUNCTION("""COMPUTED_VALUE"""),43676)</f>
        <v>43676</v>
      </c>
      <c r="H207" s="72">
        <f ca="1">IFERROR(__xludf.DUMMYFUNCTION("""COMPUTED_VALUE"""),43676)</f>
        <v>43676</v>
      </c>
      <c r="I207" s="80">
        <f ca="1">IFERROR(__xludf.DUMMYFUNCTION("""COMPUTED_VALUE"""),100)</f>
        <v>100</v>
      </c>
      <c r="J207" s="9" t="str">
        <f ca="1">IFERROR(__xludf.DUMMYFUNCTION("""COMPUTED_VALUE"""),"Subba Raju K V")</f>
        <v>Subba Raju K V</v>
      </c>
      <c r="K207" s="73" t="str">
        <f ca="1">IFERROR(__xludf.DUMMYFUNCTION("""COMPUTED_VALUE"""),"https://drive.google.com/open?id=1WWEp-QqOIqYjBMhmUKbPZ36vniwhr2Av")</f>
        <v>https://drive.google.com/open?id=1WWEp-QqOIqYjBMhmUKbPZ36vniwhr2Av</v>
      </c>
      <c r="L207" s="9" t="str">
        <f ca="1">IFERROR(__xludf.DUMMYFUNCTION("""COMPUTED_VALUE"""),"2018-2022")</f>
        <v>2018-2022</v>
      </c>
      <c r="M207" s="9" t="str">
        <f ca="1">IFERROR(__xludf.DUMMYFUNCTION("""COMPUTED_VALUE"""),"S4: Student Certifications")</f>
        <v>S4: Student Certifications</v>
      </c>
      <c r="N207" s="9" t="str">
        <f ca="1">IFERROR(__xludf.DUMMYFUNCTION("""COMPUTED_VALUE"""),"mano.benesetti@gmail.com")</f>
        <v>mano.benesetti@gmail.com</v>
      </c>
      <c r="O207" s="9" t="str">
        <f ca="1">IFERROR(__xludf.DUMMYFUNCTION("""COMPUTED_VALUE"""),"SEM-8")</f>
        <v>SEM-8</v>
      </c>
      <c r="P207" s="9"/>
      <c r="Q207" s="9"/>
      <c r="R207" s="9"/>
      <c r="S207" s="9"/>
      <c r="T207" s="9"/>
      <c r="U207" s="9"/>
      <c r="V207" s="9"/>
      <c r="W207" s="9"/>
      <c r="X207" s="9"/>
      <c r="Y207" s="9"/>
    </row>
    <row r="208" spans="1:25" ht="26.25" customHeight="1" x14ac:dyDescent="0.15">
      <c r="A208" s="9" t="str">
        <f ca="1">IFERROR(__xludf.DUMMYFUNCTION("""COMPUTED_VALUE"""),"Kalivarapu Nikitha")</f>
        <v>Kalivarapu Nikitha</v>
      </c>
      <c r="B208" s="9" t="str">
        <f ca="1">IFERROR(__xludf.DUMMYFUNCTION("""COMPUTED_VALUE"""),"18331A0563")</f>
        <v>18331A0563</v>
      </c>
      <c r="C208" s="78" t="str">
        <f ca="1">IFERROR(__xludf.DUMMYFUNCTION("""COMPUTED_VALUE"""),"Red Hat system administration I")</f>
        <v>Red Hat system administration I</v>
      </c>
      <c r="D208" s="9" t="str">
        <f ca="1">IFERROR(__xludf.DUMMYFUNCTION("""COMPUTED_VALUE"""),"Red academy")</f>
        <v>Red academy</v>
      </c>
      <c r="E208" s="9" t="str">
        <f ca="1">IFERROR(__xludf.DUMMYFUNCTION("""COMPUTED_VALUE"""),"1 month ")</f>
        <v xml:space="preserve">1 month </v>
      </c>
      <c r="F208" s="79">
        <f ca="1">IFERROR(__xludf.DUMMYFUNCTION("""COMPUTED_VALUE"""),44627)</f>
        <v>44627</v>
      </c>
      <c r="G208" s="79">
        <f ca="1">IFERROR(__xludf.DUMMYFUNCTION("""COMPUTED_VALUE"""),44660)</f>
        <v>44660</v>
      </c>
      <c r="H208" s="72">
        <f ca="1">IFERROR(__xludf.DUMMYFUNCTION("""COMPUTED_VALUE"""),44659)</f>
        <v>44659</v>
      </c>
      <c r="I208" s="80">
        <f ca="1">IFERROR(__xludf.DUMMYFUNCTION("""COMPUTED_VALUE"""),100)</f>
        <v>100</v>
      </c>
      <c r="J208" s="9" t="str">
        <f ca="1">IFERROR(__xludf.DUMMYFUNCTION("""COMPUTED_VALUE"""),"K.V . Subba Raju ")</f>
        <v xml:space="preserve">K.V . Subba Raju </v>
      </c>
      <c r="K208" s="73" t="str">
        <f ca="1">IFERROR(__xludf.DUMMYFUNCTION("""COMPUTED_VALUE"""),"https://drive.google.com/open?id=1P1eIRxNbNnIakpXu7ay-bcjoV6kb1-qp")</f>
        <v>https://drive.google.com/open?id=1P1eIRxNbNnIakpXu7ay-bcjoV6kb1-qp</v>
      </c>
      <c r="L208" s="9" t="str">
        <f ca="1">IFERROR(__xludf.DUMMYFUNCTION("""COMPUTED_VALUE"""),"2018-2022")</f>
        <v>2018-2022</v>
      </c>
      <c r="M208" s="9" t="str">
        <f ca="1">IFERROR(__xludf.DUMMYFUNCTION("""COMPUTED_VALUE"""),"S4: Student Certifications")</f>
        <v>S4: Student Certifications</v>
      </c>
      <c r="N208" s="9" t="str">
        <f ca="1">IFERROR(__xludf.DUMMYFUNCTION("""COMPUTED_VALUE"""),"nikithakalivarapu0404@gmail.com")</f>
        <v>nikithakalivarapu0404@gmail.com</v>
      </c>
      <c r="O208" s="9" t="str">
        <f ca="1">IFERROR(__xludf.DUMMYFUNCTION("""COMPUTED_VALUE"""),"SEM-8")</f>
        <v>SEM-8</v>
      </c>
      <c r="P208" s="9"/>
      <c r="Q208" s="9"/>
      <c r="R208" s="9"/>
      <c r="S208" s="9"/>
      <c r="T208" s="9"/>
      <c r="U208" s="9"/>
      <c r="V208" s="9"/>
      <c r="W208" s="9"/>
      <c r="X208" s="9"/>
      <c r="Y208" s="9"/>
    </row>
    <row r="209" spans="1:25" ht="26.25" customHeight="1" x14ac:dyDescent="0.15">
      <c r="A209" s="9" t="str">
        <f ca="1">IFERROR(__xludf.DUMMYFUNCTION("""COMPUTED_VALUE"""),"Lalita Manoj Kumar Banisetty")</f>
        <v>Lalita Manoj Kumar Banisetty</v>
      </c>
      <c r="B209" s="9" t="str">
        <f ca="1">IFERROR(__xludf.DUMMYFUNCTION("""COMPUTED_VALUE"""),"18331A0586")</f>
        <v>18331A0586</v>
      </c>
      <c r="C209" s="78" t="str">
        <f ca="1">IFERROR(__xludf.DUMMYFUNCTION("""COMPUTED_VALUE"""),"Introduction to Packet Tracer")</f>
        <v>Introduction to Packet Tracer</v>
      </c>
      <c r="D209" s="9" t="str">
        <f ca="1">IFERROR(__xludf.DUMMYFUNCTION("""COMPUTED_VALUE"""),"CCNA")</f>
        <v>CCNA</v>
      </c>
      <c r="E209" s="9" t="str">
        <f ca="1">IFERROR(__xludf.DUMMYFUNCTION("""COMPUTED_VALUE"""),"1 week")</f>
        <v>1 week</v>
      </c>
      <c r="F209" s="79">
        <f ca="1">IFERROR(__xludf.DUMMYFUNCTION("""COMPUTED_VALUE"""),44310)</f>
        <v>44310</v>
      </c>
      <c r="G209" s="79">
        <f ca="1">IFERROR(__xludf.DUMMYFUNCTION("""COMPUTED_VALUE"""),44316)</f>
        <v>44316</v>
      </c>
      <c r="H209" s="72">
        <f ca="1">IFERROR(__xludf.DUMMYFUNCTION("""COMPUTED_VALUE"""),44316)</f>
        <v>44316</v>
      </c>
      <c r="I209" s="80">
        <f ca="1">IFERROR(__xludf.DUMMYFUNCTION("""COMPUTED_VALUE"""),100)</f>
        <v>100</v>
      </c>
      <c r="J209" s="9" t="str">
        <f ca="1">IFERROR(__xludf.DUMMYFUNCTION("""COMPUTED_VALUE"""),"Subba Raju K V")</f>
        <v>Subba Raju K V</v>
      </c>
      <c r="K209" s="73" t="str">
        <f ca="1">IFERROR(__xludf.DUMMYFUNCTION("""COMPUTED_VALUE"""),"https://drive.google.com/open?id=1aFiyWg3nKicVjRiTTKmWpmr6wrfEAy7Y")</f>
        <v>https://drive.google.com/open?id=1aFiyWg3nKicVjRiTTKmWpmr6wrfEAy7Y</v>
      </c>
      <c r="L209" s="9" t="str">
        <f ca="1">IFERROR(__xludf.DUMMYFUNCTION("""COMPUTED_VALUE"""),"2018-2022")</f>
        <v>2018-2022</v>
      </c>
      <c r="M209" s="9" t="str">
        <f ca="1">IFERROR(__xludf.DUMMYFUNCTION("""COMPUTED_VALUE"""),"S4: Student Certifications")</f>
        <v>S4: Student Certifications</v>
      </c>
      <c r="N209" s="9" t="str">
        <f ca="1">IFERROR(__xludf.DUMMYFUNCTION("""COMPUTED_VALUE"""),"mano.benesetti@gmail.com")</f>
        <v>mano.benesetti@gmail.com</v>
      </c>
      <c r="O209" s="9" t="str">
        <f ca="1">IFERROR(__xludf.DUMMYFUNCTION("""COMPUTED_VALUE"""),"SEM-8")</f>
        <v>SEM-8</v>
      </c>
      <c r="P209" s="9"/>
      <c r="Q209" s="9"/>
      <c r="R209" s="9"/>
      <c r="S209" s="9"/>
      <c r="T209" s="9"/>
      <c r="U209" s="9"/>
      <c r="V209" s="9"/>
      <c r="W209" s="9"/>
      <c r="X209" s="9"/>
      <c r="Y209" s="9"/>
    </row>
    <row r="210" spans="1:25" ht="26.25" customHeight="1" x14ac:dyDescent="0.15">
      <c r="A210" s="9" t="str">
        <f ca="1">IFERROR(__xludf.DUMMYFUNCTION("""COMPUTED_VALUE"""),"Karuna Sri Pithani ")</f>
        <v xml:space="preserve">Karuna Sri Pithani </v>
      </c>
      <c r="B210" s="9" t="str">
        <f ca="1">IFERROR(__xludf.DUMMYFUNCTION("""COMPUTED_VALUE"""),"18331A0572 ")</f>
        <v xml:space="preserve">18331A0572 </v>
      </c>
      <c r="C210" s="78" t="str">
        <f ca="1">IFERROR(__xludf.DUMMYFUNCTION("""COMPUTED_VALUE"""),"Cybersecurity essentials ")</f>
        <v xml:space="preserve">Cybersecurity essentials </v>
      </c>
      <c r="D210" s="9" t="str">
        <f ca="1">IFERROR(__xludf.DUMMYFUNCTION("""COMPUTED_VALUE"""),"Cisco networking academy ")</f>
        <v xml:space="preserve">Cisco networking academy </v>
      </c>
      <c r="E210" s="9" t="str">
        <f ca="1">IFERROR(__xludf.DUMMYFUNCTION("""COMPUTED_VALUE"""),"2 months ")</f>
        <v xml:space="preserve">2 months </v>
      </c>
      <c r="F210" s="79">
        <f ca="1">IFERROR(__xludf.DUMMYFUNCTION("""COMPUTED_VALUE"""),43497)</f>
        <v>43497</v>
      </c>
      <c r="G210" s="79">
        <f ca="1">IFERROR(__xludf.DUMMYFUNCTION("""COMPUTED_VALUE"""),44680)</f>
        <v>44680</v>
      </c>
      <c r="H210" s="72">
        <f ca="1">IFERROR(__xludf.DUMMYFUNCTION("""COMPUTED_VALUE"""),44679)</f>
        <v>44679</v>
      </c>
      <c r="I210" s="80">
        <f ca="1">IFERROR(__xludf.DUMMYFUNCTION("""COMPUTED_VALUE"""),100)</f>
        <v>100</v>
      </c>
      <c r="J210" s="9" t="str">
        <f ca="1">IFERROR(__xludf.DUMMYFUNCTION("""COMPUTED_VALUE"""),"K. V. Subba Raju")</f>
        <v>K. V. Subba Raju</v>
      </c>
      <c r="K210" s="73" t="str">
        <f ca="1">IFERROR(__xludf.DUMMYFUNCTION("""COMPUTED_VALUE"""),"https://drive.google.com/open?id=1bmxenqMP3W4gpKKmI_TSTLICeQwEwlpP")</f>
        <v>https://drive.google.com/open?id=1bmxenqMP3W4gpKKmI_TSTLICeQwEwlpP</v>
      </c>
      <c r="L210" s="9" t="str">
        <f ca="1">IFERROR(__xludf.DUMMYFUNCTION("""COMPUTED_VALUE"""),"2018-2022")</f>
        <v>2018-2022</v>
      </c>
      <c r="M210" s="9" t="str">
        <f ca="1">IFERROR(__xludf.DUMMYFUNCTION("""COMPUTED_VALUE"""),"S4: Student Certifications")</f>
        <v>S4: Student Certifications</v>
      </c>
      <c r="N210" s="9" t="str">
        <f ca="1">IFERROR(__xludf.DUMMYFUNCTION("""COMPUTED_VALUE"""),"pithanikarunasri2001@gmail.com")</f>
        <v>pithanikarunasri2001@gmail.com</v>
      </c>
      <c r="O210" s="9" t="str">
        <f ca="1">IFERROR(__xludf.DUMMYFUNCTION("""COMPUTED_VALUE"""),"SEM-8")</f>
        <v>SEM-8</v>
      </c>
      <c r="P210" s="9"/>
      <c r="Q210" s="9"/>
      <c r="R210" s="9"/>
      <c r="S210" s="9"/>
      <c r="T210" s="9"/>
      <c r="U210" s="9"/>
      <c r="V210" s="9"/>
      <c r="W210" s="9"/>
      <c r="X210" s="9"/>
      <c r="Y210" s="9"/>
    </row>
    <row r="211" spans="1:25" ht="26.25" customHeight="1" x14ac:dyDescent="0.15">
      <c r="A211" s="9" t="str">
        <f ca="1">IFERROR(__xludf.DUMMYFUNCTION("""COMPUTED_VALUE"""),"Lalita Manoj Kumar Banisetty")</f>
        <v>Lalita Manoj Kumar Banisetty</v>
      </c>
      <c r="B211" s="9" t="str">
        <f ca="1">IFERROR(__xludf.DUMMYFUNCTION("""COMPUTED_VALUE"""),"18331A0586")</f>
        <v>18331A0586</v>
      </c>
      <c r="C211" s="78" t="str">
        <f ca="1">IFERROR(__xludf.DUMMYFUNCTION("""COMPUTED_VALUE"""),"Introduction to Cybersecurity")</f>
        <v>Introduction to Cybersecurity</v>
      </c>
      <c r="D211" s="9" t="str">
        <f ca="1">IFERROR(__xludf.DUMMYFUNCTION("""COMPUTED_VALUE"""),"CCNA")</f>
        <v>CCNA</v>
      </c>
      <c r="E211" s="9" t="str">
        <f ca="1">IFERROR(__xludf.DUMMYFUNCTION("""COMPUTED_VALUE"""),"1 week")</f>
        <v>1 week</v>
      </c>
      <c r="F211" s="79">
        <f ca="1">IFERROR(__xludf.DUMMYFUNCTION("""COMPUTED_VALUE"""),44310)</f>
        <v>44310</v>
      </c>
      <c r="G211" s="79">
        <f ca="1">IFERROR(__xludf.DUMMYFUNCTION("""COMPUTED_VALUE"""),44317)</f>
        <v>44317</v>
      </c>
      <c r="H211" s="72">
        <f ca="1">IFERROR(__xludf.DUMMYFUNCTION("""COMPUTED_VALUE"""),44317)</f>
        <v>44317</v>
      </c>
      <c r="I211" s="80">
        <f ca="1">IFERROR(__xludf.DUMMYFUNCTION("""COMPUTED_VALUE"""),99)</f>
        <v>99</v>
      </c>
      <c r="J211" s="9" t="str">
        <f ca="1">IFERROR(__xludf.DUMMYFUNCTION("""COMPUTED_VALUE"""),"Subba Raju K V")</f>
        <v>Subba Raju K V</v>
      </c>
      <c r="K211" s="73" t="str">
        <f ca="1">IFERROR(__xludf.DUMMYFUNCTION("""COMPUTED_VALUE"""),"https://drive.google.com/open?id=1nARL6r93gj8v1ZcpPA2aTvnZZw4YZEE2")</f>
        <v>https://drive.google.com/open?id=1nARL6r93gj8v1ZcpPA2aTvnZZw4YZEE2</v>
      </c>
      <c r="L211" s="9" t="str">
        <f ca="1">IFERROR(__xludf.DUMMYFUNCTION("""COMPUTED_VALUE"""),"2018-2022")</f>
        <v>2018-2022</v>
      </c>
      <c r="M211" s="9" t="str">
        <f ca="1">IFERROR(__xludf.DUMMYFUNCTION("""COMPUTED_VALUE"""),"S4: Student Certifications")</f>
        <v>S4: Student Certifications</v>
      </c>
      <c r="N211" s="9" t="str">
        <f ca="1">IFERROR(__xludf.DUMMYFUNCTION("""COMPUTED_VALUE"""),"mano.benesetti@gmail.com")</f>
        <v>mano.benesetti@gmail.com</v>
      </c>
      <c r="O211" s="9" t="str">
        <f ca="1">IFERROR(__xludf.DUMMYFUNCTION("""COMPUTED_VALUE"""),"SEM-8")</f>
        <v>SEM-8</v>
      </c>
      <c r="P211" s="9"/>
      <c r="Q211" s="9"/>
      <c r="R211" s="9"/>
      <c r="S211" s="9"/>
      <c r="T211" s="9"/>
      <c r="U211" s="9"/>
      <c r="V211" s="9"/>
      <c r="W211" s="9"/>
      <c r="X211" s="9"/>
      <c r="Y211" s="9"/>
    </row>
    <row r="212" spans="1:25" ht="26.25" customHeight="1" x14ac:dyDescent="0.15">
      <c r="A212" s="9" t="str">
        <f ca="1">IFERROR(__xludf.DUMMYFUNCTION("""COMPUTED_VALUE"""),"Arun Prasad")</f>
        <v>Arun Prasad</v>
      </c>
      <c r="B212" s="9" t="str">
        <f ca="1">IFERROR(__xludf.DUMMYFUNCTION("""COMPUTED_VALUE"""),"18331A0564")</f>
        <v>18331A0564</v>
      </c>
      <c r="C212" s="78" t="str">
        <f ca="1">IFERROR(__xludf.DUMMYFUNCTION("""COMPUTED_VALUE"""),"Applied Data Science Specialization")</f>
        <v>Applied Data Science Specialization</v>
      </c>
      <c r="D212" s="9" t="str">
        <f ca="1">IFERROR(__xludf.DUMMYFUNCTION("""COMPUTED_VALUE"""),"Coursera")</f>
        <v>Coursera</v>
      </c>
      <c r="E212" s="9" t="str">
        <f ca="1">IFERROR(__xludf.DUMMYFUNCTION("""COMPUTED_VALUE"""),"1 Month")</f>
        <v>1 Month</v>
      </c>
      <c r="F212" s="79">
        <f ca="1">IFERROR(__xludf.DUMMYFUNCTION("""COMPUTED_VALUE"""),43939)</f>
        <v>43939</v>
      </c>
      <c r="G212" s="79">
        <f ca="1">IFERROR(__xludf.DUMMYFUNCTION("""COMPUTED_VALUE"""),43969)</f>
        <v>43969</v>
      </c>
      <c r="H212" s="72">
        <f ca="1">IFERROR(__xludf.DUMMYFUNCTION("""COMPUTED_VALUE"""),43969)</f>
        <v>43969</v>
      </c>
      <c r="I212" s="80">
        <f ca="1">IFERROR(__xludf.DUMMYFUNCTION("""COMPUTED_VALUE"""),100)</f>
        <v>100</v>
      </c>
      <c r="J212" s="9" t="str">
        <f ca="1">IFERROR(__xludf.DUMMYFUNCTION("""COMPUTED_VALUE"""),"Joseph Santarcangelo")</f>
        <v>Joseph Santarcangelo</v>
      </c>
      <c r="K212" s="73" t="str">
        <f ca="1">IFERROR(__xludf.DUMMYFUNCTION("""COMPUTED_VALUE"""),"https://drive.google.com/open?id=1L-6Rmu3CgF-8_Se78N5N2LfPSpaEXXgt")</f>
        <v>https://drive.google.com/open?id=1L-6Rmu3CgF-8_Se78N5N2LfPSpaEXXgt</v>
      </c>
      <c r="L212" s="9" t="str">
        <f ca="1">IFERROR(__xludf.DUMMYFUNCTION("""COMPUTED_VALUE"""),"2018-2022")</f>
        <v>2018-2022</v>
      </c>
      <c r="M212" s="9" t="str">
        <f ca="1">IFERROR(__xludf.DUMMYFUNCTION("""COMPUTED_VALUE"""),"S4: Student Certifications")</f>
        <v>S4: Student Certifications</v>
      </c>
      <c r="N212" s="9" t="str">
        <f ca="1">IFERROR(__xludf.DUMMYFUNCTION("""COMPUTED_VALUE"""),"arunprasadkalla@gmail.com")</f>
        <v>arunprasadkalla@gmail.com</v>
      </c>
      <c r="O212" s="9" t="str">
        <f ca="1">IFERROR(__xludf.DUMMYFUNCTION("""COMPUTED_VALUE"""),"SEM-8")</f>
        <v>SEM-8</v>
      </c>
      <c r="P212" s="9"/>
      <c r="Q212" s="9"/>
      <c r="R212" s="9"/>
      <c r="S212" s="9"/>
      <c r="T212" s="9"/>
      <c r="U212" s="9"/>
      <c r="V212" s="9"/>
      <c r="W212" s="9"/>
      <c r="X212" s="9"/>
      <c r="Y212" s="9"/>
    </row>
    <row r="213" spans="1:25" ht="26.25" customHeight="1" x14ac:dyDescent="0.15">
      <c r="A213" s="9" t="str">
        <f ca="1">IFERROR(__xludf.DUMMYFUNCTION("""COMPUTED_VALUE"""),"Buddharaju Pragna")</f>
        <v>Buddharaju Pragna</v>
      </c>
      <c r="B213" s="9" t="str">
        <f ca="1">IFERROR(__xludf.DUMMYFUNCTION("""COMPUTED_VALUE"""),"18331A05H2")</f>
        <v>18331A05H2</v>
      </c>
      <c r="C213" s="78" t="str">
        <f ca="1">IFERROR(__xludf.DUMMYFUNCTION("""COMPUTED_VALUE"""),"AI For Everyone")</f>
        <v>AI For Everyone</v>
      </c>
      <c r="D213" s="9" t="str">
        <f ca="1">IFERROR(__xludf.DUMMYFUNCTION("""COMPUTED_VALUE"""),"Coursera")</f>
        <v>Coursera</v>
      </c>
      <c r="E213" s="9" t="str">
        <f ca="1">IFERROR(__xludf.DUMMYFUNCTION("""COMPUTED_VALUE"""),"20 days")</f>
        <v>20 days</v>
      </c>
      <c r="F213" s="79">
        <f ca="1">IFERROR(__xludf.DUMMYFUNCTION("""COMPUTED_VALUE"""),43925)</f>
        <v>43925</v>
      </c>
      <c r="G213" s="79">
        <f ca="1">IFERROR(__xludf.DUMMYFUNCTION("""COMPUTED_VALUE"""),43945)</f>
        <v>43945</v>
      </c>
      <c r="H213" s="72">
        <f ca="1">IFERROR(__xludf.DUMMYFUNCTION("""COMPUTED_VALUE"""),43945)</f>
        <v>43945</v>
      </c>
      <c r="I213" s="80">
        <f ca="1">IFERROR(__xludf.DUMMYFUNCTION("""COMPUTED_VALUE"""),100)</f>
        <v>100</v>
      </c>
      <c r="J213" s="9" t="str">
        <f ca="1">IFERROR(__xludf.DUMMYFUNCTION("""COMPUTED_VALUE"""),"online")</f>
        <v>online</v>
      </c>
      <c r="K213" s="73" t="str">
        <f ca="1">IFERROR(__xludf.DUMMYFUNCTION("""COMPUTED_VALUE"""),"https://drive.google.com/open?id=1mXWQ22tEBum6Qeqx3u3J2UDzE1iF6z0M")</f>
        <v>https://drive.google.com/open?id=1mXWQ22tEBum6Qeqx3u3J2UDzE1iF6z0M</v>
      </c>
      <c r="L213" s="9" t="str">
        <f ca="1">IFERROR(__xludf.DUMMYFUNCTION("""COMPUTED_VALUE"""),"2018-2022")</f>
        <v>2018-2022</v>
      </c>
      <c r="M213" s="9" t="str">
        <f ca="1">IFERROR(__xludf.DUMMYFUNCTION("""COMPUTED_VALUE"""),"S4: Student Certifications")</f>
        <v>S4: Student Certifications</v>
      </c>
      <c r="N213" s="9" t="str">
        <f ca="1">IFERROR(__xludf.DUMMYFUNCTION("""COMPUTED_VALUE"""),"pragnabuddharaju@gmail.com")</f>
        <v>pragnabuddharaju@gmail.com</v>
      </c>
      <c r="O213" s="9" t="str">
        <f ca="1">IFERROR(__xludf.DUMMYFUNCTION("""COMPUTED_VALUE"""),"SEM-4")</f>
        <v>SEM-4</v>
      </c>
      <c r="P213" s="9"/>
      <c r="Q213" s="9"/>
      <c r="R213" s="9"/>
      <c r="S213" s="9"/>
      <c r="T213" s="9"/>
      <c r="U213" s="9"/>
      <c r="V213" s="9"/>
      <c r="W213" s="9"/>
      <c r="X213" s="9"/>
      <c r="Y213" s="9"/>
    </row>
    <row r="214" spans="1:25" ht="26.25" customHeight="1" x14ac:dyDescent="0.15">
      <c r="A214" s="9" t="str">
        <f ca="1">IFERROR(__xludf.DUMMYFUNCTION("""COMPUTED_VALUE"""),"Telaprolu Anusha")</f>
        <v>Telaprolu Anusha</v>
      </c>
      <c r="B214" s="9" t="str">
        <f ca="1">IFERROR(__xludf.DUMMYFUNCTION("""COMPUTED_VALUE"""),"18331A05F3")</f>
        <v>18331A05F3</v>
      </c>
      <c r="C214" s="78" t="str">
        <f ca="1">IFERROR(__xludf.DUMMYFUNCTION("""COMPUTED_VALUE"""),"cybersecurity essentials")</f>
        <v>cybersecurity essentials</v>
      </c>
      <c r="D214" s="9" t="str">
        <f ca="1">IFERROR(__xludf.DUMMYFUNCTION("""COMPUTED_VALUE"""),"CISCO")</f>
        <v>CISCO</v>
      </c>
      <c r="E214" s="9" t="str">
        <f ca="1">IFERROR(__xludf.DUMMYFUNCTION("""COMPUTED_VALUE"""),"2 MONTHS")</f>
        <v>2 MONTHS</v>
      </c>
      <c r="F214" s="79">
        <f ca="1">IFERROR(__xludf.DUMMYFUNCTION("""COMPUTED_VALUE"""),43612)</f>
        <v>43612</v>
      </c>
      <c r="G214" s="79">
        <f ca="1">IFERROR(__xludf.DUMMYFUNCTION("""COMPUTED_VALUE"""),43677)</f>
        <v>43677</v>
      </c>
      <c r="H214" s="72">
        <f ca="1">IFERROR(__xludf.DUMMYFUNCTION("""COMPUTED_VALUE"""),43534)</f>
        <v>43534</v>
      </c>
      <c r="I214" s="80">
        <f ca="1">IFERROR(__xludf.DUMMYFUNCTION("""COMPUTED_VALUE"""),100)</f>
        <v>100</v>
      </c>
      <c r="J214" s="9" t="str">
        <f ca="1">IFERROR(__xludf.DUMMYFUNCTION("""COMPUTED_VALUE"""),"DR. RAVI KIRAN VARMA")</f>
        <v>DR. RAVI KIRAN VARMA</v>
      </c>
      <c r="K214" s="73" t="str">
        <f ca="1">IFERROR(__xludf.DUMMYFUNCTION("""COMPUTED_VALUE"""),"https://drive.google.com/open?id=1ZP05LU2PnFrGBLhaKojrsGTwG9mpwlyI")</f>
        <v>https://drive.google.com/open?id=1ZP05LU2PnFrGBLhaKojrsGTwG9mpwlyI</v>
      </c>
      <c r="L214" s="9" t="str">
        <f ca="1">IFERROR(__xludf.DUMMYFUNCTION("""COMPUTED_VALUE"""),"2018-2022")</f>
        <v>2018-2022</v>
      </c>
      <c r="M214" s="9" t="str">
        <f ca="1">IFERROR(__xludf.DUMMYFUNCTION("""COMPUTED_VALUE"""),"S4: Student Certifications")</f>
        <v>S4: Student Certifications</v>
      </c>
      <c r="N214" s="9" t="str">
        <f ca="1">IFERROR(__xludf.DUMMYFUNCTION("""COMPUTED_VALUE"""),"anushatelaprolu04@gmail.com")</f>
        <v>anushatelaprolu04@gmail.com</v>
      </c>
      <c r="O214" s="9" t="str">
        <f ca="1">IFERROR(__xludf.DUMMYFUNCTION("""COMPUTED_VALUE"""),"SEM-8")</f>
        <v>SEM-8</v>
      </c>
      <c r="P214" s="9"/>
      <c r="Q214" s="9"/>
      <c r="R214" s="9"/>
      <c r="S214" s="9"/>
      <c r="T214" s="9"/>
      <c r="U214" s="9"/>
      <c r="V214" s="9"/>
      <c r="W214" s="9"/>
      <c r="X214" s="9"/>
      <c r="Y214" s="9"/>
    </row>
    <row r="215" spans="1:25" ht="26.25" customHeight="1" x14ac:dyDescent="0.15">
      <c r="A215" s="9" t="str">
        <f ca="1">IFERROR(__xludf.DUMMYFUNCTION("""COMPUTED_VALUE"""),"Telaprolu Anusha")</f>
        <v>Telaprolu Anusha</v>
      </c>
      <c r="B215" s="9" t="str">
        <f ca="1">IFERROR(__xludf.DUMMYFUNCTION("""COMPUTED_VALUE"""),"18331A05F3")</f>
        <v>18331A05F3</v>
      </c>
      <c r="C215" s="78" t="str">
        <f ca="1">IFERROR(__xludf.DUMMYFUNCTION("""COMPUTED_VALUE"""),"INTRODUCTION TO NETWORKS")</f>
        <v>INTRODUCTION TO NETWORKS</v>
      </c>
      <c r="D215" s="9" t="str">
        <f ca="1">IFERROR(__xludf.DUMMYFUNCTION("""COMPUTED_VALUE"""),"CISCO")</f>
        <v>CISCO</v>
      </c>
      <c r="E215" s="9" t="str">
        <f ca="1">IFERROR(__xludf.DUMMYFUNCTION("""COMPUTED_VALUE"""),"2 MONTHS")</f>
        <v>2 MONTHS</v>
      </c>
      <c r="F215" s="79"/>
      <c r="G215" s="79">
        <f ca="1">IFERROR(__xludf.DUMMYFUNCTION("""COMPUTED_VALUE"""),44378)</f>
        <v>44378</v>
      </c>
      <c r="H215" s="72">
        <f ca="1">IFERROR(__xludf.DUMMYFUNCTION("""COMPUTED_VALUE"""),44378)</f>
        <v>44378</v>
      </c>
      <c r="I215" s="80">
        <f ca="1">IFERROR(__xludf.DUMMYFUNCTION("""COMPUTED_VALUE"""),100)</f>
        <v>100</v>
      </c>
      <c r="J215" s="9" t="str">
        <f ca="1">IFERROR(__xludf.DUMMYFUNCTION("""COMPUTED_VALUE"""),"K V SUBBA RAJU")</f>
        <v>K V SUBBA RAJU</v>
      </c>
      <c r="K215" s="73" t="str">
        <f ca="1">IFERROR(__xludf.DUMMYFUNCTION("""COMPUTED_VALUE"""),"https://drive.google.com/open?id=1aUFVkujqx_v1nB1Enlhrf5_3ygCp9yAP")</f>
        <v>https://drive.google.com/open?id=1aUFVkujqx_v1nB1Enlhrf5_3ygCp9yAP</v>
      </c>
      <c r="L215" s="9" t="str">
        <f ca="1">IFERROR(__xludf.DUMMYFUNCTION("""COMPUTED_VALUE"""),"2018-2022")</f>
        <v>2018-2022</v>
      </c>
      <c r="M215" s="9" t="str">
        <f ca="1">IFERROR(__xludf.DUMMYFUNCTION("""COMPUTED_VALUE"""),"S4: Student Certifications")</f>
        <v>S4: Student Certifications</v>
      </c>
      <c r="N215" s="9" t="str">
        <f ca="1">IFERROR(__xludf.DUMMYFUNCTION("""COMPUTED_VALUE"""),"anushatelaprolu04@gmail.com")</f>
        <v>anushatelaprolu04@gmail.com</v>
      </c>
      <c r="O215" s="9" t="str">
        <f ca="1">IFERROR(__xludf.DUMMYFUNCTION("""COMPUTED_VALUE"""),"SEM-8")</f>
        <v>SEM-8</v>
      </c>
      <c r="P215" s="9"/>
      <c r="Q215" s="9"/>
      <c r="R215" s="9"/>
      <c r="S215" s="9"/>
      <c r="T215" s="9"/>
      <c r="U215" s="9"/>
      <c r="V215" s="9"/>
      <c r="W215" s="9"/>
      <c r="X215" s="9"/>
      <c r="Y215" s="9"/>
    </row>
    <row r="216" spans="1:25" ht="26.25" customHeight="1" x14ac:dyDescent="0.15">
      <c r="A216" s="9" t="str">
        <f ca="1">IFERROR(__xludf.DUMMYFUNCTION("""COMPUTED_VALUE"""),"Telaprolu Anusha")</f>
        <v>Telaprolu Anusha</v>
      </c>
      <c r="B216" s="9" t="str">
        <f ca="1">IFERROR(__xludf.DUMMYFUNCTION("""COMPUTED_VALUE"""),"18331A05F3")</f>
        <v>18331A05F3</v>
      </c>
      <c r="C216" s="78" t="str">
        <f ca="1">IFERROR(__xludf.DUMMYFUNCTION("""COMPUTED_VALUE"""),"PROGRAMMING ESSENTIALS IN C")</f>
        <v>PROGRAMMING ESSENTIALS IN C</v>
      </c>
      <c r="D216" s="9" t="str">
        <f ca="1">IFERROR(__xludf.DUMMYFUNCTION("""COMPUTED_VALUE"""),"CISCO")</f>
        <v>CISCO</v>
      </c>
      <c r="E216" s="9" t="str">
        <f ca="1">IFERROR(__xludf.DUMMYFUNCTION("""COMPUTED_VALUE"""),"2 MONTHS")</f>
        <v>2 MONTHS</v>
      </c>
      <c r="F216" s="79">
        <f ca="1">IFERROR(__xludf.DUMMYFUNCTION("""COMPUTED_VALUE"""),43557)</f>
        <v>43557</v>
      </c>
      <c r="G216" s="79">
        <f ca="1">IFERROR(__xludf.DUMMYFUNCTION("""COMPUTED_VALUE"""),43618)</f>
        <v>43618</v>
      </c>
      <c r="H216" s="72">
        <f ca="1">IFERROR(__xludf.DUMMYFUNCTION("""COMPUTED_VALUE"""),43618)</f>
        <v>43618</v>
      </c>
      <c r="I216" s="80">
        <f ca="1">IFERROR(__xludf.DUMMYFUNCTION("""COMPUTED_VALUE"""),100)</f>
        <v>100</v>
      </c>
      <c r="J216" s="9" t="str">
        <f ca="1">IFERROR(__xludf.DUMMYFUNCTION("""COMPUTED_VALUE"""),"P RAVI KIRAN VARMA")</f>
        <v>P RAVI KIRAN VARMA</v>
      </c>
      <c r="K216" s="73" t="str">
        <f ca="1">IFERROR(__xludf.DUMMYFUNCTION("""COMPUTED_VALUE"""),"https://drive.google.com/open?id=1yGuzfZwmMNrNPTASHcdU8xTj7U-OG277")</f>
        <v>https://drive.google.com/open?id=1yGuzfZwmMNrNPTASHcdU8xTj7U-OG277</v>
      </c>
      <c r="L216" s="9" t="str">
        <f ca="1">IFERROR(__xludf.DUMMYFUNCTION("""COMPUTED_VALUE"""),"2018-2022")</f>
        <v>2018-2022</v>
      </c>
      <c r="M216" s="9" t="str">
        <f ca="1">IFERROR(__xludf.DUMMYFUNCTION("""COMPUTED_VALUE"""),"S4: Student Certifications")</f>
        <v>S4: Student Certifications</v>
      </c>
      <c r="N216" s="9" t="str">
        <f ca="1">IFERROR(__xludf.DUMMYFUNCTION("""COMPUTED_VALUE"""),"anushatelaprolu04@gmail.com")</f>
        <v>anushatelaprolu04@gmail.com</v>
      </c>
      <c r="O216" s="9" t="str">
        <f ca="1">IFERROR(__xludf.DUMMYFUNCTION("""COMPUTED_VALUE"""),"SEM-8")</f>
        <v>SEM-8</v>
      </c>
      <c r="P216" s="9"/>
      <c r="Q216" s="9"/>
      <c r="R216" s="9"/>
      <c r="S216" s="9"/>
      <c r="T216" s="9"/>
      <c r="U216" s="9"/>
      <c r="V216" s="9"/>
      <c r="W216" s="9"/>
      <c r="X216" s="9"/>
      <c r="Y216" s="9"/>
    </row>
    <row r="217" spans="1:25" ht="26.25" customHeight="1" x14ac:dyDescent="0.15">
      <c r="A217" s="9" t="str">
        <f ca="1">IFERROR(__xludf.DUMMYFUNCTION("""COMPUTED_VALUE"""),"Arun Prasad")</f>
        <v>Arun Prasad</v>
      </c>
      <c r="B217" s="9" t="str">
        <f ca="1">IFERROR(__xludf.DUMMYFUNCTION("""COMPUTED_VALUE"""),"18331A0564")</f>
        <v>18331A0564</v>
      </c>
      <c r="C217" s="78" t="str">
        <f ca="1">IFERROR(__xludf.DUMMYFUNCTION("""COMPUTED_VALUE"""),"Python for Everybody")</f>
        <v>Python for Everybody</v>
      </c>
      <c r="D217" s="9" t="str">
        <f ca="1">IFERROR(__xludf.DUMMYFUNCTION("""COMPUTED_VALUE"""),"Coursera")</f>
        <v>Coursera</v>
      </c>
      <c r="E217" s="9" t="str">
        <f ca="1">IFERROR(__xludf.DUMMYFUNCTION("""COMPUTED_VALUE"""),"1 month")</f>
        <v>1 month</v>
      </c>
      <c r="F217" s="79">
        <f ca="1">IFERROR(__xludf.DUMMYFUNCTION("""COMPUTED_VALUE"""),43923)</f>
        <v>43923</v>
      </c>
      <c r="G217" s="79">
        <f ca="1">IFERROR(__xludf.DUMMYFUNCTION("""COMPUTED_VALUE"""),43953)</f>
        <v>43953</v>
      </c>
      <c r="H217" s="72">
        <f ca="1">IFERROR(__xludf.DUMMYFUNCTION("""COMPUTED_VALUE"""),43953)</f>
        <v>43953</v>
      </c>
      <c r="I217" s="80">
        <f ca="1">IFERROR(__xludf.DUMMYFUNCTION("""COMPUTED_VALUE"""),100)</f>
        <v>100</v>
      </c>
      <c r="J217" s="9" t="str">
        <f ca="1">IFERROR(__xludf.DUMMYFUNCTION("""COMPUTED_VALUE"""),"Charles Severance")</f>
        <v>Charles Severance</v>
      </c>
      <c r="K217" s="73" t="str">
        <f ca="1">IFERROR(__xludf.DUMMYFUNCTION("""COMPUTED_VALUE"""),"https://drive.google.com/open?id=18ppfmiEPyncUUVBWULW5JrOKj_WdGpMZ")</f>
        <v>https://drive.google.com/open?id=18ppfmiEPyncUUVBWULW5JrOKj_WdGpMZ</v>
      </c>
      <c r="L217" s="9" t="str">
        <f ca="1">IFERROR(__xludf.DUMMYFUNCTION("""COMPUTED_VALUE"""),"2018-2022")</f>
        <v>2018-2022</v>
      </c>
      <c r="M217" s="9" t="str">
        <f ca="1">IFERROR(__xludf.DUMMYFUNCTION("""COMPUTED_VALUE"""),"S4: Student Certifications")</f>
        <v>S4: Student Certifications</v>
      </c>
      <c r="N217" s="9" t="str">
        <f ca="1">IFERROR(__xludf.DUMMYFUNCTION("""COMPUTED_VALUE"""),"arunprasadkalla@gmail.com")</f>
        <v>arunprasadkalla@gmail.com</v>
      </c>
      <c r="O217" s="9" t="str">
        <f ca="1">IFERROR(__xludf.DUMMYFUNCTION("""COMPUTED_VALUE"""),"SEM-8")</f>
        <v>SEM-8</v>
      </c>
      <c r="P217" s="9"/>
      <c r="Q217" s="9"/>
      <c r="R217" s="9"/>
      <c r="S217" s="9"/>
      <c r="T217" s="9"/>
      <c r="U217" s="9"/>
      <c r="V217" s="9"/>
      <c r="W217" s="9"/>
      <c r="X217" s="9"/>
      <c r="Y217" s="9"/>
    </row>
    <row r="218" spans="1:25" ht="26.25" customHeight="1" x14ac:dyDescent="0.15">
      <c r="A218" s="9" t="str">
        <f ca="1">IFERROR(__xludf.DUMMYFUNCTION("""COMPUTED_VALUE"""),"Telaprolu Anusha")</f>
        <v>Telaprolu Anusha</v>
      </c>
      <c r="B218" s="9" t="str">
        <f ca="1">IFERROR(__xludf.DUMMYFUNCTION("""COMPUTED_VALUE"""),"18331A05F3")</f>
        <v>18331A05F3</v>
      </c>
      <c r="C218" s="78" t="str">
        <f ca="1">IFERROR(__xludf.DUMMYFUNCTION("""COMPUTED_VALUE"""),"DATA SCIENCE")</f>
        <v>DATA SCIENCE</v>
      </c>
      <c r="D218" s="9" t="str">
        <f ca="1">IFERROR(__xludf.DUMMYFUNCTION("""COMPUTED_VALUE"""),"COURSERA")</f>
        <v>COURSERA</v>
      </c>
      <c r="E218" s="9" t="str">
        <f ca="1">IFERROR(__xludf.DUMMYFUNCTION("""COMPUTED_VALUE"""),"20 DAYS")</f>
        <v>20 DAYS</v>
      </c>
      <c r="F218" s="79">
        <f ca="1">IFERROR(__xludf.DUMMYFUNCTION("""COMPUTED_VALUE"""),43899)</f>
        <v>43899</v>
      </c>
      <c r="G218" s="79">
        <f ca="1">IFERROR(__xludf.DUMMYFUNCTION("""COMPUTED_VALUE"""),43940)</f>
        <v>43940</v>
      </c>
      <c r="H218" s="72">
        <f ca="1">IFERROR(__xludf.DUMMYFUNCTION("""COMPUTED_VALUE"""),43940)</f>
        <v>43940</v>
      </c>
      <c r="I218" s="80">
        <f ca="1">IFERROR(__xludf.DUMMYFUNCTION("""COMPUTED_VALUE"""),100)</f>
        <v>100</v>
      </c>
      <c r="J218" s="9" t="str">
        <f ca="1">IFERROR(__xludf.DUMMYFUNCTION("""COMPUTED_VALUE"""),"NIL")</f>
        <v>NIL</v>
      </c>
      <c r="K218" s="73" t="str">
        <f ca="1">IFERROR(__xludf.DUMMYFUNCTION("""COMPUTED_VALUE"""),"https://drive.google.com/open?id=1EEn3-aKrMe4UR2gUR2znSArjTP68kM0u")</f>
        <v>https://drive.google.com/open?id=1EEn3-aKrMe4UR2gUR2znSArjTP68kM0u</v>
      </c>
      <c r="L218" s="9" t="str">
        <f ca="1">IFERROR(__xludf.DUMMYFUNCTION("""COMPUTED_VALUE"""),"2018-2022")</f>
        <v>2018-2022</v>
      </c>
      <c r="M218" s="9" t="str">
        <f ca="1">IFERROR(__xludf.DUMMYFUNCTION("""COMPUTED_VALUE"""),"S4: Student Certifications")</f>
        <v>S4: Student Certifications</v>
      </c>
      <c r="N218" s="9" t="str">
        <f ca="1">IFERROR(__xludf.DUMMYFUNCTION("""COMPUTED_VALUE"""),"anushatelaprolu04@gmail.com")</f>
        <v>anushatelaprolu04@gmail.com</v>
      </c>
      <c r="O218" s="9" t="str">
        <f ca="1">IFERROR(__xludf.DUMMYFUNCTION("""COMPUTED_VALUE"""),"SEM-8")</f>
        <v>SEM-8</v>
      </c>
      <c r="P218" s="9"/>
      <c r="Q218" s="9"/>
      <c r="R218" s="9"/>
      <c r="S218" s="9"/>
      <c r="T218" s="9"/>
      <c r="U218" s="9"/>
      <c r="V218" s="9"/>
      <c r="W218" s="9"/>
      <c r="X218" s="9"/>
      <c r="Y218" s="9"/>
    </row>
    <row r="219" spans="1:25" ht="26.25" customHeight="1" x14ac:dyDescent="0.15">
      <c r="A219" s="9" t="str">
        <f ca="1">IFERROR(__xludf.DUMMYFUNCTION("""COMPUTED_VALUE"""),"Sagi Gayathri")</f>
        <v>Sagi Gayathri</v>
      </c>
      <c r="B219" s="9" t="str">
        <f ca="1">IFERROR(__xludf.DUMMYFUNCTION("""COMPUTED_VALUE"""),"18331A05C7")</f>
        <v>18331A05C7</v>
      </c>
      <c r="C219" s="78" t="str">
        <f ca="1">IFERROR(__xludf.DUMMYFUNCTION("""COMPUTED_VALUE"""),"Introduction to Cyber Attacks")</f>
        <v>Introduction to Cyber Attacks</v>
      </c>
      <c r="D219" s="9" t="str">
        <f ca="1">IFERROR(__xludf.DUMMYFUNCTION("""COMPUTED_VALUE"""),"coursera")</f>
        <v>coursera</v>
      </c>
      <c r="E219" s="9" t="str">
        <f ca="1">IFERROR(__xludf.DUMMYFUNCTION("""COMPUTED_VALUE"""),"28 days")</f>
        <v>28 days</v>
      </c>
      <c r="F219" s="79">
        <f ca="1">IFERROR(__xludf.DUMMYFUNCTION("""COMPUTED_VALUE"""),43927)</f>
        <v>43927</v>
      </c>
      <c r="G219" s="79">
        <f ca="1">IFERROR(__xludf.DUMMYFUNCTION("""COMPUTED_VALUE"""),43954)</f>
        <v>43954</v>
      </c>
      <c r="H219" s="72">
        <f ca="1">IFERROR(__xludf.DUMMYFUNCTION("""COMPUTED_VALUE"""),43954)</f>
        <v>43954</v>
      </c>
      <c r="I219" s="80">
        <f ca="1">IFERROR(__xludf.DUMMYFUNCTION("""COMPUTED_VALUE"""),100)</f>
        <v>100</v>
      </c>
      <c r="J219" s="9" t="str">
        <f ca="1">IFERROR(__xludf.DUMMYFUNCTION("""COMPUTED_VALUE"""),"Online")</f>
        <v>Online</v>
      </c>
      <c r="K219" s="73" t="str">
        <f ca="1">IFERROR(__xludf.DUMMYFUNCTION("""COMPUTED_VALUE"""),"https://drive.google.com/open?id=1nPbHAHelH1Rzus_6GXDSVERUuLB1-m_y")</f>
        <v>https://drive.google.com/open?id=1nPbHAHelH1Rzus_6GXDSVERUuLB1-m_y</v>
      </c>
      <c r="L219" s="9" t="str">
        <f ca="1">IFERROR(__xludf.DUMMYFUNCTION("""COMPUTED_VALUE"""),"2018-2022")</f>
        <v>2018-2022</v>
      </c>
      <c r="M219" s="9" t="str">
        <f ca="1">IFERROR(__xludf.DUMMYFUNCTION("""COMPUTED_VALUE"""),"S4: Student Certifications")</f>
        <v>S4: Student Certifications</v>
      </c>
      <c r="N219" s="9" t="str">
        <f ca="1">IFERROR(__xludf.DUMMYFUNCTION("""COMPUTED_VALUE"""),"sagigayathri02@gmail.com")</f>
        <v>sagigayathri02@gmail.com</v>
      </c>
      <c r="O219" s="9" t="str">
        <f ca="1">IFERROR(__xludf.DUMMYFUNCTION("""COMPUTED_VALUE"""),"SEM-4")</f>
        <v>SEM-4</v>
      </c>
      <c r="P219" s="9"/>
      <c r="Q219" s="9"/>
      <c r="R219" s="9"/>
      <c r="S219" s="9"/>
      <c r="T219" s="9"/>
      <c r="U219" s="9"/>
      <c r="V219" s="9"/>
      <c r="W219" s="9"/>
      <c r="X219" s="9"/>
      <c r="Y219" s="9"/>
    </row>
    <row r="220" spans="1:25" ht="26.25" customHeight="1" x14ac:dyDescent="0.15">
      <c r="A220" s="9" t="str">
        <f ca="1">IFERROR(__xludf.DUMMYFUNCTION("""COMPUTED_VALUE"""),"Buddharaju Pragna")</f>
        <v>Buddharaju Pragna</v>
      </c>
      <c r="B220" s="9" t="str">
        <f ca="1">IFERROR(__xludf.DUMMYFUNCTION("""COMPUTED_VALUE"""),"18331A05H2")</f>
        <v>18331A05H2</v>
      </c>
      <c r="C220" s="78" t="str">
        <f ca="1">IFERROR(__xludf.DUMMYFUNCTION("""COMPUTED_VALUE"""),"Buddharaju Pragna")</f>
        <v>Buddharaju Pragna</v>
      </c>
      <c r="D220" s="9" t="str">
        <f ca="1">IFERROR(__xludf.DUMMYFUNCTION("""COMPUTED_VALUE"""),"Coursera")</f>
        <v>Coursera</v>
      </c>
      <c r="E220" s="9" t="str">
        <f ca="1">IFERROR(__xludf.DUMMYFUNCTION("""COMPUTED_VALUE"""),"30 days")</f>
        <v>30 days</v>
      </c>
      <c r="F220" s="79">
        <f ca="1">IFERROR(__xludf.DUMMYFUNCTION("""COMPUTED_VALUE"""),43964)</f>
        <v>43964</v>
      </c>
      <c r="G220" s="79">
        <f ca="1">IFERROR(__xludf.DUMMYFUNCTION("""COMPUTED_VALUE"""),43984)</f>
        <v>43984</v>
      </c>
      <c r="H220" s="72">
        <f ca="1">IFERROR(__xludf.DUMMYFUNCTION("""COMPUTED_VALUE"""),43984)</f>
        <v>43984</v>
      </c>
      <c r="I220" s="80">
        <f ca="1">IFERROR(__xludf.DUMMYFUNCTION("""COMPUTED_VALUE"""),100)</f>
        <v>100</v>
      </c>
      <c r="J220" s="9" t="str">
        <f ca="1">IFERROR(__xludf.DUMMYFUNCTION("""COMPUTED_VALUE"""),"Online")</f>
        <v>Online</v>
      </c>
      <c r="K220" s="73" t="str">
        <f ca="1">IFERROR(__xludf.DUMMYFUNCTION("""COMPUTED_VALUE"""),"https://drive.google.com/open?id=1_zRhbWe-ZIATBTKnt5Wrb3e5ad6h5zy4")</f>
        <v>https://drive.google.com/open?id=1_zRhbWe-ZIATBTKnt5Wrb3e5ad6h5zy4</v>
      </c>
      <c r="L220" s="9" t="str">
        <f ca="1">IFERROR(__xludf.DUMMYFUNCTION("""COMPUTED_VALUE"""),"2018-2022")</f>
        <v>2018-2022</v>
      </c>
      <c r="M220" s="9" t="str">
        <f ca="1">IFERROR(__xludf.DUMMYFUNCTION("""COMPUTED_VALUE"""),"S4: Student Certifications")</f>
        <v>S4: Student Certifications</v>
      </c>
      <c r="N220" s="9" t="str">
        <f ca="1">IFERROR(__xludf.DUMMYFUNCTION("""COMPUTED_VALUE"""),"pragnabuddharaju@gmail.com")</f>
        <v>pragnabuddharaju@gmail.com</v>
      </c>
      <c r="O220" s="9" t="str">
        <f ca="1">IFERROR(__xludf.DUMMYFUNCTION("""COMPUTED_VALUE"""),"SEM-4")</f>
        <v>SEM-4</v>
      </c>
      <c r="P220" s="9"/>
      <c r="Q220" s="9"/>
      <c r="R220" s="9"/>
      <c r="S220" s="9"/>
      <c r="T220" s="9"/>
      <c r="U220" s="9"/>
      <c r="V220" s="9"/>
      <c r="W220" s="9"/>
      <c r="X220" s="9"/>
      <c r="Y220" s="9"/>
    </row>
    <row r="221" spans="1:25" ht="26.25" customHeight="1" x14ac:dyDescent="0.15">
      <c r="A221" s="9" t="str">
        <f ca="1">IFERROR(__xludf.DUMMYFUNCTION("""COMPUTED_VALUE"""),"Telaprolu Anusha")</f>
        <v>Telaprolu Anusha</v>
      </c>
      <c r="B221" s="9" t="str">
        <f ca="1">IFERROR(__xludf.DUMMYFUNCTION("""COMPUTED_VALUE"""),"18331A05F3")</f>
        <v>18331A05F3</v>
      </c>
      <c r="C221" s="78" t="str">
        <f ca="1">IFERROR(__xludf.DUMMYFUNCTION("""COMPUTED_VALUE"""),"AI FOR EVERYONE")</f>
        <v>AI FOR EVERYONE</v>
      </c>
      <c r="D221" s="9" t="str">
        <f ca="1">IFERROR(__xludf.DUMMYFUNCTION("""COMPUTED_VALUE"""),"COURSERA")</f>
        <v>COURSERA</v>
      </c>
      <c r="E221" s="9" t="str">
        <f ca="1">IFERROR(__xludf.DUMMYFUNCTION("""COMPUTED_VALUE"""),"20 DAYS")</f>
        <v>20 DAYS</v>
      </c>
      <c r="F221" s="79">
        <f ca="1">IFERROR(__xludf.DUMMYFUNCTION("""COMPUTED_VALUE"""),43933)</f>
        <v>43933</v>
      </c>
      <c r="G221" s="79">
        <f ca="1">IFERROR(__xludf.DUMMYFUNCTION("""COMPUTED_VALUE"""),43942)</f>
        <v>43942</v>
      </c>
      <c r="H221" s="72">
        <f ca="1">IFERROR(__xludf.DUMMYFUNCTION("""COMPUTED_VALUE"""),43941)</f>
        <v>43941</v>
      </c>
      <c r="I221" s="80">
        <f ca="1">IFERROR(__xludf.DUMMYFUNCTION("""COMPUTED_VALUE"""),100)</f>
        <v>100</v>
      </c>
      <c r="J221" s="9" t="str">
        <f ca="1">IFERROR(__xludf.DUMMYFUNCTION("""COMPUTED_VALUE"""),"NIL")</f>
        <v>NIL</v>
      </c>
      <c r="K221" s="73" t="str">
        <f ca="1">IFERROR(__xludf.DUMMYFUNCTION("""COMPUTED_VALUE"""),"https://drive.google.com/open?id=1NpMNOiwnBkrEYraqidO1Z-98GkhJaxhJ")</f>
        <v>https://drive.google.com/open?id=1NpMNOiwnBkrEYraqidO1Z-98GkhJaxhJ</v>
      </c>
      <c r="L221" s="9" t="str">
        <f ca="1">IFERROR(__xludf.DUMMYFUNCTION("""COMPUTED_VALUE"""),"2018-2022")</f>
        <v>2018-2022</v>
      </c>
      <c r="M221" s="9" t="str">
        <f ca="1">IFERROR(__xludf.DUMMYFUNCTION("""COMPUTED_VALUE"""),"S4: Student Certifications")</f>
        <v>S4: Student Certifications</v>
      </c>
      <c r="N221" s="9" t="str">
        <f ca="1">IFERROR(__xludf.DUMMYFUNCTION("""COMPUTED_VALUE"""),"anushatelaprolu04@gmail.com")</f>
        <v>anushatelaprolu04@gmail.com</v>
      </c>
      <c r="O221" s="9" t="str">
        <f ca="1">IFERROR(__xludf.DUMMYFUNCTION("""COMPUTED_VALUE"""),"SEM-8")</f>
        <v>SEM-8</v>
      </c>
      <c r="P221" s="9"/>
      <c r="Q221" s="9"/>
      <c r="R221" s="9"/>
      <c r="S221" s="9"/>
      <c r="T221" s="9"/>
      <c r="U221" s="9"/>
      <c r="V221" s="9"/>
      <c r="W221" s="9"/>
      <c r="X221" s="9"/>
      <c r="Y221" s="9"/>
    </row>
    <row r="222" spans="1:25" ht="26.25" customHeight="1" x14ac:dyDescent="0.15">
      <c r="A222" s="9" t="str">
        <f ca="1">IFERROR(__xludf.DUMMYFUNCTION("""COMPUTED_VALUE"""),"Buddharaju Pragna")</f>
        <v>Buddharaju Pragna</v>
      </c>
      <c r="B222" s="9" t="str">
        <f ca="1">IFERROR(__xludf.DUMMYFUNCTION("""COMPUTED_VALUE"""),"18331A05H2")</f>
        <v>18331A05H2</v>
      </c>
      <c r="C222" s="78" t="str">
        <f ca="1">IFERROR(__xludf.DUMMYFUNCTION("""COMPUTED_VALUE"""),"Buddharaju Pragna")</f>
        <v>Buddharaju Pragna</v>
      </c>
      <c r="D222" s="9" t="str">
        <f ca="1">IFERROR(__xludf.DUMMYFUNCTION("""COMPUTED_VALUE"""),"Coursera")</f>
        <v>Coursera</v>
      </c>
      <c r="E222" s="9" t="str">
        <f ca="1">IFERROR(__xludf.DUMMYFUNCTION("""COMPUTED_VALUE"""),"29 days")</f>
        <v>29 days</v>
      </c>
      <c r="F222" s="79">
        <f ca="1">IFERROR(__xludf.DUMMYFUNCTION("""COMPUTED_VALUE"""),44653)</f>
        <v>44653</v>
      </c>
      <c r="G222" s="79">
        <f ca="1">IFERROR(__xludf.DUMMYFUNCTION("""COMPUTED_VALUE"""),43951)</f>
        <v>43951</v>
      </c>
      <c r="H222" s="72">
        <f ca="1">IFERROR(__xludf.DUMMYFUNCTION("""COMPUTED_VALUE"""),43951)</f>
        <v>43951</v>
      </c>
      <c r="I222" s="80">
        <f ca="1">IFERROR(__xludf.DUMMYFUNCTION("""COMPUTED_VALUE"""),100)</f>
        <v>100</v>
      </c>
      <c r="J222" s="9" t="str">
        <f ca="1">IFERROR(__xludf.DUMMYFUNCTION("""COMPUTED_VALUE"""),"Online")</f>
        <v>Online</v>
      </c>
      <c r="K222" s="73" t="str">
        <f ca="1">IFERROR(__xludf.DUMMYFUNCTION("""COMPUTED_VALUE"""),"https://drive.google.com/open?id=1jkM9Pz_-gM1Q-WaB6KkKawPZ14FeI4li")</f>
        <v>https://drive.google.com/open?id=1jkM9Pz_-gM1Q-WaB6KkKawPZ14FeI4li</v>
      </c>
      <c r="L222" s="9" t="str">
        <f ca="1">IFERROR(__xludf.DUMMYFUNCTION("""COMPUTED_VALUE"""),"2018-2022")</f>
        <v>2018-2022</v>
      </c>
      <c r="M222" s="9" t="str">
        <f ca="1">IFERROR(__xludf.DUMMYFUNCTION("""COMPUTED_VALUE"""),"S4: Student Certifications")</f>
        <v>S4: Student Certifications</v>
      </c>
      <c r="N222" s="9" t="str">
        <f ca="1">IFERROR(__xludf.DUMMYFUNCTION("""COMPUTED_VALUE"""),"pragnabuddharaju@gmail.com")</f>
        <v>pragnabuddharaju@gmail.com</v>
      </c>
      <c r="O222" s="9" t="str">
        <f ca="1">IFERROR(__xludf.DUMMYFUNCTION("""COMPUTED_VALUE"""),"SEM-4")</f>
        <v>SEM-4</v>
      </c>
      <c r="P222" s="9"/>
      <c r="Q222" s="9"/>
      <c r="R222" s="9"/>
      <c r="S222" s="9"/>
      <c r="T222" s="9"/>
      <c r="U222" s="9"/>
      <c r="V222" s="9"/>
      <c r="W222" s="9"/>
      <c r="X222" s="9"/>
      <c r="Y222" s="9"/>
    </row>
    <row r="223" spans="1:25" ht="26.25" customHeight="1" x14ac:dyDescent="0.15">
      <c r="A223" s="9" t="str">
        <f ca="1">IFERROR(__xludf.DUMMYFUNCTION("""COMPUTED_VALUE"""),"Arun Prasad")</f>
        <v>Arun Prasad</v>
      </c>
      <c r="B223" s="9" t="str">
        <f ca="1">IFERROR(__xludf.DUMMYFUNCTION("""COMPUTED_VALUE"""),"18331A0564")</f>
        <v>18331A0564</v>
      </c>
      <c r="C223" s="78" t="str">
        <f ca="1">IFERROR(__xludf.DUMMYFUNCTION("""COMPUTED_VALUE"""),"IBM Ai Engineering")</f>
        <v>IBM Ai Engineering</v>
      </c>
      <c r="D223" s="9" t="str">
        <f ca="1">IFERROR(__xludf.DUMMYFUNCTION("""COMPUTED_VALUE"""),"Coursera")</f>
        <v>Coursera</v>
      </c>
      <c r="E223" s="9" t="str">
        <f ca="1">IFERROR(__xludf.DUMMYFUNCTION("""COMPUTED_VALUE"""),"1 month")</f>
        <v>1 month</v>
      </c>
      <c r="F223" s="79">
        <f ca="1">IFERROR(__xludf.DUMMYFUNCTION("""COMPUTED_VALUE"""),43966)</f>
        <v>43966</v>
      </c>
      <c r="G223" s="79">
        <f ca="1">IFERROR(__xludf.DUMMYFUNCTION("""COMPUTED_VALUE"""),43997)</f>
        <v>43997</v>
      </c>
      <c r="H223" s="72">
        <f ca="1">IFERROR(__xludf.DUMMYFUNCTION("""COMPUTED_VALUE"""),43997)</f>
        <v>43997</v>
      </c>
      <c r="I223" s="80">
        <f ca="1">IFERROR(__xludf.DUMMYFUNCTION("""COMPUTED_VALUE"""),100)</f>
        <v>100</v>
      </c>
      <c r="J223" s="9" t="str">
        <f ca="1">IFERROR(__xludf.DUMMYFUNCTION("""COMPUTED_VALUE"""),"Romeo Kienzler")</f>
        <v>Romeo Kienzler</v>
      </c>
      <c r="K223" s="73" t="str">
        <f ca="1">IFERROR(__xludf.DUMMYFUNCTION("""COMPUTED_VALUE"""),"https://drive.google.com/open?id=1gsrEmS1hLfncbXA-rvRGaO_R2PbZQppF")</f>
        <v>https://drive.google.com/open?id=1gsrEmS1hLfncbXA-rvRGaO_R2PbZQppF</v>
      </c>
      <c r="L223" s="9" t="str">
        <f ca="1">IFERROR(__xludf.DUMMYFUNCTION("""COMPUTED_VALUE"""),"2018-2022")</f>
        <v>2018-2022</v>
      </c>
      <c r="M223" s="9" t="str">
        <f ca="1">IFERROR(__xludf.DUMMYFUNCTION("""COMPUTED_VALUE"""),"S4: Student Certifications")</f>
        <v>S4: Student Certifications</v>
      </c>
      <c r="N223" s="9" t="str">
        <f ca="1">IFERROR(__xludf.DUMMYFUNCTION("""COMPUTED_VALUE"""),"arunprasadkalla@gmail.com")</f>
        <v>arunprasadkalla@gmail.com</v>
      </c>
      <c r="O223" s="9" t="str">
        <f ca="1">IFERROR(__xludf.DUMMYFUNCTION("""COMPUTED_VALUE"""),"SEM-8")</f>
        <v>SEM-8</v>
      </c>
      <c r="P223" s="9"/>
      <c r="Q223" s="9"/>
      <c r="R223" s="9"/>
      <c r="S223" s="9"/>
      <c r="T223" s="9"/>
      <c r="U223" s="9"/>
      <c r="V223" s="9"/>
      <c r="W223" s="9"/>
      <c r="X223" s="9"/>
      <c r="Y223" s="9"/>
    </row>
    <row r="224" spans="1:25" ht="26.25" customHeight="1" x14ac:dyDescent="0.15">
      <c r="A224" s="9" t="str">
        <f ca="1">IFERROR(__xludf.DUMMYFUNCTION("""COMPUTED_VALUE"""),"Arun Prasad")</f>
        <v>Arun Prasad</v>
      </c>
      <c r="B224" s="9" t="str">
        <f ca="1">IFERROR(__xludf.DUMMYFUNCTION("""COMPUTED_VALUE"""),"18331A0564")</f>
        <v>18331A0564</v>
      </c>
      <c r="C224" s="78" t="str">
        <f ca="1">IFERROR(__xludf.DUMMYFUNCTION("""COMPUTED_VALUE"""),"Deep Learning")</f>
        <v>Deep Learning</v>
      </c>
      <c r="D224" s="9" t="str">
        <f ca="1">IFERROR(__xludf.DUMMYFUNCTION("""COMPUTED_VALUE"""),"Coursera")</f>
        <v>Coursera</v>
      </c>
      <c r="E224" s="9" t="str">
        <f ca="1">IFERROR(__xludf.DUMMYFUNCTION("""COMPUTED_VALUE"""),"1 month")</f>
        <v>1 month</v>
      </c>
      <c r="F224" s="79">
        <f ca="1">IFERROR(__xludf.DUMMYFUNCTION("""COMPUTED_VALUE"""),43979)</f>
        <v>43979</v>
      </c>
      <c r="G224" s="79">
        <f ca="1">IFERROR(__xludf.DUMMYFUNCTION("""COMPUTED_VALUE"""),44010)</f>
        <v>44010</v>
      </c>
      <c r="H224" s="72">
        <f ca="1">IFERROR(__xludf.DUMMYFUNCTION("""COMPUTED_VALUE"""),44010)</f>
        <v>44010</v>
      </c>
      <c r="I224" s="80">
        <f ca="1">IFERROR(__xludf.DUMMYFUNCTION("""COMPUTED_VALUE"""),100)</f>
        <v>100</v>
      </c>
      <c r="J224" s="9" t="str">
        <f ca="1">IFERROR(__xludf.DUMMYFUNCTION("""COMPUTED_VALUE"""),"Andrew Ng")</f>
        <v>Andrew Ng</v>
      </c>
      <c r="K224" s="73" t="str">
        <f ca="1">IFERROR(__xludf.DUMMYFUNCTION("""COMPUTED_VALUE"""),"https://drive.google.com/open?id=1yN5JNH56TE1t4RD3Q3mNwVCDsSXRiUpQ")</f>
        <v>https://drive.google.com/open?id=1yN5JNH56TE1t4RD3Q3mNwVCDsSXRiUpQ</v>
      </c>
      <c r="L224" s="9" t="str">
        <f ca="1">IFERROR(__xludf.DUMMYFUNCTION("""COMPUTED_VALUE"""),"2018-2022")</f>
        <v>2018-2022</v>
      </c>
      <c r="M224" s="9" t="str">
        <f ca="1">IFERROR(__xludf.DUMMYFUNCTION("""COMPUTED_VALUE"""),"S4: Student Certifications")</f>
        <v>S4: Student Certifications</v>
      </c>
      <c r="N224" s="9" t="str">
        <f ca="1">IFERROR(__xludf.DUMMYFUNCTION("""COMPUTED_VALUE"""),"arunprasadkalla@gmail.com")</f>
        <v>arunprasadkalla@gmail.com</v>
      </c>
      <c r="O224" s="9" t="str">
        <f ca="1">IFERROR(__xludf.DUMMYFUNCTION("""COMPUTED_VALUE"""),"SEM-8")</f>
        <v>SEM-8</v>
      </c>
      <c r="P224" s="9"/>
      <c r="Q224" s="9"/>
      <c r="R224" s="9"/>
      <c r="S224" s="9"/>
      <c r="T224" s="9"/>
      <c r="U224" s="9"/>
      <c r="V224" s="9"/>
      <c r="W224" s="9"/>
      <c r="X224" s="9"/>
      <c r="Y224" s="9"/>
    </row>
    <row r="225" spans="1:25" ht="26.25" customHeight="1" x14ac:dyDescent="0.15">
      <c r="A225" s="9" t="str">
        <f ca="1">IFERROR(__xludf.DUMMYFUNCTION("""COMPUTED_VALUE"""),"Sagi Gayathri")</f>
        <v>Sagi Gayathri</v>
      </c>
      <c r="B225" s="9" t="str">
        <f ca="1">IFERROR(__xludf.DUMMYFUNCTION("""COMPUTED_VALUE"""),"18331A05C7")</f>
        <v>18331A05C7</v>
      </c>
      <c r="C225" s="78" t="str">
        <f ca="1">IFERROR(__xludf.DUMMYFUNCTION("""COMPUTED_VALUE"""),"AI For Everyone")</f>
        <v>AI For Everyone</v>
      </c>
      <c r="D225" s="9" t="str">
        <f ca="1">IFERROR(__xludf.DUMMYFUNCTION("""COMPUTED_VALUE"""),"coursera")</f>
        <v>coursera</v>
      </c>
      <c r="E225" s="9" t="str">
        <f ca="1">IFERROR(__xludf.DUMMYFUNCTION("""COMPUTED_VALUE"""),"36 days")</f>
        <v>36 days</v>
      </c>
      <c r="F225" s="79">
        <f ca="1">IFERROR(__xludf.DUMMYFUNCTION("""COMPUTED_VALUE"""),43910)</f>
        <v>43910</v>
      </c>
      <c r="G225" s="79">
        <f ca="1">IFERROR(__xludf.DUMMYFUNCTION("""COMPUTED_VALUE"""),43945)</f>
        <v>43945</v>
      </c>
      <c r="H225" s="72">
        <f ca="1">IFERROR(__xludf.DUMMYFUNCTION("""COMPUTED_VALUE"""),43945)</f>
        <v>43945</v>
      </c>
      <c r="I225" s="80">
        <f ca="1">IFERROR(__xludf.DUMMYFUNCTION("""COMPUTED_VALUE"""),100)</f>
        <v>100</v>
      </c>
      <c r="J225" s="9" t="str">
        <f ca="1">IFERROR(__xludf.DUMMYFUNCTION("""COMPUTED_VALUE"""),"Online")</f>
        <v>Online</v>
      </c>
      <c r="K225" s="73" t="str">
        <f ca="1">IFERROR(__xludf.DUMMYFUNCTION("""COMPUTED_VALUE"""),"https://drive.google.com/open?id=1ZQNdDhW7QVnMU3V3fNKSjWx8KRbBE20y")</f>
        <v>https://drive.google.com/open?id=1ZQNdDhW7QVnMU3V3fNKSjWx8KRbBE20y</v>
      </c>
      <c r="L225" s="9" t="str">
        <f ca="1">IFERROR(__xludf.DUMMYFUNCTION("""COMPUTED_VALUE"""),"2018-2022")</f>
        <v>2018-2022</v>
      </c>
      <c r="M225" s="9" t="str">
        <f ca="1">IFERROR(__xludf.DUMMYFUNCTION("""COMPUTED_VALUE"""),"S4: Student Certifications")</f>
        <v>S4: Student Certifications</v>
      </c>
      <c r="N225" s="9" t="str">
        <f ca="1">IFERROR(__xludf.DUMMYFUNCTION("""COMPUTED_VALUE"""),"sagigayathri02@gmail.com")</f>
        <v>sagigayathri02@gmail.com</v>
      </c>
      <c r="O225" s="9" t="str">
        <f ca="1">IFERROR(__xludf.DUMMYFUNCTION("""COMPUTED_VALUE"""),"SEM-4")</f>
        <v>SEM-4</v>
      </c>
      <c r="P225" s="9"/>
      <c r="Q225" s="9"/>
      <c r="R225" s="9"/>
      <c r="S225" s="9"/>
      <c r="T225" s="9"/>
      <c r="U225" s="9"/>
      <c r="V225" s="9"/>
      <c r="W225" s="9"/>
      <c r="X225" s="9"/>
      <c r="Y225" s="9"/>
    </row>
    <row r="226" spans="1:25" ht="26.25" customHeight="1" x14ac:dyDescent="0.15">
      <c r="A226" s="9" t="str">
        <f ca="1">IFERROR(__xludf.DUMMYFUNCTION("""COMPUTED_VALUE"""),"Madhavi Latha Maduthuri")</f>
        <v>Madhavi Latha Maduthuri</v>
      </c>
      <c r="B226" s="9" t="str">
        <f ca="1">IFERROR(__xludf.DUMMYFUNCTION("""COMPUTED_VALUE"""),"18331A0590")</f>
        <v>18331A0590</v>
      </c>
      <c r="C226" s="78" t="str">
        <f ca="1">IFERROR(__xludf.DUMMYFUNCTION("""COMPUTED_VALUE"""),"Deep Learning.Ai")</f>
        <v>Deep Learning.Ai</v>
      </c>
      <c r="D226" s="9" t="str">
        <f ca="1">IFERROR(__xludf.DUMMYFUNCTION("""COMPUTED_VALUE"""),"Course")</f>
        <v>Course</v>
      </c>
      <c r="E226" s="9" t="str">
        <f ca="1">IFERROR(__xludf.DUMMYFUNCTION("""COMPUTED_VALUE"""),"1")</f>
        <v>1</v>
      </c>
      <c r="F226" s="79">
        <f ca="1">IFERROR(__xludf.DUMMYFUNCTION("""COMPUTED_VALUE"""),43959)</f>
        <v>43959</v>
      </c>
      <c r="G226" s="79">
        <f ca="1">IFERROR(__xludf.DUMMYFUNCTION("""COMPUTED_VALUE"""),43994)</f>
        <v>43994</v>
      </c>
      <c r="H226" s="72">
        <f ca="1">IFERROR(__xludf.DUMMYFUNCTION("""COMPUTED_VALUE"""),43966)</f>
        <v>43966</v>
      </c>
      <c r="I226" s="80">
        <f ca="1">IFERROR(__xludf.DUMMYFUNCTION("""COMPUTED_VALUE"""),87)</f>
        <v>87</v>
      </c>
      <c r="J226" s="9" t="str">
        <f ca="1">IFERROR(__xludf.DUMMYFUNCTION("""COMPUTED_VALUE"""),"Subba Raju.k")</f>
        <v>Subba Raju.k</v>
      </c>
      <c r="K226" s="73" t="str">
        <f ca="1">IFERROR(__xludf.DUMMYFUNCTION("""COMPUTED_VALUE"""),"https://drive.google.com/open?id=1RJuokXaS3doZU8nzhvmSWD7IgeoPV_x4")</f>
        <v>https://drive.google.com/open?id=1RJuokXaS3doZU8nzhvmSWD7IgeoPV_x4</v>
      </c>
      <c r="L226" s="9" t="str">
        <f ca="1">IFERROR(__xludf.DUMMYFUNCTION("""COMPUTED_VALUE"""),"2018-2022")</f>
        <v>2018-2022</v>
      </c>
      <c r="M226" s="9" t="str">
        <f ca="1">IFERROR(__xludf.DUMMYFUNCTION("""COMPUTED_VALUE"""),"S4: Student Certifications")</f>
        <v>S4: Student Certifications</v>
      </c>
      <c r="N226" s="9" t="str">
        <f ca="1">IFERROR(__xludf.DUMMYFUNCTION("""COMPUTED_VALUE"""),"madhavimaduthuri5@gmail.com")</f>
        <v>madhavimaduthuri5@gmail.com</v>
      </c>
      <c r="O226" s="9" t="str">
        <f ca="1">IFERROR(__xludf.DUMMYFUNCTION("""COMPUTED_VALUE"""),"SEM-4")</f>
        <v>SEM-4</v>
      </c>
      <c r="P226" s="9"/>
      <c r="Q226" s="9"/>
      <c r="R226" s="9"/>
      <c r="S226" s="9"/>
      <c r="T226" s="9"/>
      <c r="U226" s="9"/>
      <c r="V226" s="9"/>
      <c r="W226" s="9"/>
      <c r="X226" s="9"/>
      <c r="Y226" s="9"/>
    </row>
    <row r="227" spans="1:25" ht="26.25" customHeight="1" x14ac:dyDescent="0.15">
      <c r="A227" s="9" t="str">
        <f ca="1">IFERROR(__xludf.DUMMYFUNCTION("""COMPUTED_VALUE"""),"Arun Prasad")</f>
        <v>Arun Prasad</v>
      </c>
      <c r="B227" s="9" t="str">
        <f ca="1">IFERROR(__xludf.DUMMYFUNCTION("""COMPUTED_VALUE"""),"18331A0564")</f>
        <v>18331A0564</v>
      </c>
      <c r="C227" s="78" t="str">
        <f ca="1">IFERROR(__xludf.DUMMYFUNCTION("""COMPUTED_VALUE"""),"Web Design for Everybody")</f>
        <v>Web Design for Everybody</v>
      </c>
      <c r="D227" s="9" t="str">
        <f ca="1">IFERROR(__xludf.DUMMYFUNCTION("""COMPUTED_VALUE"""),"Coursera")</f>
        <v>Coursera</v>
      </c>
      <c r="E227" s="9" t="str">
        <f ca="1">IFERROR(__xludf.DUMMYFUNCTION("""COMPUTED_VALUE"""),"1 month")</f>
        <v>1 month</v>
      </c>
      <c r="F227" s="79">
        <f ca="1">IFERROR(__xludf.DUMMYFUNCTION("""COMPUTED_VALUE"""),43992)</f>
        <v>43992</v>
      </c>
      <c r="G227" s="79">
        <f ca="1">IFERROR(__xludf.DUMMYFUNCTION("""COMPUTED_VALUE"""),44022)</f>
        <v>44022</v>
      </c>
      <c r="H227" s="72">
        <f ca="1">IFERROR(__xludf.DUMMYFUNCTION("""COMPUTED_VALUE"""),44022)</f>
        <v>44022</v>
      </c>
      <c r="I227" s="80">
        <f ca="1">IFERROR(__xludf.DUMMYFUNCTION("""COMPUTED_VALUE"""),100)</f>
        <v>100</v>
      </c>
      <c r="J227" s="9" t="str">
        <f ca="1">IFERROR(__xludf.DUMMYFUNCTION("""COMPUTED_VALUE"""),"Colleen Van Lent")</f>
        <v>Colleen Van Lent</v>
      </c>
      <c r="K227" s="73" t="str">
        <f ca="1">IFERROR(__xludf.DUMMYFUNCTION("""COMPUTED_VALUE"""),"https://drive.google.com/open?id=1oBQG3ddsVRj9xP203FS0eowppN38tU9h")</f>
        <v>https://drive.google.com/open?id=1oBQG3ddsVRj9xP203FS0eowppN38tU9h</v>
      </c>
      <c r="L227" s="9" t="str">
        <f ca="1">IFERROR(__xludf.DUMMYFUNCTION("""COMPUTED_VALUE"""),"2018-2022")</f>
        <v>2018-2022</v>
      </c>
      <c r="M227" s="9" t="str">
        <f ca="1">IFERROR(__xludf.DUMMYFUNCTION("""COMPUTED_VALUE"""),"S4: Student Certifications")</f>
        <v>S4: Student Certifications</v>
      </c>
      <c r="N227" s="9" t="str">
        <f ca="1">IFERROR(__xludf.DUMMYFUNCTION("""COMPUTED_VALUE"""),"arunprasadkalla@gmail.com")</f>
        <v>arunprasadkalla@gmail.com</v>
      </c>
      <c r="O227" s="9" t="str">
        <f ca="1">IFERROR(__xludf.DUMMYFUNCTION("""COMPUTED_VALUE"""),"SEM-8")</f>
        <v>SEM-8</v>
      </c>
      <c r="P227" s="9"/>
      <c r="Q227" s="9"/>
      <c r="R227" s="9"/>
      <c r="S227" s="9"/>
      <c r="T227" s="9"/>
      <c r="U227" s="9"/>
      <c r="V227" s="9"/>
      <c r="W227" s="9"/>
      <c r="X227" s="9"/>
      <c r="Y227" s="9"/>
    </row>
    <row r="228" spans="1:25" ht="26.25" customHeight="1" x14ac:dyDescent="0.15">
      <c r="A228" s="9" t="str">
        <f ca="1">IFERROR(__xludf.DUMMYFUNCTION("""COMPUTED_VALUE"""),"Buddharaju Pragna")</f>
        <v>Buddharaju Pragna</v>
      </c>
      <c r="B228" s="9" t="str">
        <f ca="1">IFERROR(__xludf.DUMMYFUNCTION("""COMPUTED_VALUE"""),"18331A05H2")</f>
        <v>18331A05H2</v>
      </c>
      <c r="C228" s="78" t="str">
        <f ca="1">IFERROR(__xludf.DUMMYFUNCTION("""COMPUTED_VALUE"""),"C Programming")</f>
        <v>C Programming</v>
      </c>
      <c r="D228" s="9" t="str">
        <f ca="1">IFERROR(__xludf.DUMMYFUNCTION("""COMPUTED_VALUE"""),"J.J.College of Engineering and Technology")</f>
        <v>J.J.College of Engineering and Technology</v>
      </c>
      <c r="E228" s="9" t="str">
        <f ca="1">IFERROR(__xludf.DUMMYFUNCTION("""COMPUTED_VALUE"""),"1 day")</f>
        <v>1 day</v>
      </c>
      <c r="F228" s="79">
        <f ca="1">IFERROR(__xludf.DUMMYFUNCTION("""COMPUTED_VALUE"""),43979)</f>
        <v>43979</v>
      </c>
      <c r="G228" s="79">
        <f ca="1">IFERROR(__xludf.DUMMYFUNCTION("""COMPUTED_VALUE"""),43979)</f>
        <v>43979</v>
      </c>
      <c r="H228" s="72">
        <f ca="1">IFERROR(__xludf.DUMMYFUNCTION("""COMPUTED_VALUE"""),43979)</f>
        <v>43979</v>
      </c>
      <c r="I228" s="80">
        <f ca="1">IFERROR(__xludf.DUMMYFUNCTION("""COMPUTED_VALUE"""),100)</f>
        <v>100</v>
      </c>
      <c r="J228" s="9" t="str">
        <f ca="1">IFERROR(__xludf.DUMMYFUNCTION("""COMPUTED_VALUE"""),"Online")</f>
        <v>Online</v>
      </c>
      <c r="K228" s="73" t="str">
        <f ca="1">IFERROR(__xludf.DUMMYFUNCTION("""COMPUTED_VALUE"""),"https://drive.google.com/open?id=1KaG8ifl87vZVdinj78aAvxxBCvmdzON0")</f>
        <v>https://drive.google.com/open?id=1KaG8ifl87vZVdinj78aAvxxBCvmdzON0</v>
      </c>
      <c r="L228" s="9" t="str">
        <f ca="1">IFERROR(__xludf.DUMMYFUNCTION("""COMPUTED_VALUE"""),"2018-2022")</f>
        <v>2018-2022</v>
      </c>
      <c r="M228" s="9" t="str">
        <f ca="1">IFERROR(__xludf.DUMMYFUNCTION("""COMPUTED_VALUE"""),"S4: Student Certifications")</f>
        <v>S4: Student Certifications</v>
      </c>
      <c r="N228" s="9" t="str">
        <f ca="1">IFERROR(__xludf.DUMMYFUNCTION("""COMPUTED_VALUE"""),"pragnabuddharaju@gmail.com")</f>
        <v>pragnabuddharaju@gmail.com</v>
      </c>
      <c r="O228" s="9" t="str">
        <f ca="1">IFERROR(__xludf.DUMMYFUNCTION("""COMPUTED_VALUE"""),"SEM-4")</f>
        <v>SEM-4</v>
      </c>
      <c r="P228" s="9"/>
      <c r="Q228" s="9"/>
      <c r="R228" s="9"/>
      <c r="S228" s="9"/>
      <c r="T228" s="9"/>
      <c r="U228" s="9"/>
      <c r="V228" s="9"/>
      <c r="W228" s="9"/>
      <c r="X228" s="9"/>
      <c r="Y228" s="9"/>
    </row>
    <row r="229" spans="1:25" ht="26.25" customHeight="1" x14ac:dyDescent="0.15">
      <c r="A229" s="9" t="str">
        <f ca="1">IFERROR(__xludf.DUMMYFUNCTION("""COMPUTED_VALUE"""),"Arun Prasad")</f>
        <v>Arun Prasad</v>
      </c>
      <c r="B229" s="9" t="str">
        <f ca="1">IFERROR(__xludf.DUMMYFUNCTION("""COMPUTED_VALUE"""),"18331A0564")</f>
        <v>18331A0564</v>
      </c>
      <c r="C229" s="78" t="str">
        <f ca="1">IFERROR(__xludf.DUMMYFUNCTION("""COMPUTED_VALUE"""),"Web Applications for Everybody")</f>
        <v>Web Applications for Everybody</v>
      </c>
      <c r="D229" s="9" t="str">
        <f ca="1">IFERROR(__xludf.DUMMYFUNCTION("""COMPUTED_VALUE"""),"Coursera")</f>
        <v>Coursera</v>
      </c>
      <c r="E229" s="9" t="str">
        <f ca="1">IFERROR(__xludf.DUMMYFUNCTION("""COMPUTED_VALUE"""),"1 month")</f>
        <v>1 month</v>
      </c>
      <c r="F229" s="79">
        <f ca="1">IFERROR(__xludf.DUMMYFUNCTION("""COMPUTED_VALUE"""),44000)</f>
        <v>44000</v>
      </c>
      <c r="G229" s="79">
        <f ca="1">IFERROR(__xludf.DUMMYFUNCTION("""COMPUTED_VALUE"""),44030)</f>
        <v>44030</v>
      </c>
      <c r="H229" s="72">
        <f ca="1">IFERROR(__xludf.DUMMYFUNCTION("""COMPUTED_VALUE"""),44030)</f>
        <v>44030</v>
      </c>
      <c r="I229" s="80">
        <f ca="1">IFERROR(__xludf.DUMMYFUNCTION("""COMPUTED_VALUE"""),100)</f>
        <v>100</v>
      </c>
      <c r="J229" s="9" t="str">
        <f ca="1">IFERROR(__xludf.DUMMYFUNCTION("""COMPUTED_VALUE"""),"Charles Severance")</f>
        <v>Charles Severance</v>
      </c>
      <c r="K229" s="73" t="str">
        <f ca="1">IFERROR(__xludf.DUMMYFUNCTION("""COMPUTED_VALUE"""),"https://drive.google.com/open?id=1IIBfarkDFsZ9NAt0KrRtpOVyEgmB92Za")</f>
        <v>https://drive.google.com/open?id=1IIBfarkDFsZ9NAt0KrRtpOVyEgmB92Za</v>
      </c>
      <c r="L229" s="9" t="str">
        <f ca="1">IFERROR(__xludf.DUMMYFUNCTION("""COMPUTED_VALUE"""),"2018-2022")</f>
        <v>2018-2022</v>
      </c>
      <c r="M229" s="9" t="str">
        <f ca="1">IFERROR(__xludf.DUMMYFUNCTION("""COMPUTED_VALUE"""),"S4: Student Certifications")</f>
        <v>S4: Student Certifications</v>
      </c>
      <c r="N229" s="9" t="str">
        <f ca="1">IFERROR(__xludf.DUMMYFUNCTION("""COMPUTED_VALUE"""),"arunprasadkalla@gmail.com")</f>
        <v>arunprasadkalla@gmail.com</v>
      </c>
      <c r="O229" s="9" t="str">
        <f ca="1">IFERROR(__xludf.DUMMYFUNCTION("""COMPUTED_VALUE"""),"SEM-8")</f>
        <v>SEM-8</v>
      </c>
      <c r="P229" s="9"/>
      <c r="Q229" s="9"/>
      <c r="R229" s="9"/>
      <c r="S229" s="9"/>
      <c r="T229" s="9"/>
      <c r="U229" s="9"/>
      <c r="V229" s="9"/>
      <c r="W229" s="9"/>
      <c r="X229" s="9"/>
      <c r="Y229" s="9"/>
    </row>
    <row r="230" spans="1:25" ht="26.25" customHeight="1" x14ac:dyDescent="0.15">
      <c r="A230" s="9" t="str">
        <f ca="1">IFERROR(__xludf.DUMMYFUNCTION("""COMPUTED_VALUE"""),"Sanapathi Parimala")</f>
        <v>Sanapathi Parimala</v>
      </c>
      <c r="B230" s="9" t="str">
        <f ca="1">IFERROR(__xludf.DUMMYFUNCTION("""COMPUTED_VALUE"""),"18331A05D8")</f>
        <v>18331A05D8</v>
      </c>
      <c r="C230" s="78" t="str">
        <f ca="1">IFERROR(__xludf.DUMMYFUNCTION("""COMPUTED_VALUE"""),"AWS")</f>
        <v>AWS</v>
      </c>
      <c r="D230" s="9" t="str">
        <f ca="1">IFERROR(__xludf.DUMMYFUNCTION("""COMPUTED_VALUE"""),"AICTE")</f>
        <v>AICTE</v>
      </c>
      <c r="E230" s="9" t="str">
        <f ca="1">IFERROR(__xludf.DUMMYFUNCTION("""COMPUTED_VALUE"""),"1month")</f>
        <v>1month</v>
      </c>
      <c r="F230" s="79">
        <f ca="1">IFERROR(__xludf.DUMMYFUNCTION("""COMPUTED_VALUE"""),44531)</f>
        <v>44531</v>
      </c>
      <c r="G230" s="79">
        <f ca="1">IFERROR(__xludf.DUMMYFUNCTION("""COMPUTED_VALUE"""),44531)</f>
        <v>44531</v>
      </c>
      <c r="H230" s="72">
        <f ca="1">IFERROR(__xludf.DUMMYFUNCTION("""COMPUTED_VALUE"""),44531)</f>
        <v>44531</v>
      </c>
      <c r="I230" s="80">
        <f ca="1">IFERROR(__xludf.DUMMYFUNCTION("""COMPUTED_VALUE"""),100)</f>
        <v>100</v>
      </c>
      <c r="J230" s="9" t="str">
        <f ca="1">IFERROR(__xludf.DUMMYFUNCTION("""COMPUTED_VALUE"""),"AWS academy")</f>
        <v>AWS academy</v>
      </c>
      <c r="K230" s="73" t="str">
        <f ca="1">IFERROR(__xludf.DUMMYFUNCTION("""COMPUTED_VALUE"""),"https://drive.google.com/open?id=1_MKGKDwRsGQXTZXyb1XI02-gZj3wRvhZ")</f>
        <v>https://drive.google.com/open?id=1_MKGKDwRsGQXTZXyb1XI02-gZj3wRvhZ</v>
      </c>
      <c r="L230" s="9" t="str">
        <f ca="1">IFERROR(__xludf.DUMMYFUNCTION("""COMPUTED_VALUE"""),"2018-2022")</f>
        <v>2018-2022</v>
      </c>
      <c r="M230" s="9" t="str">
        <f ca="1">IFERROR(__xludf.DUMMYFUNCTION("""COMPUTED_VALUE"""),"S4: Student Certifications")</f>
        <v>S4: Student Certifications</v>
      </c>
      <c r="N230" s="9" t="str">
        <f ca="1">IFERROR(__xludf.DUMMYFUNCTION("""COMPUTED_VALUE"""),"parichari2000@gmail.com")</f>
        <v>parichari2000@gmail.com</v>
      </c>
      <c r="O230" s="9" t="str">
        <f ca="1">IFERROR(__xludf.DUMMYFUNCTION("""COMPUTED_VALUE"""),"SEM-8")</f>
        <v>SEM-8</v>
      </c>
      <c r="P230" s="9"/>
      <c r="Q230" s="9"/>
      <c r="R230" s="9"/>
      <c r="S230" s="9"/>
      <c r="T230" s="9"/>
      <c r="U230" s="9"/>
      <c r="V230" s="9"/>
      <c r="W230" s="9"/>
      <c r="X230" s="9"/>
      <c r="Y230" s="9"/>
    </row>
    <row r="231" spans="1:25" ht="26.25" customHeight="1" x14ac:dyDescent="0.15">
      <c r="A231" s="9" t="str">
        <f ca="1">IFERROR(__xludf.DUMMYFUNCTION("""COMPUTED_VALUE"""),"Praseeda Gayatri Jakkula")</f>
        <v>Praseeda Gayatri Jakkula</v>
      </c>
      <c r="B231" s="9" t="str">
        <f ca="1">IFERROR(__xludf.DUMMYFUNCTION("""COMPUTED_VALUE"""),"18331A0559 ")</f>
        <v xml:space="preserve">18331A0559 </v>
      </c>
      <c r="C231" s="78" t="str">
        <f ca="1">IFERROR(__xludf.DUMMYFUNCTION("""COMPUTED_VALUE"""),"Cybersecurity essentials")</f>
        <v>Cybersecurity essentials</v>
      </c>
      <c r="D231" s="9" t="str">
        <f ca="1">IFERROR(__xludf.DUMMYFUNCTION("""COMPUTED_VALUE"""),"Cisco")</f>
        <v>Cisco</v>
      </c>
      <c r="E231" s="9" t="str">
        <f ca="1">IFERROR(__xludf.DUMMYFUNCTION("""COMPUTED_VALUE"""),"2")</f>
        <v>2</v>
      </c>
      <c r="F231" s="79">
        <f ca="1">IFERROR(__xludf.DUMMYFUNCTION("""COMPUTED_VALUE"""),44344)</f>
        <v>44344</v>
      </c>
      <c r="G231" s="79">
        <f ca="1">IFERROR(__xludf.DUMMYFUNCTION("""COMPUTED_VALUE"""),43674)</f>
        <v>43674</v>
      </c>
      <c r="H231" s="72">
        <f ca="1">IFERROR(__xludf.DUMMYFUNCTION("""COMPUTED_VALUE"""),43674)</f>
        <v>43674</v>
      </c>
      <c r="I231" s="80">
        <f ca="1">IFERROR(__xludf.DUMMYFUNCTION("""COMPUTED_VALUE"""),89)</f>
        <v>89</v>
      </c>
      <c r="J231" s="9" t="str">
        <f ca="1">IFERROR(__xludf.DUMMYFUNCTION("""COMPUTED_VALUE"""),"Self learning ")</f>
        <v xml:space="preserve">Self learning </v>
      </c>
      <c r="K231" s="73" t="str">
        <f ca="1">IFERROR(__xludf.DUMMYFUNCTION("""COMPUTED_VALUE"""),"https://drive.google.com/open?id=1DSJt6tFJ4O2jHUYmy6vh-Xa-G0Ke0L7V")</f>
        <v>https://drive.google.com/open?id=1DSJt6tFJ4O2jHUYmy6vh-Xa-G0Ke0L7V</v>
      </c>
      <c r="L231" s="9" t="str">
        <f ca="1">IFERROR(__xludf.DUMMYFUNCTION("""COMPUTED_VALUE"""),"2018-2022")</f>
        <v>2018-2022</v>
      </c>
      <c r="M231" s="9" t="str">
        <f ca="1">IFERROR(__xludf.DUMMYFUNCTION("""COMPUTED_VALUE"""),"S4: Student Certifications")</f>
        <v>S4: Student Certifications</v>
      </c>
      <c r="N231" s="9" t="str">
        <f ca="1">IFERROR(__xludf.DUMMYFUNCTION("""COMPUTED_VALUE"""),"jakkulapraseeda8@gmail.com")</f>
        <v>jakkulapraseeda8@gmail.com</v>
      </c>
      <c r="O231" s="9" t="str">
        <f ca="1">IFERROR(__xludf.DUMMYFUNCTION("""COMPUTED_VALUE"""),"SEM-8")</f>
        <v>SEM-8</v>
      </c>
      <c r="P231" s="9"/>
      <c r="Q231" s="9"/>
      <c r="R231" s="9"/>
      <c r="S231" s="9"/>
      <c r="T231" s="9"/>
      <c r="U231" s="9"/>
      <c r="V231" s="9"/>
      <c r="W231" s="9"/>
      <c r="X231" s="9"/>
      <c r="Y231" s="9"/>
    </row>
    <row r="232" spans="1:25" ht="26.25" customHeight="1" x14ac:dyDescent="0.15">
      <c r="A232" s="9" t="str">
        <f ca="1">IFERROR(__xludf.DUMMYFUNCTION("""COMPUTED_VALUE"""),"Praseeda Gayatri Jakkula")</f>
        <v>Praseeda Gayatri Jakkula</v>
      </c>
      <c r="B232" s="9" t="str">
        <f ca="1">IFERROR(__xludf.DUMMYFUNCTION("""COMPUTED_VALUE"""),"18331A0559 ")</f>
        <v xml:space="preserve">18331A0559 </v>
      </c>
      <c r="C232" s="78" t="str">
        <f ca="1">IFERROR(__xludf.DUMMYFUNCTION("""COMPUTED_VALUE"""),"Introduction to networks")</f>
        <v>Introduction to networks</v>
      </c>
      <c r="D232" s="9" t="str">
        <f ca="1">IFERROR(__xludf.DUMMYFUNCTION("""COMPUTED_VALUE"""),"Cisco ")</f>
        <v xml:space="preserve">Cisco </v>
      </c>
      <c r="E232" s="9" t="str">
        <f ca="1">IFERROR(__xludf.DUMMYFUNCTION("""COMPUTED_VALUE"""),"6")</f>
        <v>6</v>
      </c>
      <c r="F232" s="79">
        <f ca="1">IFERROR(__xludf.DUMMYFUNCTION("""COMPUTED_VALUE"""),44197)</f>
        <v>44197</v>
      </c>
      <c r="G232" s="79">
        <f ca="1">IFERROR(__xludf.DUMMYFUNCTION("""COMPUTED_VALUE"""),44377)</f>
        <v>44377</v>
      </c>
      <c r="H232" s="72">
        <f ca="1">IFERROR(__xludf.DUMMYFUNCTION("""COMPUTED_VALUE"""),44377)</f>
        <v>44377</v>
      </c>
      <c r="I232" s="80">
        <f ca="1">IFERROR(__xludf.DUMMYFUNCTION("""COMPUTED_VALUE"""),90)</f>
        <v>90</v>
      </c>
      <c r="J232" s="9" t="str">
        <f ca="1">IFERROR(__xludf.DUMMYFUNCTION("""COMPUTED_VALUE"""),"Self learning  ")</f>
        <v xml:space="preserve">Self learning  </v>
      </c>
      <c r="K232" s="73" t="str">
        <f ca="1">IFERROR(__xludf.DUMMYFUNCTION("""COMPUTED_VALUE"""),"https://drive.google.com/open?id=16y1iF3l2MA9mQJEl_Y8S7lqApti--mOm")</f>
        <v>https://drive.google.com/open?id=16y1iF3l2MA9mQJEl_Y8S7lqApti--mOm</v>
      </c>
      <c r="L232" s="9" t="str">
        <f ca="1">IFERROR(__xludf.DUMMYFUNCTION("""COMPUTED_VALUE"""),"2018-2022")</f>
        <v>2018-2022</v>
      </c>
      <c r="M232" s="9" t="str">
        <f ca="1">IFERROR(__xludf.DUMMYFUNCTION("""COMPUTED_VALUE"""),"S4: Student Certifications")</f>
        <v>S4: Student Certifications</v>
      </c>
      <c r="N232" s="9" t="str">
        <f ca="1">IFERROR(__xludf.DUMMYFUNCTION("""COMPUTED_VALUE"""),"jakkulapraseeda8@gmail.com")</f>
        <v>jakkulapraseeda8@gmail.com</v>
      </c>
      <c r="O232" s="9" t="str">
        <f ca="1">IFERROR(__xludf.DUMMYFUNCTION("""COMPUTED_VALUE"""),"SEM-8")</f>
        <v>SEM-8</v>
      </c>
      <c r="P232" s="9"/>
      <c r="Q232" s="9"/>
      <c r="R232" s="9"/>
      <c r="S232" s="9"/>
      <c r="T232" s="9"/>
      <c r="U232" s="9"/>
      <c r="V232" s="9"/>
      <c r="W232" s="9"/>
      <c r="X232" s="9"/>
      <c r="Y232" s="9"/>
    </row>
    <row r="233" spans="1:25" ht="26.25" customHeight="1" x14ac:dyDescent="0.15">
      <c r="A233" s="9" t="str">
        <f ca="1">IFERROR(__xludf.DUMMYFUNCTION("""COMPUTED_VALUE"""),"Sanapathi Parimala")</f>
        <v>Sanapathi Parimala</v>
      </c>
      <c r="B233" s="9" t="str">
        <f ca="1">IFERROR(__xludf.DUMMYFUNCTION("""COMPUTED_VALUE"""),"18331A05D8")</f>
        <v>18331A05D8</v>
      </c>
      <c r="C233" s="78" t="str">
        <f ca="1">IFERROR(__xludf.DUMMYFUNCTION("""COMPUTED_VALUE"""),"Cybersecurity Essentials")</f>
        <v>Cybersecurity Essentials</v>
      </c>
      <c r="D233" s="9" t="str">
        <f ca="1">IFERROR(__xludf.DUMMYFUNCTION("""COMPUTED_VALUE"""),"Cisco")</f>
        <v>Cisco</v>
      </c>
      <c r="E233" s="9" t="str">
        <f ca="1">IFERROR(__xludf.DUMMYFUNCTION("""COMPUTED_VALUE"""),"1month")</f>
        <v>1month</v>
      </c>
      <c r="F233" s="79">
        <f ca="1">IFERROR(__xludf.DUMMYFUNCTION("""COMPUTED_VALUE"""),43646)</f>
        <v>43646</v>
      </c>
      <c r="G233" s="79">
        <f ca="1">IFERROR(__xludf.DUMMYFUNCTION("""COMPUTED_VALUE"""),43676)</f>
        <v>43676</v>
      </c>
      <c r="H233" s="72">
        <f ca="1">IFERROR(__xludf.DUMMYFUNCTION("""COMPUTED_VALUE"""),43677)</f>
        <v>43677</v>
      </c>
      <c r="I233" s="80">
        <f ca="1">IFERROR(__xludf.DUMMYFUNCTION("""COMPUTED_VALUE"""),90)</f>
        <v>90</v>
      </c>
      <c r="J233" s="9" t="str">
        <f ca="1">IFERROR(__xludf.DUMMYFUNCTION("""COMPUTED_VALUE"""),"Ravi Kiran Varma ")</f>
        <v xml:space="preserve">Ravi Kiran Varma </v>
      </c>
      <c r="K233" s="73" t="str">
        <f ca="1">IFERROR(__xludf.DUMMYFUNCTION("""COMPUTED_VALUE"""),"https://drive.google.com/open?id=18TIirDTEcMvezXQ8kG1pGurYT2PnZ9xW")</f>
        <v>https://drive.google.com/open?id=18TIirDTEcMvezXQ8kG1pGurYT2PnZ9xW</v>
      </c>
      <c r="L233" s="9" t="str">
        <f ca="1">IFERROR(__xludf.DUMMYFUNCTION("""COMPUTED_VALUE"""),"2018-2022")</f>
        <v>2018-2022</v>
      </c>
      <c r="M233" s="9" t="str">
        <f ca="1">IFERROR(__xludf.DUMMYFUNCTION("""COMPUTED_VALUE"""),"S4: Student Certifications")</f>
        <v>S4: Student Certifications</v>
      </c>
      <c r="N233" s="9" t="str">
        <f ca="1">IFERROR(__xludf.DUMMYFUNCTION("""COMPUTED_VALUE"""),"parichari2000@gmail.com")</f>
        <v>parichari2000@gmail.com</v>
      </c>
      <c r="O233" s="9" t="str">
        <f ca="1">IFERROR(__xludf.DUMMYFUNCTION("""COMPUTED_VALUE"""),"SEM-8")</f>
        <v>SEM-8</v>
      </c>
      <c r="P233" s="9"/>
      <c r="Q233" s="9"/>
      <c r="R233" s="9"/>
      <c r="S233" s="9"/>
      <c r="T233" s="9"/>
      <c r="U233" s="9"/>
      <c r="V233" s="9"/>
      <c r="W233" s="9"/>
      <c r="X233" s="9"/>
      <c r="Y233" s="9"/>
    </row>
    <row r="234" spans="1:25" ht="26.25" customHeight="1" x14ac:dyDescent="0.15">
      <c r="A234" s="9" t="str">
        <f ca="1">IFERROR(__xludf.DUMMYFUNCTION("""COMPUTED_VALUE"""),"Madhavi Latha Maduthuri")</f>
        <v>Madhavi Latha Maduthuri</v>
      </c>
      <c r="B234" s="9" t="str">
        <f ca="1">IFERROR(__xludf.DUMMYFUNCTION("""COMPUTED_VALUE"""),"18331A0590")</f>
        <v>18331A0590</v>
      </c>
      <c r="C234" s="78" t="str">
        <f ca="1">IFERROR(__xludf.DUMMYFUNCTION("""COMPUTED_VALUE"""),"Linux")</f>
        <v>Linux</v>
      </c>
      <c r="D234" s="9" t="str">
        <f ca="1">IFERROR(__xludf.DUMMYFUNCTION("""COMPUTED_VALUE"""),"Ret Hat Academy")</f>
        <v>Ret Hat Academy</v>
      </c>
      <c r="E234" s="9" t="str">
        <f ca="1">IFERROR(__xludf.DUMMYFUNCTION("""COMPUTED_VALUE"""),"1")</f>
        <v>1</v>
      </c>
      <c r="F234" s="79">
        <f ca="1">IFERROR(__xludf.DUMMYFUNCTION("""COMPUTED_VALUE"""),44627)</f>
        <v>44627</v>
      </c>
      <c r="G234" s="79">
        <f ca="1">IFERROR(__xludf.DUMMYFUNCTION("""COMPUTED_VALUE"""),44658)</f>
        <v>44658</v>
      </c>
      <c r="H234" s="72">
        <f ca="1">IFERROR(__xludf.DUMMYFUNCTION("""COMPUTED_VALUE"""),44658)</f>
        <v>44658</v>
      </c>
      <c r="I234" s="80">
        <f ca="1">IFERROR(__xludf.DUMMYFUNCTION("""COMPUTED_VALUE"""),100)</f>
        <v>100</v>
      </c>
      <c r="J234" s="9" t="str">
        <f ca="1">IFERROR(__xludf.DUMMYFUNCTION("""COMPUTED_VALUE"""),"Subba Raju.k")</f>
        <v>Subba Raju.k</v>
      </c>
      <c r="K234" s="73" t="str">
        <f ca="1">IFERROR(__xludf.DUMMYFUNCTION("""COMPUTED_VALUE"""),"https://drive.google.com/open?id=1LsdtgiAGWx7Vab0obt7ZLMgD7sa7LOIh")</f>
        <v>https://drive.google.com/open?id=1LsdtgiAGWx7Vab0obt7ZLMgD7sa7LOIh</v>
      </c>
      <c r="L234" s="9" t="str">
        <f ca="1">IFERROR(__xludf.DUMMYFUNCTION("""COMPUTED_VALUE"""),"2018-2022")</f>
        <v>2018-2022</v>
      </c>
      <c r="M234" s="9" t="str">
        <f ca="1">IFERROR(__xludf.DUMMYFUNCTION("""COMPUTED_VALUE"""),"S4: Student Certifications")</f>
        <v>S4: Student Certifications</v>
      </c>
      <c r="N234" s="9" t="str">
        <f ca="1">IFERROR(__xludf.DUMMYFUNCTION("""COMPUTED_VALUE"""),"madhavimaduthuri5@gmail.com")</f>
        <v>madhavimaduthuri5@gmail.com</v>
      </c>
      <c r="O234" s="9" t="str">
        <f ca="1">IFERROR(__xludf.DUMMYFUNCTION("""COMPUTED_VALUE"""),"SEM-8")</f>
        <v>SEM-8</v>
      </c>
      <c r="P234" s="9"/>
      <c r="Q234" s="9"/>
      <c r="R234" s="9"/>
      <c r="S234" s="9"/>
      <c r="T234" s="9"/>
      <c r="U234" s="9"/>
      <c r="V234" s="9"/>
      <c r="W234" s="9"/>
      <c r="X234" s="9"/>
      <c r="Y234" s="9"/>
    </row>
    <row r="235" spans="1:25" ht="26.25" customHeight="1" x14ac:dyDescent="0.15">
      <c r="A235" s="9" t="str">
        <f ca="1">IFERROR(__xludf.DUMMYFUNCTION("""COMPUTED_VALUE"""),"Arun Prasad")</f>
        <v>Arun Prasad</v>
      </c>
      <c r="B235" s="9" t="str">
        <f ca="1">IFERROR(__xludf.DUMMYFUNCTION("""COMPUTED_VALUE"""),"18331A0564")</f>
        <v>18331A0564</v>
      </c>
      <c r="C235" s="78" t="str">
        <f ca="1">IFERROR(__xludf.DUMMYFUNCTION("""COMPUTED_VALUE"""),"Cybersecurity Essentials")</f>
        <v>Cybersecurity Essentials</v>
      </c>
      <c r="D235" s="9" t="str">
        <f ca="1">IFERROR(__xludf.DUMMYFUNCTION("""COMPUTED_VALUE"""),"Cisco")</f>
        <v>Cisco</v>
      </c>
      <c r="E235" s="9" t="str">
        <f ca="1">IFERROR(__xludf.DUMMYFUNCTION("""COMPUTED_VALUE"""),"1 month")</f>
        <v>1 month</v>
      </c>
      <c r="F235" s="79">
        <f ca="1">IFERROR(__xludf.DUMMYFUNCTION("""COMPUTED_VALUE"""),43646)</f>
        <v>43646</v>
      </c>
      <c r="G235" s="79">
        <f ca="1">IFERROR(__xludf.DUMMYFUNCTION("""COMPUTED_VALUE"""),43676)</f>
        <v>43676</v>
      </c>
      <c r="H235" s="72">
        <f ca="1">IFERROR(__xludf.DUMMYFUNCTION("""COMPUTED_VALUE"""),43676)</f>
        <v>43676</v>
      </c>
      <c r="I235" s="80">
        <f ca="1">IFERROR(__xludf.DUMMYFUNCTION("""COMPUTED_VALUE"""),100)</f>
        <v>100</v>
      </c>
      <c r="J235" s="9" t="str">
        <f ca="1">IFERROR(__xludf.DUMMYFUNCTION("""COMPUTED_VALUE"""),"Ravi Kumar Varma")</f>
        <v>Ravi Kumar Varma</v>
      </c>
      <c r="K235" s="73" t="str">
        <f ca="1">IFERROR(__xludf.DUMMYFUNCTION("""COMPUTED_VALUE"""),"https://drive.google.com/open?id=1unNQDUrlO24WN9Qw-Oz_biIXQnl2FzTf")</f>
        <v>https://drive.google.com/open?id=1unNQDUrlO24WN9Qw-Oz_biIXQnl2FzTf</v>
      </c>
      <c r="L235" s="9" t="str">
        <f ca="1">IFERROR(__xludf.DUMMYFUNCTION("""COMPUTED_VALUE"""),"2018-2022")</f>
        <v>2018-2022</v>
      </c>
      <c r="M235" s="9" t="str">
        <f ca="1">IFERROR(__xludf.DUMMYFUNCTION("""COMPUTED_VALUE"""),"S4: Student Certifications")</f>
        <v>S4: Student Certifications</v>
      </c>
      <c r="N235" s="9" t="str">
        <f ca="1">IFERROR(__xludf.DUMMYFUNCTION("""COMPUTED_VALUE"""),"arunprasadkalla@gmail.com")</f>
        <v>arunprasadkalla@gmail.com</v>
      </c>
      <c r="O235" s="9" t="str">
        <f ca="1">IFERROR(__xludf.DUMMYFUNCTION("""COMPUTED_VALUE"""),"SEM-8")</f>
        <v>SEM-8</v>
      </c>
      <c r="P235" s="9"/>
      <c r="Q235" s="9"/>
      <c r="R235" s="9"/>
      <c r="S235" s="9"/>
      <c r="T235" s="9"/>
      <c r="U235" s="9"/>
      <c r="V235" s="9"/>
      <c r="W235" s="9"/>
      <c r="X235" s="9"/>
      <c r="Y235" s="9"/>
    </row>
    <row r="236" spans="1:25" ht="26.25" customHeight="1" x14ac:dyDescent="0.15">
      <c r="A236" s="9" t="str">
        <f ca="1">IFERROR(__xludf.DUMMYFUNCTION("""COMPUTED_VALUE"""),"Praseeda Gayatri Jakkula")</f>
        <v>Praseeda Gayatri Jakkula</v>
      </c>
      <c r="B236" s="9" t="str">
        <f ca="1">IFERROR(__xludf.DUMMYFUNCTION("""COMPUTED_VALUE"""),"18331A0559 ")</f>
        <v xml:space="preserve">18331A0559 </v>
      </c>
      <c r="C236" s="78" t="str">
        <f ca="1">IFERROR(__xludf.DUMMYFUNCTION("""COMPUTED_VALUE"""),"Programming essentials in python ")</f>
        <v xml:space="preserve">Programming essentials in python </v>
      </c>
      <c r="D236" s="9" t="str">
        <f ca="1">IFERROR(__xludf.DUMMYFUNCTION("""COMPUTED_VALUE"""),"Cisco ")</f>
        <v xml:space="preserve">Cisco </v>
      </c>
      <c r="E236" s="9" t="str">
        <f ca="1">IFERROR(__xludf.DUMMYFUNCTION("""COMPUTED_VALUE"""),"2")</f>
        <v>2</v>
      </c>
      <c r="F236" s="79">
        <f ca="1">IFERROR(__xludf.DUMMYFUNCTION("""COMPUTED_VALUE"""),44324)</f>
        <v>44324</v>
      </c>
      <c r="G236" s="79">
        <f ca="1">IFERROR(__xludf.DUMMYFUNCTION("""COMPUTED_VALUE"""),44385)</f>
        <v>44385</v>
      </c>
      <c r="H236" s="72">
        <f ca="1">IFERROR(__xludf.DUMMYFUNCTION("""COMPUTED_VALUE"""),44385)</f>
        <v>44385</v>
      </c>
      <c r="I236" s="80">
        <f ca="1">IFERROR(__xludf.DUMMYFUNCTION("""COMPUTED_VALUE"""),89)</f>
        <v>89</v>
      </c>
      <c r="J236" s="9" t="str">
        <f ca="1">IFERROR(__xludf.DUMMYFUNCTION("""COMPUTED_VALUE"""),"Self learning ")</f>
        <v xml:space="preserve">Self learning </v>
      </c>
      <c r="K236" s="73" t="str">
        <f ca="1">IFERROR(__xludf.DUMMYFUNCTION("""COMPUTED_VALUE"""),"https://drive.google.com/open?id=1Te42C1BjAkSS5lPVsAkrwzxRDe3HYG1t")</f>
        <v>https://drive.google.com/open?id=1Te42C1BjAkSS5lPVsAkrwzxRDe3HYG1t</v>
      </c>
      <c r="L236" s="9" t="str">
        <f ca="1">IFERROR(__xludf.DUMMYFUNCTION("""COMPUTED_VALUE"""),"2018-2022")</f>
        <v>2018-2022</v>
      </c>
      <c r="M236" s="9" t="str">
        <f ca="1">IFERROR(__xludf.DUMMYFUNCTION("""COMPUTED_VALUE"""),"S4: Student Certifications")</f>
        <v>S4: Student Certifications</v>
      </c>
      <c r="N236" s="9" t="str">
        <f ca="1">IFERROR(__xludf.DUMMYFUNCTION("""COMPUTED_VALUE"""),"jakkulapraseeda8@gmail.com")</f>
        <v>jakkulapraseeda8@gmail.com</v>
      </c>
      <c r="O236" s="9" t="str">
        <f ca="1">IFERROR(__xludf.DUMMYFUNCTION("""COMPUTED_VALUE"""),"SEM-8")</f>
        <v>SEM-8</v>
      </c>
      <c r="P236" s="9"/>
      <c r="Q236" s="9"/>
      <c r="R236" s="9"/>
      <c r="S236" s="9"/>
      <c r="T236" s="9"/>
      <c r="U236" s="9"/>
      <c r="V236" s="9"/>
      <c r="W236" s="9"/>
      <c r="X236" s="9"/>
      <c r="Y236" s="9"/>
    </row>
    <row r="237" spans="1:25" ht="26.25" customHeight="1" x14ac:dyDescent="0.15">
      <c r="A237" s="9" t="str">
        <f ca="1">IFERROR(__xludf.DUMMYFUNCTION("""COMPUTED_VALUE"""),"Sanapathi Parimala")</f>
        <v>Sanapathi Parimala</v>
      </c>
      <c r="B237" s="9" t="str">
        <f ca="1">IFERROR(__xludf.DUMMYFUNCTION("""COMPUTED_VALUE"""),"18331A05D8")</f>
        <v>18331A05D8</v>
      </c>
      <c r="C237" s="78" t="str">
        <f ca="1">IFERROR(__xludf.DUMMYFUNCTION("""COMPUTED_VALUE"""),"Programming essentials in C")</f>
        <v>Programming essentials in C</v>
      </c>
      <c r="D237" s="9" t="str">
        <f ca="1">IFERROR(__xludf.DUMMYFUNCTION("""COMPUTED_VALUE"""),"Cisco")</f>
        <v>Cisco</v>
      </c>
      <c r="E237" s="9" t="str">
        <f ca="1">IFERROR(__xludf.DUMMYFUNCTION("""COMPUTED_VALUE"""),"1 month")</f>
        <v>1 month</v>
      </c>
      <c r="F237" s="79">
        <f ca="1">IFERROR(__xludf.DUMMYFUNCTION("""COMPUTED_VALUE"""),43529)</f>
        <v>43529</v>
      </c>
      <c r="G237" s="79">
        <f ca="1">IFERROR(__xludf.DUMMYFUNCTION("""COMPUTED_VALUE"""),43585)</f>
        <v>43585</v>
      </c>
      <c r="H237" s="72">
        <f ca="1">IFERROR(__xludf.DUMMYFUNCTION("""COMPUTED_VALUE"""),43585)</f>
        <v>43585</v>
      </c>
      <c r="I237" s="80">
        <f ca="1">IFERROR(__xludf.DUMMYFUNCTION("""COMPUTED_VALUE"""),90)</f>
        <v>90</v>
      </c>
      <c r="J237" s="9" t="str">
        <f ca="1">IFERROR(__xludf.DUMMYFUNCTION("""COMPUTED_VALUE"""),"Ravi Kiran Varma")</f>
        <v>Ravi Kiran Varma</v>
      </c>
      <c r="K237" s="73" t="str">
        <f ca="1">IFERROR(__xludf.DUMMYFUNCTION("""COMPUTED_VALUE"""),"https://drive.google.com/open?id=12YJ5IMud9HHYs3B98G5gZFsYH0UVkzhJ")</f>
        <v>https://drive.google.com/open?id=12YJ5IMud9HHYs3B98G5gZFsYH0UVkzhJ</v>
      </c>
      <c r="L237" s="9" t="str">
        <f ca="1">IFERROR(__xludf.DUMMYFUNCTION("""COMPUTED_VALUE"""),"2018-2022")</f>
        <v>2018-2022</v>
      </c>
      <c r="M237" s="9" t="str">
        <f ca="1">IFERROR(__xludf.DUMMYFUNCTION("""COMPUTED_VALUE"""),"S4: Student Certifications")</f>
        <v>S4: Student Certifications</v>
      </c>
      <c r="N237" s="9" t="str">
        <f ca="1">IFERROR(__xludf.DUMMYFUNCTION("""COMPUTED_VALUE"""),"parichari2000@gmail.com")</f>
        <v>parichari2000@gmail.com</v>
      </c>
      <c r="O237" s="9" t="str">
        <f ca="1">IFERROR(__xludf.DUMMYFUNCTION("""COMPUTED_VALUE"""),"SEM-8")</f>
        <v>SEM-8</v>
      </c>
      <c r="P237" s="9"/>
      <c r="Q237" s="9"/>
      <c r="R237" s="9"/>
      <c r="S237" s="9"/>
      <c r="T237" s="9"/>
      <c r="U237" s="9"/>
      <c r="V237" s="9"/>
      <c r="W237" s="9"/>
      <c r="X237" s="9"/>
      <c r="Y237" s="9"/>
    </row>
    <row r="238" spans="1:25" ht="26.25" customHeight="1" x14ac:dyDescent="0.15">
      <c r="A238" s="9" t="str">
        <f ca="1">IFERROR(__xludf.DUMMYFUNCTION("""COMPUTED_VALUE"""),"MEESALA UPENDRA VENKATA AKHIL ")</f>
        <v xml:space="preserve">MEESALA UPENDRA VENKATA AKHIL </v>
      </c>
      <c r="B238" s="9" t="str">
        <f ca="1">IFERROR(__xludf.DUMMYFUNCTION("""COMPUTED_VALUE"""),"18331A0597")</f>
        <v>18331A0597</v>
      </c>
      <c r="C238" s="78" t="str">
        <f ca="1">IFERROR(__xludf.DUMMYFUNCTION("""COMPUTED_VALUE"""),"Red Hat System Administration I (RH124)")</f>
        <v>Red Hat System Administration I (RH124)</v>
      </c>
      <c r="D238" s="9" t="str">
        <f ca="1">IFERROR(__xludf.DUMMYFUNCTION("""COMPUTED_VALUE"""),"AICTE")</f>
        <v>AICTE</v>
      </c>
      <c r="E238" s="9" t="str">
        <f ca="1">IFERROR(__xludf.DUMMYFUNCTION("""COMPUTED_VALUE"""),"1 month")</f>
        <v>1 month</v>
      </c>
      <c r="F238" s="79">
        <f ca="1">IFERROR(__xludf.DUMMYFUNCTION("""COMPUTED_VALUE"""),44652)</f>
        <v>44652</v>
      </c>
      <c r="G238" s="79">
        <f ca="1">IFERROR(__xludf.DUMMYFUNCTION("""COMPUTED_VALUE"""),44681)</f>
        <v>44681</v>
      </c>
      <c r="H238" s="72">
        <f ca="1">IFERROR(__xludf.DUMMYFUNCTION("""COMPUTED_VALUE"""),44681)</f>
        <v>44681</v>
      </c>
      <c r="I238" s="80">
        <f ca="1">IFERROR(__xludf.DUMMYFUNCTION("""COMPUTED_VALUE"""),100)</f>
        <v>100</v>
      </c>
      <c r="J238" s="9" t="str">
        <f ca="1">IFERROR(__xludf.DUMMYFUNCTION("""COMPUTED_VALUE"""),"Subba Raju K V")</f>
        <v>Subba Raju K V</v>
      </c>
      <c r="K238" s="73" t="str">
        <f ca="1">IFERROR(__xludf.DUMMYFUNCTION("""COMPUTED_VALUE"""),"https://drive.google.com/open?id=1S_xIhpWCnipqO8l3vqfjrx7_gB06fmn1")</f>
        <v>https://drive.google.com/open?id=1S_xIhpWCnipqO8l3vqfjrx7_gB06fmn1</v>
      </c>
      <c r="L238" s="9" t="str">
        <f ca="1">IFERROR(__xludf.DUMMYFUNCTION("""COMPUTED_VALUE"""),"2018-2022")</f>
        <v>2018-2022</v>
      </c>
      <c r="M238" s="9" t="str">
        <f ca="1">IFERROR(__xludf.DUMMYFUNCTION("""COMPUTED_VALUE"""),"S4: Student Certifications")</f>
        <v>S4: Student Certifications</v>
      </c>
      <c r="N238" s="9" t="str">
        <f ca="1">IFERROR(__xludf.DUMMYFUNCTION("""COMPUTED_VALUE"""),"meesalaakhil2000@gmail.com")</f>
        <v>meesalaakhil2000@gmail.com</v>
      </c>
      <c r="O238" s="9" t="str">
        <f ca="1">IFERROR(__xludf.DUMMYFUNCTION("""COMPUTED_VALUE"""),"SEM-7")</f>
        <v>SEM-7</v>
      </c>
      <c r="P238" s="9"/>
      <c r="Q238" s="9"/>
      <c r="R238" s="9"/>
      <c r="S238" s="9"/>
      <c r="T238" s="9"/>
      <c r="U238" s="9"/>
      <c r="V238" s="9"/>
      <c r="W238" s="9"/>
      <c r="X238" s="9"/>
      <c r="Y238" s="9"/>
    </row>
    <row r="239" spans="1:25" ht="26.25" customHeight="1" x14ac:dyDescent="0.15">
      <c r="A239" s="9" t="str">
        <f ca="1">IFERROR(__xludf.DUMMYFUNCTION("""COMPUTED_VALUE"""),"Madhavi Latha Maduthuri")</f>
        <v>Madhavi Latha Maduthuri</v>
      </c>
      <c r="B239" s="9" t="str">
        <f ca="1">IFERROR(__xludf.DUMMYFUNCTION("""COMPUTED_VALUE"""),"18331A0590")</f>
        <v>18331A0590</v>
      </c>
      <c r="C239" s="78" t="str">
        <f ca="1">IFERROR(__xludf.DUMMYFUNCTION("""COMPUTED_VALUE"""),"Introduction to cybersecurity")</f>
        <v>Introduction to cybersecurity</v>
      </c>
      <c r="D239" s="9" t="str">
        <f ca="1">IFERROR(__xludf.DUMMYFUNCTION("""COMPUTED_VALUE"""),"Cisco")</f>
        <v>Cisco</v>
      </c>
      <c r="E239" s="9" t="str">
        <f ca="1">IFERROR(__xludf.DUMMYFUNCTION("""COMPUTED_VALUE"""),"1")</f>
        <v>1</v>
      </c>
      <c r="F239" s="79">
        <f ca="1">IFERROR(__xludf.DUMMYFUNCTION("""COMPUTED_VALUE"""),44265)</f>
        <v>44265</v>
      </c>
      <c r="G239" s="79">
        <f ca="1">IFERROR(__xludf.DUMMYFUNCTION("""COMPUTED_VALUE"""),44295)</f>
        <v>44295</v>
      </c>
      <c r="H239" s="72">
        <f ca="1">IFERROR(__xludf.DUMMYFUNCTION("""COMPUTED_VALUE"""),44302)</f>
        <v>44302</v>
      </c>
      <c r="I239" s="80">
        <f ca="1">IFERROR(__xludf.DUMMYFUNCTION("""COMPUTED_VALUE"""),100)</f>
        <v>100</v>
      </c>
      <c r="J239" s="9" t="str">
        <f ca="1">IFERROR(__xludf.DUMMYFUNCTION("""COMPUTED_VALUE"""),"DR.Ravi Kiran Varma Penmatsa")</f>
        <v>DR.Ravi Kiran Varma Penmatsa</v>
      </c>
      <c r="K239" s="73" t="str">
        <f ca="1">IFERROR(__xludf.DUMMYFUNCTION("""COMPUTED_VALUE"""),"https://drive.google.com/open?id=163j5j2XeooYEkwlKvEJ11gq6V3MU9zTa")</f>
        <v>https://drive.google.com/open?id=163j5j2XeooYEkwlKvEJ11gq6V3MU9zTa</v>
      </c>
      <c r="L239" s="9" t="str">
        <f ca="1">IFERROR(__xludf.DUMMYFUNCTION("""COMPUTED_VALUE"""),"2018-2022")</f>
        <v>2018-2022</v>
      </c>
      <c r="M239" s="9" t="str">
        <f ca="1">IFERROR(__xludf.DUMMYFUNCTION("""COMPUTED_VALUE"""),"S4: Student Certifications")</f>
        <v>S4: Student Certifications</v>
      </c>
      <c r="N239" s="9" t="str">
        <f ca="1">IFERROR(__xludf.DUMMYFUNCTION("""COMPUTED_VALUE"""),"madhavimaduthuri5@gmail.com")</f>
        <v>madhavimaduthuri5@gmail.com</v>
      </c>
      <c r="O239" s="9" t="str">
        <f ca="1">IFERROR(__xludf.DUMMYFUNCTION("""COMPUTED_VALUE"""),"SEM-2")</f>
        <v>SEM-2</v>
      </c>
      <c r="P239" s="9"/>
      <c r="Q239" s="9"/>
      <c r="R239" s="9"/>
      <c r="S239" s="9"/>
      <c r="T239" s="9"/>
      <c r="U239" s="9"/>
      <c r="V239" s="9"/>
      <c r="W239" s="9"/>
      <c r="X239" s="9"/>
      <c r="Y239" s="9"/>
    </row>
    <row r="240" spans="1:25" ht="26.25" customHeight="1" x14ac:dyDescent="0.15">
      <c r="A240" s="9" t="str">
        <f ca="1">IFERROR(__xludf.DUMMYFUNCTION("""COMPUTED_VALUE"""),"Praseeda Gayatri Jakkula")</f>
        <v>Praseeda Gayatri Jakkula</v>
      </c>
      <c r="B240" s="9" t="str">
        <f ca="1">IFERROR(__xludf.DUMMYFUNCTION("""COMPUTED_VALUE"""),"18331A0559 ")</f>
        <v xml:space="preserve">18331A0559 </v>
      </c>
      <c r="C240" s="78" t="str">
        <f ca="1">IFERROR(__xludf.DUMMYFUNCTION("""COMPUTED_VALUE"""),"Python for beginners ")</f>
        <v xml:space="preserve">Python for beginners </v>
      </c>
      <c r="D240" s="9" t="str">
        <f ca="1">IFERROR(__xludf.DUMMYFUNCTION("""COMPUTED_VALUE"""),"Udemy")</f>
        <v>Udemy</v>
      </c>
      <c r="E240" s="9" t="str">
        <f ca="1">IFERROR(__xludf.DUMMYFUNCTION("""COMPUTED_VALUE"""),"5hr")</f>
        <v>5hr</v>
      </c>
      <c r="F240" s="79">
        <f ca="1">IFERROR(__xludf.DUMMYFUNCTION("""COMPUTED_VALUE"""),44013)</f>
        <v>44013</v>
      </c>
      <c r="G240" s="79">
        <f ca="1">IFERROR(__xludf.DUMMYFUNCTION("""COMPUTED_VALUE"""),44013)</f>
        <v>44013</v>
      </c>
      <c r="H240" s="72">
        <f ca="1">IFERROR(__xludf.DUMMYFUNCTION("""COMPUTED_VALUE"""),44013)</f>
        <v>44013</v>
      </c>
      <c r="I240" s="80">
        <f ca="1">IFERROR(__xludf.DUMMYFUNCTION("""COMPUTED_VALUE"""),100)</f>
        <v>100</v>
      </c>
      <c r="J240" s="9" t="str">
        <f ca="1">IFERROR(__xludf.DUMMYFUNCTION("""COMPUTED_VALUE"""),"Self learning ")</f>
        <v xml:space="preserve">Self learning </v>
      </c>
      <c r="K240" s="73" t="str">
        <f ca="1">IFERROR(__xludf.DUMMYFUNCTION("""COMPUTED_VALUE"""),"https://drive.google.com/open?id=1YxvWo0-QXKLcKQzguE7dv8y65JIh9gKX")</f>
        <v>https://drive.google.com/open?id=1YxvWo0-QXKLcKQzguE7dv8y65JIh9gKX</v>
      </c>
      <c r="L240" s="9" t="str">
        <f ca="1">IFERROR(__xludf.DUMMYFUNCTION("""COMPUTED_VALUE"""),"2018-2022")</f>
        <v>2018-2022</v>
      </c>
      <c r="M240" s="9" t="str">
        <f ca="1">IFERROR(__xludf.DUMMYFUNCTION("""COMPUTED_VALUE"""),"S4: Student Certifications")</f>
        <v>S4: Student Certifications</v>
      </c>
      <c r="N240" s="9" t="str">
        <f ca="1">IFERROR(__xludf.DUMMYFUNCTION("""COMPUTED_VALUE"""),"jakkulapraseeda8@gmail.com")</f>
        <v>jakkulapraseeda8@gmail.com</v>
      </c>
      <c r="O240" s="9" t="str">
        <f ca="1">IFERROR(__xludf.DUMMYFUNCTION("""COMPUTED_VALUE"""),"SEM-8")</f>
        <v>SEM-8</v>
      </c>
      <c r="P240" s="9"/>
      <c r="Q240" s="9"/>
      <c r="R240" s="9"/>
      <c r="S240" s="9"/>
      <c r="T240" s="9"/>
      <c r="U240" s="9"/>
      <c r="V240" s="9"/>
      <c r="W240" s="9"/>
      <c r="X240" s="9"/>
      <c r="Y240" s="9"/>
    </row>
    <row r="241" spans="1:25" ht="26.25" customHeight="1" x14ac:dyDescent="0.15">
      <c r="A241" s="9" t="str">
        <f ca="1">IFERROR(__xludf.DUMMYFUNCTION("""COMPUTED_VALUE"""),"MEESALA UPENDRA VENKATA AKHIL ")</f>
        <v xml:space="preserve">MEESALA UPENDRA VENKATA AKHIL </v>
      </c>
      <c r="B241" s="9" t="str">
        <f ca="1">IFERROR(__xludf.DUMMYFUNCTION("""COMPUTED_VALUE"""),"18331A0597")</f>
        <v>18331A0597</v>
      </c>
      <c r="C241" s="78" t="str">
        <f ca="1">IFERROR(__xludf.DUMMYFUNCTION("""COMPUTED_VALUE"""),"Aws Academy Cloud Foundation ")</f>
        <v xml:space="preserve">Aws Academy Cloud Foundation </v>
      </c>
      <c r="D241" s="9" t="str">
        <f ca="1">IFERROR(__xludf.DUMMYFUNCTION("""COMPUTED_VALUE"""),"AICTE")</f>
        <v>AICTE</v>
      </c>
      <c r="E241" s="9" t="str">
        <f ca="1">IFERROR(__xludf.DUMMYFUNCTION("""COMPUTED_VALUE"""),"20 hours")</f>
        <v>20 hours</v>
      </c>
      <c r="F241" s="79">
        <f ca="1">IFERROR(__xludf.DUMMYFUNCTION("""COMPUTED_VALUE"""),44876)</f>
        <v>44876</v>
      </c>
      <c r="G241" s="79">
        <f ca="1">IFERROR(__xludf.DUMMYFUNCTION("""COMPUTED_VALUE"""),44876)</f>
        <v>44876</v>
      </c>
      <c r="H241" s="72">
        <f ca="1">IFERROR(__xludf.DUMMYFUNCTION("""COMPUTED_VALUE"""),44876)</f>
        <v>44876</v>
      </c>
      <c r="I241" s="80">
        <f ca="1">IFERROR(__xludf.DUMMYFUNCTION("""COMPUTED_VALUE"""),98)</f>
        <v>98</v>
      </c>
      <c r="J241" s="9" t="str">
        <f ca="1">IFERROR(__xludf.DUMMYFUNCTION("""COMPUTED_VALUE"""),"Dr.Ravi Kiran Varma")</f>
        <v>Dr.Ravi Kiran Varma</v>
      </c>
      <c r="K241" s="73" t="str">
        <f ca="1">IFERROR(__xludf.DUMMYFUNCTION("""COMPUTED_VALUE"""),"https://drive.google.com/open?id=1de7x2fVjRWzN06eIg7w4V41EJ0irYQnv")</f>
        <v>https://drive.google.com/open?id=1de7x2fVjRWzN06eIg7w4V41EJ0irYQnv</v>
      </c>
      <c r="L241" s="9" t="str">
        <f ca="1">IFERROR(__xludf.DUMMYFUNCTION("""COMPUTED_VALUE"""),"2018-2022")</f>
        <v>2018-2022</v>
      </c>
      <c r="M241" s="9" t="str">
        <f ca="1">IFERROR(__xludf.DUMMYFUNCTION("""COMPUTED_VALUE"""),"S4: Student Certifications")</f>
        <v>S4: Student Certifications</v>
      </c>
      <c r="N241" s="9" t="str">
        <f ca="1">IFERROR(__xludf.DUMMYFUNCTION("""COMPUTED_VALUE"""),"meesalaakhil2000@gmail.com")</f>
        <v>meesalaakhil2000@gmail.com</v>
      </c>
      <c r="O241" s="9" t="str">
        <f ca="1">IFERROR(__xludf.DUMMYFUNCTION("""COMPUTED_VALUE"""),"SEM-7")</f>
        <v>SEM-7</v>
      </c>
      <c r="P241" s="9"/>
      <c r="Q241" s="9"/>
      <c r="R241" s="9"/>
      <c r="S241" s="9"/>
      <c r="T241" s="9"/>
      <c r="U241" s="9"/>
      <c r="V241" s="9"/>
      <c r="W241" s="9"/>
      <c r="X241" s="9"/>
      <c r="Y241" s="9"/>
    </row>
    <row r="242" spans="1:25" ht="26.25" customHeight="1" x14ac:dyDescent="0.15">
      <c r="A242" s="9" t="str">
        <f ca="1">IFERROR(__xludf.DUMMYFUNCTION("""COMPUTED_VALUE"""),"Sanapathi Parimala")</f>
        <v>Sanapathi Parimala</v>
      </c>
      <c r="B242" s="9" t="str">
        <f ca="1">IFERROR(__xludf.DUMMYFUNCTION("""COMPUTED_VALUE"""),"18331A05D8")</f>
        <v>18331A05D8</v>
      </c>
      <c r="C242" s="78" t="str">
        <f ca="1">IFERROR(__xludf.DUMMYFUNCTION("""COMPUTED_VALUE"""),"Introduction to Artificial intelligence")</f>
        <v>Introduction to Artificial intelligence</v>
      </c>
      <c r="D242" s="9" t="str">
        <f ca="1">IFERROR(__xludf.DUMMYFUNCTION("""COMPUTED_VALUE"""),"Coursera")</f>
        <v>Coursera</v>
      </c>
      <c r="E242" s="9" t="str">
        <f ca="1">IFERROR(__xludf.DUMMYFUNCTION("""COMPUTED_VALUE"""),"1 month")</f>
        <v>1 month</v>
      </c>
      <c r="F242" s="79">
        <f ca="1">IFERROR(__xludf.DUMMYFUNCTION("""COMPUTED_VALUE"""),43930)</f>
        <v>43930</v>
      </c>
      <c r="G242" s="79">
        <f ca="1">IFERROR(__xludf.DUMMYFUNCTION("""COMPUTED_VALUE"""),43967)</f>
        <v>43967</v>
      </c>
      <c r="H242" s="72">
        <f ca="1">IFERROR(__xludf.DUMMYFUNCTION("""COMPUTED_VALUE"""),43967)</f>
        <v>43967</v>
      </c>
      <c r="I242" s="80">
        <f ca="1">IFERROR(__xludf.DUMMYFUNCTION("""COMPUTED_VALUE"""),100)</f>
        <v>100</v>
      </c>
      <c r="J242" s="9" t="str">
        <f ca="1">IFERROR(__xludf.DUMMYFUNCTION("""COMPUTED_VALUE"""),"NA")</f>
        <v>NA</v>
      </c>
      <c r="K242" s="73" t="str">
        <f ca="1">IFERROR(__xludf.DUMMYFUNCTION("""COMPUTED_VALUE"""),"https://drive.google.com/open?id=1iO3XouAEkbdhcbi2x1DPtekEr2EXacSH")</f>
        <v>https://drive.google.com/open?id=1iO3XouAEkbdhcbi2x1DPtekEr2EXacSH</v>
      </c>
      <c r="L242" s="9" t="str">
        <f ca="1">IFERROR(__xludf.DUMMYFUNCTION("""COMPUTED_VALUE"""),"2018-2022")</f>
        <v>2018-2022</v>
      </c>
      <c r="M242" s="9" t="str">
        <f ca="1">IFERROR(__xludf.DUMMYFUNCTION("""COMPUTED_VALUE"""),"S4: Student Certifications")</f>
        <v>S4: Student Certifications</v>
      </c>
      <c r="N242" s="9" t="str">
        <f ca="1">IFERROR(__xludf.DUMMYFUNCTION("""COMPUTED_VALUE"""),"parichari2000@gmail.com")</f>
        <v>parichari2000@gmail.com</v>
      </c>
      <c r="O242" s="9" t="str">
        <f ca="1">IFERROR(__xludf.DUMMYFUNCTION("""COMPUTED_VALUE"""),"SEM-8")</f>
        <v>SEM-8</v>
      </c>
      <c r="P242" s="9"/>
      <c r="Q242" s="9"/>
      <c r="R242" s="9"/>
      <c r="S242" s="9"/>
      <c r="T242" s="9"/>
      <c r="U242" s="9"/>
      <c r="V242" s="9"/>
      <c r="W242" s="9"/>
      <c r="X242" s="9"/>
      <c r="Y242" s="9"/>
    </row>
    <row r="243" spans="1:25" ht="26.25" customHeight="1" x14ac:dyDescent="0.15">
      <c r="A243" s="9" t="str">
        <f ca="1">IFERROR(__xludf.DUMMYFUNCTION("""COMPUTED_VALUE"""),"Praseeda Gayatri Jakkula")</f>
        <v>Praseeda Gayatri Jakkula</v>
      </c>
      <c r="B243" s="9" t="str">
        <f ca="1">IFERROR(__xludf.DUMMYFUNCTION("""COMPUTED_VALUE"""),"18331A0559 ")</f>
        <v xml:space="preserve">18331A0559 </v>
      </c>
      <c r="C243" s="78" t="str">
        <f ca="1">IFERROR(__xludf.DUMMYFUNCTION("""COMPUTED_VALUE"""),"The complete  2021 php full stack web developer bootcamp")</f>
        <v>The complete  2021 php full stack web developer bootcamp</v>
      </c>
      <c r="D243" s="9" t="str">
        <f ca="1">IFERROR(__xludf.DUMMYFUNCTION("""COMPUTED_VALUE"""),"Udemy")</f>
        <v>Udemy</v>
      </c>
      <c r="E243" s="9" t="str">
        <f ca="1">IFERROR(__xludf.DUMMYFUNCTION("""COMPUTED_VALUE"""),"49 hrs")</f>
        <v>49 hrs</v>
      </c>
      <c r="F243" s="79">
        <f ca="1">IFERROR(__xludf.DUMMYFUNCTION("""COMPUTED_VALUE"""),44593)</f>
        <v>44593</v>
      </c>
      <c r="G243" s="79">
        <f ca="1">IFERROR(__xludf.DUMMYFUNCTION("""COMPUTED_VALUE"""),44657)</f>
        <v>44657</v>
      </c>
      <c r="H243" s="72">
        <f ca="1">IFERROR(__xludf.DUMMYFUNCTION("""COMPUTED_VALUE"""),44657)</f>
        <v>44657</v>
      </c>
      <c r="I243" s="80">
        <f ca="1">IFERROR(__xludf.DUMMYFUNCTION("""COMPUTED_VALUE"""),100)</f>
        <v>100</v>
      </c>
      <c r="J243" s="9" t="str">
        <f ca="1">IFERROR(__xludf.DUMMYFUNCTION("""COMPUTED_VALUE"""),"Self learning ")</f>
        <v xml:space="preserve">Self learning </v>
      </c>
      <c r="K243" s="73" t="str">
        <f ca="1">IFERROR(__xludf.DUMMYFUNCTION("""COMPUTED_VALUE"""),"https://drive.google.com/open?id=1nGRXkId6o5cqj3xIaeRBqo0koBoDqQqF")</f>
        <v>https://drive.google.com/open?id=1nGRXkId6o5cqj3xIaeRBqo0koBoDqQqF</v>
      </c>
      <c r="L243" s="9" t="str">
        <f ca="1">IFERROR(__xludf.DUMMYFUNCTION("""COMPUTED_VALUE"""),"2018-2022")</f>
        <v>2018-2022</v>
      </c>
      <c r="M243" s="9" t="str">
        <f ca="1">IFERROR(__xludf.DUMMYFUNCTION("""COMPUTED_VALUE"""),"S4: Student Certifications")</f>
        <v>S4: Student Certifications</v>
      </c>
      <c r="N243" s="9" t="str">
        <f ca="1">IFERROR(__xludf.DUMMYFUNCTION("""COMPUTED_VALUE"""),"jakkulapraseeda8@gmail.com")</f>
        <v>jakkulapraseeda8@gmail.com</v>
      </c>
      <c r="O243" s="9" t="str">
        <f ca="1">IFERROR(__xludf.DUMMYFUNCTION("""COMPUTED_VALUE"""),"SEM-8")</f>
        <v>SEM-8</v>
      </c>
      <c r="P243" s="9"/>
      <c r="Q243" s="9"/>
      <c r="R243" s="9"/>
      <c r="S243" s="9"/>
      <c r="T243" s="9"/>
      <c r="U243" s="9"/>
      <c r="V243" s="9"/>
      <c r="W243" s="9"/>
      <c r="X243" s="9"/>
      <c r="Y243" s="9"/>
    </row>
    <row r="244" spans="1:25" ht="26.25" customHeight="1" x14ac:dyDescent="0.15">
      <c r="A244" s="9" t="str">
        <f ca="1">IFERROR(__xludf.DUMMYFUNCTION("""COMPUTED_VALUE"""),"MEESALA UPENDRA VENKATA AKHIL ")</f>
        <v xml:space="preserve">MEESALA UPENDRA VENKATA AKHIL </v>
      </c>
      <c r="B244" s="9" t="str">
        <f ca="1">IFERROR(__xludf.DUMMYFUNCTION("""COMPUTED_VALUE"""),"18331A0597")</f>
        <v>18331A0597</v>
      </c>
      <c r="C244" s="78" t="str">
        <f ca="1">IFERROR(__xludf.DUMMYFUNCTION("""COMPUTED_VALUE"""),"Aws Academy cloud architecting")</f>
        <v>Aws Academy cloud architecting</v>
      </c>
      <c r="D244" s="9" t="str">
        <f ca="1">IFERROR(__xludf.DUMMYFUNCTION("""COMPUTED_VALUE"""),"Aws Academy ")</f>
        <v xml:space="preserve">Aws Academy </v>
      </c>
      <c r="E244" s="9" t="str">
        <f ca="1">IFERROR(__xludf.DUMMYFUNCTION("""COMPUTED_VALUE"""),"20 hours ")</f>
        <v xml:space="preserve">20 hours </v>
      </c>
      <c r="F244" s="79">
        <f ca="1">IFERROR(__xludf.DUMMYFUNCTION("""COMPUTED_VALUE"""),44896)</f>
        <v>44896</v>
      </c>
      <c r="G244" s="79">
        <f ca="1">IFERROR(__xludf.DUMMYFUNCTION("""COMPUTED_VALUE"""),44896)</f>
        <v>44896</v>
      </c>
      <c r="H244" s="72">
        <f ca="1">IFERROR(__xludf.DUMMYFUNCTION("""COMPUTED_VALUE"""),44896)</f>
        <v>44896</v>
      </c>
      <c r="I244" s="80">
        <f ca="1">IFERROR(__xludf.DUMMYFUNCTION("""COMPUTED_VALUE"""),98)</f>
        <v>98</v>
      </c>
      <c r="J244" s="9" t="str">
        <f ca="1">IFERROR(__xludf.DUMMYFUNCTION("""COMPUTED_VALUE"""),"Dr.Ravi Kiran Varma")</f>
        <v>Dr.Ravi Kiran Varma</v>
      </c>
      <c r="K244" s="73" t="str">
        <f ca="1">IFERROR(__xludf.DUMMYFUNCTION("""COMPUTED_VALUE"""),"https://drive.google.com/open?id=14-6G2e_21ywg6bnLAmBUKYzIZlJF7i-X")</f>
        <v>https://drive.google.com/open?id=14-6G2e_21ywg6bnLAmBUKYzIZlJF7i-X</v>
      </c>
      <c r="L244" s="9" t="str">
        <f ca="1">IFERROR(__xludf.DUMMYFUNCTION("""COMPUTED_VALUE"""),"2018-2022")</f>
        <v>2018-2022</v>
      </c>
      <c r="M244" s="9" t="str">
        <f ca="1">IFERROR(__xludf.DUMMYFUNCTION("""COMPUTED_VALUE"""),"S4: Student Certifications")</f>
        <v>S4: Student Certifications</v>
      </c>
      <c r="N244" s="9" t="str">
        <f ca="1">IFERROR(__xludf.DUMMYFUNCTION("""COMPUTED_VALUE"""),"meesalaakhil2000@gmail.com")</f>
        <v>meesalaakhil2000@gmail.com</v>
      </c>
      <c r="O244" s="9" t="str">
        <f ca="1">IFERROR(__xludf.DUMMYFUNCTION("""COMPUTED_VALUE"""),"SEM-7")</f>
        <v>SEM-7</v>
      </c>
      <c r="P244" s="9"/>
      <c r="Q244" s="9"/>
      <c r="R244" s="9"/>
      <c r="S244" s="9"/>
      <c r="T244" s="9"/>
      <c r="U244" s="9"/>
      <c r="V244" s="9"/>
      <c r="W244" s="9"/>
      <c r="X244" s="9"/>
      <c r="Y244" s="9"/>
    </row>
    <row r="245" spans="1:25" ht="26.25" customHeight="1" x14ac:dyDescent="0.15">
      <c r="A245" s="9" t="str">
        <f ca="1">IFERROR(__xludf.DUMMYFUNCTION("""COMPUTED_VALUE"""),"Sanapathi Parimala")</f>
        <v>Sanapathi Parimala</v>
      </c>
      <c r="B245" s="9" t="str">
        <f ca="1">IFERROR(__xludf.DUMMYFUNCTION("""COMPUTED_VALUE"""),"18331A05D8")</f>
        <v>18331A05D8</v>
      </c>
      <c r="C245" s="78" t="str">
        <f ca="1">IFERROR(__xludf.DUMMYFUNCTION("""COMPUTED_VALUE"""),"Python for Everybody")</f>
        <v>Python for Everybody</v>
      </c>
      <c r="D245" s="9" t="str">
        <f ca="1">IFERROR(__xludf.DUMMYFUNCTION("""COMPUTED_VALUE"""),"Cousera")</f>
        <v>Cousera</v>
      </c>
      <c r="E245" s="9" t="str">
        <f ca="1">IFERROR(__xludf.DUMMYFUNCTION("""COMPUTED_VALUE"""),"2 months")</f>
        <v>2 months</v>
      </c>
      <c r="F245" s="79">
        <f ca="1">IFERROR(__xludf.DUMMYFUNCTION("""COMPUTED_VALUE"""),43923)</f>
        <v>43923</v>
      </c>
      <c r="G245" s="79">
        <f ca="1">IFERROR(__xludf.DUMMYFUNCTION("""COMPUTED_VALUE"""),44007)</f>
        <v>44007</v>
      </c>
      <c r="H245" s="72">
        <f ca="1">IFERROR(__xludf.DUMMYFUNCTION("""COMPUTED_VALUE"""),44007)</f>
        <v>44007</v>
      </c>
      <c r="I245" s="80">
        <f ca="1">IFERROR(__xludf.DUMMYFUNCTION("""COMPUTED_VALUE"""),80)</f>
        <v>80</v>
      </c>
      <c r="J245" s="9" t="str">
        <f ca="1">IFERROR(__xludf.DUMMYFUNCTION("""COMPUTED_VALUE"""),"NA")</f>
        <v>NA</v>
      </c>
      <c r="K245" s="73" t="str">
        <f ca="1">IFERROR(__xludf.DUMMYFUNCTION("""COMPUTED_VALUE"""),"https://drive.google.com/open?id=1TEMftiyrdghPbyJBdcw26PbaHhraB9Gt")</f>
        <v>https://drive.google.com/open?id=1TEMftiyrdghPbyJBdcw26PbaHhraB9Gt</v>
      </c>
      <c r="L245" s="9" t="str">
        <f ca="1">IFERROR(__xludf.DUMMYFUNCTION("""COMPUTED_VALUE"""),"2018-2022")</f>
        <v>2018-2022</v>
      </c>
      <c r="M245" s="9" t="str">
        <f ca="1">IFERROR(__xludf.DUMMYFUNCTION("""COMPUTED_VALUE"""),"S4: Student Certifications")</f>
        <v>S4: Student Certifications</v>
      </c>
      <c r="N245" s="9" t="str">
        <f ca="1">IFERROR(__xludf.DUMMYFUNCTION("""COMPUTED_VALUE"""),"parichari2000@gmail.com")</f>
        <v>parichari2000@gmail.com</v>
      </c>
      <c r="O245" s="9" t="str">
        <f ca="1">IFERROR(__xludf.DUMMYFUNCTION("""COMPUTED_VALUE"""),"SEM-8")</f>
        <v>SEM-8</v>
      </c>
      <c r="P245" s="9"/>
      <c r="Q245" s="9"/>
      <c r="R245" s="9"/>
      <c r="S245" s="9"/>
      <c r="T245" s="9"/>
      <c r="U245" s="9"/>
      <c r="V245" s="9"/>
      <c r="W245" s="9"/>
      <c r="X245" s="9"/>
      <c r="Y245" s="9"/>
    </row>
    <row r="246" spans="1:25" ht="26.25" customHeight="1" x14ac:dyDescent="0.15">
      <c r="A246" s="9" t="str">
        <f ca="1">IFERROR(__xludf.DUMMYFUNCTION("""COMPUTED_VALUE"""),"Praseeda Gayatri Jakkula")</f>
        <v>Praseeda Gayatri Jakkula</v>
      </c>
      <c r="B246" s="9" t="str">
        <f ca="1">IFERROR(__xludf.DUMMYFUNCTION("""COMPUTED_VALUE"""),"18331A0559 ")</f>
        <v xml:space="preserve">18331A0559 </v>
      </c>
      <c r="C246" s="78" t="str">
        <f ca="1">IFERROR(__xludf.DUMMYFUNCTION("""COMPUTED_VALUE"""),"Data science  for non data scientists ")</f>
        <v xml:space="preserve">Data science  for non data scientists </v>
      </c>
      <c r="D246" s="9" t="str">
        <f ca="1">IFERROR(__xludf.DUMMYFUNCTION("""COMPUTED_VALUE"""),"Udemy")</f>
        <v>Udemy</v>
      </c>
      <c r="E246" s="9" t="str">
        <f ca="1">IFERROR(__xludf.DUMMYFUNCTION("""COMPUTED_VALUE"""),"5 hrs")</f>
        <v>5 hrs</v>
      </c>
      <c r="F246" s="79">
        <f ca="1">IFERROR(__xludf.DUMMYFUNCTION("""COMPUTED_VALUE"""),44653)</f>
        <v>44653</v>
      </c>
      <c r="G246" s="79">
        <f ca="1">IFERROR(__xludf.DUMMYFUNCTION("""COMPUTED_VALUE"""),44657)</f>
        <v>44657</v>
      </c>
      <c r="H246" s="72">
        <f ca="1">IFERROR(__xludf.DUMMYFUNCTION("""COMPUTED_VALUE"""),44657)</f>
        <v>44657</v>
      </c>
      <c r="I246" s="80">
        <f ca="1">IFERROR(__xludf.DUMMYFUNCTION("""COMPUTED_VALUE"""),100)</f>
        <v>100</v>
      </c>
      <c r="J246" s="9" t="str">
        <f ca="1">IFERROR(__xludf.DUMMYFUNCTION("""COMPUTED_VALUE"""),"Self learning ")</f>
        <v xml:space="preserve">Self learning </v>
      </c>
      <c r="K246" s="73" t="str">
        <f ca="1">IFERROR(__xludf.DUMMYFUNCTION("""COMPUTED_VALUE"""),"https://drive.google.com/open?id=1D_K3ZQUUgJStHoH0_5tpdXyvMvpvv40N")</f>
        <v>https://drive.google.com/open?id=1D_K3ZQUUgJStHoH0_5tpdXyvMvpvv40N</v>
      </c>
      <c r="L246" s="9" t="str">
        <f ca="1">IFERROR(__xludf.DUMMYFUNCTION("""COMPUTED_VALUE"""),"2018-2022")</f>
        <v>2018-2022</v>
      </c>
      <c r="M246" s="9" t="str">
        <f ca="1">IFERROR(__xludf.DUMMYFUNCTION("""COMPUTED_VALUE"""),"S4: Student Certifications")</f>
        <v>S4: Student Certifications</v>
      </c>
      <c r="N246" s="9" t="str">
        <f ca="1">IFERROR(__xludf.DUMMYFUNCTION("""COMPUTED_VALUE"""),"jakkulapraseeda8@gmail.com")</f>
        <v>jakkulapraseeda8@gmail.com</v>
      </c>
      <c r="O246" s="9" t="str">
        <f ca="1">IFERROR(__xludf.DUMMYFUNCTION("""COMPUTED_VALUE"""),"SEM-8")</f>
        <v>SEM-8</v>
      </c>
      <c r="P246" s="9"/>
      <c r="Q246" s="9"/>
      <c r="R246" s="9"/>
      <c r="S246" s="9"/>
      <c r="T246" s="9"/>
      <c r="U246" s="9"/>
      <c r="V246" s="9"/>
      <c r="W246" s="9"/>
      <c r="X246" s="9"/>
      <c r="Y246" s="9"/>
    </row>
    <row r="247" spans="1:25" ht="26.25" customHeight="1" x14ac:dyDescent="0.15">
      <c r="A247" s="9" t="str">
        <f ca="1">IFERROR(__xludf.DUMMYFUNCTION("""COMPUTED_VALUE"""),"Kalivarapu Nikitha")</f>
        <v>Kalivarapu Nikitha</v>
      </c>
      <c r="B247" s="9" t="str">
        <f ca="1">IFERROR(__xludf.DUMMYFUNCTION("""COMPUTED_VALUE"""),"18331A0563")</f>
        <v>18331A0563</v>
      </c>
      <c r="C247" s="78" t="str">
        <f ca="1">IFERROR(__xludf.DUMMYFUNCTION("""COMPUTED_VALUE"""),"Web technologies ")</f>
        <v xml:space="preserve">Web technologies </v>
      </c>
      <c r="D247" s="9" t="str">
        <f ca="1">IFERROR(__xludf.DUMMYFUNCTION("""COMPUTED_VALUE"""),"Swecha freedom fesr")</f>
        <v>Swecha freedom fesr</v>
      </c>
      <c r="E247" s="9" t="str">
        <f ca="1">IFERROR(__xludf.DUMMYFUNCTION("""COMPUTED_VALUE"""),"2")</f>
        <v>2</v>
      </c>
      <c r="F247" s="79">
        <f ca="1">IFERROR(__xludf.DUMMYFUNCTION("""COMPUTED_VALUE"""),43505)</f>
        <v>43505</v>
      </c>
      <c r="G247" s="79">
        <f ca="1">IFERROR(__xludf.DUMMYFUNCTION("""COMPUTED_VALUE"""),43506)</f>
        <v>43506</v>
      </c>
      <c r="H247" s="72">
        <f ca="1">IFERROR(__xludf.DUMMYFUNCTION("""COMPUTED_VALUE"""),43506)</f>
        <v>43506</v>
      </c>
      <c r="I247" s="80">
        <f ca="1">IFERROR(__xludf.DUMMYFUNCTION("""COMPUTED_VALUE"""),100)</f>
        <v>100</v>
      </c>
      <c r="J247" s="9" t="str">
        <f ca="1">IFERROR(__xludf.DUMMYFUNCTION("""COMPUTED_VALUE"""),"Vamsi krishna")</f>
        <v>Vamsi krishna</v>
      </c>
      <c r="K247" s="73" t="str">
        <f ca="1">IFERROR(__xludf.DUMMYFUNCTION("""COMPUTED_VALUE"""),"https://drive.google.com/open?id=1sWMBO_Kz5DIB1sTOzC2ljXUUNi-6Jj7w")</f>
        <v>https://drive.google.com/open?id=1sWMBO_Kz5DIB1sTOzC2ljXUUNi-6Jj7w</v>
      </c>
      <c r="L247" s="9" t="str">
        <f ca="1">IFERROR(__xludf.DUMMYFUNCTION("""COMPUTED_VALUE"""),"2018-2022")</f>
        <v>2018-2022</v>
      </c>
      <c r="M247" s="9" t="str">
        <f ca="1">IFERROR(__xludf.DUMMYFUNCTION("""COMPUTED_VALUE"""),"S4: Student Certifications")</f>
        <v>S4: Student Certifications</v>
      </c>
      <c r="N247" s="9" t="str">
        <f ca="1">IFERROR(__xludf.DUMMYFUNCTION("""COMPUTED_VALUE"""),"nikithakalivarapu0404@gmail.com")</f>
        <v>nikithakalivarapu0404@gmail.com</v>
      </c>
      <c r="O247" s="9" t="str">
        <f ca="1">IFERROR(__xludf.DUMMYFUNCTION("""COMPUTED_VALUE"""),"SEM-8")</f>
        <v>SEM-8</v>
      </c>
      <c r="P247" s="9"/>
      <c r="Q247" s="9"/>
      <c r="R247" s="9"/>
      <c r="S247" s="9"/>
      <c r="T247" s="9"/>
      <c r="U247" s="9"/>
      <c r="V247" s="9"/>
      <c r="W247" s="9"/>
      <c r="X247" s="9"/>
      <c r="Y247" s="9"/>
    </row>
    <row r="248" spans="1:25" ht="26.25" customHeight="1" x14ac:dyDescent="0.15">
      <c r="A248" s="9" t="str">
        <f ca="1">IFERROR(__xludf.DUMMYFUNCTION("""COMPUTED_VALUE"""),"Kalivarapu Nikitha")</f>
        <v>Kalivarapu Nikitha</v>
      </c>
      <c r="B248" s="9" t="str">
        <f ca="1">IFERROR(__xludf.DUMMYFUNCTION("""COMPUTED_VALUE"""),"18331A0563")</f>
        <v>18331A0563</v>
      </c>
      <c r="C248" s="78" t="str">
        <f ca="1">IFERROR(__xludf.DUMMYFUNCTION("""COMPUTED_VALUE"""),"University of Michigan")</f>
        <v>University of Michigan</v>
      </c>
      <c r="D248" s="9" t="str">
        <f ca="1">IFERROR(__xludf.DUMMYFUNCTION("""COMPUTED_VALUE"""),"Programming for everybody ")</f>
        <v xml:space="preserve">Programming for everybody </v>
      </c>
      <c r="E248" s="9" t="str">
        <f ca="1">IFERROR(__xludf.DUMMYFUNCTION("""COMPUTED_VALUE"""),"2")</f>
        <v>2</v>
      </c>
      <c r="F248" s="79">
        <f ca="1">IFERROR(__xludf.DUMMYFUNCTION("""COMPUTED_VALUE"""),44295)</f>
        <v>44295</v>
      </c>
      <c r="G248" s="79">
        <f ca="1">IFERROR(__xludf.DUMMYFUNCTION("""COMPUTED_VALUE"""),44419)</f>
        <v>44419</v>
      </c>
      <c r="H248" s="72">
        <f ca="1">IFERROR(__xludf.DUMMYFUNCTION("""COMPUTED_VALUE"""),44415)</f>
        <v>44415</v>
      </c>
      <c r="I248" s="80">
        <f ca="1">IFERROR(__xludf.DUMMYFUNCTION("""COMPUTED_VALUE"""),100)</f>
        <v>100</v>
      </c>
      <c r="J248" s="9" t="str">
        <f ca="1">IFERROR(__xludf.DUMMYFUNCTION("""COMPUTED_VALUE"""),"K.V.Subba Raju ")</f>
        <v xml:space="preserve">K.V.Subba Raju </v>
      </c>
      <c r="K248" s="73" t="str">
        <f ca="1">IFERROR(__xludf.DUMMYFUNCTION("""COMPUTED_VALUE"""),"https://drive.google.com/open?id=1zn_3aP5fg2NK4Sa2zP-gGo0Bdj0__thB")</f>
        <v>https://drive.google.com/open?id=1zn_3aP5fg2NK4Sa2zP-gGo0Bdj0__thB</v>
      </c>
      <c r="L248" s="9" t="str">
        <f ca="1">IFERROR(__xludf.DUMMYFUNCTION("""COMPUTED_VALUE"""),"2018-2022")</f>
        <v>2018-2022</v>
      </c>
      <c r="M248" s="9" t="str">
        <f ca="1">IFERROR(__xludf.DUMMYFUNCTION("""COMPUTED_VALUE"""),"S4: Student Certifications")</f>
        <v>S4: Student Certifications</v>
      </c>
      <c r="N248" s="9" t="str">
        <f ca="1">IFERROR(__xludf.DUMMYFUNCTION("""COMPUTED_VALUE"""),"nikithakalivarapu0404@gmail.com")</f>
        <v>nikithakalivarapu0404@gmail.com</v>
      </c>
      <c r="O248" s="9" t="str">
        <f ca="1">IFERROR(__xludf.DUMMYFUNCTION("""COMPUTED_VALUE"""),"SEM-8")</f>
        <v>SEM-8</v>
      </c>
      <c r="P248" s="9"/>
      <c r="Q248" s="9"/>
      <c r="R248" s="9"/>
      <c r="S248" s="9"/>
      <c r="T248" s="9"/>
      <c r="U248" s="9"/>
      <c r="V248" s="9"/>
      <c r="W248" s="9"/>
      <c r="X248" s="9"/>
      <c r="Y248" s="9"/>
    </row>
    <row r="249" spans="1:25" ht="26.25" customHeight="1" x14ac:dyDescent="0.15">
      <c r="A249" s="9" t="str">
        <f ca="1">IFERROR(__xludf.DUMMYFUNCTION("""COMPUTED_VALUE"""),"Kalivarapu Nikitha")</f>
        <v>Kalivarapu Nikitha</v>
      </c>
      <c r="B249" s="9" t="str">
        <f ca="1">IFERROR(__xludf.DUMMYFUNCTION("""COMPUTED_VALUE"""),"18331A0563")</f>
        <v>18331A0563</v>
      </c>
      <c r="C249" s="78" t="str">
        <f ca="1">IFERROR(__xludf.DUMMYFUNCTION("""COMPUTED_VALUE"""),"Deep learning.AI")</f>
        <v>Deep learning.AI</v>
      </c>
      <c r="D249" s="9" t="str">
        <f ca="1">IFERROR(__xludf.DUMMYFUNCTION("""COMPUTED_VALUE"""),"Coursera")</f>
        <v>Coursera</v>
      </c>
      <c r="E249" s="9" t="str">
        <f ca="1">IFERROR(__xludf.DUMMYFUNCTION("""COMPUTED_VALUE"""),"2 months")</f>
        <v>2 months</v>
      </c>
      <c r="F249" s="79">
        <f ca="1">IFERROR(__xludf.DUMMYFUNCTION("""COMPUTED_VALUE"""),44317)</f>
        <v>44317</v>
      </c>
      <c r="G249" s="79">
        <f ca="1">IFERROR(__xludf.DUMMYFUNCTION("""COMPUTED_VALUE"""),44378)</f>
        <v>44378</v>
      </c>
      <c r="H249" s="72">
        <f ca="1">IFERROR(__xludf.DUMMYFUNCTION("""COMPUTED_VALUE"""),44347)</f>
        <v>44347</v>
      </c>
      <c r="I249" s="80">
        <f ca="1">IFERROR(__xludf.DUMMYFUNCTION("""COMPUTED_VALUE"""),100)</f>
        <v>100</v>
      </c>
      <c r="J249" s="9" t="str">
        <f ca="1">IFERROR(__xludf.DUMMYFUNCTION("""COMPUTED_VALUE"""),"Subba Raju")</f>
        <v>Subba Raju</v>
      </c>
      <c r="K249" s="73" t="str">
        <f ca="1">IFERROR(__xludf.DUMMYFUNCTION("""COMPUTED_VALUE"""),"https://drive.google.com/open?id=1zpmm0W3UGpW7gPZdfB1tomu7zAu655rf")</f>
        <v>https://drive.google.com/open?id=1zpmm0W3UGpW7gPZdfB1tomu7zAu655rf</v>
      </c>
      <c r="L249" s="9" t="str">
        <f ca="1">IFERROR(__xludf.DUMMYFUNCTION("""COMPUTED_VALUE"""),"2018-2022")</f>
        <v>2018-2022</v>
      </c>
      <c r="M249" s="9" t="str">
        <f ca="1">IFERROR(__xludf.DUMMYFUNCTION("""COMPUTED_VALUE"""),"S4: Student Certifications")</f>
        <v>S4: Student Certifications</v>
      </c>
      <c r="N249" s="9" t="str">
        <f ca="1">IFERROR(__xludf.DUMMYFUNCTION("""COMPUTED_VALUE"""),"nikithakalivarapu0404@gmail.com")</f>
        <v>nikithakalivarapu0404@gmail.com</v>
      </c>
      <c r="O249" s="9" t="str">
        <f ca="1">IFERROR(__xludf.DUMMYFUNCTION("""COMPUTED_VALUE"""),"SEM-8")</f>
        <v>SEM-8</v>
      </c>
      <c r="P249" s="9"/>
      <c r="Q249" s="9"/>
      <c r="R249" s="9"/>
      <c r="S249" s="9"/>
      <c r="T249" s="9"/>
      <c r="U249" s="9"/>
      <c r="V249" s="9"/>
      <c r="W249" s="9"/>
      <c r="X249" s="9"/>
      <c r="Y249" s="9"/>
    </row>
    <row r="250" spans="1:25" ht="26.25" customHeight="1" x14ac:dyDescent="0.15">
      <c r="A250" s="9" t="str">
        <f ca="1">IFERROR(__xludf.DUMMYFUNCTION("""COMPUTED_VALUE"""),"VADLAPUDI DHEERAJ KUMAR ")</f>
        <v xml:space="preserve">VADLAPUDI DHEERAJ KUMAR </v>
      </c>
      <c r="B250" s="9" t="str">
        <f ca="1">IFERROR(__xludf.DUMMYFUNCTION("""COMPUTED_VALUE"""),"18331A05G4")</f>
        <v>18331A05G4</v>
      </c>
      <c r="C250" s="78" t="str">
        <f ca="1">IFERROR(__xludf.DUMMYFUNCTION("""COMPUTED_VALUE"""),"Programming essential in Python")</f>
        <v>Programming essential in Python</v>
      </c>
      <c r="D250" s="9" t="str">
        <f ca="1">IFERROR(__xludf.DUMMYFUNCTION("""COMPUTED_VALUE"""),"CISCO")</f>
        <v>CISCO</v>
      </c>
      <c r="E250" s="9" t="str">
        <f ca="1">IFERROR(__xludf.DUMMYFUNCTION("""COMPUTED_VALUE"""),"2 month")</f>
        <v>2 month</v>
      </c>
      <c r="F250" s="79">
        <f ca="1">IFERROR(__xludf.DUMMYFUNCTION("""COMPUTED_VALUE"""),44317)</f>
        <v>44317</v>
      </c>
      <c r="G250" s="79">
        <f ca="1">IFERROR(__xludf.DUMMYFUNCTION("""COMPUTED_VALUE"""),44742)</f>
        <v>44742</v>
      </c>
      <c r="H250" s="72">
        <f ca="1">IFERROR(__xludf.DUMMYFUNCTION("""COMPUTED_VALUE"""),44385)</f>
        <v>44385</v>
      </c>
      <c r="I250" s="80">
        <f ca="1">IFERROR(__xludf.DUMMYFUNCTION("""COMPUTED_VALUE"""),90)</f>
        <v>90</v>
      </c>
      <c r="J250" s="9" t="str">
        <f ca="1">IFERROR(__xludf.DUMMYFUNCTION("""COMPUTED_VALUE"""),"Ravi Kiran Varma Penmasta ")</f>
        <v xml:space="preserve">Ravi Kiran Varma Penmasta </v>
      </c>
      <c r="K250" s="73" t="str">
        <f ca="1">IFERROR(__xludf.DUMMYFUNCTION("""COMPUTED_VALUE"""),"https://drive.google.com/open?id=1vT3ht79J_rL3R2Y6cNERNbj2zqtKCjbQ")</f>
        <v>https://drive.google.com/open?id=1vT3ht79J_rL3R2Y6cNERNbj2zqtKCjbQ</v>
      </c>
      <c r="L250" s="9" t="str">
        <f ca="1">IFERROR(__xludf.DUMMYFUNCTION("""COMPUTED_VALUE"""),"2018-2022")</f>
        <v>2018-2022</v>
      </c>
      <c r="M250" s="9" t="str">
        <f ca="1">IFERROR(__xludf.DUMMYFUNCTION("""COMPUTED_VALUE"""),"S4: Student Certifications")</f>
        <v>S4: Student Certifications</v>
      </c>
      <c r="N250" s="9" t="str">
        <f ca="1">IFERROR(__xludf.DUMMYFUNCTION("""COMPUTED_VALUE"""),"vdkumar1200@gmail.com")</f>
        <v>vdkumar1200@gmail.com</v>
      </c>
      <c r="O250" s="9" t="str">
        <f ca="1">IFERROR(__xludf.DUMMYFUNCTION("""COMPUTED_VALUE"""),"SEM-8")</f>
        <v>SEM-8</v>
      </c>
      <c r="P250" s="9"/>
      <c r="Q250" s="9"/>
      <c r="R250" s="9"/>
      <c r="S250" s="9"/>
      <c r="T250" s="9"/>
      <c r="U250" s="9"/>
      <c r="V250" s="9"/>
      <c r="W250" s="9"/>
      <c r="X250" s="9"/>
      <c r="Y250" s="9"/>
    </row>
    <row r="251" spans="1:25" ht="26.25" customHeight="1" x14ac:dyDescent="0.15">
      <c r="A251" s="9" t="str">
        <f ca="1">IFERROR(__xludf.DUMMYFUNCTION("""COMPUTED_VALUE"""),"Jampana Harshini")</f>
        <v>Jampana Harshini</v>
      </c>
      <c r="B251" s="9" t="str">
        <f ca="1">IFERROR(__xludf.DUMMYFUNCTION("""COMPUTED_VALUE"""),"18331A0561")</f>
        <v>18331A0561</v>
      </c>
      <c r="C251" s="78" t="str">
        <f ca="1">IFERROR(__xludf.DUMMYFUNCTION("""COMPUTED_VALUE"""),"Artificial Internship Workshop ")</f>
        <v xml:space="preserve">Artificial Internship Workshop </v>
      </c>
      <c r="D251" s="9" t="str">
        <f ca="1">IFERROR(__xludf.DUMMYFUNCTION("""COMPUTED_VALUE"""),"IIT Hyderabad ")</f>
        <v xml:space="preserve">IIT Hyderabad </v>
      </c>
      <c r="E251" s="9" t="str">
        <f ca="1">IFERROR(__xludf.DUMMYFUNCTION("""COMPUTED_VALUE"""),"2")</f>
        <v>2</v>
      </c>
      <c r="F251" s="79">
        <f ca="1">IFERROR(__xludf.DUMMYFUNCTION("""COMPUTED_VALUE"""),43694)</f>
        <v>43694</v>
      </c>
      <c r="G251" s="79">
        <f ca="1">IFERROR(__xludf.DUMMYFUNCTION("""COMPUTED_VALUE"""),43695)</f>
        <v>43695</v>
      </c>
      <c r="H251" s="72">
        <f ca="1">IFERROR(__xludf.DUMMYFUNCTION("""COMPUTED_VALUE"""),43695)</f>
        <v>43695</v>
      </c>
      <c r="I251" s="80">
        <f ca="1">IFERROR(__xludf.DUMMYFUNCTION("""COMPUTED_VALUE"""),100)</f>
        <v>100</v>
      </c>
      <c r="J251" s="9" t="str">
        <f ca="1">IFERROR(__xludf.DUMMYFUNCTION("""COMPUTED_VALUE"""),"Subba Raju K V")</f>
        <v>Subba Raju K V</v>
      </c>
      <c r="K251" s="73" t="str">
        <f ca="1">IFERROR(__xludf.DUMMYFUNCTION("""COMPUTED_VALUE"""),"https://drive.google.com/open?id=1Btn5Fd1QtPh7OtnhdJFnojpZJ3vuU6is")</f>
        <v>https://drive.google.com/open?id=1Btn5Fd1QtPh7OtnhdJFnojpZJ3vuU6is</v>
      </c>
      <c r="L251" s="9" t="str">
        <f ca="1">IFERROR(__xludf.DUMMYFUNCTION("""COMPUTED_VALUE"""),"2018-2022")</f>
        <v>2018-2022</v>
      </c>
      <c r="M251" s="9" t="str">
        <f ca="1">IFERROR(__xludf.DUMMYFUNCTION("""COMPUTED_VALUE"""),"S4: Student Certifications")</f>
        <v>S4: Student Certifications</v>
      </c>
      <c r="N251" s="9" t="str">
        <f ca="1">IFERROR(__xludf.DUMMYFUNCTION("""COMPUTED_VALUE"""),"harshini.jampana@gmail.com")</f>
        <v>harshini.jampana@gmail.com</v>
      </c>
      <c r="O251" s="9" t="str">
        <f ca="1">IFERROR(__xludf.DUMMYFUNCTION("""COMPUTED_VALUE"""),"SEM-8")</f>
        <v>SEM-8</v>
      </c>
      <c r="P251" s="9"/>
      <c r="Q251" s="9"/>
      <c r="R251" s="9"/>
      <c r="S251" s="9"/>
      <c r="T251" s="9"/>
      <c r="U251" s="9"/>
      <c r="V251" s="9"/>
      <c r="W251" s="9"/>
      <c r="X251" s="9"/>
      <c r="Y251" s="9"/>
    </row>
    <row r="252" spans="1:25" ht="26.25" customHeight="1" x14ac:dyDescent="0.15">
      <c r="A252" s="9" t="str">
        <f ca="1">IFERROR(__xludf.DUMMYFUNCTION("""COMPUTED_VALUE"""),"Kalivarapu Nikitha")</f>
        <v>Kalivarapu Nikitha</v>
      </c>
      <c r="B252" s="9" t="str">
        <f ca="1">IFERROR(__xludf.DUMMYFUNCTION("""COMPUTED_VALUE"""),"18331A0563")</f>
        <v>18331A0563</v>
      </c>
      <c r="C252" s="78" t="str">
        <f ca="1">IFERROR(__xludf.DUMMYFUNCTION("""COMPUTED_VALUE"""),"Cybersecurity Essentials ")</f>
        <v xml:space="preserve">Cybersecurity Essentials </v>
      </c>
      <c r="D252" s="9" t="str">
        <f ca="1">IFERROR(__xludf.DUMMYFUNCTION("""COMPUTED_VALUE"""),"Cisco")</f>
        <v>Cisco</v>
      </c>
      <c r="E252" s="9" t="str">
        <f ca="1">IFERROR(__xludf.DUMMYFUNCTION("""COMPUTED_VALUE"""),"2 months ")</f>
        <v xml:space="preserve">2 months </v>
      </c>
      <c r="F252" s="79">
        <f ca="1">IFERROR(__xludf.DUMMYFUNCTION("""COMPUTED_VALUE"""),43607)</f>
        <v>43607</v>
      </c>
      <c r="G252" s="79">
        <f ca="1">IFERROR(__xludf.DUMMYFUNCTION("""COMPUTED_VALUE"""),43675)</f>
        <v>43675</v>
      </c>
      <c r="H252" s="72">
        <f ca="1">IFERROR(__xludf.DUMMYFUNCTION("""COMPUTED_VALUE"""),43675)</f>
        <v>43675</v>
      </c>
      <c r="I252" s="80">
        <f ca="1">IFERROR(__xludf.DUMMYFUNCTION("""COMPUTED_VALUE"""),100)</f>
        <v>100</v>
      </c>
      <c r="J252" s="9" t="str">
        <f ca="1">IFERROR(__xludf.DUMMYFUNCTION("""COMPUTED_VALUE"""),"DR.RAVI KIRAN VARMA PENMATSA")</f>
        <v>DR.RAVI KIRAN VARMA PENMATSA</v>
      </c>
      <c r="K252" s="73" t="str">
        <f ca="1">IFERROR(__xludf.DUMMYFUNCTION("""COMPUTED_VALUE"""),"https://drive.google.com/open?id=1QXxIknCStY1FADfkr_8n33MRValOUXhr")</f>
        <v>https://drive.google.com/open?id=1QXxIknCStY1FADfkr_8n33MRValOUXhr</v>
      </c>
      <c r="L252" s="9" t="str">
        <f ca="1">IFERROR(__xludf.DUMMYFUNCTION("""COMPUTED_VALUE"""),"2018-2022")</f>
        <v>2018-2022</v>
      </c>
      <c r="M252" s="9" t="str">
        <f ca="1">IFERROR(__xludf.DUMMYFUNCTION("""COMPUTED_VALUE"""),"S4: Student Certifications")</f>
        <v>S4: Student Certifications</v>
      </c>
      <c r="N252" s="9" t="str">
        <f ca="1">IFERROR(__xludf.DUMMYFUNCTION("""COMPUTED_VALUE"""),"nikithakalivarapu0404@gmail.com")</f>
        <v>nikithakalivarapu0404@gmail.com</v>
      </c>
      <c r="O252" s="9" t="str">
        <f ca="1">IFERROR(__xludf.DUMMYFUNCTION("""COMPUTED_VALUE"""),"SEM-8")</f>
        <v>SEM-8</v>
      </c>
      <c r="P252" s="9"/>
      <c r="Q252" s="9"/>
      <c r="R252" s="9"/>
      <c r="S252" s="9"/>
      <c r="T252" s="9"/>
      <c r="U252" s="9"/>
      <c r="V252" s="9"/>
      <c r="W252" s="9"/>
      <c r="X252" s="9"/>
      <c r="Y252" s="9"/>
    </row>
    <row r="253" spans="1:25" ht="26.25" customHeight="1" x14ac:dyDescent="0.15">
      <c r="A253" s="9" t="str">
        <f ca="1">IFERROR(__xludf.DUMMYFUNCTION("""COMPUTED_VALUE"""),"Harshini Jampana")</f>
        <v>Harshini Jampana</v>
      </c>
      <c r="B253" s="9" t="str">
        <f ca="1">IFERROR(__xludf.DUMMYFUNCTION("""COMPUTED_VALUE"""),"18331A0561")</f>
        <v>18331A0561</v>
      </c>
      <c r="C253" s="78" t="str">
        <f ca="1">IFERROR(__xludf.DUMMYFUNCTION("""COMPUTED_VALUE"""),"Programming for everybody (python)")</f>
        <v>Programming for everybody (python)</v>
      </c>
      <c r="D253" s="9" t="str">
        <f ca="1">IFERROR(__xludf.DUMMYFUNCTION("""COMPUTED_VALUE"""),"Coursera")</f>
        <v>Coursera</v>
      </c>
      <c r="E253" s="9" t="str">
        <f ca="1">IFERROR(__xludf.DUMMYFUNCTION("""COMPUTED_VALUE"""),"2 months")</f>
        <v>2 months</v>
      </c>
      <c r="F253" s="79">
        <f ca="1">IFERROR(__xludf.DUMMYFUNCTION("""COMPUTED_VALUE"""),43911)</f>
        <v>43911</v>
      </c>
      <c r="G253" s="79">
        <f ca="1">IFERROR(__xludf.DUMMYFUNCTION("""COMPUTED_VALUE"""),43982)</f>
        <v>43982</v>
      </c>
      <c r="H253" s="72">
        <f ca="1">IFERROR(__xludf.DUMMYFUNCTION("""COMPUTED_VALUE"""),43982)</f>
        <v>43982</v>
      </c>
      <c r="I253" s="80">
        <f ca="1">IFERROR(__xludf.DUMMYFUNCTION("""COMPUTED_VALUE"""),100)</f>
        <v>100</v>
      </c>
      <c r="J253" s="9" t="str">
        <f ca="1">IFERROR(__xludf.DUMMYFUNCTION("""COMPUTED_VALUE"""),"Subba Raju ")</f>
        <v xml:space="preserve">Subba Raju </v>
      </c>
      <c r="K253" s="73" t="str">
        <f ca="1">IFERROR(__xludf.DUMMYFUNCTION("""COMPUTED_VALUE"""),"https://drive.google.com/open?id=1xj8sKmz3AYv0ZHoz3yUKwCxwhKOie9j4")</f>
        <v>https://drive.google.com/open?id=1xj8sKmz3AYv0ZHoz3yUKwCxwhKOie9j4</v>
      </c>
      <c r="L253" s="9" t="str">
        <f ca="1">IFERROR(__xludf.DUMMYFUNCTION("""COMPUTED_VALUE"""),"2018-2022")</f>
        <v>2018-2022</v>
      </c>
      <c r="M253" s="9" t="str">
        <f ca="1">IFERROR(__xludf.DUMMYFUNCTION("""COMPUTED_VALUE"""),"S4: Student Certifications")</f>
        <v>S4: Student Certifications</v>
      </c>
      <c r="N253" s="9" t="str">
        <f ca="1">IFERROR(__xludf.DUMMYFUNCTION("""COMPUTED_VALUE"""),"harshini.jampana@gmail.com")</f>
        <v>harshini.jampana@gmail.com</v>
      </c>
      <c r="O253" s="9" t="str">
        <f ca="1">IFERROR(__xludf.DUMMYFUNCTION("""COMPUTED_VALUE"""),"SEM-8")</f>
        <v>SEM-8</v>
      </c>
      <c r="P253" s="9"/>
      <c r="Q253" s="9"/>
      <c r="R253" s="9"/>
      <c r="S253" s="9"/>
      <c r="T253" s="9"/>
      <c r="U253" s="9"/>
      <c r="V253" s="9"/>
      <c r="W253" s="9"/>
      <c r="X253" s="9"/>
      <c r="Y253" s="9"/>
    </row>
    <row r="254" spans="1:25" ht="26.25" customHeight="1" x14ac:dyDescent="0.15">
      <c r="A254" s="9" t="str">
        <f ca="1">IFERROR(__xludf.DUMMYFUNCTION("""COMPUTED_VALUE"""),"VADLAPUDI DHEERAJ KUMAR ")</f>
        <v xml:space="preserve">VADLAPUDI DHEERAJ KUMAR </v>
      </c>
      <c r="B254" s="9" t="str">
        <f ca="1">IFERROR(__xludf.DUMMYFUNCTION("""COMPUTED_VALUE"""),"18331A05G4")</f>
        <v>18331A05G4</v>
      </c>
      <c r="C254" s="78" t="str">
        <f ca="1">IFERROR(__xludf.DUMMYFUNCTION("""COMPUTED_VALUE"""),"Cybersecurity Foundation ")</f>
        <v xml:space="preserve">Cybersecurity Foundation </v>
      </c>
      <c r="D254" s="9" t="str">
        <f ca="1">IFERROR(__xludf.DUMMYFUNCTION("""COMPUTED_VALUE"""),"Palo Alto Networks ")</f>
        <v xml:space="preserve">Palo Alto Networks </v>
      </c>
      <c r="E254" s="9" t="str">
        <f ca="1">IFERROR(__xludf.DUMMYFUNCTION("""COMPUTED_VALUE"""),"2 months")</f>
        <v>2 months</v>
      </c>
      <c r="F254" s="79">
        <f ca="1">IFERROR(__xludf.DUMMYFUNCTION("""COMPUTED_VALUE"""),44317)</f>
        <v>44317</v>
      </c>
      <c r="G254" s="79">
        <f ca="1">IFERROR(__xludf.DUMMYFUNCTION("""COMPUTED_VALUE"""),44377)</f>
        <v>44377</v>
      </c>
      <c r="H254" s="72">
        <f ca="1">IFERROR(__xludf.DUMMYFUNCTION("""COMPUTED_VALUE"""),44401)</f>
        <v>44401</v>
      </c>
      <c r="I254" s="80">
        <f ca="1">IFERROR(__xludf.DUMMYFUNCTION("""COMPUTED_VALUE"""),90)</f>
        <v>90</v>
      </c>
      <c r="J254" s="9" t="str">
        <f ca="1">IFERROR(__xludf.DUMMYFUNCTION("""COMPUTED_VALUE"""),"Ravi Kiran Varma ")</f>
        <v xml:space="preserve">Ravi Kiran Varma </v>
      </c>
      <c r="K254" s="73" t="str">
        <f ca="1">IFERROR(__xludf.DUMMYFUNCTION("""COMPUTED_VALUE"""),"https://drive.google.com/open?id=1StTaZaaV_ip8ZODPg62FDxhm_OrJUdMv")</f>
        <v>https://drive.google.com/open?id=1StTaZaaV_ip8ZODPg62FDxhm_OrJUdMv</v>
      </c>
      <c r="L254" s="9" t="str">
        <f ca="1">IFERROR(__xludf.DUMMYFUNCTION("""COMPUTED_VALUE"""),"2018-2022")</f>
        <v>2018-2022</v>
      </c>
      <c r="M254" s="9" t="str">
        <f ca="1">IFERROR(__xludf.DUMMYFUNCTION("""COMPUTED_VALUE"""),"S4: Student Certifications")</f>
        <v>S4: Student Certifications</v>
      </c>
      <c r="N254" s="9" t="str">
        <f ca="1">IFERROR(__xludf.DUMMYFUNCTION("""COMPUTED_VALUE"""),"vdkumar1200@gmail.com")</f>
        <v>vdkumar1200@gmail.com</v>
      </c>
      <c r="O254" s="9" t="str">
        <f ca="1">IFERROR(__xludf.DUMMYFUNCTION("""COMPUTED_VALUE"""),"SEM-8")</f>
        <v>SEM-8</v>
      </c>
      <c r="P254" s="9"/>
      <c r="Q254" s="9"/>
      <c r="R254" s="9"/>
      <c r="S254" s="9"/>
      <c r="T254" s="9"/>
      <c r="U254" s="9"/>
      <c r="V254" s="9"/>
      <c r="W254" s="9"/>
      <c r="X254" s="9"/>
      <c r="Y254" s="9"/>
    </row>
    <row r="255" spans="1:25" ht="26.25" customHeight="1" x14ac:dyDescent="0.15">
      <c r="A255" s="9" t="str">
        <f ca="1">IFERROR(__xludf.DUMMYFUNCTION("""COMPUTED_VALUE"""),"Harshini jampana")</f>
        <v>Harshini jampana</v>
      </c>
      <c r="B255" s="9" t="str">
        <f ca="1">IFERROR(__xludf.DUMMYFUNCTION("""COMPUTED_VALUE"""),"18331A0561")</f>
        <v>18331A0561</v>
      </c>
      <c r="C255" s="78" t="str">
        <f ca="1">IFERROR(__xludf.DUMMYFUNCTION("""COMPUTED_VALUE"""),"AI for Everyone ")</f>
        <v xml:space="preserve">AI for Everyone </v>
      </c>
      <c r="D255" s="9" t="str">
        <f ca="1">IFERROR(__xludf.DUMMYFUNCTION("""COMPUTED_VALUE"""),"Coursera")</f>
        <v>Coursera</v>
      </c>
      <c r="E255" s="9" t="str">
        <f ca="1">IFERROR(__xludf.DUMMYFUNCTION("""COMPUTED_VALUE"""),"2 months")</f>
        <v>2 months</v>
      </c>
      <c r="F255" s="79">
        <f ca="1">IFERROR(__xludf.DUMMYFUNCTION("""COMPUTED_VALUE"""),43911)</f>
        <v>43911</v>
      </c>
      <c r="G255" s="79">
        <f ca="1">IFERROR(__xludf.DUMMYFUNCTION("""COMPUTED_VALUE"""),43962)</f>
        <v>43962</v>
      </c>
      <c r="H255" s="72">
        <f ca="1">IFERROR(__xludf.DUMMYFUNCTION("""COMPUTED_VALUE"""),43962)</f>
        <v>43962</v>
      </c>
      <c r="I255" s="80">
        <f ca="1">IFERROR(__xludf.DUMMYFUNCTION("""COMPUTED_VALUE"""),100)</f>
        <v>100</v>
      </c>
      <c r="J255" s="9" t="str">
        <f ca="1">IFERROR(__xludf.DUMMYFUNCTION("""COMPUTED_VALUE"""),"Subba Raju ")</f>
        <v xml:space="preserve">Subba Raju </v>
      </c>
      <c r="K255" s="73" t="str">
        <f ca="1">IFERROR(__xludf.DUMMYFUNCTION("""COMPUTED_VALUE"""),"https://drive.google.com/open?id=1uVtJF_NIxSsHhdA36qHb5H9Q1jIBSLHj")</f>
        <v>https://drive.google.com/open?id=1uVtJF_NIxSsHhdA36qHb5H9Q1jIBSLHj</v>
      </c>
      <c r="L255" s="9" t="str">
        <f ca="1">IFERROR(__xludf.DUMMYFUNCTION("""COMPUTED_VALUE"""),"2018-2022")</f>
        <v>2018-2022</v>
      </c>
      <c r="M255" s="9" t="str">
        <f ca="1">IFERROR(__xludf.DUMMYFUNCTION("""COMPUTED_VALUE"""),"S4: Student Certifications")</f>
        <v>S4: Student Certifications</v>
      </c>
      <c r="N255" s="9" t="str">
        <f ca="1">IFERROR(__xludf.DUMMYFUNCTION("""COMPUTED_VALUE"""),"harshini.jampana@gmail.com")</f>
        <v>harshini.jampana@gmail.com</v>
      </c>
      <c r="O255" s="9" t="str">
        <f ca="1">IFERROR(__xludf.DUMMYFUNCTION("""COMPUTED_VALUE"""),"SEM-8")</f>
        <v>SEM-8</v>
      </c>
      <c r="P255" s="9"/>
      <c r="Q255" s="9"/>
      <c r="R255" s="9"/>
      <c r="S255" s="9"/>
      <c r="T255" s="9"/>
      <c r="U255" s="9"/>
      <c r="V255" s="9"/>
      <c r="W255" s="9"/>
      <c r="X255" s="9"/>
      <c r="Y255" s="9"/>
    </row>
    <row r="256" spans="1:25" ht="26.25" customHeight="1" x14ac:dyDescent="0.15">
      <c r="A256" s="9" t="str">
        <f ca="1">IFERROR(__xludf.DUMMYFUNCTION("""COMPUTED_VALUE"""),"MEESALA UPENDRA VENKATA AKHIL")</f>
        <v>MEESALA UPENDRA VENKATA AKHIL</v>
      </c>
      <c r="B256" s="9" t="str">
        <f ca="1">IFERROR(__xludf.DUMMYFUNCTION("""COMPUTED_VALUE"""),"18331A0597")</f>
        <v>18331A0597</v>
      </c>
      <c r="C256" s="78" t="str">
        <f ca="1">IFERROR(__xludf.DUMMYFUNCTION("""COMPUTED_VALUE"""),"Applied Machine Learning in Python")</f>
        <v>Applied Machine Learning in Python</v>
      </c>
      <c r="D256" s="9" t="str">
        <f ca="1">IFERROR(__xludf.DUMMYFUNCTION("""COMPUTED_VALUE"""),"COURSERA")</f>
        <v>COURSERA</v>
      </c>
      <c r="E256" s="9" t="str">
        <f ca="1">IFERROR(__xludf.DUMMYFUNCTION("""COMPUTED_VALUE"""),"1 month")</f>
        <v>1 month</v>
      </c>
      <c r="F256" s="79">
        <f ca="1">IFERROR(__xludf.DUMMYFUNCTION("""COMPUTED_VALUE"""),43925)</f>
        <v>43925</v>
      </c>
      <c r="G256" s="79">
        <f ca="1">IFERROR(__xludf.DUMMYFUNCTION("""COMPUTED_VALUE"""),43955)</f>
        <v>43955</v>
      </c>
      <c r="H256" s="72">
        <f ca="1">IFERROR(__xludf.DUMMYFUNCTION("""COMPUTED_VALUE"""),43955)</f>
        <v>43955</v>
      </c>
      <c r="I256" s="80">
        <f ca="1">IFERROR(__xludf.DUMMYFUNCTION("""COMPUTED_VALUE"""),98)</f>
        <v>98</v>
      </c>
      <c r="J256" s="9" t="str">
        <f ca="1">IFERROR(__xludf.DUMMYFUNCTION("""COMPUTED_VALUE"""),"NA")</f>
        <v>NA</v>
      </c>
      <c r="K256" s="73" t="str">
        <f ca="1">IFERROR(__xludf.DUMMYFUNCTION("""COMPUTED_VALUE"""),"https://drive.google.com/open?id=1gYjOMzNjOvKJepuv6ao08mqXhsq92C1T")</f>
        <v>https://drive.google.com/open?id=1gYjOMzNjOvKJepuv6ao08mqXhsq92C1T</v>
      </c>
      <c r="L256" s="9" t="str">
        <f ca="1">IFERROR(__xludf.DUMMYFUNCTION("""COMPUTED_VALUE"""),"2018-2022")</f>
        <v>2018-2022</v>
      </c>
      <c r="M256" s="9" t="str">
        <f ca="1">IFERROR(__xludf.DUMMYFUNCTION("""COMPUTED_VALUE"""),"S4: Student Certifications")</f>
        <v>S4: Student Certifications</v>
      </c>
      <c r="N256" s="9" t="str">
        <f ca="1">IFERROR(__xludf.DUMMYFUNCTION("""COMPUTED_VALUE"""),"meesalaakhil2000@gmail.com")</f>
        <v>meesalaakhil2000@gmail.com</v>
      </c>
      <c r="O256" s="9" t="str">
        <f ca="1">IFERROR(__xludf.DUMMYFUNCTION("""COMPUTED_VALUE"""),"SEM-4")</f>
        <v>SEM-4</v>
      </c>
      <c r="P256" s="9"/>
      <c r="Q256" s="9"/>
      <c r="R256" s="9"/>
      <c r="S256" s="9"/>
      <c r="T256" s="9"/>
      <c r="U256" s="9"/>
      <c r="V256" s="9"/>
      <c r="W256" s="9"/>
      <c r="X256" s="9"/>
      <c r="Y256" s="9"/>
    </row>
    <row r="257" spans="1:25" ht="26.25" customHeight="1" x14ac:dyDescent="0.15">
      <c r="A257" s="9" t="str">
        <f ca="1">IFERROR(__xludf.DUMMYFUNCTION("""COMPUTED_VALUE"""),"Harshini jampana")</f>
        <v>Harshini jampana</v>
      </c>
      <c r="B257" s="9" t="str">
        <f ca="1">IFERROR(__xludf.DUMMYFUNCTION("""COMPUTED_VALUE"""),"18331A0561")</f>
        <v>18331A0561</v>
      </c>
      <c r="C257" s="78" t="str">
        <f ca="1">IFERROR(__xludf.DUMMYFUNCTION("""COMPUTED_VALUE"""),"Cybersecurity Essentials ")</f>
        <v xml:space="preserve">Cybersecurity Essentials </v>
      </c>
      <c r="D257" s="9" t="str">
        <f ca="1">IFERROR(__xludf.DUMMYFUNCTION("""COMPUTED_VALUE"""),"Cisco")</f>
        <v>Cisco</v>
      </c>
      <c r="E257" s="9" t="str">
        <f ca="1">IFERROR(__xludf.DUMMYFUNCTION("""COMPUTED_VALUE"""),"1 month")</f>
        <v>1 month</v>
      </c>
      <c r="F257" s="79">
        <f ca="1">IFERROR(__xludf.DUMMYFUNCTION("""COMPUTED_VALUE"""),43641)</f>
        <v>43641</v>
      </c>
      <c r="G257" s="79">
        <f ca="1">IFERROR(__xludf.DUMMYFUNCTION("""COMPUTED_VALUE"""),43675)</f>
        <v>43675</v>
      </c>
      <c r="H257" s="72">
        <f ca="1">IFERROR(__xludf.DUMMYFUNCTION("""COMPUTED_VALUE"""),43675)</f>
        <v>43675</v>
      </c>
      <c r="I257" s="80">
        <f ca="1">IFERROR(__xludf.DUMMYFUNCTION("""COMPUTED_VALUE"""),100)</f>
        <v>100</v>
      </c>
      <c r="J257" s="9" t="str">
        <f ca="1">IFERROR(__xludf.DUMMYFUNCTION("""COMPUTED_VALUE"""),"Subba Raju K V ")</f>
        <v xml:space="preserve">Subba Raju K V </v>
      </c>
      <c r="K257" s="73" t="str">
        <f ca="1">IFERROR(__xludf.DUMMYFUNCTION("""COMPUTED_VALUE"""),"https://drive.google.com/open?id=11bQE7iUqWXnUTU6vjyfJICAwQh-lTG5q")</f>
        <v>https://drive.google.com/open?id=11bQE7iUqWXnUTU6vjyfJICAwQh-lTG5q</v>
      </c>
      <c r="L257" s="9" t="str">
        <f ca="1">IFERROR(__xludf.DUMMYFUNCTION("""COMPUTED_VALUE"""),"2018-2022")</f>
        <v>2018-2022</v>
      </c>
      <c r="M257" s="9" t="str">
        <f ca="1">IFERROR(__xludf.DUMMYFUNCTION("""COMPUTED_VALUE"""),"S4: Student Certifications")</f>
        <v>S4: Student Certifications</v>
      </c>
      <c r="N257" s="9" t="str">
        <f ca="1">IFERROR(__xludf.DUMMYFUNCTION("""COMPUTED_VALUE"""),"harshini.jampana@gmail.com")</f>
        <v>harshini.jampana@gmail.com</v>
      </c>
      <c r="O257" s="9" t="str">
        <f ca="1">IFERROR(__xludf.DUMMYFUNCTION("""COMPUTED_VALUE"""),"SEM-8")</f>
        <v>SEM-8</v>
      </c>
      <c r="P257" s="9"/>
      <c r="Q257" s="9"/>
      <c r="R257" s="9"/>
      <c r="S257" s="9"/>
      <c r="T257" s="9"/>
      <c r="U257" s="9"/>
      <c r="V257" s="9"/>
      <c r="W257" s="9"/>
      <c r="X257" s="9"/>
      <c r="Y257" s="9"/>
    </row>
    <row r="258" spans="1:25" ht="26.25" customHeight="1" x14ac:dyDescent="0.15">
      <c r="A258" s="9" t="str">
        <f ca="1">IFERROR(__xludf.DUMMYFUNCTION("""COMPUTED_VALUE"""),"VADLAPUDI DHEERAJ KUMAR ")</f>
        <v xml:space="preserve">VADLAPUDI DHEERAJ KUMAR </v>
      </c>
      <c r="B258" s="9" t="str">
        <f ca="1">IFERROR(__xludf.DUMMYFUNCTION("""COMPUTED_VALUE"""),"18331A05G4")</f>
        <v>18331A05G4</v>
      </c>
      <c r="C258" s="78" t="str">
        <f ca="1">IFERROR(__xludf.DUMMYFUNCTION("""COMPUTED_VALUE"""),"Joy of computing in Python")</f>
        <v>Joy of computing in Python</v>
      </c>
      <c r="D258" s="9" t="str">
        <f ca="1">IFERROR(__xludf.DUMMYFUNCTION("""COMPUTED_VALUE"""),"NPTL")</f>
        <v>NPTL</v>
      </c>
      <c r="E258" s="9" t="str">
        <f ca="1">IFERROR(__xludf.DUMMYFUNCTION("""COMPUTED_VALUE"""),"12 weeks")</f>
        <v>12 weeks</v>
      </c>
      <c r="F258" s="79">
        <f ca="1">IFERROR(__xludf.DUMMYFUNCTION("""COMPUTED_VALUE"""),44197)</f>
        <v>44197</v>
      </c>
      <c r="G258" s="79">
        <f ca="1">IFERROR(__xludf.DUMMYFUNCTION("""COMPUTED_VALUE"""),44316)</f>
        <v>44316</v>
      </c>
      <c r="H258" s="72">
        <f ca="1">IFERROR(__xludf.DUMMYFUNCTION("""COMPUTED_VALUE"""),44318)</f>
        <v>44318</v>
      </c>
      <c r="I258" s="80">
        <f ca="1">IFERROR(__xludf.DUMMYFUNCTION("""COMPUTED_VALUE"""),77)</f>
        <v>77</v>
      </c>
      <c r="J258" s="9" t="str">
        <f ca="1">IFERROR(__xludf.DUMMYFUNCTION("""COMPUTED_VALUE"""),".")</f>
        <v>.</v>
      </c>
      <c r="K258" s="73" t="str">
        <f ca="1">IFERROR(__xludf.DUMMYFUNCTION("""COMPUTED_VALUE"""),"https://drive.google.com/open?id=1Un1H0AIrb1uOW-ZLxouxeSlD51o_s6yJ")</f>
        <v>https://drive.google.com/open?id=1Un1H0AIrb1uOW-ZLxouxeSlD51o_s6yJ</v>
      </c>
      <c r="L258" s="9" t="str">
        <f ca="1">IFERROR(__xludf.DUMMYFUNCTION("""COMPUTED_VALUE"""),"2018-2022")</f>
        <v>2018-2022</v>
      </c>
      <c r="M258" s="9" t="str">
        <f ca="1">IFERROR(__xludf.DUMMYFUNCTION("""COMPUTED_VALUE"""),"S4: Student Certifications")</f>
        <v>S4: Student Certifications</v>
      </c>
      <c r="N258" s="9" t="str">
        <f ca="1">IFERROR(__xludf.DUMMYFUNCTION("""COMPUTED_VALUE"""),"vdkumar1200@gmail.com")</f>
        <v>vdkumar1200@gmail.com</v>
      </c>
      <c r="O258" s="9" t="str">
        <f ca="1">IFERROR(__xludf.DUMMYFUNCTION("""COMPUTED_VALUE"""),"SEM-8")</f>
        <v>SEM-8</v>
      </c>
      <c r="P258" s="9"/>
      <c r="Q258" s="9"/>
      <c r="R258" s="9"/>
      <c r="S258" s="9"/>
      <c r="T258" s="9"/>
      <c r="U258" s="9"/>
      <c r="V258" s="9"/>
      <c r="W258" s="9"/>
      <c r="X258" s="9"/>
      <c r="Y258" s="9"/>
    </row>
    <row r="259" spans="1:25" ht="26.25" customHeight="1" x14ac:dyDescent="0.15">
      <c r="A259" s="9" t="str">
        <f ca="1">IFERROR(__xludf.DUMMYFUNCTION("""COMPUTED_VALUE"""),"VADLAPUDI DHEERAJ KUMAR ")</f>
        <v xml:space="preserve">VADLAPUDI DHEERAJ KUMAR </v>
      </c>
      <c r="B259" s="9" t="str">
        <f ca="1">IFERROR(__xludf.DUMMYFUNCTION("""COMPUTED_VALUE"""),"18331A05G4")</f>
        <v>18331A05G4</v>
      </c>
      <c r="C259" s="78" t="str">
        <f ca="1">IFERROR(__xludf.DUMMYFUNCTION("""COMPUTED_VALUE"""),"IoT Fundamentals: Connecting Things")</f>
        <v>IoT Fundamentals: Connecting Things</v>
      </c>
      <c r="D259" s="9" t="str">
        <f ca="1">IFERROR(__xludf.DUMMYFUNCTION("""COMPUTED_VALUE"""),"CISCO")</f>
        <v>CISCO</v>
      </c>
      <c r="E259" s="9" t="str">
        <f ca="1">IFERROR(__xludf.DUMMYFUNCTION("""COMPUTED_VALUE"""),"2 months ")</f>
        <v xml:space="preserve">2 months </v>
      </c>
      <c r="F259" s="79">
        <f ca="1">IFERROR(__xludf.DUMMYFUNCTION("""COMPUTED_VALUE"""),44136)</f>
        <v>44136</v>
      </c>
      <c r="G259" s="79">
        <f ca="1">IFERROR(__xludf.DUMMYFUNCTION("""COMPUTED_VALUE"""),44196)</f>
        <v>44196</v>
      </c>
      <c r="H259" s="72">
        <f ca="1">IFERROR(__xludf.DUMMYFUNCTION("""COMPUTED_VALUE"""),44223)</f>
        <v>44223</v>
      </c>
      <c r="I259" s="80">
        <f ca="1">IFERROR(__xludf.DUMMYFUNCTION("""COMPUTED_VALUE"""),80)</f>
        <v>80</v>
      </c>
      <c r="J259" s="9" t="str">
        <f ca="1">IFERROR(__xludf.DUMMYFUNCTION("""COMPUTED_VALUE"""),"Ravi Kiran Varma ")</f>
        <v xml:space="preserve">Ravi Kiran Varma </v>
      </c>
      <c r="K259" s="73" t="str">
        <f ca="1">IFERROR(__xludf.DUMMYFUNCTION("""COMPUTED_VALUE"""),"https://drive.google.com/open?id=11vOXoyyj2R4fsgYVAYNT-egC_Om5iX96")</f>
        <v>https://drive.google.com/open?id=11vOXoyyj2R4fsgYVAYNT-egC_Om5iX96</v>
      </c>
      <c r="L259" s="9" t="str">
        <f ca="1">IFERROR(__xludf.DUMMYFUNCTION("""COMPUTED_VALUE"""),"2018-2022")</f>
        <v>2018-2022</v>
      </c>
      <c r="M259" s="9" t="str">
        <f ca="1">IFERROR(__xludf.DUMMYFUNCTION("""COMPUTED_VALUE"""),"S4: Student Certifications")</f>
        <v>S4: Student Certifications</v>
      </c>
      <c r="N259" s="9" t="str">
        <f ca="1">IFERROR(__xludf.DUMMYFUNCTION("""COMPUTED_VALUE"""),"vdkumar1200@gmail.com")</f>
        <v>vdkumar1200@gmail.com</v>
      </c>
      <c r="O259" s="9" t="str">
        <f ca="1">IFERROR(__xludf.DUMMYFUNCTION("""COMPUTED_VALUE"""),"SEM-8")</f>
        <v>SEM-8</v>
      </c>
      <c r="P259" s="9"/>
      <c r="Q259" s="9"/>
      <c r="R259" s="9"/>
      <c r="S259" s="9"/>
      <c r="T259" s="9"/>
      <c r="U259" s="9"/>
      <c r="V259" s="9"/>
      <c r="W259" s="9"/>
      <c r="X259" s="9"/>
      <c r="Y259" s="9"/>
    </row>
    <row r="260" spans="1:25" ht="26.25" customHeight="1" x14ac:dyDescent="0.15">
      <c r="A260" s="9" t="str">
        <f ca="1">IFERROR(__xludf.DUMMYFUNCTION("""COMPUTED_VALUE"""),"Giduturi Sneha Latha")</f>
        <v>Giduturi Sneha Latha</v>
      </c>
      <c r="B260" s="9" t="str">
        <f ca="1">IFERROR(__xludf.DUMMYFUNCTION("""COMPUTED_VALUE"""),"18331A0547")</f>
        <v>18331A0547</v>
      </c>
      <c r="C260" s="78" t="str">
        <f ca="1">IFERROR(__xludf.DUMMYFUNCTION("""COMPUTED_VALUE"""),"C for Everyone: Programming Fundamentals")</f>
        <v>C for Everyone: Programming Fundamentals</v>
      </c>
      <c r="D260" s="9" t="str">
        <f ca="1">IFERROR(__xludf.DUMMYFUNCTION("""COMPUTED_VALUE"""),"Coursera")</f>
        <v>Coursera</v>
      </c>
      <c r="E260" s="9" t="str">
        <f ca="1">IFERROR(__xludf.DUMMYFUNCTION("""COMPUTED_VALUE"""),"1 month")</f>
        <v>1 month</v>
      </c>
      <c r="F260" s="79">
        <f ca="1">IFERROR(__xludf.DUMMYFUNCTION("""COMPUTED_VALUE"""),44075)</f>
        <v>44075</v>
      </c>
      <c r="G260" s="79">
        <f ca="1">IFERROR(__xludf.DUMMYFUNCTION("""COMPUTED_VALUE"""),44086)</f>
        <v>44086</v>
      </c>
      <c r="H260" s="72">
        <f ca="1">IFERROR(__xludf.DUMMYFUNCTION("""COMPUTED_VALUE"""),44086)</f>
        <v>44086</v>
      </c>
      <c r="I260" s="80"/>
      <c r="J260" s="9" t="str">
        <f ca="1">IFERROR(__xludf.DUMMYFUNCTION("""COMPUTED_VALUE"""),"-")</f>
        <v>-</v>
      </c>
      <c r="K260" s="73" t="str">
        <f ca="1">IFERROR(__xludf.DUMMYFUNCTION("""COMPUTED_VALUE"""),"https://drive.google.com/open?id=1KJE6jTvg3cwUXAjwv6DyLbIhO_2sf296")</f>
        <v>https://drive.google.com/open?id=1KJE6jTvg3cwUXAjwv6DyLbIhO_2sf296</v>
      </c>
      <c r="L260" s="9" t="str">
        <f ca="1">IFERROR(__xludf.DUMMYFUNCTION("""COMPUTED_VALUE"""),"2018-2022")</f>
        <v>2018-2022</v>
      </c>
      <c r="M260" s="9" t="str">
        <f ca="1">IFERROR(__xludf.DUMMYFUNCTION("""COMPUTED_VALUE"""),"S4: Student Certifications")</f>
        <v>S4: Student Certifications</v>
      </c>
      <c r="N260" s="9" t="str">
        <f ca="1">IFERROR(__xludf.DUMMYFUNCTION("""COMPUTED_VALUE"""),"snehalathagiduturi@gmail.com")</f>
        <v>snehalathagiduturi@gmail.com</v>
      </c>
      <c r="O260" s="9" t="str">
        <f ca="1">IFERROR(__xludf.DUMMYFUNCTION("""COMPUTED_VALUE"""),"SEM-8")</f>
        <v>SEM-8</v>
      </c>
      <c r="P260" s="9"/>
      <c r="Q260" s="9"/>
      <c r="R260" s="9"/>
      <c r="S260" s="9"/>
      <c r="T260" s="9"/>
      <c r="U260" s="9"/>
      <c r="V260" s="9"/>
      <c r="W260" s="9"/>
      <c r="X260" s="9"/>
      <c r="Y260" s="9"/>
    </row>
    <row r="261" spans="1:25" ht="26.25" customHeight="1" x14ac:dyDescent="0.15">
      <c r="A261" s="9" t="str">
        <f ca="1">IFERROR(__xludf.DUMMYFUNCTION("""COMPUTED_VALUE"""),"Yasaswi Dendukuri")</f>
        <v>Yasaswi Dendukuri</v>
      </c>
      <c r="B261" s="9" t="str">
        <f ca="1">IFERROR(__xludf.DUMMYFUNCTION("""COMPUTED_VALUE"""),"18331A0531")</f>
        <v>18331A0531</v>
      </c>
      <c r="C261" s="78" t="str">
        <f ca="1">IFERROR(__xludf.DUMMYFUNCTION("""COMPUTED_VALUE"""),"Javascript")</f>
        <v>Javascript</v>
      </c>
      <c r="D261" s="9" t="str">
        <f ca="1">IFERROR(__xludf.DUMMYFUNCTION("""COMPUTED_VALUE"""),"Coursera")</f>
        <v>Coursera</v>
      </c>
      <c r="E261" s="9" t="str">
        <f ca="1">IFERROR(__xludf.DUMMYFUNCTION("""COMPUTED_VALUE"""),"1 month")</f>
        <v>1 month</v>
      </c>
      <c r="F261" s="79">
        <f ca="1">IFERROR(__xludf.DUMMYFUNCTION("""COMPUTED_VALUE"""),43956)</f>
        <v>43956</v>
      </c>
      <c r="G261" s="79">
        <f ca="1">IFERROR(__xludf.DUMMYFUNCTION("""COMPUTED_VALUE"""),43984)</f>
        <v>43984</v>
      </c>
      <c r="H261" s="72">
        <f ca="1">IFERROR(__xludf.DUMMYFUNCTION("""COMPUTED_VALUE"""),43984)</f>
        <v>43984</v>
      </c>
      <c r="I261" s="80">
        <f ca="1">IFERROR(__xludf.DUMMYFUNCTION("""COMPUTED_VALUE"""),0.88)</f>
        <v>0.88</v>
      </c>
      <c r="J261" s="9" t="str">
        <f ca="1">IFERROR(__xludf.DUMMYFUNCTION("""COMPUTED_VALUE"""),"NA")</f>
        <v>NA</v>
      </c>
      <c r="K261" s="73" t="str">
        <f ca="1">IFERROR(__xludf.DUMMYFUNCTION("""COMPUTED_VALUE"""),"https://drive.google.com/open?id=1KmNugm_XisKqjzAylIcY0aqZxNJlRQzk")</f>
        <v>https://drive.google.com/open?id=1KmNugm_XisKqjzAylIcY0aqZxNJlRQzk</v>
      </c>
      <c r="L261" s="9" t="str">
        <f ca="1">IFERROR(__xludf.DUMMYFUNCTION("""COMPUTED_VALUE"""),"2018-2022")</f>
        <v>2018-2022</v>
      </c>
      <c r="M261" s="9" t="str">
        <f ca="1">IFERROR(__xludf.DUMMYFUNCTION("""COMPUTED_VALUE"""),"S4: Student Certifications")</f>
        <v>S4: Student Certifications</v>
      </c>
      <c r="N261" s="9" t="str">
        <f ca="1">IFERROR(__xludf.DUMMYFUNCTION("""COMPUTED_VALUE"""),"dendukuri.16@gmail.com")</f>
        <v>dendukuri.16@gmail.com</v>
      </c>
      <c r="O261" s="9" t="str">
        <f ca="1">IFERROR(__xludf.DUMMYFUNCTION("""COMPUTED_VALUE"""),"SEM-8")</f>
        <v>SEM-8</v>
      </c>
      <c r="P261" s="9"/>
      <c r="Q261" s="9"/>
      <c r="R261" s="9"/>
      <c r="S261" s="9"/>
      <c r="T261" s="9"/>
      <c r="U261" s="9"/>
      <c r="V261" s="9"/>
      <c r="W261" s="9"/>
      <c r="X261" s="9"/>
      <c r="Y261" s="9"/>
    </row>
    <row r="262" spans="1:25" ht="26.25" customHeight="1" x14ac:dyDescent="0.15">
      <c r="A262" s="9" t="str">
        <f ca="1">IFERROR(__xludf.DUMMYFUNCTION("""COMPUTED_VALUE"""),"Dandu Sravani ")</f>
        <v xml:space="preserve">Dandu Sravani </v>
      </c>
      <c r="B262" s="9" t="str">
        <f ca="1">IFERROR(__xludf.DUMMYFUNCTION("""COMPUTED_VALUE"""),"18331A0529")</f>
        <v>18331A0529</v>
      </c>
      <c r="C262" s="78" t="str">
        <f ca="1">IFERROR(__xludf.DUMMYFUNCTION("""COMPUTED_VALUE"""),"Coursera python for everybody")</f>
        <v>Coursera python for everybody</v>
      </c>
      <c r="D262" s="9" t="str">
        <f ca="1">IFERROR(__xludf.DUMMYFUNCTION("""COMPUTED_VALUE"""),"Coursera")</f>
        <v>Coursera</v>
      </c>
      <c r="E262" s="9" t="str">
        <f ca="1">IFERROR(__xludf.DUMMYFUNCTION("""COMPUTED_VALUE"""),"Seven weeks ")</f>
        <v xml:space="preserve">Seven weeks </v>
      </c>
      <c r="F262" s="79">
        <f ca="1">IFERROR(__xludf.DUMMYFUNCTION("""COMPUTED_VALUE"""),43914)</f>
        <v>43914</v>
      </c>
      <c r="G262" s="79">
        <f ca="1">IFERROR(__xludf.DUMMYFUNCTION("""COMPUTED_VALUE"""),43963)</f>
        <v>43963</v>
      </c>
      <c r="H262" s="72">
        <f ca="1">IFERROR(__xludf.DUMMYFUNCTION("""COMPUTED_VALUE"""),43963)</f>
        <v>43963</v>
      </c>
      <c r="I262" s="80">
        <f ca="1">IFERROR(__xludf.DUMMYFUNCTION("""COMPUTED_VALUE"""),0.99)</f>
        <v>0.99</v>
      </c>
      <c r="J262" s="9" t="str">
        <f ca="1">IFERROR(__xludf.DUMMYFUNCTION("""COMPUTED_VALUE"""),"P. Satheesh ")</f>
        <v xml:space="preserve">P. Satheesh </v>
      </c>
      <c r="K262" s="73" t="str">
        <f ca="1">IFERROR(__xludf.DUMMYFUNCTION("""COMPUTED_VALUE"""),"https://drive.google.com/open?id=1ToU8ynlyYDOTVYC4oabKICXuq5AnKW3p")</f>
        <v>https://drive.google.com/open?id=1ToU8ynlyYDOTVYC4oabKICXuq5AnKW3p</v>
      </c>
      <c r="L262" s="9" t="str">
        <f ca="1">IFERROR(__xludf.DUMMYFUNCTION("""COMPUTED_VALUE"""),"2018-2022")</f>
        <v>2018-2022</v>
      </c>
      <c r="M262" s="9" t="str">
        <f ca="1">IFERROR(__xludf.DUMMYFUNCTION("""COMPUTED_VALUE"""),"S4: Student Certifications")</f>
        <v>S4: Student Certifications</v>
      </c>
      <c r="N262" s="9" t="str">
        <f ca="1">IFERROR(__xludf.DUMMYFUNCTION("""COMPUTED_VALUE"""),"sravyadandu200@gmail.com")</f>
        <v>sravyadandu200@gmail.com</v>
      </c>
      <c r="O262" s="9" t="str">
        <f ca="1">IFERROR(__xludf.DUMMYFUNCTION("""COMPUTED_VALUE"""),"SEM-4")</f>
        <v>SEM-4</v>
      </c>
      <c r="P262" s="9"/>
      <c r="Q262" s="9"/>
      <c r="R262" s="9"/>
      <c r="S262" s="9"/>
      <c r="T262" s="9"/>
      <c r="U262" s="9"/>
      <c r="V262" s="9"/>
      <c r="W262" s="9"/>
      <c r="X262" s="9"/>
      <c r="Y262" s="9"/>
    </row>
    <row r="263" spans="1:25" ht="26.25" customHeight="1" x14ac:dyDescent="0.15">
      <c r="A263" s="9" t="str">
        <f ca="1">IFERROR(__xludf.DUMMYFUNCTION("""COMPUTED_VALUE""")," Yasaswi Dendukuri")</f>
        <v xml:space="preserve"> Yasaswi Dendukuri</v>
      </c>
      <c r="B263" s="9" t="str">
        <f ca="1">IFERROR(__xludf.DUMMYFUNCTION("""COMPUTED_VALUE"""),"18331A0531")</f>
        <v>18331A0531</v>
      </c>
      <c r="C263" s="78" t="str">
        <f ca="1">IFERROR(__xludf.DUMMYFUNCTION("""COMPUTED_VALUE"""),"Html5")</f>
        <v>Html5</v>
      </c>
      <c r="D263" s="9" t="str">
        <f ca="1">IFERROR(__xludf.DUMMYFUNCTION("""COMPUTED_VALUE"""),"Coursera")</f>
        <v>Coursera</v>
      </c>
      <c r="E263" s="9" t="str">
        <f ca="1">IFERROR(__xludf.DUMMYFUNCTION("""COMPUTED_VALUE"""),"1month")</f>
        <v>1month</v>
      </c>
      <c r="F263" s="79">
        <f ca="1">IFERROR(__xludf.DUMMYFUNCTION("""COMPUTED_VALUE"""),43951)</f>
        <v>43951</v>
      </c>
      <c r="G263" s="79">
        <f ca="1">IFERROR(__xludf.DUMMYFUNCTION("""COMPUTED_VALUE"""),43982)</f>
        <v>43982</v>
      </c>
      <c r="H263" s="72">
        <f ca="1">IFERROR(__xludf.DUMMYFUNCTION("""COMPUTED_VALUE"""),43982)</f>
        <v>43982</v>
      </c>
      <c r="I263" s="80">
        <f ca="1">IFERROR(__xludf.DUMMYFUNCTION("""COMPUTED_VALUE"""),87)</f>
        <v>87</v>
      </c>
      <c r="J263" s="9" t="str">
        <f ca="1">IFERROR(__xludf.DUMMYFUNCTION("""COMPUTED_VALUE"""),"Na")</f>
        <v>Na</v>
      </c>
      <c r="K263" s="73" t="str">
        <f ca="1">IFERROR(__xludf.DUMMYFUNCTION("""COMPUTED_VALUE"""),"https://drive.google.com/open?id=1pcLpbVr2HuqKqMGYfZNDpRDZ5rGJa3qz")</f>
        <v>https://drive.google.com/open?id=1pcLpbVr2HuqKqMGYfZNDpRDZ5rGJa3qz</v>
      </c>
      <c r="L263" s="9" t="str">
        <f ca="1">IFERROR(__xludf.DUMMYFUNCTION("""COMPUTED_VALUE"""),"2018-2022")</f>
        <v>2018-2022</v>
      </c>
      <c r="M263" s="9" t="str">
        <f ca="1">IFERROR(__xludf.DUMMYFUNCTION("""COMPUTED_VALUE"""),"S4: Student Certifications")</f>
        <v>S4: Student Certifications</v>
      </c>
      <c r="N263" s="9" t="str">
        <f ca="1">IFERROR(__xludf.DUMMYFUNCTION("""COMPUTED_VALUE"""),"dendukuri.16@gmail.com")</f>
        <v>dendukuri.16@gmail.com</v>
      </c>
      <c r="O263" s="9" t="str">
        <f ca="1">IFERROR(__xludf.DUMMYFUNCTION("""COMPUTED_VALUE"""),"SEM-8")</f>
        <v>SEM-8</v>
      </c>
      <c r="P263" s="9"/>
      <c r="Q263" s="9"/>
      <c r="R263" s="9"/>
      <c r="S263" s="9"/>
      <c r="T263" s="9"/>
      <c r="U263" s="9"/>
      <c r="V263" s="9"/>
      <c r="W263" s="9"/>
      <c r="X263" s="9"/>
      <c r="Y263" s="9"/>
    </row>
    <row r="264" spans="1:25" ht="26.25" customHeight="1" x14ac:dyDescent="0.15">
      <c r="A264" s="9" t="str">
        <f ca="1">IFERROR(__xludf.DUMMYFUNCTION("""COMPUTED_VALUE"""),"SAI VENKATA ROHIT NAIK BHUKYA")</f>
        <v>SAI VENKATA ROHIT NAIK BHUKYA</v>
      </c>
      <c r="B264" s="9" t="str">
        <f ca="1">IFERROR(__xludf.DUMMYFUNCTION("""COMPUTED_VALUE"""),"18331A05D3")</f>
        <v>18331A05D3</v>
      </c>
      <c r="C264" s="78" t="str">
        <f ca="1">IFERROR(__xludf.DUMMYFUNCTION("""COMPUTED_VALUE"""),"Web Development ")</f>
        <v xml:space="preserve">Web Development </v>
      </c>
      <c r="D264" s="9" t="str">
        <f ca="1">IFERROR(__xludf.DUMMYFUNCTION("""COMPUTED_VALUE"""),"Coursera")</f>
        <v>Coursera</v>
      </c>
      <c r="E264" s="9" t="str">
        <f ca="1">IFERROR(__xludf.DUMMYFUNCTION("""COMPUTED_VALUE"""),"6 months ")</f>
        <v xml:space="preserve">6 months </v>
      </c>
      <c r="F264" s="79">
        <f ca="1">IFERROR(__xludf.DUMMYFUNCTION("""COMPUTED_VALUE"""),43832)</f>
        <v>43832</v>
      </c>
      <c r="G264" s="79">
        <f ca="1">IFERROR(__xludf.DUMMYFUNCTION("""COMPUTED_VALUE"""),43998)</f>
        <v>43998</v>
      </c>
      <c r="H264" s="72">
        <f ca="1">IFERROR(__xludf.DUMMYFUNCTION("""COMPUTED_VALUE"""),43994)</f>
        <v>43994</v>
      </c>
      <c r="I264" s="80">
        <f ca="1">IFERROR(__xludf.DUMMYFUNCTION("""COMPUTED_VALUE"""),0.85)</f>
        <v>0.85</v>
      </c>
      <c r="J264" s="9" t="str">
        <f ca="1">IFERROR(__xludf.DUMMYFUNCTION("""COMPUTED_VALUE"""),"Colleen van lent ")</f>
        <v xml:space="preserve">Colleen van lent </v>
      </c>
      <c r="K264" s="73" t="str">
        <f ca="1">IFERROR(__xludf.DUMMYFUNCTION("""COMPUTED_VALUE"""),"https://drive.google.com/open?id=1__g9ayAlDo4o5BLco3HRndl_PozQVYIF")</f>
        <v>https://drive.google.com/open?id=1__g9ayAlDo4o5BLco3HRndl_PozQVYIF</v>
      </c>
      <c r="L264" s="9" t="str">
        <f ca="1">IFERROR(__xludf.DUMMYFUNCTION("""COMPUTED_VALUE"""),"2018-2022")</f>
        <v>2018-2022</v>
      </c>
      <c r="M264" s="9" t="str">
        <f ca="1">IFERROR(__xludf.DUMMYFUNCTION("""COMPUTED_VALUE"""),"S4: Student Certifications")</f>
        <v>S4: Student Certifications</v>
      </c>
      <c r="N264" s="9" t="str">
        <f ca="1">IFERROR(__xludf.DUMMYFUNCTION("""COMPUTED_VALUE"""),"rohitbhukya@gmail.com")</f>
        <v>rohitbhukya@gmail.com</v>
      </c>
      <c r="O264" s="9" t="str">
        <f ca="1">IFERROR(__xludf.DUMMYFUNCTION("""COMPUTED_VALUE"""),"SEM-8")</f>
        <v>SEM-8</v>
      </c>
      <c r="P264" s="9"/>
      <c r="Q264" s="9"/>
      <c r="R264" s="9"/>
      <c r="S264" s="9"/>
      <c r="T264" s="9"/>
      <c r="U264" s="9"/>
      <c r="V264" s="9"/>
      <c r="W264" s="9"/>
      <c r="X264" s="9"/>
      <c r="Y264" s="9"/>
    </row>
    <row r="265" spans="1:25" ht="26.25" customHeight="1" x14ac:dyDescent="0.15">
      <c r="A265" s="9" t="str">
        <f ca="1">IFERROR(__xludf.DUMMYFUNCTION("""COMPUTED_VALUE"""),"Yasaswi Dendukuri")</f>
        <v>Yasaswi Dendukuri</v>
      </c>
      <c r="B265" s="9" t="str">
        <f ca="1">IFERROR(__xludf.DUMMYFUNCTION("""COMPUTED_VALUE"""),"18331A0531")</f>
        <v>18331A0531</v>
      </c>
      <c r="C265" s="78" t="str">
        <f ca="1">IFERROR(__xludf.DUMMYFUNCTION("""COMPUTED_VALUE"""),"Coursera")</f>
        <v>Coursera</v>
      </c>
      <c r="D265" s="9" t="str">
        <f ca="1">IFERROR(__xludf.DUMMYFUNCTION("""COMPUTED_VALUE"""),"Introduction to Web development")</f>
        <v>Introduction to Web development</v>
      </c>
      <c r="E265" s="9" t="str">
        <f ca="1">IFERROR(__xludf.DUMMYFUNCTION("""COMPUTED_VALUE"""),"1month")</f>
        <v>1month</v>
      </c>
      <c r="F265" s="79">
        <f ca="1">IFERROR(__xludf.DUMMYFUNCTION("""COMPUTED_VALUE"""),43951)</f>
        <v>43951</v>
      </c>
      <c r="G265" s="79">
        <f ca="1">IFERROR(__xludf.DUMMYFUNCTION("""COMPUTED_VALUE"""),43960)</f>
        <v>43960</v>
      </c>
      <c r="H265" s="72">
        <f ca="1">IFERROR(__xludf.DUMMYFUNCTION("""COMPUTED_VALUE"""),43960)</f>
        <v>43960</v>
      </c>
      <c r="I265" s="80">
        <f ca="1">IFERROR(__xludf.DUMMYFUNCTION("""COMPUTED_VALUE"""),80)</f>
        <v>80</v>
      </c>
      <c r="J265" s="9" t="str">
        <f ca="1">IFERROR(__xludf.DUMMYFUNCTION("""COMPUTED_VALUE"""),"NA")</f>
        <v>NA</v>
      </c>
      <c r="K265" s="73" t="str">
        <f ca="1">IFERROR(__xludf.DUMMYFUNCTION("""COMPUTED_VALUE"""),"https://drive.google.com/open?id=1kJPv0I6H9Kk9nyK1ZXr0M2XPCPxfRoTd")</f>
        <v>https://drive.google.com/open?id=1kJPv0I6H9Kk9nyK1ZXr0M2XPCPxfRoTd</v>
      </c>
      <c r="L265" s="9" t="str">
        <f ca="1">IFERROR(__xludf.DUMMYFUNCTION("""COMPUTED_VALUE"""),"2018-2022")</f>
        <v>2018-2022</v>
      </c>
      <c r="M265" s="9" t="str">
        <f ca="1">IFERROR(__xludf.DUMMYFUNCTION("""COMPUTED_VALUE"""),"S4: Student Certifications")</f>
        <v>S4: Student Certifications</v>
      </c>
      <c r="N265" s="9" t="str">
        <f ca="1">IFERROR(__xludf.DUMMYFUNCTION("""COMPUTED_VALUE"""),"dendukuri.16@gmail.com")</f>
        <v>dendukuri.16@gmail.com</v>
      </c>
      <c r="O265" s="9" t="str">
        <f ca="1">IFERROR(__xludf.DUMMYFUNCTION("""COMPUTED_VALUE"""),"SEM-8")</f>
        <v>SEM-8</v>
      </c>
      <c r="P265" s="9"/>
      <c r="Q265" s="9"/>
      <c r="R265" s="9"/>
      <c r="S265" s="9"/>
      <c r="T265" s="9"/>
      <c r="U265" s="9"/>
      <c r="V265" s="9"/>
      <c r="W265" s="9"/>
      <c r="X265" s="9"/>
      <c r="Y265" s="9"/>
    </row>
    <row r="266" spans="1:25" ht="26.25" customHeight="1" x14ac:dyDescent="0.15">
      <c r="A266" s="9" t="str">
        <f ca="1">IFERROR(__xludf.DUMMYFUNCTION("""COMPUTED_VALUE"""),"Dandu Sravani ")</f>
        <v xml:space="preserve">Dandu Sravani </v>
      </c>
      <c r="B266" s="9" t="str">
        <f ca="1">IFERROR(__xludf.DUMMYFUNCTION("""COMPUTED_VALUE"""),"18331A0529")</f>
        <v>18331A0529</v>
      </c>
      <c r="C266" s="78" t="str">
        <f ca="1">IFERROR(__xludf.DUMMYFUNCTION("""COMPUTED_VALUE"""),"Coursera introduction to html5")</f>
        <v>Coursera introduction to html5</v>
      </c>
      <c r="D266" s="9" t="str">
        <f ca="1">IFERROR(__xludf.DUMMYFUNCTION("""COMPUTED_VALUE"""),"Coursera")</f>
        <v>Coursera</v>
      </c>
      <c r="E266" s="9" t="str">
        <f ca="1">IFERROR(__xludf.DUMMYFUNCTION("""COMPUTED_VALUE"""),"Three weeks")</f>
        <v>Three weeks</v>
      </c>
      <c r="F266" s="79">
        <f ca="1">IFERROR(__xludf.DUMMYFUNCTION("""COMPUTED_VALUE"""),44639)</f>
        <v>44639</v>
      </c>
      <c r="G266" s="79">
        <f ca="1">IFERROR(__xludf.DUMMYFUNCTION("""COMPUTED_VALUE"""),43991)</f>
        <v>43991</v>
      </c>
      <c r="H266" s="72">
        <f ca="1">IFERROR(__xludf.DUMMYFUNCTION("""COMPUTED_VALUE"""),43991)</f>
        <v>43991</v>
      </c>
      <c r="I266" s="80">
        <f ca="1">IFERROR(__xludf.DUMMYFUNCTION("""COMPUTED_VALUE"""),0.98)</f>
        <v>0.98</v>
      </c>
      <c r="J266" s="9" t="str">
        <f ca="1">IFERROR(__xludf.DUMMYFUNCTION("""COMPUTED_VALUE"""),"P. Satheesh ")</f>
        <v xml:space="preserve">P. Satheesh </v>
      </c>
      <c r="K266" s="73" t="str">
        <f ca="1">IFERROR(__xludf.DUMMYFUNCTION("""COMPUTED_VALUE"""),"https://drive.google.com/open?id=1ywwRx2BTwuQhj21kkoPE0IoFic1e0lG4")</f>
        <v>https://drive.google.com/open?id=1ywwRx2BTwuQhj21kkoPE0IoFic1e0lG4</v>
      </c>
      <c r="L266" s="9" t="str">
        <f ca="1">IFERROR(__xludf.DUMMYFUNCTION("""COMPUTED_VALUE"""),"2018-2022")</f>
        <v>2018-2022</v>
      </c>
      <c r="M266" s="9" t="str">
        <f ca="1">IFERROR(__xludf.DUMMYFUNCTION("""COMPUTED_VALUE"""),"S4: Student Certifications")</f>
        <v>S4: Student Certifications</v>
      </c>
      <c r="N266" s="9" t="str">
        <f ca="1">IFERROR(__xludf.DUMMYFUNCTION("""COMPUTED_VALUE"""),"sravyadandu200@gmail.com")</f>
        <v>sravyadandu200@gmail.com</v>
      </c>
      <c r="O266" s="9" t="str">
        <f ca="1">IFERROR(__xludf.DUMMYFUNCTION("""COMPUTED_VALUE"""),"SEM-4")</f>
        <v>SEM-4</v>
      </c>
      <c r="P266" s="9"/>
      <c r="Q266" s="9"/>
      <c r="R266" s="9"/>
      <c r="S266" s="9"/>
      <c r="T266" s="9"/>
      <c r="U266" s="9"/>
      <c r="V266" s="9"/>
      <c r="W266" s="9"/>
      <c r="X266" s="9"/>
      <c r="Y266" s="9"/>
    </row>
    <row r="267" spans="1:25" ht="26.25" customHeight="1" x14ac:dyDescent="0.15">
      <c r="A267" s="9" t="str">
        <f ca="1">IFERROR(__xludf.DUMMYFUNCTION("""COMPUTED_VALUE"""),"Giduturi Sneha Latha")</f>
        <v>Giduturi Sneha Latha</v>
      </c>
      <c r="B267" s="9" t="str">
        <f ca="1">IFERROR(__xludf.DUMMYFUNCTION("""COMPUTED_VALUE"""),"18331A0547")</f>
        <v>18331A0547</v>
      </c>
      <c r="C267" s="78" t="str">
        <f ca="1">IFERROR(__xludf.DUMMYFUNCTION("""COMPUTED_VALUE"""),"Introduction to HTML5")</f>
        <v>Introduction to HTML5</v>
      </c>
      <c r="D267" s="9" t="str">
        <f ca="1">IFERROR(__xludf.DUMMYFUNCTION("""COMPUTED_VALUE"""),"Coursera")</f>
        <v>Coursera</v>
      </c>
      <c r="E267" s="9" t="str">
        <f ca="1">IFERROR(__xludf.DUMMYFUNCTION("""COMPUTED_VALUE"""),"1 month")</f>
        <v>1 month</v>
      </c>
      <c r="F267" s="79">
        <f ca="1">IFERROR(__xludf.DUMMYFUNCTION("""COMPUTED_VALUE"""),43961)</f>
        <v>43961</v>
      </c>
      <c r="G267" s="79">
        <f ca="1">IFERROR(__xludf.DUMMYFUNCTION("""COMPUTED_VALUE"""),43970)</f>
        <v>43970</v>
      </c>
      <c r="H267" s="72">
        <f ca="1">IFERROR(__xludf.DUMMYFUNCTION("""COMPUTED_VALUE"""),43970)</f>
        <v>43970</v>
      </c>
      <c r="I267" s="80"/>
      <c r="J267" s="9" t="str">
        <f ca="1">IFERROR(__xludf.DUMMYFUNCTION("""COMPUTED_VALUE"""),"-")</f>
        <v>-</v>
      </c>
      <c r="K267" s="73" t="str">
        <f ca="1">IFERROR(__xludf.DUMMYFUNCTION("""COMPUTED_VALUE"""),"https://drive.google.com/open?id=1JQ5wy0mFP75VcieLkSgUlKUHipxnVgZB")</f>
        <v>https://drive.google.com/open?id=1JQ5wy0mFP75VcieLkSgUlKUHipxnVgZB</v>
      </c>
      <c r="L267" s="9" t="str">
        <f ca="1">IFERROR(__xludf.DUMMYFUNCTION("""COMPUTED_VALUE"""),"2018-2022")</f>
        <v>2018-2022</v>
      </c>
      <c r="M267" s="9" t="str">
        <f ca="1">IFERROR(__xludf.DUMMYFUNCTION("""COMPUTED_VALUE"""),"S4: Student Certifications")</f>
        <v>S4: Student Certifications</v>
      </c>
      <c r="N267" s="9" t="str">
        <f ca="1">IFERROR(__xludf.DUMMYFUNCTION("""COMPUTED_VALUE"""),"snehalathagiduturi@gmail.com")</f>
        <v>snehalathagiduturi@gmail.com</v>
      </c>
      <c r="O267" s="9" t="str">
        <f ca="1">IFERROR(__xludf.DUMMYFUNCTION("""COMPUTED_VALUE"""),"SEM-8")</f>
        <v>SEM-8</v>
      </c>
      <c r="P267" s="9"/>
      <c r="Q267" s="9"/>
      <c r="R267" s="9"/>
      <c r="S267" s="9"/>
      <c r="T267" s="9"/>
      <c r="U267" s="9"/>
      <c r="V267" s="9"/>
      <c r="W267" s="9"/>
      <c r="X267" s="9"/>
      <c r="Y267" s="9"/>
    </row>
    <row r="268" spans="1:25" ht="26.25" customHeight="1" x14ac:dyDescent="0.15">
      <c r="A268" s="9" t="str">
        <f ca="1">IFERROR(__xludf.DUMMYFUNCTION("""COMPUTED_VALUE"""),"Dandu Sravani ")</f>
        <v xml:space="preserve">Dandu Sravani </v>
      </c>
      <c r="B268" s="9" t="str">
        <f ca="1">IFERROR(__xludf.DUMMYFUNCTION("""COMPUTED_VALUE"""),"18331A0539")</f>
        <v>18331A0539</v>
      </c>
      <c r="C268" s="78" t="str">
        <f ca="1">IFERROR(__xludf.DUMMYFUNCTION("""COMPUTED_VALUE"""),"Coursera Python Data structures ")</f>
        <v xml:space="preserve">Coursera Python Data structures </v>
      </c>
      <c r="D268" s="9" t="str">
        <f ca="1">IFERROR(__xludf.DUMMYFUNCTION("""COMPUTED_VALUE"""),"Coursera")</f>
        <v>Coursera</v>
      </c>
      <c r="E268" s="9" t="str">
        <f ca="1">IFERROR(__xludf.DUMMYFUNCTION("""COMPUTED_VALUE"""),"Seven weeks ")</f>
        <v xml:space="preserve">Seven weeks </v>
      </c>
      <c r="F268" s="79">
        <f ca="1">IFERROR(__xludf.DUMMYFUNCTION("""COMPUTED_VALUE"""),44298)</f>
        <v>44298</v>
      </c>
      <c r="G268" s="79">
        <f ca="1">IFERROR(__xludf.DUMMYFUNCTION("""COMPUTED_VALUE"""),44366)</f>
        <v>44366</v>
      </c>
      <c r="H268" s="72">
        <f ca="1">IFERROR(__xludf.DUMMYFUNCTION("""COMPUTED_VALUE"""),44366)</f>
        <v>44366</v>
      </c>
      <c r="I268" s="80">
        <f ca="1">IFERROR(__xludf.DUMMYFUNCTION("""COMPUTED_VALUE"""),0.99)</f>
        <v>0.99</v>
      </c>
      <c r="J268" s="9" t="str">
        <f ca="1">IFERROR(__xludf.DUMMYFUNCTION("""COMPUTED_VALUE"""),"P. Satheesh ")</f>
        <v xml:space="preserve">P. Satheesh </v>
      </c>
      <c r="K268" s="73" t="str">
        <f ca="1">IFERROR(__xludf.DUMMYFUNCTION("""COMPUTED_VALUE"""),"https://drive.google.com/open?id=1E7huDsRdgt5PdBLlOHyYPh6mOB9NeyoA")</f>
        <v>https://drive.google.com/open?id=1E7huDsRdgt5PdBLlOHyYPh6mOB9NeyoA</v>
      </c>
      <c r="L268" s="9" t="str">
        <f ca="1">IFERROR(__xludf.DUMMYFUNCTION("""COMPUTED_VALUE"""),"2018-2022")</f>
        <v>2018-2022</v>
      </c>
      <c r="M268" s="9" t="str">
        <f ca="1">IFERROR(__xludf.DUMMYFUNCTION("""COMPUTED_VALUE"""),"S4: Student Certifications")</f>
        <v>S4: Student Certifications</v>
      </c>
      <c r="N268" s="9" t="str">
        <f ca="1">IFERROR(__xludf.DUMMYFUNCTION("""COMPUTED_VALUE"""),"sravyadandu200@gmail.com")</f>
        <v>sravyadandu200@gmail.com</v>
      </c>
      <c r="O268" s="9" t="str">
        <f ca="1">IFERROR(__xludf.DUMMYFUNCTION("""COMPUTED_VALUE"""),"SEM-4")</f>
        <v>SEM-4</v>
      </c>
      <c r="P268" s="9"/>
      <c r="Q268" s="9"/>
      <c r="R268" s="9"/>
      <c r="S268" s="9"/>
      <c r="T268" s="9"/>
      <c r="U268" s="9"/>
      <c r="V268" s="9"/>
      <c r="W268" s="9"/>
      <c r="X268" s="9"/>
      <c r="Y268" s="9"/>
    </row>
    <row r="269" spans="1:25" ht="26.25" customHeight="1" x14ac:dyDescent="0.15">
      <c r="A269" s="9" t="str">
        <f ca="1">IFERROR(__xludf.DUMMYFUNCTION("""COMPUTED_VALUE"""),"Giduturi Sneha Latha")</f>
        <v>Giduturi Sneha Latha</v>
      </c>
      <c r="B269" s="9" t="str">
        <f ca="1">IFERROR(__xludf.DUMMYFUNCTION("""COMPUTED_VALUE"""),"18331A0547")</f>
        <v>18331A0547</v>
      </c>
      <c r="C269" s="78" t="str">
        <f ca="1">IFERROR(__xludf.DUMMYFUNCTION("""COMPUTED_VALUE"""),"Python Data Structures")</f>
        <v>Python Data Structures</v>
      </c>
      <c r="D269" s="9" t="str">
        <f ca="1">IFERROR(__xludf.DUMMYFUNCTION("""COMPUTED_VALUE"""),"coursera")</f>
        <v>coursera</v>
      </c>
      <c r="E269" s="9" t="str">
        <f ca="1">IFERROR(__xludf.DUMMYFUNCTION("""COMPUTED_VALUE"""),"1 month")</f>
        <v>1 month</v>
      </c>
      <c r="F269" s="79">
        <f ca="1">IFERROR(__xludf.DUMMYFUNCTION("""COMPUTED_VALUE"""),43914)</f>
        <v>43914</v>
      </c>
      <c r="G269" s="79">
        <f ca="1">IFERROR(__xludf.DUMMYFUNCTION("""COMPUTED_VALUE"""),43945)</f>
        <v>43945</v>
      </c>
      <c r="H269" s="72">
        <f ca="1">IFERROR(__xludf.DUMMYFUNCTION("""COMPUTED_VALUE"""),43945)</f>
        <v>43945</v>
      </c>
      <c r="I269" s="80"/>
      <c r="J269" s="9" t="str">
        <f ca="1">IFERROR(__xludf.DUMMYFUNCTION("""COMPUTED_VALUE"""),"-")</f>
        <v>-</v>
      </c>
      <c r="K269" s="73" t="str">
        <f ca="1">IFERROR(__xludf.DUMMYFUNCTION("""COMPUTED_VALUE"""),"https://drive.google.com/open?id=1n9PlgNueWUsKnTR51cXZAMTfxtOvAthK")</f>
        <v>https://drive.google.com/open?id=1n9PlgNueWUsKnTR51cXZAMTfxtOvAthK</v>
      </c>
      <c r="L269" s="9" t="str">
        <f ca="1">IFERROR(__xludf.DUMMYFUNCTION("""COMPUTED_VALUE"""),"2018-2022")</f>
        <v>2018-2022</v>
      </c>
      <c r="M269" s="9" t="str">
        <f ca="1">IFERROR(__xludf.DUMMYFUNCTION("""COMPUTED_VALUE"""),"S4: Student Certifications")</f>
        <v>S4: Student Certifications</v>
      </c>
      <c r="N269" s="9" t="str">
        <f ca="1">IFERROR(__xludf.DUMMYFUNCTION("""COMPUTED_VALUE"""),"snehalathagiduturi@gmail.com")</f>
        <v>snehalathagiduturi@gmail.com</v>
      </c>
      <c r="O269" s="9" t="str">
        <f ca="1">IFERROR(__xludf.DUMMYFUNCTION("""COMPUTED_VALUE"""),"SEM-8")</f>
        <v>SEM-8</v>
      </c>
      <c r="P269" s="9"/>
      <c r="Q269" s="9"/>
      <c r="R269" s="9"/>
      <c r="S269" s="9"/>
      <c r="T269" s="9"/>
      <c r="U269" s="9"/>
      <c r="V269" s="9"/>
      <c r="W269" s="9"/>
      <c r="X269" s="9"/>
      <c r="Y269" s="9"/>
    </row>
    <row r="270" spans="1:25" ht="26.25" customHeight="1" x14ac:dyDescent="0.15">
      <c r="A270" s="9" t="str">
        <f ca="1">IFERROR(__xludf.DUMMYFUNCTION("""COMPUTED_VALUE"""),"VADLAPUDI DHEERAJ KUMAR ")</f>
        <v xml:space="preserve">VADLAPUDI DHEERAJ KUMAR </v>
      </c>
      <c r="B270" s="9" t="str">
        <f ca="1">IFERROR(__xludf.DUMMYFUNCTION("""COMPUTED_VALUE"""),"18331A05G4")</f>
        <v>18331A05G4</v>
      </c>
      <c r="C270" s="78" t="str">
        <f ca="1">IFERROR(__xludf.DUMMYFUNCTION("""COMPUTED_VALUE"""),"CCNAv7 Introduction to Networks")</f>
        <v>CCNAv7 Introduction to Networks</v>
      </c>
      <c r="D270" s="9" t="str">
        <f ca="1">IFERROR(__xludf.DUMMYFUNCTION("""COMPUTED_VALUE"""),"CISCO")</f>
        <v>CISCO</v>
      </c>
      <c r="E270" s="9" t="str">
        <f ca="1">IFERROR(__xludf.DUMMYFUNCTION("""COMPUTED_VALUE"""),"6 months")</f>
        <v>6 months</v>
      </c>
      <c r="F270" s="79">
        <f ca="1">IFERROR(__xludf.DUMMYFUNCTION("""COMPUTED_VALUE"""),43800)</f>
        <v>43800</v>
      </c>
      <c r="G270" s="79">
        <f ca="1">IFERROR(__xludf.DUMMYFUNCTION("""COMPUTED_VALUE"""),43951)</f>
        <v>43951</v>
      </c>
      <c r="H270" s="72">
        <f ca="1">IFERROR(__xludf.DUMMYFUNCTION("""COMPUTED_VALUE"""),43967)</f>
        <v>43967</v>
      </c>
      <c r="I270" s="80">
        <f ca="1">IFERROR(__xludf.DUMMYFUNCTION("""COMPUTED_VALUE"""),85)</f>
        <v>85</v>
      </c>
      <c r="J270" s="9" t="str">
        <f ca="1">IFERROR(__xludf.DUMMYFUNCTION("""COMPUTED_VALUE"""),"Ravi Kiran Varma Penmasta ")</f>
        <v xml:space="preserve">Ravi Kiran Varma Penmasta </v>
      </c>
      <c r="K270" s="73" t="str">
        <f ca="1">IFERROR(__xludf.DUMMYFUNCTION("""COMPUTED_VALUE"""),"https://drive.google.com/open?id=1h9mBg40srAoiXjTsWHdo3xEaW2L5sHlk")</f>
        <v>https://drive.google.com/open?id=1h9mBg40srAoiXjTsWHdo3xEaW2L5sHlk</v>
      </c>
      <c r="L270" s="9" t="str">
        <f ca="1">IFERROR(__xludf.DUMMYFUNCTION("""COMPUTED_VALUE"""),"2018-2022")</f>
        <v>2018-2022</v>
      </c>
      <c r="M270" s="9" t="str">
        <f ca="1">IFERROR(__xludf.DUMMYFUNCTION("""COMPUTED_VALUE"""),"S4: Student Certifications")</f>
        <v>S4: Student Certifications</v>
      </c>
      <c r="N270" s="9" t="str">
        <f ca="1">IFERROR(__xludf.DUMMYFUNCTION("""COMPUTED_VALUE"""),"vdkumar1200@gmail.com")</f>
        <v>vdkumar1200@gmail.com</v>
      </c>
      <c r="O270" s="9" t="str">
        <f ca="1">IFERROR(__xludf.DUMMYFUNCTION("""COMPUTED_VALUE"""),"SEM-8")</f>
        <v>SEM-8</v>
      </c>
      <c r="P270" s="9"/>
      <c r="Q270" s="9"/>
      <c r="R270" s="9"/>
      <c r="S270" s="9"/>
      <c r="T270" s="9"/>
      <c r="U270" s="9"/>
      <c r="V270" s="9"/>
      <c r="W270" s="9"/>
      <c r="X270" s="9"/>
      <c r="Y270" s="9"/>
    </row>
    <row r="271" spans="1:25" ht="26.25" customHeight="1" x14ac:dyDescent="0.15">
      <c r="A271" s="9" t="str">
        <f ca="1">IFERROR(__xludf.DUMMYFUNCTION("""COMPUTED_VALUE"""),"K. Neelima")</f>
        <v>K. Neelima</v>
      </c>
      <c r="B271" s="9" t="str">
        <f ca="1">IFERROR(__xludf.DUMMYFUNCTION("""COMPUTED_VALUE"""),"19335A0508")</f>
        <v>19335A0508</v>
      </c>
      <c r="C271" s="78" t="str">
        <f ca="1">IFERROR(__xludf.DUMMYFUNCTION("""COMPUTED_VALUE"""),"Neural Hack2021-season 5")</f>
        <v>Neural Hack2021-season 5</v>
      </c>
      <c r="D271" s="9" t="str">
        <f ca="1">IFERROR(__xludf.DUMMYFUNCTION("""COMPUTED_VALUE"""),"Virtusa")</f>
        <v>Virtusa</v>
      </c>
      <c r="E271" s="9" t="str">
        <f ca="1">IFERROR(__xludf.DUMMYFUNCTION("""COMPUTED_VALUE"""),"1")</f>
        <v>1</v>
      </c>
      <c r="F271" s="79">
        <f ca="1">IFERROR(__xludf.DUMMYFUNCTION("""COMPUTED_VALUE"""),44489)</f>
        <v>44489</v>
      </c>
      <c r="G271" s="79">
        <f ca="1">IFERROR(__xludf.DUMMYFUNCTION("""COMPUTED_VALUE"""),44489)</f>
        <v>44489</v>
      </c>
      <c r="H271" s="72">
        <f ca="1">IFERROR(__xludf.DUMMYFUNCTION("""COMPUTED_VALUE"""),44489)</f>
        <v>44489</v>
      </c>
      <c r="I271" s="80">
        <f ca="1">IFERROR(__xludf.DUMMYFUNCTION("""COMPUTED_VALUE"""),100)</f>
        <v>100</v>
      </c>
      <c r="J271" s="9" t="str">
        <f ca="1">IFERROR(__xludf.DUMMYFUNCTION("""COMPUTED_VALUE"""),"Team Virtusa")</f>
        <v>Team Virtusa</v>
      </c>
      <c r="K271" s="73" t="str">
        <f ca="1">IFERROR(__xludf.DUMMYFUNCTION("""COMPUTED_VALUE"""),"https://drive.google.com/open?id=19jrZAI10BQmb-sfpxY5DRbl_KKgFEZOd")</f>
        <v>https://drive.google.com/open?id=19jrZAI10BQmb-sfpxY5DRbl_KKgFEZOd</v>
      </c>
      <c r="L271" s="9" t="str">
        <f ca="1">IFERROR(__xludf.DUMMYFUNCTION("""COMPUTED_VALUE"""),"2018-2022")</f>
        <v>2018-2022</v>
      </c>
      <c r="M271" s="9" t="str">
        <f ca="1">IFERROR(__xludf.DUMMYFUNCTION("""COMPUTED_VALUE"""),"S4: Student Certifications")</f>
        <v>S4: Student Certifications</v>
      </c>
      <c r="N271" s="9" t="str">
        <f ca="1">IFERROR(__xludf.DUMMYFUNCTION("""COMPUTED_VALUE"""),"kneelima2001@gmail.com")</f>
        <v>kneelima2001@gmail.com</v>
      </c>
      <c r="O271" s="9" t="str">
        <f ca="1">IFERROR(__xludf.DUMMYFUNCTION("""COMPUTED_VALUE"""),"SEM-6")</f>
        <v>SEM-6</v>
      </c>
      <c r="P271" s="9"/>
      <c r="Q271" s="9"/>
      <c r="R271" s="9"/>
      <c r="S271" s="9"/>
      <c r="T271" s="9"/>
      <c r="U271" s="9"/>
      <c r="V271" s="9"/>
      <c r="W271" s="9"/>
      <c r="X271" s="9"/>
      <c r="Y271" s="9"/>
    </row>
    <row r="272" spans="1:25" ht="26.25" customHeight="1" x14ac:dyDescent="0.15">
      <c r="A272" s="9" t="str">
        <f ca="1">IFERROR(__xludf.DUMMYFUNCTION("""COMPUTED_VALUE"""),"VADLAPUDI DHEERAJ KUMAR ")</f>
        <v xml:space="preserve">VADLAPUDI DHEERAJ KUMAR </v>
      </c>
      <c r="B272" s="9" t="str">
        <f ca="1">IFERROR(__xludf.DUMMYFUNCTION("""COMPUTED_VALUE"""),"18331A05G4")</f>
        <v>18331A05G4</v>
      </c>
      <c r="C272" s="78" t="str">
        <f ca="1">IFERROR(__xludf.DUMMYFUNCTION("""COMPUTED_VALUE"""),"CCNAv7: Switching, Routing and Wireless Essentials")</f>
        <v>CCNAv7: Switching, Routing and Wireless Essentials</v>
      </c>
      <c r="D272" s="9" t="str">
        <f ca="1">IFERROR(__xludf.DUMMYFUNCTION("""COMPUTED_VALUE"""),"CISCO")</f>
        <v>CISCO</v>
      </c>
      <c r="E272" s="9" t="str">
        <f ca="1">IFERROR(__xludf.DUMMYFUNCTION("""COMPUTED_VALUE"""),"6 months")</f>
        <v>6 months</v>
      </c>
      <c r="F272" s="79">
        <f ca="1">IFERROR(__xludf.DUMMYFUNCTION("""COMPUTED_VALUE"""),43800)</f>
        <v>43800</v>
      </c>
      <c r="G272" s="79">
        <f ca="1">IFERROR(__xludf.DUMMYFUNCTION("""COMPUTED_VALUE"""),43982)</f>
        <v>43982</v>
      </c>
      <c r="H272" s="72">
        <f ca="1">IFERROR(__xludf.DUMMYFUNCTION("""COMPUTED_VALUE"""),43990)</f>
        <v>43990</v>
      </c>
      <c r="I272" s="80">
        <f ca="1">IFERROR(__xludf.DUMMYFUNCTION("""COMPUTED_VALUE"""),80)</f>
        <v>80</v>
      </c>
      <c r="J272" s="9" t="str">
        <f ca="1">IFERROR(__xludf.DUMMYFUNCTION("""COMPUTED_VALUE"""),"Ravi Kiran Varma Penmasta ")</f>
        <v xml:space="preserve">Ravi Kiran Varma Penmasta </v>
      </c>
      <c r="K272" s="73" t="str">
        <f ca="1">IFERROR(__xludf.DUMMYFUNCTION("""COMPUTED_VALUE"""),"https://drive.google.com/open?id=1tDOHp__OtFWbzJDmUCm6oh-7tDAAm6WE")</f>
        <v>https://drive.google.com/open?id=1tDOHp__OtFWbzJDmUCm6oh-7tDAAm6WE</v>
      </c>
      <c r="L272" s="9" t="str">
        <f ca="1">IFERROR(__xludf.DUMMYFUNCTION("""COMPUTED_VALUE"""),"2018-2022")</f>
        <v>2018-2022</v>
      </c>
      <c r="M272" s="9" t="str">
        <f ca="1">IFERROR(__xludf.DUMMYFUNCTION("""COMPUTED_VALUE"""),"S4: Student Certifications")</f>
        <v>S4: Student Certifications</v>
      </c>
      <c r="N272" s="9" t="str">
        <f ca="1">IFERROR(__xludf.DUMMYFUNCTION("""COMPUTED_VALUE"""),"vdkumar1200@gmail.com")</f>
        <v>vdkumar1200@gmail.com</v>
      </c>
      <c r="O272" s="9" t="str">
        <f ca="1">IFERROR(__xludf.DUMMYFUNCTION("""COMPUTED_VALUE"""),"SEM-8")</f>
        <v>SEM-8</v>
      </c>
      <c r="P272" s="9"/>
      <c r="Q272" s="9"/>
      <c r="R272" s="9"/>
      <c r="S272" s="9"/>
      <c r="T272" s="9"/>
      <c r="U272" s="9"/>
      <c r="V272" s="9"/>
      <c r="W272" s="9"/>
      <c r="X272" s="9"/>
      <c r="Y272" s="9"/>
    </row>
    <row r="273" spans="1:25" ht="26.25" customHeight="1" x14ac:dyDescent="0.15">
      <c r="A273" s="9" t="str">
        <f ca="1">IFERROR(__xludf.DUMMYFUNCTION("""COMPUTED_VALUE"""),"NEELAPU MANISH REDDY")</f>
        <v>NEELAPU MANISH REDDY</v>
      </c>
      <c r="B273" s="9" t="str">
        <f ca="1">IFERROR(__xludf.DUMMYFUNCTION("""COMPUTED_VALUE"""),"18331A05B2")</f>
        <v>18331A05B2</v>
      </c>
      <c r="C273" s="78" t="str">
        <f ca="1">IFERROR(__xludf.DUMMYFUNCTION("""COMPUTED_VALUE"""),"Internship ")</f>
        <v xml:space="preserve">Internship </v>
      </c>
      <c r="D273" s="9" t="str">
        <f ca="1">IFERROR(__xludf.DUMMYFUNCTION("""COMPUTED_VALUE"""),"1stop ")</f>
        <v xml:space="preserve">1stop </v>
      </c>
      <c r="E273" s="9" t="str">
        <f ca="1">IFERROR(__xludf.DUMMYFUNCTION("""COMPUTED_VALUE"""),"3 months")</f>
        <v>3 months</v>
      </c>
      <c r="F273" s="79">
        <f ca="1">IFERROR(__xludf.DUMMYFUNCTION("""COMPUTED_VALUE"""),44722)</f>
        <v>44722</v>
      </c>
      <c r="G273" s="79">
        <f ca="1">IFERROR(__xludf.DUMMYFUNCTION("""COMPUTED_VALUE"""),44783)</f>
        <v>44783</v>
      </c>
      <c r="H273" s="72">
        <f ca="1">IFERROR(__xludf.DUMMYFUNCTION("""COMPUTED_VALUE"""),44672)</f>
        <v>44672</v>
      </c>
      <c r="I273" s="80">
        <f ca="1">IFERROR(__xludf.DUMMYFUNCTION("""COMPUTED_VALUE"""),100)</f>
        <v>100</v>
      </c>
      <c r="J273" s="9" t="str">
        <f ca="1">IFERROR(__xludf.DUMMYFUNCTION("""COMPUTED_VALUE"""),"Megha singh")</f>
        <v>Megha singh</v>
      </c>
      <c r="K273" s="73" t="str">
        <f ca="1">IFERROR(__xludf.DUMMYFUNCTION("""COMPUTED_VALUE"""),"https://drive.google.com/open?id=1a89jgZ_mpPNAvxA-fn3pEpDnpQyYxyZM")</f>
        <v>https://drive.google.com/open?id=1a89jgZ_mpPNAvxA-fn3pEpDnpQyYxyZM</v>
      </c>
      <c r="L273" s="9" t="str">
        <f ca="1">IFERROR(__xludf.DUMMYFUNCTION("""COMPUTED_VALUE"""),"2018-2022")</f>
        <v>2018-2022</v>
      </c>
      <c r="M273" s="9" t="str">
        <f ca="1">IFERROR(__xludf.DUMMYFUNCTION("""COMPUTED_VALUE"""),"S4: Student Certifications")</f>
        <v>S4: Student Certifications</v>
      </c>
      <c r="N273" s="9" t="str">
        <f ca="1">IFERROR(__xludf.DUMMYFUNCTION("""COMPUTED_VALUE"""),"manish18200011@gmail.com")</f>
        <v>manish18200011@gmail.com</v>
      </c>
      <c r="O273" s="9" t="str">
        <f ca="1">IFERROR(__xludf.DUMMYFUNCTION("""COMPUTED_VALUE"""),"SEM-8")</f>
        <v>SEM-8</v>
      </c>
      <c r="P273" s="9"/>
      <c r="Q273" s="9"/>
      <c r="R273" s="9"/>
      <c r="S273" s="9"/>
      <c r="T273" s="9"/>
      <c r="U273" s="9"/>
      <c r="V273" s="9"/>
      <c r="W273" s="9"/>
      <c r="X273" s="9"/>
      <c r="Y273" s="9"/>
    </row>
    <row r="274" spans="1:25" ht="26.25" customHeight="1" x14ac:dyDescent="0.15">
      <c r="A274" s="9" t="str">
        <f ca="1">IFERROR(__xludf.DUMMYFUNCTION("""COMPUTED_VALUE"""),"KADAGALA RAVIKUAMR")</f>
        <v>KADAGALA RAVIKUAMR</v>
      </c>
      <c r="B274" s="9" t="str">
        <f ca="1">IFERROR(__xludf.DUMMYFUNCTION("""COMPUTED_VALUE"""),"19335A0506")</f>
        <v>19335A0506</v>
      </c>
      <c r="C274" s="78" t="str">
        <f ca="1">IFERROR(__xludf.DUMMYFUNCTION("""COMPUTED_VALUE"""),"PALO ALTO ON CYBER SECURITY")</f>
        <v>PALO ALTO ON CYBER SECURITY</v>
      </c>
      <c r="D274" s="9" t="str">
        <f ca="1">IFERROR(__xludf.DUMMYFUNCTION("""COMPUTED_VALUE"""),"PALO ALTO NETWORKS")</f>
        <v>PALO ALTO NETWORKS</v>
      </c>
      <c r="E274" s="9" t="str">
        <f ca="1">IFERROR(__xludf.DUMMYFUNCTION("""COMPUTED_VALUE"""),"2 MONTHS")</f>
        <v>2 MONTHS</v>
      </c>
      <c r="F274" s="79">
        <f ca="1">IFERROR(__xludf.DUMMYFUNCTION("""COMPUTED_VALUE"""),44317)</f>
        <v>44317</v>
      </c>
      <c r="G274" s="79">
        <f ca="1">IFERROR(__xludf.DUMMYFUNCTION("""COMPUTED_VALUE"""),44401)</f>
        <v>44401</v>
      </c>
      <c r="H274" s="72">
        <f ca="1">IFERROR(__xludf.DUMMYFUNCTION("""COMPUTED_VALUE"""),44354)</f>
        <v>44354</v>
      </c>
      <c r="I274" s="80">
        <f ca="1">IFERROR(__xludf.DUMMYFUNCTION("""COMPUTED_VALUE"""),85)</f>
        <v>85</v>
      </c>
      <c r="J274" s="9" t="str">
        <f ca="1">IFERROR(__xludf.DUMMYFUNCTION("""COMPUTED_VALUE"""),"RAVI KIRAN VARMA P")</f>
        <v>RAVI KIRAN VARMA P</v>
      </c>
      <c r="K274" s="73" t="str">
        <f ca="1">IFERROR(__xludf.DUMMYFUNCTION("""COMPUTED_VALUE"""),"https://drive.google.com/open?id=1Oa6VnPsSdeAhKvr7XSPH2ZBfnjOkfsDN")</f>
        <v>https://drive.google.com/open?id=1Oa6VnPsSdeAhKvr7XSPH2ZBfnjOkfsDN</v>
      </c>
      <c r="L274" s="9" t="str">
        <f ca="1">IFERROR(__xludf.DUMMYFUNCTION("""COMPUTED_VALUE"""),"2018-2022")</f>
        <v>2018-2022</v>
      </c>
      <c r="M274" s="9" t="str">
        <f ca="1">IFERROR(__xludf.DUMMYFUNCTION("""COMPUTED_VALUE"""),"S4: Student Certifications")</f>
        <v>S4: Student Certifications</v>
      </c>
      <c r="N274" s="9" t="str">
        <f ca="1">IFERROR(__xludf.DUMMYFUNCTION("""COMPUTED_VALUE"""),"ravikadagala9494@gmail.com")</f>
        <v>ravikadagala9494@gmail.com</v>
      </c>
      <c r="O274" s="9" t="str">
        <f ca="1">IFERROR(__xludf.DUMMYFUNCTION("""COMPUTED_VALUE"""),"SEM-6")</f>
        <v>SEM-6</v>
      </c>
      <c r="P274" s="9"/>
      <c r="Q274" s="9"/>
      <c r="R274" s="9"/>
      <c r="S274" s="9"/>
      <c r="T274" s="9"/>
      <c r="U274" s="9"/>
      <c r="V274" s="9"/>
      <c r="W274" s="9"/>
      <c r="X274" s="9"/>
      <c r="Y274" s="9"/>
    </row>
    <row r="275" spans="1:25" ht="26.25" customHeight="1" x14ac:dyDescent="0.15">
      <c r="A275" s="9" t="str">
        <f ca="1">IFERROR(__xludf.DUMMYFUNCTION("""COMPUTED_VALUE"""),"VADLAPUDI DHEERAJ KUMAR ")</f>
        <v xml:space="preserve">VADLAPUDI DHEERAJ KUMAR </v>
      </c>
      <c r="B275" s="9" t="str">
        <f ca="1">IFERROR(__xludf.DUMMYFUNCTION("""COMPUTED_VALUE"""),"18331A05G4")</f>
        <v>18331A05G4</v>
      </c>
      <c r="C275" s="78" t="str">
        <f ca="1">IFERROR(__xludf.DUMMYFUNCTION("""COMPUTED_VALUE"""),"CCNAv7: Enterprise Networking, Security and Automation ")</f>
        <v xml:space="preserve">CCNAv7: Enterprise Networking, Security and Automation </v>
      </c>
      <c r="D275" s="9" t="str">
        <f ca="1">IFERROR(__xludf.DUMMYFUNCTION("""COMPUTED_VALUE"""),"CISCO")</f>
        <v>CISCO</v>
      </c>
      <c r="E275" s="9" t="str">
        <f ca="1">IFERROR(__xludf.DUMMYFUNCTION("""COMPUTED_VALUE"""),"6 months")</f>
        <v>6 months</v>
      </c>
      <c r="F275" s="79">
        <f ca="1">IFERROR(__xludf.DUMMYFUNCTION("""COMPUTED_VALUE"""),43831)</f>
        <v>43831</v>
      </c>
      <c r="G275" s="79">
        <f ca="1">IFERROR(__xludf.DUMMYFUNCTION("""COMPUTED_VALUE"""),44012)</f>
        <v>44012</v>
      </c>
      <c r="H275" s="72">
        <f ca="1">IFERROR(__xludf.DUMMYFUNCTION("""COMPUTED_VALUE"""),43995)</f>
        <v>43995</v>
      </c>
      <c r="I275" s="80">
        <f ca="1">IFERROR(__xludf.DUMMYFUNCTION("""COMPUTED_VALUE"""),87)</f>
        <v>87</v>
      </c>
      <c r="J275" s="9" t="str">
        <f ca="1">IFERROR(__xludf.DUMMYFUNCTION("""COMPUTED_VALUE"""),"Ravi Kiran Varma Penmasta ")</f>
        <v xml:space="preserve">Ravi Kiran Varma Penmasta </v>
      </c>
      <c r="K275" s="73" t="str">
        <f ca="1">IFERROR(__xludf.DUMMYFUNCTION("""COMPUTED_VALUE"""),"https://drive.google.com/open?id=119hO-WqLyV7FzJ2-_hIX5dSvmZUDHsU-")</f>
        <v>https://drive.google.com/open?id=119hO-WqLyV7FzJ2-_hIX5dSvmZUDHsU-</v>
      </c>
      <c r="L275" s="9" t="str">
        <f ca="1">IFERROR(__xludf.DUMMYFUNCTION("""COMPUTED_VALUE"""),"2018-2022")</f>
        <v>2018-2022</v>
      </c>
      <c r="M275" s="9" t="str">
        <f ca="1">IFERROR(__xludf.DUMMYFUNCTION("""COMPUTED_VALUE"""),"S4: Student Certifications")</f>
        <v>S4: Student Certifications</v>
      </c>
      <c r="N275" s="9" t="str">
        <f ca="1">IFERROR(__xludf.DUMMYFUNCTION("""COMPUTED_VALUE"""),"vdkumar1200@gmail.com")</f>
        <v>vdkumar1200@gmail.com</v>
      </c>
      <c r="O275" s="9" t="str">
        <f ca="1">IFERROR(__xludf.DUMMYFUNCTION("""COMPUTED_VALUE"""),"SEM-8")</f>
        <v>SEM-8</v>
      </c>
      <c r="P275" s="9"/>
      <c r="Q275" s="9"/>
      <c r="R275" s="9"/>
      <c r="S275" s="9"/>
      <c r="T275" s="9"/>
      <c r="U275" s="9"/>
      <c r="V275" s="9"/>
      <c r="W275" s="9"/>
      <c r="X275" s="9"/>
      <c r="Y275" s="9"/>
    </row>
    <row r="276" spans="1:25" ht="26.25" customHeight="1" x14ac:dyDescent="0.15">
      <c r="A276" s="9" t="str">
        <f ca="1">IFERROR(__xludf.DUMMYFUNCTION("""COMPUTED_VALUE"""),"Mummudivarapu Narendra")</f>
        <v>Mummudivarapu Narendra</v>
      </c>
      <c r="B276" s="9" t="str">
        <f ca="1">IFERROR(__xludf.DUMMYFUNCTION("""COMPUTED_VALUE"""),"19335A0511")</f>
        <v>19335A0511</v>
      </c>
      <c r="C276" s="78" t="str">
        <f ca="1">IFERROR(__xludf.DUMMYFUNCTION("""COMPUTED_VALUE"""),"Programming for Everybody (Getting Started with Python), University of Michigan in  Coursera • Python Data Structures, University of Michigan in Coursera • AI For Everyone, DeepLearning.AI in Coursera • What is Data Science? IBM in Coursera, COVID19 Data "&amp;"Analysis Using Python")</f>
        <v>Programming for Everybody (Getting Started with Python), University of Michigan in  Coursera • Python Data Structures, University of Michigan in Coursera • AI For Everyone, DeepLearning.AI in Coursera • What is Data Science? IBM in Coursera, COVID19 Data Analysis Using Python</v>
      </c>
      <c r="D276" s="9" t="str">
        <f ca="1">IFERROR(__xludf.DUMMYFUNCTION("""COMPUTED_VALUE"""),"Coursera ")</f>
        <v xml:space="preserve">Coursera </v>
      </c>
      <c r="E276" s="9" t="str">
        <f ca="1">IFERROR(__xludf.DUMMYFUNCTION("""COMPUTED_VALUE"""),"3 months")</f>
        <v>3 months</v>
      </c>
      <c r="F276" s="79">
        <f ca="1">IFERROR(__xludf.DUMMYFUNCTION("""COMPUTED_VALUE"""),43942)</f>
        <v>43942</v>
      </c>
      <c r="G276" s="79">
        <f ca="1">IFERROR(__xludf.DUMMYFUNCTION("""COMPUTED_VALUE"""),43982)</f>
        <v>43982</v>
      </c>
      <c r="H276" s="72">
        <f ca="1">IFERROR(__xludf.DUMMYFUNCTION("""COMPUTED_VALUE"""),43982)</f>
        <v>43982</v>
      </c>
      <c r="I276" s="80"/>
      <c r="J276" s="9" t="str">
        <f ca="1">IFERROR(__xludf.DUMMYFUNCTION("""COMPUTED_VALUE"""),"NO")</f>
        <v>NO</v>
      </c>
      <c r="K276" s="73" t="str">
        <f ca="1">IFERROR(__xludf.DUMMYFUNCTION("""COMPUTED_VALUE"""),"https://drive.google.com/open?id=1I6zZ9K06c1wCT1L431NBOjkohm3g5IhF")</f>
        <v>https://drive.google.com/open?id=1I6zZ9K06c1wCT1L431NBOjkohm3g5IhF</v>
      </c>
      <c r="L276" s="9" t="str">
        <f ca="1">IFERROR(__xludf.DUMMYFUNCTION("""COMPUTED_VALUE"""),"2018-2022")</f>
        <v>2018-2022</v>
      </c>
      <c r="M276" s="9" t="str">
        <f ca="1">IFERROR(__xludf.DUMMYFUNCTION("""COMPUTED_VALUE"""),"S4: Student Certifications")</f>
        <v>S4: Student Certifications</v>
      </c>
      <c r="N276" s="9" t="str">
        <f ca="1">IFERROR(__xludf.DUMMYFUNCTION("""COMPUTED_VALUE"""),"shanmukhanarendra3@gmail.com")</f>
        <v>shanmukhanarendra3@gmail.com</v>
      </c>
      <c r="O276" s="9" t="str">
        <f ca="1">IFERROR(__xludf.DUMMYFUNCTION("""COMPUTED_VALUE"""),"SEM-8")</f>
        <v>SEM-8</v>
      </c>
      <c r="P276" s="9"/>
      <c r="Q276" s="9"/>
      <c r="R276" s="9"/>
      <c r="S276" s="9"/>
      <c r="T276" s="9"/>
      <c r="U276" s="9"/>
      <c r="V276" s="9"/>
      <c r="W276" s="9"/>
      <c r="X276" s="9"/>
      <c r="Y276" s="9"/>
    </row>
    <row r="277" spans="1:25" ht="26.25" customHeight="1" x14ac:dyDescent="0.15">
      <c r="A277" s="9" t="str">
        <f ca="1">IFERROR(__xludf.DUMMYFUNCTION("""COMPUTED_VALUE"""),"SANAPALA SAI NEERAJ")</f>
        <v>SANAPALA SAI NEERAJ</v>
      </c>
      <c r="B277" s="9" t="str">
        <f ca="1">IFERROR(__xludf.DUMMYFUNCTION("""COMPUTED_VALUE"""),"18331A05D6")</f>
        <v>18331A05D6</v>
      </c>
      <c r="C277" s="78" t="str">
        <f ca="1">IFERROR(__xludf.DUMMYFUNCTION("""COMPUTED_VALUE"""),"Cisco - c programming essentials")</f>
        <v>Cisco - c programming essentials</v>
      </c>
      <c r="D277" s="9" t="str">
        <f ca="1">IFERROR(__xludf.DUMMYFUNCTION("""COMPUTED_VALUE"""),"CISCO")</f>
        <v>CISCO</v>
      </c>
      <c r="E277" s="9" t="str">
        <f ca="1">IFERROR(__xludf.DUMMYFUNCTION("""COMPUTED_VALUE"""),"70 days")</f>
        <v>70 days</v>
      </c>
      <c r="F277" s="79">
        <f ca="1">IFERROR(__xludf.DUMMYFUNCTION("""COMPUTED_VALUE"""),43506)</f>
        <v>43506</v>
      </c>
      <c r="G277" s="79">
        <f ca="1">IFERROR(__xludf.DUMMYFUNCTION("""COMPUTED_VALUE"""),43585)</f>
        <v>43585</v>
      </c>
      <c r="H277" s="72">
        <f ca="1">IFERROR(__xludf.DUMMYFUNCTION("""COMPUTED_VALUE"""),43570)</f>
        <v>43570</v>
      </c>
      <c r="I277" s="80"/>
      <c r="J277" s="9" t="str">
        <f ca="1">IFERROR(__xludf.DUMMYFUNCTION("""COMPUTED_VALUE"""),"RAVI KIRAN  VARMA PENMATSA")</f>
        <v>RAVI KIRAN  VARMA PENMATSA</v>
      </c>
      <c r="K277" s="73" t="str">
        <f ca="1">IFERROR(__xludf.DUMMYFUNCTION("""COMPUTED_VALUE"""),"https://drive.google.com/open?id=1T_NXKMeQmB7MiH4olcxYiiU7HYwI_m2z")</f>
        <v>https://drive.google.com/open?id=1T_NXKMeQmB7MiH4olcxYiiU7HYwI_m2z</v>
      </c>
      <c r="L277" s="9" t="str">
        <f ca="1">IFERROR(__xludf.DUMMYFUNCTION("""COMPUTED_VALUE"""),"2018-2022")</f>
        <v>2018-2022</v>
      </c>
      <c r="M277" s="9" t="str">
        <f ca="1">IFERROR(__xludf.DUMMYFUNCTION("""COMPUTED_VALUE"""),"S4: Student Certifications")</f>
        <v>S4: Student Certifications</v>
      </c>
      <c r="N277" s="9" t="str">
        <f ca="1">IFERROR(__xludf.DUMMYFUNCTION("""COMPUTED_VALUE"""),"sanapala.saineeraj4000@gmail.com")</f>
        <v>sanapala.saineeraj4000@gmail.com</v>
      </c>
      <c r="O277" s="9" t="str">
        <f ca="1">IFERROR(__xludf.DUMMYFUNCTION("""COMPUTED_VALUE"""),"SEM-2")</f>
        <v>SEM-2</v>
      </c>
      <c r="P277" s="9"/>
      <c r="Q277" s="9"/>
      <c r="R277" s="9"/>
      <c r="S277" s="9"/>
      <c r="T277" s="9"/>
      <c r="U277" s="9"/>
      <c r="V277" s="9"/>
      <c r="W277" s="9"/>
      <c r="X277" s="9"/>
      <c r="Y277" s="9"/>
    </row>
    <row r="278" spans="1:25" ht="26.25" customHeight="1" x14ac:dyDescent="0.15">
      <c r="A278" s="9" t="str">
        <f ca="1">IFERROR(__xludf.DUMMYFUNCTION("""COMPUTED_VALUE"""),"KADAGALA RAVIKUAMR")</f>
        <v>KADAGALA RAVIKUAMR</v>
      </c>
      <c r="B278" s="9" t="str">
        <f ca="1">IFERROR(__xludf.DUMMYFUNCTION("""COMPUTED_VALUE"""),"19335A0506")</f>
        <v>19335A0506</v>
      </c>
      <c r="C278" s="78" t="str">
        <f ca="1">IFERROR(__xludf.DUMMYFUNCTION("""COMPUTED_VALUE"""),"Programming Essentials in Python")</f>
        <v>Programming Essentials in Python</v>
      </c>
      <c r="D278" s="9" t="str">
        <f ca="1">IFERROR(__xludf.DUMMYFUNCTION("""COMPUTED_VALUE"""),"CISCO")</f>
        <v>CISCO</v>
      </c>
      <c r="E278" s="9" t="str">
        <f ca="1">IFERROR(__xludf.DUMMYFUNCTION("""COMPUTED_VALUE"""),"2 MONTHS")</f>
        <v>2 MONTHS</v>
      </c>
      <c r="F278" s="79">
        <f ca="1">IFERROR(__xludf.DUMMYFUNCTION("""COMPUTED_VALUE"""),44317)</f>
        <v>44317</v>
      </c>
      <c r="G278" s="79">
        <f ca="1">IFERROR(__xludf.DUMMYFUNCTION("""COMPUTED_VALUE"""),44376)</f>
        <v>44376</v>
      </c>
      <c r="H278" s="72">
        <f ca="1">IFERROR(__xludf.DUMMYFUNCTION("""COMPUTED_VALUE"""),44379)</f>
        <v>44379</v>
      </c>
      <c r="I278" s="80">
        <f ca="1">IFERROR(__xludf.DUMMYFUNCTION("""COMPUTED_VALUE"""),96)</f>
        <v>96</v>
      </c>
      <c r="J278" s="9" t="str">
        <f ca="1">IFERROR(__xludf.DUMMYFUNCTION("""COMPUTED_VALUE"""),"SUBBA RAJU K V")</f>
        <v>SUBBA RAJU K V</v>
      </c>
      <c r="K278" s="73" t="str">
        <f ca="1">IFERROR(__xludf.DUMMYFUNCTION("""COMPUTED_VALUE"""),"https://drive.google.com/open?id=1bJOZk-Z-twZuGoL4UVAoKmqU_iTREof7")</f>
        <v>https://drive.google.com/open?id=1bJOZk-Z-twZuGoL4UVAoKmqU_iTREof7</v>
      </c>
      <c r="L278" s="9" t="str">
        <f ca="1">IFERROR(__xludf.DUMMYFUNCTION("""COMPUTED_VALUE"""),"2018-2022")</f>
        <v>2018-2022</v>
      </c>
      <c r="M278" s="9" t="str">
        <f ca="1">IFERROR(__xludf.DUMMYFUNCTION("""COMPUTED_VALUE"""),"S4: Student Certifications")</f>
        <v>S4: Student Certifications</v>
      </c>
      <c r="N278" s="9" t="str">
        <f ca="1">IFERROR(__xludf.DUMMYFUNCTION("""COMPUTED_VALUE"""),"ravikadagala9494@gmail.com")</f>
        <v>ravikadagala9494@gmail.com</v>
      </c>
      <c r="O278" s="9" t="str">
        <f ca="1">IFERROR(__xludf.DUMMYFUNCTION("""COMPUTED_VALUE"""),"SEM-6")</f>
        <v>SEM-6</v>
      </c>
      <c r="P278" s="9"/>
      <c r="Q278" s="9"/>
      <c r="R278" s="9"/>
      <c r="S278" s="9"/>
      <c r="T278" s="9"/>
      <c r="U278" s="9"/>
      <c r="V278" s="9"/>
      <c r="W278" s="9"/>
      <c r="X278" s="9"/>
      <c r="Y278" s="9"/>
    </row>
    <row r="279" spans="1:25" ht="26.25" customHeight="1" x14ac:dyDescent="0.15">
      <c r="A279" s="9" t="str">
        <f ca="1">IFERROR(__xludf.DUMMYFUNCTION("""COMPUTED_VALUE"""),"KADAGALA RAVIKUAMR")</f>
        <v>KADAGALA RAVIKUAMR</v>
      </c>
      <c r="B279" s="9" t="str">
        <f ca="1">IFERROR(__xludf.DUMMYFUNCTION("""COMPUTED_VALUE"""),"19335A0506")</f>
        <v>19335A0506</v>
      </c>
      <c r="C279" s="78" t="str">
        <f ca="1">IFERROR(__xludf.DUMMYFUNCTION("""COMPUTED_VALUE"""),"What is Data Science")</f>
        <v>What is Data Science</v>
      </c>
      <c r="D279" s="9" t="str">
        <f ca="1">IFERROR(__xludf.DUMMYFUNCTION("""COMPUTED_VALUE"""),"COURSERA")</f>
        <v>COURSERA</v>
      </c>
      <c r="E279" s="9" t="str">
        <f ca="1">IFERROR(__xludf.DUMMYFUNCTION("""COMPUTED_VALUE"""),"2 MONTHS")</f>
        <v>2 MONTHS</v>
      </c>
      <c r="F279" s="79">
        <f ca="1">IFERROR(__xludf.DUMMYFUNCTION("""COMPUTED_VALUE"""),43922)</f>
        <v>43922</v>
      </c>
      <c r="G279" s="79">
        <f ca="1">IFERROR(__xludf.DUMMYFUNCTION("""COMPUTED_VALUE"""),43984)</f>
        <v>43984</v>
      </c>
      <c r="H279" s="72">
        <f ca="1">IFERROR(__xludf.DUMMYFUNCTION("""COMPUTED_VALUE"""),43985)</f>
        <v>43985</v>
      </c>
      <c r="I279" s="80">
        <f ca="1">IFERROR(__xludf.DUMMYFUNCTION("""COMPUTED_VALUE"""),90)</f>
        <v>90</v>
      </c>
      <c r="J279" s="9" t="str">
        <f ca="1">IFERROR(__xludf.DUMMYFUNCTION("""COMPUTED_VALUE"""),".")</f>
        <v>.</v>
      </c>
      <c r="K279" s="73" t="str">
        <f ca="1">IFERROR(__xludf.DUMMYFUNCTION("""COMPUTED_VALUE"""),"https://drive.google.com/open?id=1iix9taZqOSqzBb3UlKmCC1uecq-qn_xj")</f>
        <v>https://drive.google.com/open?id=1iix9taZqOSqzBb3UlKmCC1uecq-qn_xj</v>
      </c>
      <c r="L279" s="9" t="str">
        <f ca="1">IFERROR(__xludf.DUMMYFUNCTION("""COMPUTED_VALUE"""),"2018-2022")</f>
        <v>2018-2022</v>
      </c>
      <c r="M279" s="9" t="str">
        <f ca="1">IFERROR(__xludf.DUMMYFUNCTION("""COMPUTED_VALUE"""),"S4: Student Certifications")</f>
        <v>S4: Student Certifications</v>
      </c>
      <c r="N279" s="9" t="str">
        <f ca="1">IFERROR(__xludf.DUMMYFUNCTION("""COMPUTED_VALUE"""),"ravikadagala9494@gmail.com")</f>
        <v>ravikadagala9494@gmail.com</v>
      </c>
      <c r="O279" s="9" t="str">
        <f ca="1">IFERROR(__xludf.DUMMYFUNCTION("""COMPUTED_VALUE"""),"SEM-4")</f>
        <v>SEM-4</v>
      </c>
      <c r="P279" s="9"/>
      <c r="Q279" s="9"/>
      <c r="R279" s="9"/>
      <c r="S279" s="9"/>
      <c r="T279" s="9"/>
      <c r="U279" s="9"/>
      <c r="V279" s="9"/>
      <c r="W279" s="9"/>
      <c r="X279" s="9"/>
      <c r="Y279" s="9"/>
    </row>
    <row r="280" spans="1:25" ht="26.25" customHeight="1" x14ac:dyDescent="0.15">
      <c r="A280" s="9" t="str">
        <f ca="1">IFERROR(__xludf.DUMMYFUNCTION("""COMPUTED_VALUE"""),"KADAGALA RAVIKUAMR")</f>
        <v>KADAGALA RAVIKUAMR</v>
      </c>
      <c r="B280" s="9" t="str">
        <f ca="1">IFERROR(__xludf.DUMMYFUNCTION("""COMPUTED_VALUE"""),"19335A0506")</f>
        <v>19335A0506</v>
      </c>
      <c r="C280" s="78" t="str">
        <f ca="1">IFERROR(__xludf.DUMMYFUNCTION("""COMPUTED_VALUE"""),"Programming for Everybody")</f>
        <v>Programming for Everybody</v>
      </c>
      <c r="D280" s="9" t="str">
        <f ca="1">IFERROR(__xludf.DUMMYFUNCTION("""COMPUTED_VALUE"""),"COURSERA")</f>
        <v>COURSERA</v>
      </c>
      <c r="E280" s="9" t="str">
        <f ca="1">IFERROR(__xludf.DUMMYFUNCTION("""COMPUTED_VALUE"""),"2 MONTHS")</f>
        <v>2 MONTHS</v>
      </c>
      <c r="F280" s="79">
        <f ca="1">IFERROR(__xludf.DUMMYFUNCTION("""COMPUTED_VALUE"""),43985)</f>
        <v>43985</v>
      </c>
      <c r="G280" s="79">
        <f ca="1">IFERROR(__xludf.DUMMYFUNCTION("""COMPUTED_VALUE"""),44043)</f>
        <v>44043</v>
      </c>
      <c r="H280" s="72">
        <f ca="1">IFERROR(__xludf.DUMMYFUNCTION("""COMPUTED_VALUE"""),44044)</f>
        <v>44044</v>
      </c>
      <c r="I280" s="80">
        <f ca="1">IFERROR(__xludf.DUMMYFUNCTION("""COMPUTED_VALUE"""),93)</f>
        <v>93</v>
      </c>
      <c r="J280" s="9" t="str">
        <f ca="1">IFERROR(__xludf.DUMMYFUNCTION("""COMPUTED_VALUE"""),".")</f>
        <v>.</v>
      </c>
      <c r="K280" s="73" t="str">
        <f ca="1">IFERROR(__xludf.DUMMYFUNCTION("""COMPUTED_VALUE"""),"https://drive.google.com/open?id=1Lku-n1N6xKb4YeQ2ISDrulg3EnW8yOlb")</f>
        <v>https://drive.google.com/open?id=1Lku-n1N6xKb4YeQ2ISDrulg3EnW8yOlb</v>
      </c>
      <c r="L280" s="9" t="str">
        <f ca="1">IFERROR(__xludf.DUMMYFUNCTION("""COMPUTED_VALUE"""),"2018-2022")</f>
        <v>2018-2022</v>
      </c>
      <c r="M280" s="9" t="str">
        <f ca="1">IFERROR(__xludf.DUMMYFUNCTION("""COMPUTED_VALUE"""),"S4: Student Certifications")</f>
        <v>S4: Student Certifications</v>
      </c>
      <c r="N280" s="9" t="str">
        <f ca="1">IFERROR(__xludf.DUMMYFUNCTION("""COMPUTED_VALUE"""),"ravikadagala9494@gmail.com")</f>
        <v>ravikadagala9494@gmail.com</v>
      </c>
      <c r="O280" s="9" t="str">
        <f ca="1">IFERROR(__xludf.DUMMYFUNCTION("""COMPUTED_VALUE"""),"SEM-4")</f>
        <v>SEM-4</v>
      </c>
      <c r="P280" s="9"/>
      <c r="Q280" s="9"/>
      <c r="R280" s="9"/>
      <c r="S280" s="9"/>
      <c r="T280" s="9"/>
      <c r="U280" s="9"/>
      <c r="V280" s="9"/>
      <c r="W280" s="9"/>
      <c r="X280" s="9"/>
      <c r="Y280" s="9"/>
    </row>
    <row r="281" spans="1:25" ht="26.25" customHeight="1" x14ac:dyDescent="0.15">
      <c r="A281" s="9" t="str">
        <f ca="1">IFERROR(__xludf.DUMMYFUNCTION("""COMPUTED_VALUE"""),"Mummudivarapu Narendra")</f>
        <v>Mummudivarapu Narendra</v>
      </c>
      <c r="B281" s="9" t="str">
        <f ca="1">IFERROR(__xludf.DUMMYFUNCTION("""COMPUTED_VALUE"""),"19335A0511")</f>
        <v>19335A0511</v>
      </c>
      <c r="C281" s="78" t="str">
        <f ca="1">IFERROR(__xludf.DUMMYFUNCTION("""COMPUTED_VALUE"""),"Python Data Structures, University of Michigan in Coursera")</f>
        <v>Python Data Structures, University of Michigan in Coursera</v>
      </c>
      <c r="D281" s="9" t="str">
        <f ca="1">IFERROR(__xludf.DUMMYFUNCTION("""COMPUTED_VALUE"""),"Coursera")</f>
        <v>Coursera</v>
      </c>
      <c r="E281" s="9" t="str">
        <f ca="1">IFERROR(__xludf.DUMMYFUNCTION("""COMPUTED_VALUE"""),"1 month")</f>
        <v>1 month</v>
      </c>
      <c r="F281" s="79">
        <f ca="1">IFERROR(__xludf.DUMMYFUNCTION("""COMPUTED_VALUE"""),43922)</f>
        <v>43922</v>
      </c>
      <c r="G281" s="79">
        <f ca="1">IFERROR(__xludf.DUMMYFUNCTION("""COMPUTED_VALUE"""),43977)</f>
        <v>43977</v>
      </c>
      <c r="H281" s="72">
        <f ca="1">IFERROR(__xludf.DUMMYFUNCTION("""COMPUTED_VALUE"""),43977)</f>
        <v>43977</v>
      </c>
      <c r="I281" s="80"/>
      <c r="J281" s="9" t="str">
        <f ca="1">IFERROR(__xludf.DUMMYFUNCTION("""COMPUTED_VALUE"""),"NO")</f>
        <v>NO</v>
      </c>
      <c r="K281" s="73" t="str">
        <f ca="1">IFERROR(__xludf.DUMMYFUNCTION("""COMPUTED_VALUE"""),"https://drive.google.com/open?id=1woLJmmeh4K84uqSqrMp4r-wGbeA2Wlh2")</f>
        <v>https://drive.google.com/open?id=1woLJmmeh4K84uqSqrMp4r-wGbeA2Wlh2</v>
      </c>
      <c r="L281" s="9" t="str">
        <f ca="1">IFERROR(__xludf.DUMMYFUNCTION("""COMPUTED_VALUE"""),"2018-2022")</f>
        <v>2018-2022</v>
      </c>
      <c r="M281" s="9" t="str">
        <f ca="1">IFERROR(__xludf.DUMMYFUNCTION("""COMPUTED_VALUE"""),"S4: Student Certifications")</f>
        <v>S4: Student Certifications</v>
      </c>
      <c r="N281" s="9" t="str">
        <f ca="1">IFERROR(__xludf.DUMMYFUNCTION("""COMPUTED_VALUE"""),"shanmukhanarendra3@gmail.com")</f>
        <v>shanmukhanarendra3@gmail.com</v>
      </c>
      <c r="O281" s="9" t="str">
        <f ca="1">IFERROR(__xludf.DUMMYFUNCTION("""COMPUTED_VALUE"""),"SEM-8")</f>
        <v>SEM-8</v>
      </c>
      <c r="P281" s="9"/>
      <c r="Q281" s="9"/>
      <c r="R281" s="9"/>
      <c r="S281" s="9"/>
      <c r="T281" s="9"/>
      <c r="U281" s="9"/>
      <c r="V281" s="9"/>
      <c r="W281" s="9"/>
      <c r="X281" s="9"/>
      <c r="Y281" s="9"/>
    </row>
    <row r="282" spans="1:25" ht="26.25" customHeight="1" x14ac:dyDescent="0.15">
      <c r="A282" s="9" t="str">
        <f ca="1">IFERROR(__xludf.DUMMYFUNCTION("""COMPUTED_VALUE"""),"KADAGALA RAVIKUAMR")</f>
        <v>KADAGALA RAVIKUAMR</v>
      </c>
      <c r="B282" s="9" t="str">
        <f ca="1">IFERROR(__xludf.DUMMYFUNCTION("""COMPUTED_VALUE"""),"19335A0506")</f>
        <v>19335A0506</v>
      </c>
      <c r="C282" s="78" t="str">
        <f ca="1">IFERROR(__xludf.DUMMYFUNCTION("""COMPUTED_VALUE"""),"Cybersecurity Foundation")</f>
        <v>Cybersecurity Foundation</v>
      </c>
      <c r="D282" s="9" t="str">
        <f ca="1">IFERROR(__xludf.DUMMYFUNCTION("""COMPUTED_VALUE"""),"PALO ALTO NETWORKS CYBERSECURITY ACADAMEY")</f>
        <v>PALO ALTO NETWORKS CYBERSECURITY ACADAMEY</v>
      </c>
      <c r="E282" s="9" t="str">
        <f ca="1">IFERROR(__xludf.DUMMYFUNCTION("""COMPUTED_VALUE"""),"2 MONTHS")</f>
        <v>2 MONTHS</v>
      </c>
      <c r="F282" s="79">
        <f ca="1">IFERROR(__xludf.DUMMYFUNCTION("""COMPUTED_VALUE"""),44318)</f>
        <v>44318</v>
      </c>
      <c r="G282" s="79">
        <f ca="1">IFERROR(__xludf.DUMMYFUNCTION("""COMPUTED_VALUE"""),44378)</f>
        <v>44378</v>
      </c>
      <c r="H282" s="72">
        <f ca="1">IFERROR(__xludf.DUMMYFUNCTION("""COMPUTED_VALUE"""),44380)</f>
        <v>44380</v>
      </c>
      <c r="I282" s="80">
        <f ca="1">IFERROR(__xludf.DUMMYFUNCTION("""COMPUTED_VALUE"""),93)</f>
        <v>93</v>
      </c>
      <c r="J282" s="9" t="str">
        <f ca="1">IFERROR(__xludf.DUMMYFUNCTION("""COMPUTED_VALUE"""),".")</f>
        <v>.</v>
      </c>
      <c r="K282" s="73" t="str">
        <f ca="1">IFERROR(__xludf.DUMMYFUNCTION("""COMPUTED_VALUE"""),"https://drive.google.com/open?id=1nafLwFRJBG-q1nNRHwDX29EsbpCu0eL7")</f>
        <v>https://drive.google.com/open?id=1nafLwFRJBG-q1nNRHwDX29EsbpCu0eL7</v>
      </c>
      <c r="L282" s="9" t="str">
        <f ca="1">IFERROR(__xludf.DUMMYFUNCTION("""COMPUTED_VALUE"""),"2018-2022")</f>
        <v>2018-2022</v>
      </c>
      <c r="M282" s="9" t="str">
        <f ca="1">IFERROR(__xludf.DUMMYFUNCTION("""COMPUTED_VALUE"""),"S4: Student Certifications")</f>
        <v>S4: Student Certifications</v>
      </c>
      <c r="N282" s="9" t="str">
        <f ca="1">IFERROR(__xludf.DUMMYFUNCTION("""COMPUTED_VALUE"""),"ravikadagala9494@gmail.com")</f>
        <v>ravikadagala9494@gmail.com</v>
      </c>
      <c r="O282" s="9" t="str">
        <f ca="1">IFERROR(__xludf.DUMMYFUNCTION("""COMPUTED_VALUE"""),"SEM-6")</f>
        <v>SEM-6</v>
      </c>
      <c r="P282" s="9"/>
      <c r="Q282" s="9"/>
      <c r="R282" s="9"/>
      <c r="S282" s="9"/>
      <c r="T282" s="9"/>
      <c r="U282" s="9"/>
      <c r="V282" s="9"/>
      <c r="W282" s="9"/>
      <c r="X282" s="9"/>
      <c r="Y282" s="9"/>
    </row>
    <row r="283" spans="1:25" ht="26.25" customHeight="1" x14ac:dyDescent="0.15">
      <c r="A283" s="9" t="str">
        <f ca="1">IFERROR(__xludf.DUMMYFUNCTION("""COMPUTED_VALUE"""),"Mummudivarapu Narendra")</f>
        <v>Mummudivarapu Narendra</v>
      </c>
      <c r="B283" s="9" t="str">
        <f ca="1">IFERROR(__xludf.DUMMYFUNCTION("""COMPUTED_VALUE"""),"19335A0511")</f>
        <v>19335A0511</v>
      </c>
      <c r="C283" s="78" t="str">
        <f ca="1">IFERROR(__xludf.DUMMYFUNCTION("""COMPUTED_VALUE"""),"What is Data Science? IBM in Coursera")</f>
        <v>What is Data Science? IBM in Coursera</v>
      </c>
      <c r="D283" s="9" t="str">
        <f ca="1">IFERROR(__xludf.DUMMYFUNCTION("""COMPUTED_VALUE""")," Coursera")</f>
        <v xml:space="preserve"> Coursera</v>
      </c>
      <c r="E283" s="9" t="str">
        <f ca="1">IFERROR(__xludf.DUMMYFUNCTION("""COMPUTED_VALUE"""),"1 month")</f>
        <v>1 month</v>
      </c>
      <c r="F283" s="79">
        <f ca="1">IFERROR(__xludf.DUMMYFUNCTION("""COMPUTED_VALUE"""),43952)</f>
        <v>43952</v>
      </c>
      <c r="G283" s="79">
        <f ca="1">IFERROR(__xludf.DUMMYFUNCTION("""COMPUTED_VALUE"""),43973)</f>
        <v>43973</v>
      </c>
      <c r="H283" s="72">
        <f ca="1">IFERROR(__xludf.DUMMYFUNCTION("""COMPUTED_VALUE"""),43973)</f>
        <v>43973</v>
      </c>
      <c r="I283" s="80"/>
      <c r="J283" s="9" t="str">
        <f ca="1">IFERROR(__xludf.DUMMYFUNCTION("""COMPUTED_VALUE"""),"NO")</f>
        <v>NO</v>
      </c>
      <c r="K283" s="73" t="str">
        <f ca="1">IFERROR(__xludf.DUMMYFUNCTION("""COMPUTED_VALUE"""),"https://drive.google.com/open?id=1AmH3w3-44GU5sGNa3DzDod4lpkTUtORf")</f>
        <v>https://drive.google.com/open?id=1AmH3w3-44GU5sGNa3DzDod4lpkTUtORf</v>
      </c>
      <c r="L283" s="9" t="str">
        <f ca="1">IFERROR(__xludf.DUMMYFUNCTION("""COMPUTED_VALUE"""),"2018-2022")</f>
        <v>2018-2022</v>
      </c>
      <c r="M283" s="9" t="str">
        <f ca="1">IFERROR(__xludf.DUMMYFUNCTION("""COMPUTED_VALUE"""),"S4: Student Certifications")</f>
        <v>S4: Student Certifications</v>
      </c>
      <c r="N283" s="9" t="str">
        <f ca="1">IFERROR(__xludf.DUMMYFUNCTION("""COMPUTED_VALUE"""),"shanmukhanarendra3@gmail.com")</f>
        <v>shanmukhanarendra3@gmail.com</v>
      </c>
      <c r="O283" s="9" t="str">
        <f ca="1">IFERROR(__xludf.DUMMYFUNCTION("""COMPUTED_VALUE"""),"SEM-8")</f>
        <v>SEM-8</v>
      </c>
      <c r="P283" s="9"/>
      <c r="Q283" s="9"/>
      <c r="R283" s="9"/>
      <c r="S283" s="9"/>
      <c r="T283" s="9"/>
      <c r="U283" s="9"/>
      <c r="V283" s="9"/>
      <c r="W283" s="9"/>
      <c r="X283" s="9"/>
      <c r="Y283" s="9"/>
    </row>
    <row r="284" spans="1:25" ht="26.25" customHeight="1" x14ac:dyDescent="0.15">
      <c r="A284" s="9" t="str">
        <f ca="1">IFERROR(__xludf.DUMMYFUNCTION("""COMPUTED_VALUE"""),"Devadula N C S CH Sudhakar")</f>
        <v>Devadula N C S CH Sudhakar</v>
      </c>
      <c r="B284" s="9" t="str">
        <f ca="1">IFERROR(__xludf.DUMMYFUNCTION("""COMPUTED_VALUE"""),"19335A0504")</f>
        <v>19335A0504</v>
      </c>
      <c r="C284" s="78" t="str">
        <f ca="1">IFERROR(__xludf.DUMMYFUNCTION("""COMPUTED_VALUE"""),"Palo Alto networks cyber security ")</f>
        <v xml:space="preserve">Palo Alto networks cyber security </v>
      </c>
      <c r="D284" s="9" t="str">
        <f ca="1">IFERROR(__xludf.DUMMYFUNCTION("""COMPUTED_VALUE"""),"palo alto")</f>
        <v>palo alto</v>
      </c>
      <c r="E284" s="9" t="str">
        <f ca="1">IFERROR(__xludf.DUMMYFUNCTION("""COMPUTED_VALUE"""),"1 month")</f>
        <v>1 month</v>
      </c>
      <c r="F284" s="79">
        <f ca="1">IFERROR(__xludf.DUMMYFUNCTION("""COMPUTED_VALUE"""),44367)</f>
        <v>44367</v>
      </c>
      <c r="G284" s="79">
        <f ca="1">IFERROR(__xludf.DUMMYFUNCTION("""COMPUTED_VALUE"""),44401)</f>
        <v>44401</v>
      </c>
      <c r="H284" s="72">
        <f ca="1">IFERROR(__xludf.DUMMYFUNCTION("""COMPUTED_VALUE"""),44400)</f>
        <v>44400</v>
      </c>
      <c r="I284" s="80">
        <f ca="1">IFERROR(__xludf.DUMMYFUNCTION("""COMPUTED_VALUE"""),100)</f>
        <v>100</v>
      </c>
      <c r="J284" s="9" t="str">
        <f ca="1">IFERROR(__xludf.DUMMYFUNCTION("""COMPUTED_VALUE"""),"Ravi kiran varma")</f>
        <v>Ravi kiran varma</v>
      </c>
      <c r="K284" s="73" t="str">
        <f ca="1">IFERROR(__xludf.DUMMYFUNCTION("""COMPUTED_VALUE"""),"https://drive.google.com/open?id=11kUcBBqKkglYBl2WjxBweseQQrqhNbiJ")</f>
        <v>https://drive.google.com/open?id=11kUcBBqKkglYBl2WjxBweseQQrqhNbiJ</v>
      </c>
      <c r="L284" s="9" t="str">
        <f ca="1">IFERROR(__xludf.DUMMYFUNCTION("""COMPUTED_VALUE"""),"2018-2022")</f>
        <v>2018-2022</v>
      </c>
      <c r="M284" s="9" t="str">
        <f ca="1">IFERROR(__xludf.DUMMYFUNCTION("""COMPUTED_VALUE"""),"S4: Student Certifications")</f>
        <v>S4: Student Certifications</v>
      </c>
      <c r="N284" s="9" t="str">
        <f ca="1">IFERROR(__xludf.DUMMYFUNCTION("""COMPUTED_VALUE"""),"naveendevadula706@gmail.com")</f>
        <v>naveendevadula706@gmail.com</v>
      </c>
      <c r="O284" s="9" t="str">
        <f ca="1">IFERROR(__xludf.DUMMYFUNCTION("""COMPUTED_VALUE"""),"SEM-5")</f>
        <v>SEM-5</v>
      </c>
      <c r="P284" s="9"/>
      <c r="Q284" s="9"/>
      <c r="R284" s="9"/>
      <c r="S284" s="9"/>
      <c r="T284" s="9"/>
      <c r="U284" s="9"/>
      <c r="V284" s="9"/>
      <c r="W284" s="9"/>
      <c r="X284" s="9"/>
      <c r="Y284" s="9"/>
    </row>
    <row r="285" spans="1:25" ht="26.25" customHeight="1" x14ac:dyDescent="0.15">
      <c r="A285" s="9" t="str">
        <f ca="1">IFERROR(__xludf.DUMMYFUNCTION("""COMPUTED_VALUE"""),"Mummudivarapu Narendra")</f>
        <v>Mummudivarapu Narendra</v>
      </c>
      <c r="B285" s="9" t="str">
        <f ca="1">IFERROR(__xludf.DUMMYFUNCTION("""COMPUTED_VALUE"""),"19335A0511")</f>
        <v>19335A0511</v>
      </c>
      <c r="C285" s="78" t="str">
        <f ca="1">IFERROR(__xludf.DUMMYFUNCTION("""COMPUTED_VALUE"""),"COVID19 Data Analysis Using Python in Coursera Project Network")</f>
        <v>COVID19 Data Analysis Using Python in Coursera Project Network</v>
      </c>
      <c r="D285" s="9" t="str">
        <f ca="1">IFERROR(__xludf.DUMMYFUNCTION("""COMPUTED_VALUE"""),"Coursera")</f>
        <v>Coursera</v>
      </c>
      <c r="E285" s="9" t="str">
        <f ca="1">IFERROR(__xludf.DUMMYFUNCTION("""COMPUTED_VALUE"""),"7 days")</f>
        <v>7 days</v>
      </c>
      <c r="F285" s="79">
        <f ca="1">IFERROR(__xludf.DUMMYFUNCTION("""COMPUTED_VALUE"""),44013)</f>
        <v>44013</v>
      </c>
      <c r="G285" s="79">
        <f ca="1">IFERROR(__xludf.DUMMYFUNCTION("""COMPUTED_VALUE"""),44019)</f>
        <v>44019</v>
      </c>
      <c r="H285" s="72">
        <f ca="1">IFERROR(__xludf.DUMMYFUNCTION("""COMPUTED_VALUE"""),44019)</f>
        <v>44019</v>
      </c>
      <c r="I285" s="80"/>
      <c r="J285" s="9" t="str">
        <f ca="1">IFERROR(__xludf.DUMMYFUNCTION("""COMPUTED_VALUE"""),"NO")</f>
        <v>NO</v>
      </c>
      <c r="K285" s="73" t="str">
        <f ca="1">IFERROR(__xludf.DUMMYFUNCTION("""COMPUTED_VALUE"""),"https://drive.google.com/open?id=1jiIJU8ZvyKMBVP_vkvOEkTVZRG6nYWi9")</f>
        <v>https://drive.google.com/open?id=1jiIJU8ZvyKMBVP_vkvOEkTVZRG6nYWi9</v>
      </c>
      <c r="L285" s="9" t="str">
        <f ca="1">IFERROR(__xludf.DUMMYFUNCTION("""COMPUTED_VALUE"""),"2018-2022")</f>
        <v>2018-2022</v>
      </c>
      <c r="M285" s="9" t="str">
        <f ca="1">IFERROR(__xludf.DUMMYFUNCTION("""COMPUTED_VALUE"""),"S4: Student Certifications")</f>
        <v>S4: Student Certifications</v>
      </c>
      <c r="N285" s="9" t="str">
        <f ca="1">IFERROR(__xludf.DUMMYFUNCTION("""COMPUTED_VALUE"""),"shanmukhanarendra3@gmail.com")</f>
        <v>shanmukhanarendra3@gmail.com</v>
      </c>
      <c r="O285" s="9" t="str">
        <f ca="1">IFERROR(__xludf.DUMMYFUNCTION("""COMPUTED_VALUE"""),"SEM-8")</f>
        <v>SEM-8</v>
      </c>
      <c r="P285" s="9"/>
      <c r="Q285" s="9"/>
      <c r="R285" s="9"/>
      <c r="S285" s="9"/>
      <c r="T285" s="9"/>
      <c r="U285" s="9"/>
      <c r="V285" s="9"/>
      <c r="W285" s="9"/>
      <c r="X285" s="9"/>
      <c r="Y285" s="9"/>
    </row>
    <row r="286" spans="1:25" ht="26.25" customHeight="1" x14ac:dyDescent="0.15">
      <c r="A286" s="9" t="str">
        <f ca="1">IFERROR(__xludf.DUMMYFUNCTION("""COMPUTED_VALUE"""),"Mummudivarapu Narendra")</f>
        <v>Mummudivarapu Narendra</v>
      </c>
      <c r="B286" s="9" t="str">
        <f ca="1">IFERROR(__xludf.DUMMYFUNCTION("""COMPUTED_VALUE"""),"19335A0511")</f>
        <v>19335A0511</v>
      </c>
      <c r="C286" s="78" t="str">
        <f ca="1">IFERROR(__xludf.DUMMYFUNCTION("""COMPUTED_VALUE"""),"AI For Everyone, DeepLearning.AI in Coursera")</f>
        <v>AI For Everyone, DeepLearning.AI in Coursera</v>
      </c>
      <c r="D286" s="9" t="str">
        <f ca="1">IFERROR(__xludf.DUMMYFUNCTION("""COMPUTED_VALUE"""),"Coursera")</f>
        <v>Coursera</v>
      </c>
      <c r="E286" s="9" t="str">
        <f ca="1">IFERROR(__xludf.DUMMYFUNCTION("""COMPUTED_VALUE"""),"1 month")</f>
        <v>1 month</v>
      </c>
      <c r="F286" s="79">
        <f ca="1">IFERROR(__xludf.DUMMYFUNCTION("""COMPUTED_VALUE"""),44013)</f>
        <v>44013</v>
      </c>
      <c r="G286" s="79">
        <f ca="1">IFERROR(__xludf.DUMMYFUNCTION("""COMPUTED_VALUE"""),44017)</f>
        <v>44017</v>
      </c>
      <c r="H286" s="72">
        <f ca="1">IFERROR(__xludf.DUMMYFUNCTION("""COMPUTED_VALUE"""),44017)</f>
        <v>44017</v>
      </c>
      <c r="I286" s="80"/>
      <c r="J286" s="9" t="str">
        <f ca="1">IFERROR(__xludf.DUMMYFUNCTION("""COMPUTED_VALUE"""),"NO")</f>
        <v>NO</v>
      </c>
      <c r="K286" s="73" t="str">
        <f ca="1">IFERROR(__xludf.DUMMYFUNCTION("""COMPUTED_VALUE"""),"https://drive.google.com/open?id=1g4cAStMYWAGWLinDZd771nGBJDVj-ByV")</f>
        <v>https://drive.google.com/open?id=1g4cAStMYWAGWLinDZd771nGBJDVj-ByV</v>
      </c>
      <c r="L286" s="9" t="str">
        <f ca="1">IFERROR(__xludf.DUMMYFUNCTION("""COMPUTED_VALUE"""),"2018-2022")</f>
        <v>2018-2022</v>
      </c>
      <c r="M286" s="9" t="str">
        <f ca="1">IFERROR(__xludf.DUMMYFUNCTION("""COMPUTED_VALUE"""),"S4: Student Certifications")</f>
        <v>S4: Student Certifications</v>
      </c>
      <c r="N286" s="9" t="str">
        <f ca="1">IFERROR(__xludf.DUMMYFUNCTION("""COMPUTED_VALUE"""),"shanmukhanarendra3@gmail.com")</f>
        <v>shanmukhanarendra3@gmail.com</v>
      </c>
      <c r="O286" s="9" t="str">
        <f ca="1">IFERROR(__xludf.DUMMYFUNCTION("""COMPUTED_VALUE"""),"SEM-8")</f>
        <v>SEM-8</v>
      </c>
      <c r="P286" s="9"/>
      <c r="Q286" s="9"/>
      <c r="R286" s="9"/>
      <c r="S286" s="9"/>
      <c r="T286" s="9"/>
      <c r="U286" s="9"/>
      <c r="V286" s="9"/>
      <c r="W286" s="9"/>
      <c r="X286" s="9"/>
      <c r="Y286" s="9"/>
    </row>
    <row r="287" spans="1:25" ht="26.25" customHeight="1" x14ac:dyDescent="0.15">
      <c r="A287" s="9" t="str">
        <f ca="1">IFERROR(__xludf.DUMMYFUNCTION("""COMPUTED_VALUE"""),"Mummudivarapu Narendra")</f>
        <v>Mummudivarapu Narendra</v>
      </c>
      <c r="B287" s="9" t="str">
        <f ca="1">IFERROR(__xludf.DUMMYFUNCTION("""COMPUTED_VALUE"""),"19335A0511")</f>
        <v>19335A0511</v>
      </c>
      <c r="C287" s="78" t="str">
        <f ca="1">IFERROR(__xludf.DUMMYFUNCTION("""COMPUTED_VALUE"""),"Programming for Everybody (Getting Started with Python), University of Michigan in Coursera")</f>
        <v>Programming for Everybody (Getting Started with Python), University of Michigan in Coursera</v>
      </c>
      <c r="D287" s="9" t="str">
        <f ca="1">IFERROR(__xludf.DUMMYFUNCTION("""COMPUTED_VALUE"""),"Coursera")</f>
        <v>Coursera</v>
      </c>
      <c r="E287" s="9" t="str">
        <f ca="1">IFERROR(__xludf.DUMMYFUNCTION("""COMPUTED_VALUE"""),"2 month")</f>
        <v>2 month</v>
      </c>
      <c r="F287" s="79">
        <f ca="1">IFERROR(__xludf.DUMMYFUNCTION("""COMPUTED_VALUE"""),43891)</f>
        <v>43891</v>
      </c>
      <c r="G287" s="79">
        <f ca="1">IFERROR(__xludf.DUMMYFUNCTION("""COMPUTED_VALUE"""),43968)</f>
        <v>43968</v>
      </c>
      <c r="H287" s="72">
        <f ca="1">IFERROR(__xludf.DUMMYFUNCTION("""COMPUTED_VALUE"""),43968)</f>
        <v>43968</v>
      </c>
      <c r="I287" s="80"/>
      <c r="J287" s="9" t="str">
        <f ca="1">IFERROR(__xludf.DUMMYFUNCTION("""COMPUTED_VALUE"""),"NO")</f>
        <v>NO</v>
      </c>
      <c r="K287" s="73" t="str">
        <f ca="1">IFERROR(__xludf.DUMMYFUNCTION("""COMPUTED_VALUE"""),"https://drive.google.com/open?id=18o0SK3peIRcyf0MCpt0WbB7IFzl3U_3J")</f>
        <v>https://drive.google.com/open?id=18o0SK3peIRcyf0MCpt0WbB7IFzl3U_3J</v>
      </c>
      <c r="L287" s="9" t="str">
        <f ca="1">IFERROR(__xludf.DUMMYFUNCTION("""COMPUTED_VALUE"""),"2018-2022")</f>
        <v>2018-2022</v>
      </c>
      <c r="M287" s="9" t="str">
        <f ca="1">IFERROR(__xludf.DUMMYFUNCTION("""COMPUTED_VALUE"""),"S4: Student Certifications")</f>
        <v>S4: Student Certifications</v>
      </c>
      <c r="N287" s="9" t="str">
        <f ca="1">IFERROR(__xludf.DUMMYFUNCTION("""COMPUTED_VALUE"""),"shanmukhanarendra3@gmail.com")</f>
        <v>shanmukhanarendra3@gmail.com</v>
      </c>
      <c r="O287" s="9" t="str">
        <f ca="1">IFERROR(__xludf.DUMMYFUNCTION("""COMPUTED_VALUE"""),"SEM-8")</f>
        <v>SEM-8</v>
      </c>
      <c r="P287" s="9"/>
      <c r="Q287" s="9"/>
      <c r="R287" s="9"/>
      <c r="S287" s="9"/>
      <c r="T287" s="9"/>
      <c r="U287" s="9"/>
      <c r="V287" s="9"/>
      <c r="W287" s="9"/>
      <c r="X287" s="9"/>
      <c r="Y287" s="9"/>
    </row>
    <row r="288" spans="1:25" ht="26.25" customHeight="1" x14ac:dyDescent="0.15">
      <c r="A288" s="9" t="str">
        <f ca="1">IFERROR(__xludf.DUMMYFUNCTION("""COMPUTED_VALUE"""),"Gulla Sai Bhavana")</f>
        <v>Gulla Sai Bhavana</v>
      </c>
      <c r="B288" s="9" t="str">
        <f ca="1">IFERROR(__xludf.DUMMYFUNCTION("""COMPUTED_VALUE"""),"18331A0552")</f>
        <v>18331A0552</v>
      </c>
      <c r="C288" s="78" t="str">
        <f ca="1">IFERROR(__xludf.DUMMYFUNCTION("""COMPUTED_VALUE"""),"AWS")</f>
        <v>AWS</v>
      </c>
      <c r="D288" s="9" t="str">
        <f ca="1">IFERROR(__xludf.DUMMYFUNCTION("""COMPUTED_VALUE"""),"AICTE")</f>
        <v>AICTE</v>
      </c>
      <c r="E288" s="9" t="str">
        <f ca="1">IFERROR(__xludf.DUMMYFUNCTION("""COMPUTED_VALUE"""),"3 months")</f>
        <v>3 months</v>
      </c>
      <c r="F288" s="79">
        <f ca="1">IFERROR(__xludf.DUMMYFUNCTION("""COMPUTED_VALUE"""),44476)</f>
        <v>44476</v>
      </c>
      <c r="G288" s="79">
        <f ca="1">IFERROR(__xludf.DUMMYFUNCTION("""COMPUTED_VALUE"""),44537)</f>
        <v>44537</v>
      </c>
      <c r="H288" s="72">
        <f ca="1">IFERROR(__xludf.DUMMYFUNCTION("""COMPUTED_VALUE"""),44536)</f>
        <v>44536</v>
      </c>
      <c r="I288" s="80">
        <f ca="1">IFERROR(__xludf.DUMMYFUNCTION("""COMPUTED_VALUE"""),100)</f>
        <v>100</v>
      </c>
      <c r="J288" s="9" t="str">
        <f ca="1">IFERROR(__xludf.DUMMYFUNCTION("""COMPUTED_VALUE"""),"Ravi Kiran varma")</f>
        <v>Ravi Kiran varma</v>
      </c>
      <c r="K288" s="73" t="str">
        <f ca="1">IFERROR(__xludf.DUMMYFUNCTION("""COMPUTED_VALUE"""),"https://drive.google.com/open?id=16Z5RdP2vQp6lMUtgglv2xjoJf6auni2F")</f>
        <v>https://drive.google.com/open?id=16Z5RdP2vQp6lMUtgglv2xjoJf6auni2F</v>
      </c>
      <c r="L288" s="9" t="str">
        <f ca="1">IFERROR(__xludf.DUMMYFUNCTION("""COMPUTED_VALUE"""),"2018-2022")</f>
        <v>2018-2022</v>
      </c>
      <c r="M288" s="9" t="str">
        <f ca="1">IFERROR(__xludf.DUMMYFUNCTION("""COMPUTED_VALUE"""),"S4: Student Certifications")</f>
        <v>S4: Student Certifications</v>
      </c>
      <c r="N288" s="9" t="str">
        <f ca="1">IFERROR(__xludf.DUMMYFUNCTION("""COMPUTED_VALUE"""),"saibhavana.as16@gmail.com")</f>
        <v>saibhavana.as16@gmail.com</v>
      </c>
      <c r="O288" s="9" t="str">
        <f ca="1">IFERROR(__xludf.DUMMYFUNCTION("""COMPUTED_VALUE"""),"SEM-8")</f>
        <v>SEM-8</v>
      </c>
      <c r="P288" s="9"/>
      <c r="Q288" s="9"/>
      <c r="R288" s="9"/>
      <c r="S288" s="9"/>
      <c r="T288" s="9"/>
      <c r="U288" s="9"/>
      <c r="V288" s="9"/>
      <c r="W288" s="9"/>
      <c r="X288" s="9"/>
      <c r="Y288" s="9"/>
    </row>
    <row r="289" spans="1:25" ht="26.25" customHeight="1" x14ac:dyDescent="0.15">
      <c r="A289" s="9" t="str">
        <f ca="1">IFERROR(__xludf.DUMMYFUNCTION("""COMPUTED_VALUE"""),"YASHWANTH BOGGARAPU")</f>
        <v>YASHWANTH BOGGARAPU</v>
      </c>
      <c r="B289" s="9" t="str">
        <f ca="1">IFERROR(__xludf.DUMMYFUNCTION("""COMPUTED_VALUE"""),"18331A0517")</f>
        <v>18331A0517</v>
      </c>
      <c r="C289" s="78" t="str">
        <f ca="1">IFERROR(__xludf.DUMMYFUNCTION("""COMPUTED_VALUE"""),"Basics of C")</f>
        <v>Basics of C</v>
      </c>
      <c r="D289" s="9" t="str">
        <f ca="1">IFERROR(__xludf.DUMMYFUNCTION("""COMPUTED_VALUE"""),"Udemy")</f>
        <v>Udemy</v>
      </c>
      <c r="E289" s="9" t="str">
        <f ca="1">IFERROR(__xludf.DUMMYFUNCTION("""COMPUTED_VALUE"""),"1Hour")</f>
        <v>1Hour</v>
      </c>
      <c r="F289" s="79">
        <f ca="1">IFERROR(__xludf.DUMMYFUNCTION("""COMPUTED_VALUE"""),43930)</f>
        <v>43930</v>
      </c>
      <c r="G289" s="79">
        <f ca="1">IFERROR(__xludf.DUMMYFUNCTION("""COMPUTED_VALUE"""),43931)</f>
        <v>43931</v>
      </c>
      <c r="H289" s="72">
        <f ca="1">IFERROR(__xludf.DUMMYFUNCTION("""COMPUTED_VALUE"""),43930)</f>
        <v>43930</v>
      </c>
      <c r="I289" s="80">
        <f ca="1">IFERROR(__xludf.DUMMYFUNCTION("""COMPUTED_VALUE"""),80)</f>
        <v>80</v>
      </c>
      <c r="J289" s="9" t="str">
        <f ca="1">IFERROR(__xludf.DUMMYFUNCTION("""COMPUTED_VALUE"""),"Self Learning")</f>
        <v>Self Learning</v>
      </c>
      <c r="K289" s="73" t="str">
        <f ca="1">IFERROR(__xludf.DUMMYFUNCTION("""COMPUTED_VALUE"""),"https://drive.google.com/open?id=1buShck1TZ1p1G5nDkhqST59D4U3bZYLH")</f>
        <v>https://drive.google.com/open?id=1buShck1TZ1p1G5nDkhqST59D4U3bZYLH</v>
      </c>
      <c r="L289" s="9" t="str">
        <f ca="1">IFERROR(__xludf.DUMMYFUNCTION("""COMPUTED_VALUE"""),"2018-2022")</f>
        <v>2018-2022</v>
      </c>
      <c r="M289" s="9" t="str">
        <f ca="1">IFERROR(__xludf.DUMMYFUNCTION("""COMPUTED_VALUE"""),"S4: Student Certifications")</f>
        <v>S4: Student Certifications</v>
      </c>
      <c r="N289" s="9" t="str">
        <f ca="1">IFERROR(__xludf.DUMMYFUNCTION("""COMPUTED_VALUE"""),"yashwanthboggarapu2000@gmail.com")</f>
        <v>yashwanthboggarapu2000@gmail.com</v>
      </c>
      <c r="O289" s="9" t="str">
        <f ca="1">IFERROR(__xludf.DUMMYFUNCTION("""COMPUTED_VALUE"""),"SEM-8")</f>
        <v>SEM-8</v>
      </c>
      <c r="P289" s="9"/>
      <c r="Q289" s="9"/>
      <c r="R289" s="9"/>
      <c r="S289" s="9"/>
      <c r="T289" s="9"/>
      <c r="U289" s="9"/>
      <c r="V289" s="9"/>
      <c r="W289" s="9"/>
      <c r="X289" s="9"/>
      <c r="Y289" s="9"/>
    </row>
    <row r="290" spans="1:25" ht="26.25" customHeight="1" x14ac:dyDescent="0.15">
      <c r="A290" s="9" t="str">
        <f ca="1">IFERROR(__xludf.DUMMYFUNCTION("""COMPUTED_VALUE"""),"Gorle Shri Aiswarya")</f>
        <v>Gorle Shri Aiswarya</v>
      </c>
      <c r="B290" s="9" t="str">
        <f ca="1">IFERROR(__xludf.DUMMYFUNCTION("""COMPUTED_VALUE"""),"18331A0549")</f>
        <v>18331A0549</v>
      </c>
      <c r="C290" s="78" t="str">
        <f ca="1">IFERROR(__xludf.DUMMYFUNCTION("""COMPUTED_VALUE"""),"AICTE Internship")</f>
        <v>AICTE Internship</v>
      </c>
      <c r="D290" s="9" t="str">
        <f ca="1">IFERROR(__xludf.DUMMYFUNCTION("""COMPUTED_VALUE"""),"AWS")</f>
        <v>AWS</v>
      </c>
      <c r="E290" s="9" t="str">
        <f ca="1">IFERROR(__xludf.DUMMYFUNCTION("""COMPUTED_VALUE"""),"3 months")</f>
        <v>3 months</v>
      </c>
      <c r="F290" s="79">
        <f ca="1">IFERROR(__xludf.DUMMYFUNCTION("""COMPUTED_VALUE"""),44479)</f>
        <v>44479</v>
      </c>
      <c r="G290" s="79">
        <f ca="1">IFERROR(__xludf.DUMMYFUNCTION("""COMPUTED_VALUE"""),44571)</f>
        <v>44571</v>
      </c>
      <c r="H290" s="72">
        <f ca="1">IFERROR(__xludf.DUMMYFUNCTION("""COMPUTED_VALUE"""),44572)</f>
        <v>44572</v>
      </c>
      <c r="I290" s="80">
        <f ca="1">IFERROR(__xludf.DUMMYFUNCTION("""COMPUTED_VALUE"""),100)</f>
        <v>100</v>
      </c>
      <c r="J290" s="9" t="str">
        <f ca="1">IFERROR(__xludf.DUMMYFUNCTION("""COMPUTED_VALUE"""),"Ravi Kiran Varma ")</f>
        <v xml:space="preserve">Ravi Kiran Varma </v>
      </c>
      <c r="K290" s="73" t="str">
        <f ca="1">IFERROR(__xludf.DUMMYFUNCTION("""COMPUTED_VALUE"""),"https://drive.google.com/open?id=1G-l2_HdaTZMDsWqoGZ4rN5EPJbHtt5E_")</f>
        <v>https://drive.google.com/open?id=1G-l2_HdaTZMDsWqoGZ4rN5EPJbHtt5E_</v>
      </c>
      <c r="L290" s="9" t="str">
        <f ca="1">IFERROR(__xludf.DUMMYFUNCTION("""COMPUTED_VALUE"""),"2018-2022")</f>
        <v>2018-2022</v>
      </c>
      <c r="M290" s="9" t="str">
        <f ca="1">IFERROR(__xludf.DUMMYFUNCTION("""COMPUTED_VALUE"""),"S4: Student Certifications")</f>
        <v>S4: Student Certifications</v>
      </c>
      <c r="N290" s="9" t="str">
        <f ca="1">IFERROR(__xludf.DUMMYFUNCTION("""COMPUTED_VALUE"""),"aiswarya15112000@gmail.com")</f>
        <v>aiswarya15112000@gmail.com</v>
      </c>
      <c r="O290" s="9" t="str">
        <f ca="1">IFERROR(__xludf.DUMMYFUNCTION("""COMPUTED_VALUE"""),"SEM-8")</f>
        <v>SEM-8</v>
      </c>
      <c r="P290" s="9"/>
      <c r="Q290" s="9"/>
      <c r="R290" s="9"/>
      <c r="S290" s="9"/>
      <c r="T290" s="9"/>
      <c r="U290" s="9"/>
      <c r="V290" s="9"/>
      <c r="W290" s="9"/>
      <c r="X290" s="9"/>
      <c r="Y290" s="9"/>
    </row>
    <row r="291" spans="1:25" ht="26.25" customHeight="1" x14ac:dyDescent="0.15">
      <c r="A291" s="9" t="str">
        <f ca="1">IFERROR(__xludf.DUMMYFUNCTION("""COMPUTED_VALUE"""),"N K V SRIHARSHA")</f>
        <v>N K V SRIHARSHA</v>
      </c>
      <c r="B291" s="9" t="str">
        <f ca="1">IFERROR(__xludf.DUMMYFUNCTION("""COMPUTED_VALUE"""),"18331A05A4")</f>
        <v>18331A05A4</v>
      </c>
      <c r="C291" s="78" t="str">
        <f ca="1">IFERROR(__xludf.DUMMYFUNCTION("""COMPUTED_VALUE"""),"Cyber security")</f>
        <v>Cyber security</v>
      </c>
      <c r="D291" s="9" t="str">
        <f ca="1">IFERROR(__xludf.DUMMYFUNCTION("""COMPUTED_VALUE"""),"Cisco")</f>
        <v>Cisco</v>
      </c>
      <c r="E291" s="9" t="str">
        <f ca="1">IFERROR(__xludf.DUMMYFUNCTION("""COMPUTED_VALUE"""),"2 months")</f>
        <v>2 months</v>
      </c>
      <c r="F291" s="79">
        <f ca="1">IFERROR(__xludf.DUMMYFUNCTION("""COMPUTED_VALUE"""),43601)</f>
        <v>43601</v>
      </c>
      <c r="G291" s="79">
        <f ca="1">IFERROR(__xludf.DUMMYFUNCTION("""COMPUTED_VALUE"""),43672)</f>
        <v>43672</v>
      </c>
      <c r="H291" s="72">
        <f ca="1">IFERROR(__xludf.DUMMYFUNCTION("""COMPUTED_VALUE"""),43672)</f>
        <v>43672</v>
      </c>
      <c r="I291" s="80">
        <f ca="1">IFERROR(__xludf.DUMMYFUNCTION("""COMPUTED_VALUE"""),90)</f>
        <v>90</v>
      </c>
      <c r="J291" s="9" t="str">
        <f ca="1">IFERROR(__xludf.DUMMYFUNCTION("""COMPUTED_VALUE"""),"Ravi Kiran varma")</f>
        <v>Ravi Kiran varma</v>
      </c>
      <c r="K291" s="73" t="str">
        <f ca="1">IFERROR(__xludf.DUMMYFUNCTION("""COMPUTED_VALUE"""),"https://drive.google.com/open?id=15Pk_sGZWE6Flko1Wb2O2twwEnxSdKUX2")</f>
        <v>https://drive.google.com/open?id=15Pk_sGZWE6Flko1Wb2O2twwEnxSdKUX2</v>
      </c>
      <c r="L291" s="9" t="str">
        <f ca="1">IFERROR(__xludf.DUMMYFUNCTION("""COMPUTED_VALUE"""),"2018-2022")</f>
        <v>2018-2022</v>
      </c>
      <c r="M291" s="9" t="str">
        <f ca="1">IFERROR(__xludf.DUMMYFUNCTION("""COMPUTED_VALUE"""),"S4: Student Certifications")</f>
        <v>S4: Student Certifications</v>
      </c>
      <c r="N291" s="9" t="str">
        <f ca="1">IFERROR(__xludf.DUMMYFUNCTION("""COMPUTED_VALUE"""),"sriharshankv312001@gmail.com")</f>
        <v>sriharshankv312001@gmail.com</v>
      </c>
      <c r="O291" s="9" t="str">
        <f ca="1">IFERROR(__xludf.DUMMYFUNCTION("""COMPUTED_VALUE"""),"SEM-1")</f>
        <v>SEM-1</v>
      </c>
      <c r="P291" s="9"/>
      <c r="Q291" s="9"/>
      <c r="R291" s="9"/>
      <c r="S291" s="9"/>
      <c r="T291" s="9"/>
      <c r="U291" s="9"/>
      <c r="V291" s="9"/>
      <c r="W291" s="9"/>
      <c r="X291" s="9"/>
      <c r="Y291" s="9"/>
    </row>
    <row r="292" spans="1:25" ht="26.25" customHeight="1" x14ac:dyDescent="0.15">
      <c r="A292" s="9" t="str">
        <f ca="1">IFERROR(__xludf.DUMMYFUNCTION("""COMPUTED_VALUE"""),"Gorle Shri Aiswarya")</f>
        <v>Gorle Shri Aiswarya</v>
      </c>
      <c r="B292" s="9" t="str">
        <f ca="1">IFERROR(__xludf.DUMMYFUNCTION("""COMPUTED_VALUE"""),"18331A0549")</f>
        <v>18331A0549</v>
      </c>
      <c r="C292" s="78" t="str">
        <f ca="1">IFERROR(__xludf.DUMMYFUNCTION("""COMPUTED_VALUE"""),"Cybersecurity Essentials")</f>
        <v>Cybersecurity Essentials</v>
      </c>
      <c r="D292" s="9" t="str">
        <f ca="1">IFERROR(__xludf.DUMMYFUNCTION("""COMPUTED_VALUE"""),"Cisco")</f>
        <v>Cisco</v>
      </c>
      <c r="E292" s="9" t="str">
        <f ca="1">IFERROR(__xludf.DUMMYFUNCTION("""COMPUTED_VALUE"""),"3 months")</f>
        <v>3 months</v>
      </c>
      <c r="F292" s="79">
        <f ca="1">IFERROR(__xludf.DUMMYFUNCTION("""COMPUTED_VALUE"""),43564)</f>
        <v>43564</v>
      </c>
      <c r="G292" s="79">
        <f ca="1">IFERROR(__xludf.DUMMYFUNCTION("""COMPUTED_VALUE"""),43665)</f>
        <v>43665</v>
      </c>
      <c r="H292" s="72">
        <f ca="1">IFERROR(__xludf.DUMMYFUNCTION("""COMPUTED_VALUE"""),43672)</f>
        <v>43672</v>
      </c>
      <c r="I292" s="80">
        <f ca="1">IFERROR(__xludf.DUMMYFUNCTION("""COMPUTED_VALUE"""),98)</f>
        <v>98</v>
      </c>
      <c r="J292" s="9" t="str">
        <f ca="1">IFERROR(__xludf.DUMMYFUNCTION("""COMPUTED_VALUE"""),"Ravi Kiran Varma")</f>
        <v>Ravi Kiran Varma</v>
      </c>
      <c r="K292" s="73" t="str">
        <f ca="1">IFERROR(__xludf.DUMMYFUNCTION("""COMPUTED_VALUE"""),"https://drive.google.com/open?id=1pxy4YbkI-sDS6ij1d0Nqu69p9VIc-cBR")</f>
        <v>https://drive.google.com/open?id=1pxy4YbkI-sDS6ij1d0Nqu69p9VIc-cBR</v>
      </c>
      <c r="L292" s="9" t="str">
        <f ca="1">IFERROR(__xludf.DUMMYFUNCTION("""COMPUTED_VALUE"""),"2018-2022")</f>
        <v>2018-2022</v>
      </c>
      <c r="M292" s="9" t="str">
        <f ca="1">IFERROR(__xludf.DUMMYFUNCTION("""COMPUTED_VALUE"""),"S4: Student Certifications")</f>
        <v>S4: Student Certifications</v>
      </c>
      <c r="N292" s="9" t="str">
        <f ca="1">IFERROR(__xludf.DUMMYFUNCTION("""COMPUTED_VALUE"""),"aiswarya15112000@gmail.com")</f>
        <v>aiswarya15112000@gmail.com</v>
      </c>
      <c r="O292" s="9" t="str">
        <f ca="1">IFERROR(__xludf.DUMMYFUNCTION("""COMPUTED_VALUE"""),"SEM-8")</f>
        <v>SEM-8</v>
      </c>
      <c r="P292" s="9"/>
      <c r="Q292" s="9"/>
      <c r="R292" s="9"/>
      <c r="S292" s="9"/>
      <c r="T292" s="9"/>
      <c r="U292" s="9"/>
      <c r="V292" s="9"/>
      <c r="W292" s="9"/>
      <c r="X292" s="9"/>
      <c r="Y292" s="9"/>
    </row>
    <row r="293" spans="1:25" ht="26.25" customHeight="1" x14ac:dyDescent="0.15">
      <c r="A293" s="9" t="str">
        <f ca="1">IFERROR(__xludf.DUMMYFUNCTION("""COMPUTED_VALUE"""),"Ichapurapu C S V Krishna Devarayalu")</f>
        <v>Ichapurapu C S V Krishna Devarayalu</v>
      </c>
      <c r="B293" s="9" t="str">
        <f ca="1">IFERROR(__xludf.DUMMYFUNCTION("""COMPUTED_VALUE"""),"18331A0557")</f>
        <v>18331A0557</v>
      </c>
      <c r="C293" s="78" t="str">
        <f ca="1">IFERROR(__xludf.DUMMYFUNCTION("""COMPUTED_VALUE"""),"Python")</f>
        <v>Python</v>
      </c>
      <c r="D293" s="9" t="str">
        <f ca="1">IFERROR(__xludf.DUMMYFUNCTION("""COMPUTED_VALUE"""),"Udemy")</f>
        <v>Udemy</v>
      </c>
      <c r="E293" s="9" t="str">
        <f ca="1">IFERROR(__xludf.DUMMYFUNCTION("""COMPUTED_VALUE"""),"1 month")</f>
        <v>1 month</v>
      </c>
      <c r="F293" s="79">
        <f ca="1">IFERROR(__xludf.DUMMYFUNCTION("""COMPUTED_VALUE"""),44063)</f>
        <v>44063</v>
      </c>
      <c r="G293" s="79">
        <f ca="1">IFERROR(__xludf.DUMMYFUNCTION("""COMPUTED_VALUE"""),44092)</f>
        <v>44092</v>
      </c>
      <c r="H293" s="72">
        <f ca="1">IFERROR(__xludf.DUMMYFUNCTION("""COMPUTED_VALUE"""),44094)</f>
        <v>44094</v>
      </c>
      <c r="I293" s="80">
        <f ca="1">IFERROR(__xludf.DUMMYFUNCTION("""COMPUTED_VALUE"""),90)</f>
        <v>90</v>
      </c>
      <c r="J293" s="9" t="str">
        <f ca="1">IFERROR(__xludf.DUMMYFUNCTION("""COMPUTED_VALUE"""),"None")</f>
        <v>None</v>
      </c>
      <c r="K293" s="73" t="str">
        <f ca="1">IFERROR(__xludf.DUMMYFUNCTION("""COMPUTED_VALUE"""),"https://drive.google.com/open?id=1ND4We0vstlu_HdYGx2G6nGW02_8BM1Aj")</f>
        <v>https://drive.google.com/open?id=1ND4We0vstlu_HdYGx2G6nGW02_8BM1Aj</v>
      </c>
      <c r="L293" s="9" t="str">
        <f ca="1">IFERROR(__xludf.DUMMYFUNCTION("""COMPUTED_VALUE"""),"2018-2022")</f>
        <v>2018-2022</v>
      </c>
      <c r="M293" s="9" t="str">
        <f ca="1">IFERROR(__xludf.DUMMYFUNCTION("""COMPUTED_VALUE"""),"S4: Student Certifications")</f>
        <v>S4: Student Certifications</v>
      </c>
      <c r="N293" s="9" t="str">
        <f ca="1">IFERROR(__xludf.DUMMYFUNCTION("""COMPUTED_VALUE"""),"devarayalu29@gmail.com")</f>
        <v>devarayalu29@gmail.com</v>
      </c>
      <c r="O293" s="9" t="str">
        <f ca="1">IFERROR(__xludf.DUMMYFUNCTION("""COMPUTED_VALUE"""),"SEM-8")</f>
        <v>SEM-8</v>
      </c>
      <c r="P293" s="9"/>
      <c r="Q293" s="9"/>
      <c r="R293" s="9"/>
      <c r="S293" s="9"/>
      <c r="T293" s="9"/>
      <c r="U293" s="9"/>
      <c r="V293" s="9"/>
      <c r="W293" s="9"/>
      <c r="X293" s="9"/>
      <c r="Y293" s="9"/>
    </row>
    <row r="294" spans="1:25" ht="26.25" customHeight="1" x14ac:dyDescent="0.15">
      <c r="A294" s="9" t="str">
        <f ca="1">IFERROR(__xludf.DUMMYFUNCTION("""COMPUTED_VALUE"""),"Ichapurapu C S V Krishna Devarayalu")</f>
        <v>Ichapurapu C S V Krishna Devarayalu</v>
      </c>
      <c r="B294" s="9" t="str">
        <f ca="1">IFERROR(__xludf.DUMMYFUNCTION("""COMPUTED_VALUE"""),"18331A0557")</f>
        <v>18331A0557</v>
      </c>
      <c r="C294" s="78" t="str">
        <f ca="1">IFERROR(__xludf.DUMMYFUNCTION("""COMPUTED_VALUE"""),"Machine learning with Verzeo")</f>
        <v>Machine learning with Verzeo</v>
      </c>
      <c r="D294" s="9" t="str">
        <f ca="1">IFERROR(__xludf.DUMMYFUNCTION("""COMPUTED_VALUE"""),"Verzeo")</f>
        <v>Verzeo</v>
      </c>
      <c r="E294" s="9" t="str">
        <f ca="1">IFERROR(__xludf.DUMMYFUNCTION("""COMPUTED_VALUE"""),"3 months")</f>
        <v>3 months</v>
      </c>
      <c r="F294" s="79">
        <f ca="1">IFERROR(__xludf.DUMMYFUNCTION("""COMPUTED_VALUE"""),44096)</f>
        <v>44096</v>
      </c>
      <c r="G294" s="79">
        <f ca="1">IFERROR(__xludf.DUMMYFUNCTION("""COMPUTED_VALUE"""),44181)</f>
        <v>44181</v>
      </c>
      <c r="H294" s="72">
        <f ca="1">IFERROR(__xludf.DUMMYFUNCTION("""COMPUTED_VALUE"""),44157)</f>
        <v>44157</v>
      </c>
      <c r="I294" s="80"/>
      <c r="J294" s="9" t="str">
        <f ca="1">IFERROR(__xludf.DUMMYFUNCTION("""COMPUTED_VALUE"""),"Verzei")</f>
        <v>Verzei</v>
      </c>
      <c r="K294" s="73" t="str">
        <f ca="1">IFERROR(__xludf.DUMMYFUNCTION("""COMPUTED_VALUE"""),"https://drive.google.com/open?id=1w3Q2vDhXD7K6JmivRgDShFYxy502g-7Z")</f>
        <v>https://drive.google.com/open?id=1w3Q2vDhXD7K6JmivRgDShFYxy502g-7Z</v>
      </c>
      <c r="L294" s="9" t="str">
        <f ca="1">IFERROR(__xludf.DUMMYFUNCTION("""COMPUTED_VALUE"""),"2018-2022")</f>
        <v>2018-2022</v>
      </c>
      <c r="M294" s="9" t="str">
        <f ca="1">IFERROR(__xludf.DUMMYFUNCTION("""COMPUTED_VALUE"""),"S4: Student Certifications")</f>
        <v>S4: Student Certifications</v>
      </c>
      <c r="N294" s="9" t="str">
        <f ca="1">IFERROR(__xludf.DUMMYFUNCTION("""COMPUTED_VALUE"""),"devarayalu29@gmail.com")</f>
        <v>devarayalu29@gmail.com</v>
      </c>
      <c r="O294" s="9" t="str">
        <f ca="1">IFERROR(__xludf.DUMMYFUNCTION("""COMPUTED_VALUE"""),"SEM-8")</f>
        <v>SEM-8</v>
      </c>
      <c r="P294" s="9"/>
      <c r="Q294" s="9"/>
      <c r="R294" s="9"/>
      <c r="S294" s="9"/>
      <c r="T294" s="9"/>
      <c r="U294" s="9"/>
      <c r="V294" s="9"/>
      <c r="W294" s="9"/>
      <c r="X294" s="9"/>
      <c r="Y294" s="9"/>
    </row>
    <row r="295" spans="1:25" ht="26.25" customHeight="1" x14ac:dyDescent="0.15">
      <c r="A295" s="9" t="str">
        <f ca="1">IFERROR(__xludf.DUMMYFUNCTION("""COMPUTED_VALUE"""),"Gorle Shri Aiswarya")</f>
        <v>Gorle Shri Aiswarya</v>
      </c>
      <c r="B295" s="9" t="str">
        <f ca="1">IFERROR(__xludf.DUMMYFUNCTION("""COMPUTED_VALUE"""),"18331A0549")</f>
        <v>18331A0549</v>
      </c>
      <c r="C295" s="78" t="str">
        <f ca="1">IFERROR(__xludf.DUMMYFUNCTION("""COMPUTED_VALUE"""),"PYTHON BASICS")</f>
        <v>PYTHON BASICS</v>
      </c>
      <c r="D295" s="9" t="str">
        <f ca="1">IFERROR(__xludf.DUMMYFUNCTION("""COMPUTED_VALUE"""),"Coursera")</f>
        <v>Coursera</v>
      </c>
      <c r="E295" s="9" t="str">
        <f ca="1">IFERROR(__xludf.DUMMYFUNCTION("""COMPUTED_VALUE"""),"3 months")</f>
        <v>3 months</v>
      </c>
      <c r="F295" s="79">
        <f ca="1">IFERROR(__xludf.DUMMYFUNCTION("""COMPUTED_VALUE"""),43875)</f>
        <v>43875</v>
      </c>
      <c r="G295" s="79">
        <f ca="1">IFERROR(__xludf.DUMMYFUNCTION("""COMPUTED_VALUE"""),43971)</f>
        <v>43971</v>
      </c>
      <c r="H295" s="72">
        <f ca="1">IFERROR(__xludf.DUMMYFUNCTION("""COMPUTED_VALUE"""),43976)</f>
        <v>43976</v>
      </c>
      <c r="I295" s="80">
        <f ca="1">IFERROR(__xludf.DUMMYFUNCTION("""COMPUTED_VALUE"""),99)</f>
        <v>99</v>
      </c>
      <c r="J295" s="9" t="str">
        <f ca="1">IFERROR(__xludf.DUMMYFUNCTION("""COMPUTED_VALUE"""),"Self Learning")</f>
        <v>Self Learning</v>
      </c>
      <c r="K295" s="73" t="str">
        <f ca="1">IFERROR(__xludf.DUMMYFUNCTION("""COMPUTED_VALUE"""),"https://drive.google.com/open?id=1DR6n0B5vS7rx8FgO0IsPV3YHM7XgoHqq")</f>
        <v>https://drive.google.com/open?id=1DR6n0B5vS7rx8FgO0IsPV3YHM7XgoHqq</v>
      </c>
      <c r="L295" s="9" t="str">
        <f ca="1">IFERROR(__xludf.DUMMYFUNCTION("""COMPUTED_VALUE"""),"2018-2022")</f>
        <v>2018-2022</v>
      </c>
      <c r="M295" s="9" t="str">
        <f ca="1">IFERROR(__xludf.DUMMYFUNCTION("""COMPUTED_VALUE"""),"S4: Student Certifications")</f>
        <v>S4: Student Certifications</v>
      </c>
      <c r="N295" s="9" t="str">
        <f ca="1">IFERROR(__xludf.DUMMYFUNCTION("""COMPUTED_VALUE"""),"aiswarya15112000@gmail.com")</f>
        <v>aiswarya15112000@gmail.com</v>
      </c>
      <c r="O295" s="9" t="str">
        <f ca="1">IFERROR(__xludf.DUMMYFUNCTION("""COMPUTED_VALUE"""),"SEM-8")</f>
        <v>SEM-8</v>
      </c>
      <c r="P295" s="9"/>
      <c r="Q295" s="9"/>
      <c r="R295" s="9"/>
      <c r="S295" s="9"/>
      <c r="T295" s="9"/>
      <c r="U295" s="9"/>
      <c r="V295" s="9"/>
      <c r="W295" s="9"/>
      <c r="X295" s="9"/>
      <c r="Y295" s="9"/>
    </row>
    <row r="296" spans="1:25" ht="26.25" customHeight="1" x14ac:dyDescent="0.15">
      <c r="A296" s="9" t="str">
        <f ca="1">IFERROR(__xludf.DUMMYFUNCTION("""COMPUTED_VALUE"""),"Gorle Shri Aiswarya")</f>
        <v>Gorle Shri Aiswarya</v>
      </c>
      <c r="B296" s="9" t="str">
        <f ca="1">IFERROR(__xludf.DUMMYFUNCTION("""COMPUTED_VALUE"""),"18331A0549")</f>
        <v>18331A0549</v>
      </c>
      <c r="C296" s="78" t="str">
        <f ca="1">IFERROR(__xludf.DUMMYFUNCTION("""COMPUTED_VALUE"""),"Basics of c programming")</f>
        <v>Basics of c programming</v>
      </c>
      <c r="D296" s="9" t="str">
        <f ca="1">IFERROR(__xludf.DUMMYFUNCTION("""COMPUTED_VALUE"""),"Udemy")</f>
        <v>Udemy</v>
      </c>
      <c r="E296" s="9" t="str">
        <f ca="1">IFERROR(__xludf.DUMMYFUNCTION("""COMPUTED_VALUE"""),"60 mins")</f>
        <v>60 mins</v>
      </c>
      <c r="F296" s="79">
        <f ca="1">IFERROR(__xludf.DUMMYFUNCTION("""COMPUTED_VALUE"""),43525)</f>
        <v>43525</v>
      </c>
      <c r="G296" s="79">
        <f ca="1">IFERROR(__xludf.DUMMYFUNCTION("""COMPUTED_VALUE"""),43531)</f>
        <v>43531</v>
      </c>
      <c r="H296" s="72">
        <f ca="1">IFERROR(__xludf.DUMMYFUNCTION("""COMPUTED_VALUE"""),43547)</f>
        <v>43547</v>
      </c>
      <c r="I296" s="80">
        <f ca="1">IFERROR(__xludf.DUMMYFUNCTION("""COMPUTED_VALUE"""),100)</f>
        <v>100</v>
      </c>
      <c r="J296" s="9" t="str">
        <f ca="1">IFERROR(__xludf.DUMMYFUNCTION("""COMPUTED_VALUE"""),"Self Learning")</f>
        <v>Self Learning</v>
      </c>
      <c r="K296" s="73" t="str">
        <f ca="1">IFERROR(__xludf.DUMMYFUNCTION("""COMPUTED_VALUE"""),"https://drive.google.com/open?id=1qnoXfzoIm_xbQw2fRc9wW-eeTtUjs97_")</f>
        <v>https://drive.google.com/open?id=1qnoXfzoIm_xbQw2fRc9wW-eeTtUjs97_</v>
      </c>
      <c r="L296" s="9" t="str">
        <f ca="1">IFERROR(__xludf.DUMMYFUNCTION("""COMPUTED_VALUE"""),"2018-2022")</f>
        <v>2018-2022</v>
      </c>
      <c r="M296" s="9" t="str">
        <f ca="1">IFERROR(__xludf.DUMMYFUNCTION("""COMPUTED_VALUE"""),"S4: Student Certifications")</f>
        <v>S4: Student Certifications</v>
      </c>
      <c r="N296" s="9" t="str">
        <f ca="1">IFERROR(__xludf.DUMMYFUNCTION("""COMPUTED_VALUE"""),"aiswarya15112000@gmail.com")</f>
        <v>aiswarya15112000@gmail.com</v>
      </c>
      <c r="O296" s="9" t="str">
        <f ca="1">IFERROR(__xludf.DUMMYFUNCTION("""COMPUTED_VALUE"""),"SEM-8")</f>
        <v>SEM-8</v>
      </c>
      <c r="P296" s="9"/>
      <c r="Q296" s="9"/>
      <c r="R296" s="9"/>
      <c r="S296" s="9"/>
      <c r="T296" s="9"/>
      <c r="U296" s="9"/>
      <c r="V296" s="9"/>
      <c r="W296" s="9"/>
      <c r="X296" s="9"/>
      <c r="Y296" s="9"/>
    </row>
    <row r="297" spans="1:25" ht="26.25" customHeight="1" x14ac:dyDescent="0.15">
      <c r="A297" s="9" t="str">
        <f ca="1">IFERROR(__xludf.DUMMYFUNCTION("""COMPUTED_VALUE"""),"Gorle Shri Aiswarya")</f>
        <v>Gorle Shri Aiswarya</v>
      </c>
      <c r="B297" s="9" t="str">
        <f ca="1">IFERROR(__xludf.DUMMYFUNCTION("""COMPUTED_VALUE"""),"18331A0549")</f>
        <v>18331A0549</v>
      </c>
      <c r="C297" s="78" t="str">
        <f ca="1">IFERROR(__xludf.DUMMYFUNCTION("""COMPUTED_VALUE"""),"Data Structures Concepts and Singly Linked List")</f>
        <v>Data Structures Concepts and Singly Linked List</v>
      </c>
      <c r="D297" s="9" t="str">
        <f ca="1">IFERROR(__xludf.DUMMYFUNCTION("""COMPUTED_VALUE"""),"Udemy")</f>
        <v>Udemy</v>
      </c>
      <c r="E297" s="9" t="str">
        <f ca="1">IFERROR(__xludf.DUMMYFUNCTION("""COMPUTED_VALUE"""),"90mins")</f>
        <v>90mins</v>
      </c>
      <c r="F297" s="79">
        <f ca="1">IFERROR(__xludf.DUMMYFUNCTION("""COMPUTED_VALUE"""),43970)</f>
        <v>43970</v>
      </c>
      <c r="G297" s="79">
        <f ca="1">IFERROR(__xludf.DUMMYFUNCTION("""COMPUTED_VALUE"""),43976)</f>
        <v>43976</v>
      </c>
      <c r="H297" s="72">
        <f ca="1">IFERROR(__xludf.DUMMYFUNCTION("""COMPUTED_VALUE"""),43976)</f>
        <v>43976</v>
      </c>
      <c r="I297" s="80"/>
      <c r="J297" s="9" t="str">
        <f ca="1">IFERROR(__xludf.DUMMYFUNCTION("""COMPUTED_VALUE"""),"Self Learning")</f>
        <v>Self Learning</v>
      </c>
      <c r="K297" s="73" t="str">
        <f ca="1">IFERROR(__xludf.DUMMYFUNCTION("""COMPUTED_VALUE"""),"https://drive.google.com/open?id=1XZPrlwYuQ8RNAX-qNAdMU_fytsLHWrYs")</f>
        <v>https://drive.google.com/open?id=1XZPrlwYuQ8RNAX-qNAdMU_fytsLHWrYs</v>
      </c>
      <c r="L297" s="9" t="str">
        <f ca="1">IFERROR(__xludf.DUMMYFUNCTION("""COMPUTED_VALUE"""),"2018-2022")</f>
        <v>2018-2022</v>
      </c>
      <c r="M297" s="9" t="str">
        <f ca="1">IFERROR(__xludf.DUMMYFUNCTION("""COMPUTED_VALUE"""),"S4: Student Certifications")</f>
        <v>S4: Student Certifications</v>
      </c>
      <c r="N297" s="9" t="str">
        <f ca="1">IFERROR(__xludf.DUMMYFUNCTION("""COMPUTED_VALUE"""),"aiswarya15112000@gmail.com")</f>
        <v>aiswarya15112000@gmail.com</v>
      </c>
      <c r="O297" s="9" t="str">
        <f ca="1">IFERROR(__xludf.DUMMYFUNCTION("""COMPUTED_VALUE"""),"SEM-8")</f>
        <v>SEM-8</v>
      </c>
      <c r="P297" s="9"/>
      <c r="Q297" s="9"/>
      <c r="R297" s="9"/>
      <c r="S297" s="9"/>
      <c r="T297" s="9"/>
      <c r="U297" s="9"/>
      <c r="V297" s="9"/>
      <c r="W297" s="9"/>
      <c r="X297" s="9"/>
      <c r="Y297" s="9"/>
    </row>
    <row r="298" spans="1:25" ht="26.25" customHeight="1" x14ac:dyDescent="0.15">
      <c r="A298" s="9" t="str">
        <f ca="1">IFERROR(__xludf.DUMMYFUNCTION("""COMPUTED_VALUE"""),"Ichapurapu C S V Krishna Devarayalu")</f>
        <v>Ichapurapu C S V Krishna Devarayalu</v>
      </c>
      <c r="B298" s="9" t="str">
        <f ca="1">IFERROR(__xludf.DUMMYFUNCTION("""COMPUTED_VALUE"""),"18331A0557")</f>
        <v>18331A0557</v>
      </c>
      <c r="C298" s="78" t="str">
        <f ca="1">IFERROR(__xludf.DUMMYFUNCTION("""COMPUTED_VALUE"""),"AWS cloud")</f>
        <v>AWS cloud</v>
      </c>
      <c r="D298" s="9" t="str">
        <f ca="1">IFERROR(__xludf.DUMMYFUNCTION("""COMPUTED_VALUE"""),"AWS academy ")</f>
        <v xml:space="preserve">AWS academy </v>
      </c>
      <c r="E298" s="9" t="str">
        <f ca="1">IFERROR(__xludf.DUMMYFUNCTION("""COMPUTED_VALUE"""),"2 months")</f>
        <v>2 months</v>
      </c>
      <c r="F298" s="79">
        <f ca="1">IFERROR(__xludf.DUMMYFUNCTION("""COMPUTED_VALUE"""),44166)</f>
        <v>44166</v>
      </c>
      <c r="G298" s="79">
        <f ca="1">IFERROR(__xludf.DUMMYFUNCTION("""COMPUTED_VALUE"""),44177)</f>
        <v>44177</v>
      </c>
      <c r="H298" s="72">
        <f ca="1">IFERROR(__xludf.DUMMYFUNCTION("""COMPUTED_VALUE"""),44177)</f>
        <v>44177</v>
      </c>
      <c r="I298" s="80">
        <f ca="1">IFERROR(__xludf.DUMMYFUNCTION("""COMPUTED_VALUE"""),95)</f>
        <v>95</v>
      </c>
      <c r="J298" s="9" t="str">
        <f ca="1">IFERROR(__xludf.DUMMYFUNCTION("""COMPUTED_VALUE"""),"Dr.Ravi Kiran Varma")</f>
        <v>Dr.Ravi Kiran Varma</v>
      </c>
      <c r="K298" s="73" t="str">
        <f ca="1">IFERROR(__xludf.DUMMYFUNCTION("""COMPUTED_VALUE"""),"https://drive.google.com/open?id=149ESPV0oXnCADUJfxkqG3CkaYT08LuIp")</f>
        <v>https://drive.google.com/open?id=149ESPV0oXnCADUJfxkqG3CkaYT08LuIp</v>
      </c>
      <c r="L298" s="9" t="str">
        <f ca="1">IFERROR(__xludf.DUMMYFUNCTION("""COMPUTED_VALUE"""),"2018-2022")</f>
        <v>2018-2022</v>
      </c>
      <c r="M298" s="9" t="str">
        <f ca="1">IFERROR(__xludf.DUMMYFUNCTION("""COMPUTED_VALUE"""),"S4: Student Certifications")</f>
        <v>S4: Student Certifications</v>
      </c>
      <c r="N298" s="9" t="str">
        <f ca="1">IFERROR(__xludf.DUMMYFUNCTION("""COMPUTED_VALUE"""),"devarayalu29@gmail.com")</f>
        <v>devarayalu29@gmail.com</v>
      </c>
      <c r="O298" s="9" t="str">
        <f ca="1">IFERROR(__xludf.DUMMYFUNCTION("""COMPUTED_VALUE"""),"SEM-8")</f>
        <v>SEM-8</v>
      </c>
      <c r="P298" s="9"/>
      <c r="Q298" s="9"/>
      <c r="R298" s="9"/>
      <c r="S298" s="9"/>
      <c r="T298" s="9"/>
      <c r="U298" s="9"/>
      <c r="V298" s="9"/>
      <c r="W298" s="9"/>
      <c r="X298" s="9"/>
      <c r="Y298" s="9"/>
    </row>
    <row r="299" spans="1:25" ht="26.25" customHeight="1" x14ac:dyDescent="0.15">
      <c r="A299" s="9" t="str">
        <f ca="1">IFERROR(__xludf.DUMMYFUNCTION("""COMPUTED_VALUE"""),"Gulla Sai Bhavana")</f>
        <v>Gulla Sai Bhavana</v>
      </c>
      <c r="B299" s="9" t="str">
        <f ca="1">IFERROR(__xludf.DUMMYFUNCTION("""COMPUTED_VALUE"""),"18331A0552")</f>
        <v>18331A0552</v>
      </c>
      <c r="C299" s="78" t="str">
        <f ca="1">IFERROR(__xludf.DUMMYFUNCTION("""COMPUTED_VALUE"""),"Udemy c programming")</f>
        <v>Udemy c programming</v>
      </c>
      <c r="D299" s="9" t="str">
        <f ca="1">IFERROR(__xludf.DUMMYFUNCTION("""COMPUTED_VALUE"""),"Udemy")</f>
        <v>Udemy</v>
      </c>
      <c r="E299" s="9" t="str">
        <f ca="1">IFERROR(__xludf.DUMMYFUNCTION("""COMPUTED_VALUE"""),"60mins")</f>
        <v>60mins</v>
      </c>
      <c r="F299" s="79">
        <f ca="1">IFERROR(__xludf.DUMMYFUNCTION("""COMPUTED_VALUE"""),43434)</f>
        <v>43434</v>
      </c>
      <c r="G299" s="79">
        <f ca="1">IFERROR(__xludf.DUMMYFUNCTION("""COMPUTED_VALUE"""),43441)</f>
        <v>43441</v>
      </c>
      <c r="H299" s="72">
        <f ca="1">IFERROR(__xludf.DUMMYFUNCTION("""COMPUTED_VALUE"""),43441)</f>
        <v>43441</v>
      </c>
      <c r="I299" s="80">
        <f ca="1">IFERROR(__xludf.DUMMYFUNCTION("""COMPUTED_VALUE"""),90)</f>
        <v>90</v>
      </c>
      <c r="J299" s="9" t="str">
        <f ca="1">IFERROR(__xludf.DUMMYFUNCTION("""COMPUTED_VALUE"""),"Self learning")</f>
        <v>Self learning</v>
      </c>
      <c r="K299" s="73" t="str">
        <f ca="1">IFERROR(__xludf.DUMMYFUNCTION("""COMPUTED_VALUE"""),"https://drive.google.com/open?id=104yQPZ9U-vypFW9lO_evhFhRF4jQHd61")</f>
        <v>https://drive.google.com/open?id=104yQPZ9U-vypFW9lO_evhFhRF4jQHd61</v>
      </c>
      <c r="L299" s="9" t="str">
        <f ca="1">IFERROR(__xludf.DUMMYFUNCTION("""COMPUTED_VALUE"""),"2018-2022")</f>
        <v>2018-2022</v>
      </c>
      <c r="M299" s="9" t="str">
        <f ca="1">IFERROR(__xludf.DUMMYFUNCTION("""COMPUTED_VALUE"""),"S4: Student Certifications")</f>
        <v>S4: Student Certifications</v>
      </c>
      <c r="N299" s="9" t="str">
        <f ca="1">IFERROR(__xludf.DUMMYFUNCTION("""COMPUTED_VALUE"""),"saibhavana.as16@gmail.com")</f>
        <v>saibhavana.as16@gmail.com</v>
      </c>
      <c r="O299" s="9" t="str">
        <f ca="1">IFERROR(__xludf.DUMMYFUNCTION("""COMPUTED_VALUE"""),"SEM-1")</f>
        <v>SEM-1</v>
      </c>
      <c r="P299" s="9"/>
      <c r="Q299" s="9"/>
      <c r="R299" s="9"/>
      <c r="S299" s="9"/>
      <c r="T299" s="9"/>
      <c r="U299" s="9"/>
      <c r="V299" s="9"/>
      <c r="W299" s="9"/>
      <c r="X299" s="9"/>
      <c r="Y299" s="9"/>
    </row>
    <row r="300" spans="1:25" ht="26.25" customHeight="1" x14ac:dyDescent="0.15">
      <c r="A300" s="9" t="str">
        <f ca="1">IFERROR(__xludf.DUMMYFUNCTION("""COMPUTED_VALUE"""),"Dumpa Divakar Reddy")</f>
        <v>Dumpa Divakar Reddy</v>
      </c>
      <c r="B300" s="9" t="str">
        <f ca="1">IFERROR(__xludf.DUMMYFUNCTION("""COMPUTED_VALUE"""),"18331A0536")</f>
        <v>18331A0536</v>
      </c>
      <c r="C300" s="78" t="str">
        <f ca="1">IFERROR(__xludf.DUMMYFUNCTION("""COMPUTED_VALUE"""),"AWS")</f>
        <v>AWS</v>
      </c>
      <c r="D300" s="9" t="str">
        <f ca="1">IFERROR(__xludf.DUMMYFUNCTION("""COMPUTED_VALUE"""),"Mvgr")</f>
        <v>Mvgr</v>
      </c>
      <c r="E300" s="9" t="str">
        <f ca="1">IFERROR(__xludf.DUMMYFUNCTION("""COMPUTED_VALUE"""),"8 weeks")</f>
        <v>8 weeks</v>
      </c>
      <c r="F300" s="79">
        <f ca="1">IFERROR(__xludf.DUMMYFUNCTION("""COMPUTED_VALUE"""),44481)</f>
        <v>44481</v>
      </c>
      <c r="G300" s="79">
        <f ca="1">IFERROR(__xludf.DUMMYFUNCTION("""COMPUTED_VALUE"""),44542)</f>
        <v>44542</v>
      </c>
      <c r="H300" s="72">
        <f ca="1">IFERROR(__xludf.DUMMYFUNCTION("""COMPUTED_VALUE"""),44554)</f>
        <v>44554</v>
      </c>
      <c r="I300" s="80"/>
      <c r="J300" s="9" t="str">
        <f ca="1">IFERROR(__xludf.DUMMYFUNCTION("""COMPUTED_VALUE"""),"Ravi kiran varma")</f>
        <v>Ravi kiran varma</v>
      </c>
      <c r="K300" s="73" t="str">
        <f ca="1">IFERROR(__xludf.DUMMYFUNCTION("""COMPUTED_VALUE"""),"https://drive.google.com/open?id=1tOHKevKif4koHSLOdb0tc4-Ry3FHkosy")</f>
        <v>https://drive.google.com/open?id=1tOHKevKif4koHSLOdb0tc4-Ry3FHkosy</v>
      </c>
      <c r="L300" s="9" t="str">
        <f ca="1">IFERROR(__xludf.DUMMYFUNCTION("""COMPUTED_VALUE"""),"2018-2022")</f>
        <v>2018-2022</v>
      </c>
      <c r="M300" s="9" t="str">
        <f ca="1">IFERROR(__xludf.DUMMYFUNCTION("""COMPUTED_VALUE"""),"S4: Student Certifications")</f>
        <v>S4: Student Certifications</v>
      </c>
      <c r="N300" s="9" t="str">
        <f ca="1">IFERROR(__xludf.DUMMYFUNCTION("""COMPUTED_VALUE"""),"dumpadivakarreddy22@gmail.com")</f>
        <v>dumpadivakarreddy22@gmail.com</v>
      </c>
      <c r="O300" s="9" t="str">
        <f ca="1">IFERROR(__xludf.DUMMYFUNCTION("""COMPUTED_VALUE"""),"SEM-8")</f>
        <v>SEM-8</v>
      </c>
      <c r="P300" s="9"/>
      <c r="Q300" s="9"/>
      <c r="R300" s="9"/>
      <c r="S300" s="9"/>
      <c r="T300" s="9"/>
      <c r="U300" s="9"/>
      <c r="V300" s="9"/>
      <c r="W300" s="9"/>
      <c r="X300" s="9"/>
      <c r="Y300" s="9"/>
    </row>
    <row r="301" spans="1:25" ht="26.25" customHeight="1" x14ac:dyDescent="0.15">
      <c r="A301" s="9" t="str">
        <f ca="1">IFERROR(__xludf.DUMMYFUNCTION("""COMPUTED_VALUE"""),"MUKHEE JYOTHSNA")</f>
        <v>MUKHEE JYOTHSNA</v>
      </c>
      <c r="B301" s="9" t="str">
        <f ca="1">IFERROR(__xludf.DUMMYFUNCTION("""COMPUTED_VALUE"""),"18331A05A2")</f>
        <v>18331A05A2</v>
      </c>
      <c r="C301" s="78" t="str">
        <f ca="1">IFERROR(__xludf.DUMMYFUNCTION("""COMPUTED_VALUE"""),"Programming for Everybody (Getting Started with Python)")</f>
        <v>Programming for Everybody (Getting Started with Python)</v>
      </c>
      <c r="D301" s="9" t="str">
        <f ca="1">IFERROR(__xludf.DUMMYFUNCTION("""COMPUTED_VALUE"""),"Coursera")</f>
        <v>Coursera</v>
      </c>
      <c r="E301" s="9" t="str">
        <f ca="1">IFERROR(__xludf.DUMMYFUNCTION("""COMPUTED_VALUE"""),"2 Months")</f>
        <v>2 Months</v>
      </c>
      <c r="F301" s="79">
        <f ca="1">IFERROR(__xludf.DUMMYFUNCTION("""COMPUTED_VALUE"""),43899)</f>
        <v>43899</v>
      </c>
      <c r="G301" s="79">
        <f ca="1">IFERROR(__xludf.DUMMYFUNCTION("""COMPUTED_VALUE"""),43949)</f>
        <v>43949</v>
      </c>
      <c r="H301" s="72">
        <f ca="1">IFERROR(__xludf.DUMMYFUNCTION("""COMPUTED_VALUE"""),43949)</f>
        <v>43949</v>
      </c>
      <c r="I301" s="80"/>
      <c r="J301" s="9" t="str">
        <f ca="1">IFERROR(__xludf.DUMMYFUNCTION("""COMPUTED_VALUE"""),"Coursera")</f>
        <v>Coursera</v>
      </c>
      <c r="K301" s="73" t="str">
        <f ca="1">IFERROR(__xludf.DUMMYFUNCTION("""COMPUTED_VALUE"""),"https://drive.google.com/open?id=1IHDuFGK8kbwPdBAfTzfr3Yms7U5O4m0P")</f>
        <v>https://drive.google.com/open?id=1IHDuFGK8kbwPdBAfTzfr3Yms7U5O4m0P</v>
      </c>
      <c r="L301" s="9" t="str">
        <f ca="1">IFERROR(__xludf.DUMMYFUNCTION("""COMPUTED_VALUE"""),"2018-2022")</f>
        <v>2018-2022</v>
      </c>
      <c r="M301" s="9" t="str">
        <f ca="1">IFERROR(__xludf.DUMMYFUNCTION("""COMPUTED_VALUE"""),"S4: Student Certifications")</f>
        <v>S4: Student Certifications</v>
      </c>
      <c r="N301" s="9" t="str">
        <f ca="1">IFERROR(__xludf.DUMMYFUNCTION("""COMPUTED_VALUE"""),"jyothsnamukhee03@gmail.com")</f>
        <v>jyothsnamukhee03@gmail.com</v>
      </c>
      <c r="O301" s="9" t="str">
        <f ca="1">IFERROR(__xludf.DUMMYFUNCTION("""COMPUTED_VALUE"""),"SEM-8")</f>
        <v>SEM-8</v>
      </c>
      <c r="P301" s="9"/>
      <c r="Q301" s="9"/>
      <c r="R301" s="9"/>
      <c r="S301" s="9"/>
      <c r="T301" s="9"/>
      <c r="U301" s="9"/>
      <c r="V301" s="9"/>
      <c r="W301" s="9"/>
      <c r="X301" s="9"/>
      <c r="Y301" s="9"/>
    </row>
    <row r="302" spans="1:25" ht="26.25" customHeight="1" x14ac:dyDescent="0.15">
      <c r="A302" s="9" t="str">
        <f ca="1">IFERROR(__xludf.DUMMYFUNCTION("""COMPUTED_VALUE"""),"MUKHEE JYOTHSNA")</f>
        <v>MUKHEE JYOTHSNA</v>
      </c>
      <c r="B302" s="9" t="str">
        <f ca="1">IFERROR(__xludf.DUMMYFUNCTION("""COMPUTED_VALUE"""),"18331A05A2")</f>
        <v>18331A05A2</v>
      </c>
      <c r="C302" s="78" t="str">
        <f ca="1">IFERROR(__xludf.DUMMYFUNCTION("""COMPUTED_VALUE"""),"Python Data Structures")</f>
        <v>Python Data Structures</v>
      </c>
      <c r="D302" s="9" t="str">
        <f ca="1">IFERROR(__xludf.DUMMYFUNCTION("""COMPUTED_VALUE"""),"Coursera")</f>
        <v>Coursera</v>
      </c>
      <c r="E302" s="9" t="str">
        <f ca="1">IFERROR(__xludf.DUMMYFUNCTION("""COMPUTED_VALUE"""),"2 Months")</f>
        <v>2 Months</v>
      </c>
      <c r="F302" s="79">
        <f ca="1">IFERROR(__xludf.DUMMYFUNCTION("""COMPUTED_VALUE"""),43959)</f>
        <v>43959</v>
      </c>
      <c r="G302" s="79">
        <f ca="1">IFERROR(__xludf.DUMMYFUNCTION("""COMPUTED_VALUE"""),43990)</f>
        <v>43990</v>
      </c>
      <c r="H302" s="72">
        <f ca="1">IFERROR(__xludf.DUMMYFUNCTION("""COMPUTED_VALUE"""),43990)</f>
        <v>43990</v>
      </c>
      <c r="I302" s="80"/>
      <c r="J302" s="9" t="str">
        <f ca="1">IFERROR(__xludf.DUMMYFUNCTION("""COMPUTED_VALUE"""),"Coursera")</f>
        <v>Coursera</v>
      </c>
      <c r="K302" s="73" t="str">
        <f ca="1">IFERROR(__xludf.DUMMYFUNCTION("""COMPUTED_VALUE"""),"https://drive.google.com/open?id=13jDW6BHQVmmW42YSPFBqxRreQFVJWysf")</f>
        <v>https://drive.google.com/open?id=13jDW6BHQVmmW42YSPFBqxRreQFVJWysf</v>
      </c>
      <c r="L302" s="9" t="str">
        <f ca="1">IFERROR(__xludf.DUMMYFUNCTION("""COMPUTED_VALUE"""),"2018-2022")</f>
        <v>2018-2022</v>
      </c>
      <c r="M302" s="9" t="str">
        <f ca="1">IFERROR(__xludf.DUMMYFUNCTION("""COMPUTED_VALUE"""),"S4: Student Certifications")</f>
        <v>S4: Student Certifications</v>
      </c>
      <c r="N302" s="9" t="str">
        <f ca="1">IFERROR(__xludf.DUMMYFUNCTION("""COMPUTED_VALUE"""),"jyothsnamukhee03@gmail.com")</f>
        <v>jyothsnamukhee03@gmail.com</v>
      </c>
      <c r="O302" s="9" t="str">
        <f ca="1">IFERROR(__xludf.DUMMYFUNCTION("""COMPUTED_VALUE"""),"SEM-8")</f>
        <v>SEM-8</v>
      </c>
      <c r="P302" s="9"/>
      <c r="Q302" s="9"/>
      <c r="R302" s="9"/>
      <c r="S302" s="9"/>
      <c r="T302" s="9"/>
      <c r="U302" s="9"/>
      <c r="V302" s="9"/>
      <c r="W302" s="9"/>
      <c r="X302" s="9"/>
      <c r="Y302" s="9"/>
    </row>
    <row r="303" spans="1:25" ht="26.25" customHeight="1" x14ac:dyDescent="0.15">
      <c r="A303" s="9" t="str">
        <f ca="1">IFERROR(__xludf.DUMMYFUNCTION("""COMPUTED_VALUE"""),"MUKHEE JYOTHSNA")</f>
        <v>MUKHEE JYOTHSNA</v>
      </c>
      <c r="B303" s="9" t="str">
        <f ca="1">IFERROR(__xludf.DUMMYFUNCTION("""COMPUTED_VALUE"""),"18331A05A2")</f>
        <v>18331A05A2</v>
      </c>
      <c r="C303" s="78" t="str">
        <f ca="1">IFERROR(__xludf.DUMMYFUNCTION("""COMPUTED_VALUE"""),"Linux Essentials")</f>
        <v>Linux Essentials</v>
      </c>
      <c r="D303" s="9" t="str">
        <f ca="1">IFERROR(__xludf.DUMMYFUNCTION("""COMPUTED_VALUE"""),"CISCO")</f>
        <v>CISCO</v>
      </c>
      <c r="E303" s="9" t="str">
        <f ca="1">IFERROR(__xludf.DUMMYFUNCTION("""COMPUTED_VALUE"""),"2 Months")</f>
        <v>2 Months</v>
      </c>
      <c r="F303" s="79">
        <f ca="1">IFERROR(__xludf.DUMMYFUNCTION("""COMPUTED_VALUE"""),43918)</f>
        <v>43918</v>
      </c>
      <c r="G303" s="79">
        <f ca="1">IFERROR(__xludf.DUMMYFUNCTION("""COMPUTED_VALUE"""),43979)</f>
        <v>43979</v>
      </c>
      <c r="H303" s="72">
        <f ca="1">IFERROR(__xludf.DUMMYFUNCTION("""COMPUTED_VALUE"""),43979)</f>
        <v>43979</v>
      </c>
      <c r="I303" s="80"/>
      <c r="J303" s="9" t="str">
        <f ca="1">IFERROR(__xludf.DUMMYFUNCTION("""COMPUTED_VALUE"""),"Dr. Ravi Kiran Varma ")</f>
        <v xml:space="preserve">Dr. Ravi Kiran Varma </v>
      </c>
      <c r="K303" s="73" t="str">
        <f ca="1">IFERROR(__xludf.DUMMYFUNCTION("""COMPUTED_VALUE"""),"https://drive.google.com/open?id=1lyip7oxDkH1x2-lP8ojF2p4l2zLatMLF")</f>
        <v>https://drive.google.com/open?id=1lyip7oxDkH1x2-lP8ojF2p4l2zLatMLF</v>
      </c>
      <c r="L303" s="9" t="str">
        <f ca="1">IFERROR(__xludf.DUMMYFUNCTION("""COMPUTED_VALUE"""),"2018-2022")</f>
        <v>2018-2022</v>
      </c>
      <c r="M303" s="9" t="str">
        <f ca="1">IFERROR(__xludf.DUMMYFUNCTION("""COMPUTED_VALUE"""),"S4: Student Certifications")</f>
        <v>S4: Student Certifications</v>
      </c>
      <c r="N303" s="9" t="str">
        <f ca="1">IFERROR(__xludf.DUMMYFUNCTION("""COMPUTED_VALUE"""),"jyothsnamukhee03@gmail.com")</f>
        <v>jyothsnamukhee03@gmail.com</v>
      </c>
      <c r="O303" s="9" t="str">
        <f ca="1">IFERROR(__xludf.DUMMYFUNCTION("""COMPUTED_VALUE"""),"SEM-8")</f>
        <v>SEM-8</v>
      </c>
      <c r="P303" s="9"/>
      <c r="Q303" s="9"/>
      <c r="R303" s="9"/>
      <c r="S303" s="9"/>
      <c r="T303" s="9"/>
      <c r="U303" s="9"/>
      <c r="V303" s="9"/>
      <c r="W303" s="9"/>
      <c r="X303" s="9"/>
      <c r="Y303" s="9"/>
    </row>
    <row r="304" spans="1:25" ht="26.25" customHeight="1" x14ac:dyDescent="0.15">
      <c r="A304" s="9" t="str">
        <f ca="1">IFERROR(__xludf.DUMMYFUNCTION("""COMPUTED_VALUE"""),"MUKHEE JYOTHSNA")</f>
        <v>MUKHEE JYOTHSNA</v>
      </c>
      <c r="B304" s="9" t="str">
        <f ca="1">IFERROR(__xludf.DUMMYFUNCTION("""COMPUTED_VALUE"""),"18331A05A2")</f>
        <v>18331A05A2</v>
      </c>
      <c r="C304" s="78" t="str">
        <f ca="1">IFERROR(__xludf.DUMMYFUNCTION("""COMPUTED_VALUE"""),"Introduction to IoT")</f>
        <v>Introduction to IoT</v>
      </c>
      <c r="D304" s="9" t="str">
        <f ca="1">IFERROR(__xludf.DUMMYFUNCTION("""COMPUTED_VALUE"""),"CISCO")</f>
        <v>CISCO</v>
      </c>
      <c r="E304" s="9" t="str">
        <f ca="1">IFERROR(__xludf.DUMMYFUNCTION("""COMPUTED_VALUE"""),"3months")</f>
        <v>3months</v>
      </c>
      <c r="F304" s="79">
        <f ca="1">IFERROR(__xludf.DUMMYFUNCTION("""COMPUTED_VALUE"""),43686)</f>
        <v>43686</v>
      </c>
      <c r="G304" s="79">
        <f ca="1">IFERROR(__xludf.DUMMYFUNCTION("""COMPUTED_VALUE"""),43777)</f>
        <v>43777</v>
      </c>
      <c r="H304" s="72">
        <f ca="1">IFERROR(__xludf.DUMMYFUNCTION("""COMPUTED_VALUE"""),43777)</f>
        <v>43777</v>
      </c>
      <c r="I304" s="80"/>
      <c r="J304" s="9" t="str">
        <f ca="1">IFERROR(__xludf.DUMMYFUNCTION("""COMPUTED_VALUE"""),"K V Subba Raju")</f>
        <v>K V Subba Raju</v>
      </c>
      <c r="K304" s="73" t="str">
        <f ca="1">IFERROR(__xludf.DUMMYFUNCTION("""COMPUTED_VALUE"""),"https://drive.google.com/open?id=1vcHf6jIBARYMnFgJ8qweSZMkRjKwh6qh")</f>
        <v>https://drive.google.com/open?id=1vcHf6jIBARYMnFgJ8qweSZMkRjKwh6qh</v>
      </c>
      <c r="L304" s="9" t="str">
        <f ca="1">IFERROR(__xludf.DUMMYFUNCTION("""COMPUTED_VALUE"""),"2018-2022")</f>
        <v>2018-2022</v>
      </c>
      <c r="M304" s="9" t="str">
        <f ca="1">IFERROR(__xludf.DUMMYFUNCTION("""COMPUTED_VALUE"""),"S4: Student Certifications")</f>
        <v>S4: Student Certifications</v>
      </c>
      <c r="N304" s="9" t="str">
        <f ca="1">IFERROR(__xludf.DUMMYFUNCTION("""COMPUTED_VALUE"""),"jyothsnamukhee03@gmail.com")</f>
        <v>jyothsnamukhee03@gmail.com</v>
      </c>
      <c r="O304" s="9" t="str">
        <f ca="1">IFERROR(__xludf.DUMMYFUNCTION("""COMPUTED_VALUE"""),"SEM-8")</f>
        <v>SEM-8</v>
      </c>
      <c r="P304" s="9"/>
      <c r="Q304" s="9"/>
      <c r="R304" s="9"/>
      <c r="S304" s="9"/>
      <c r="T304" s="9"/>
      <c r="U304" s="9"/>
      <c r="V304" s="9"/>
      <c r="W304" s="9"/>
      <c r="X304" s="9"/>
      <c r="Y304" s="9"/>
    </row>
    <row r="305" spans="1:25" ht="26.25" customHeight="1" x14ac:dyDescent="0.15">
      <c r="A305" s="9" t="str">
        <f ca="1">IFERROR(__xludf.DUMMYFUNCTION("""COMPUTED_VALUE"""),"B Himavarsha")</f>
        <v>B Himavarsha</v>
      </c>
      <c r="B305" s="9" t="str">
        <f ca="1">IFERROR(__xludf.DUMMYFUNCTION("""COMPUTED_VALUE"""),"18331A0509")</f>
        <v>18331A0509</v>
      </c>
      <c r="C305" s="78" t="str">
        <f ca="1">IFERROR(__xludf.DUMMYFUNCTION("""COMPUTED_VALUE"""),"Interactivity with javascript")</f>
        <v>Interactivity with javascript</v>
      </c>
      <c r="D305" s="9" t="str">
        <f ca="1">IFERROR(__xludf.DUMMYFUNCTION("""COMPUTED_VALUE"""),"coursera")</f>
        <v>coursera</v>
      </c>
      <c r="E305" s="9" t="str">
        <f ca="1">IFERROR(__xludf.DUMMYFUNCTION("""COMPUTED_VALUE"""),"1 month")</f>
        <v>1 month</v>
      </c>
      <c r="F305" s="79">
        <f ca="1">IFERROR(__xludf.DUMMYFUNCTION("""COMPUTED_VALUE"""),43836)</f>
        <v>43836</v>
      </c>
      <c r="G305" s="79">
        <f ca="1">IFERROR(__xludf.DUMMYFUNCTION("""COMPUTED_VALUE"""),43867)</f>
        <v>43867</v>
      </c>
      <c r="H305" s="72">
        <f ca="1">IFERROR(__xludf.DUMMYFUNCTION("""COMPUTED_VALUE"""),43867)</f>
        <v>43867</v>
      </c>
      <c r="I305" s="80">
        <f ca="1">IFERROR(__xludf.DUMMYFUNCTION("""COMPUTED_VALUE"""),95)</f>
        <v>95</v>
      </c>
      <c r="J305" s="9" t="str">
        <f ca="1">IFERROR(__xludf.DUMMYFUNCTION("""COMPUTED_VALUE"""),"Online")</f>
        <v>Online</v>
      </c>
      <c r="K305" s="73" t="str">
        <f ca="1">IFERROR(__xludf.DUMMYFUNCTION("""COMPUTED_VALUE"""),"https://drive.google.com/open?id=1KtTbj7IeX1qRiGMk6w-TrmpeGOo0SNxk")</f>
        <v>https://drive.google.com/open?id=1KtTbj7IeX1qRiGMk6w-TrmpeGOo0SNxk</v>
      </c>
      <c r="L305" s="9" t="str">
        <f ca="1">IFERROR(__xludf.DUMMYFUNCTION("""COMPUTED_VALUE"""),"2018-2022")</f>
        <v>2018-2022</v>
      </c>
      <c r="M305" s="9" t="str">
        <f ca="1">IFERROR(__xludf.DUMMYFUNCTION("""COMPUTED_VALUE"""),"S4: Student Certifications")</f>
        <v>S4: Student Certifications</v>
      </c>
      <c r="N305" s="9" t="str">
        <f ca="1">IFERROR(__xludf.DUMMYFUNCTION("""COMPUTED_VALUE"""),"varuhima20@gmail.com")</f>
        <v>varuhima20@gmail.com</v>
      </c>
      <c r="O305" s="9" t="str">
        <f ca="1">IFERROR(__xludf.DUMMYFUNCTION("""COMPUTED_VALUE"""),"SEM-8")</f>
        <v>SEM-8</v>
      </c>
      <c r="P305" s="9"/>
      <c r="Q305" s="9"/>
      <c r="R305" s="9"/>
      <c r="S305" s="9"/>
      <c r="T305" s="9"/>
      <c r="U305" s="9"/>
      <c r="V305" s="9"/>
      <c r="W305" s="9"/>
      <c r="X305" s="9"/>
      <c r="Y305" s="9"/>
    </row>
    <row r="306" spans="1:25" ht="26.25" customHeight="1" x14ac:dyDescent="0.15">
      <c r="A306" s="9" t="str">
        <f ca="1">IFERROR(__xludf.DUMMYFUNCTION("""COMPUTED_VALUE"""),"MUKHEE JYOTHSNA")</f>
        <v>MUKHEE JYOTHSNA</v>
      </c>
      <c r="B306" s="9" t="str">
        <f ca="1">IFERROR(__xludf.DUMMYFUNCTION("""COMPUTED_VALUE"""),"18331A05A2")</f>
        <v>18331A05A2</v>
      </c>
      <c r="C306" s="78" t="str">
        <f ca="1">IFERROR(__xludf.DUMMYFUNCTION("""COMPUTED_VALUE"""),"Cybersecurity Essentials")</f>
        <v>Cybersecurity Essentials</v>
      </c>
      <c r="D306" s="9" t="str">
        <f ca="1">IFERROR(__xludf.DUMMYFUNCTION("""COMPUTED_VALUE"""),"CISCO")</f>
        <v>CISCO</v>
      </c>
      <c r="E306" s="9" t="str">
        <f ca="1">IFERROR(__xludf.DUMMYFUNCTION("""COMPUTED_VALUE"""),"1 MONTH")</f>
        <v>1 MONTH</v>
      </c>
      <c r="F306" s="79">
        <f ca="1">IFERROR(__xludf.DUMMYFUNCTION("""COMPUTED_VALUE"""),44007)</f>
        <v>44007</v>
      </c>
      <c r="G306" s="79">
        <f ca="1">IFERROR(__xludf.DUMMYFUNCTION("""COMPUTED_VALUE"""),43672)</f>
        <v>43672</v>
      </c>
      <c r="H306" s="72">
        <f ca="1">IFERROR(__xludf.DUMMYFUNCTION("""COMPUTED_VALUE"""),43672)</f>
        <v>43672</v>
      </c>
      <c r="I306" s="80"/>
      <c r="J306" s="9" t="str">
        <f ca="1">IFERROR(__xludf.DUMMYFUNCTION("""COMPUTED_VALUE"""),"Dr. Ravi Kiran Varma")</f>
        <v>Dr. Ravi Kiran Varma</v>
      </c>
      <c r="K306" s="73" t="str">
        <f ca="1">IFERROR(__xludf.DUMMYFUNCTION("""COMPUTED_VALUE"""),"https://drive.google.com/open?id=1WgcdOGmJehGo22q_Q3xA0nKWoCTqTHG6")</f>
        <v>https://drive.google.com/open?id=1WgcdOGmJehGo22q_Q3xA0nKWoCTqTHG6</v>
      </c>
      <c r="L306" s="9" t="str">
        <f ca="1">IFERROR(__xludf.DUMMYFUNCTION("""COMPUTED_VALUE"""),"2018-2022")</f>
        <v>2018-2022</v>
      </c>
      <c r="M306" s="9" t="str">
        <f ca="1">IFERROR(__xludf.DUMMYFUNCTION("""COMPUTED_VALUE"""),"S4: Student Certifications")</f>
        <v>S4: Student Certifications</v>
      </c>
      <c r="N306" s="9" t="str">
        <f ca="1">IFERROR(__xludf.DUMMYFUNCTION("""COMPUTED_VALUE"""),"jyothsnamukhee03@gmail.com")</f>
        <v>jyothsnamukhee03@gmail.com</v>
      </c>
      <c r="O306" s="9" t="str">
        <f ca="1">IFERROR(__xludf.DUMMYFUNCTION("""COMPUTED_VALUE"""),"SEM-8")</f>
        <v>SEM-8</v>
      </c>
      <c r="P306" s="9"/>
      <c r="Q306" s="9"/>
      <c r="R306" s="9"/>
      <c r="S306" s="9"/>
      <c r="T306" s="9"/>
      <c r="U306" s="9"/>
      <c r="V306" s="9"/>
      <c r="W306" s="9"/>
      <c r="X306" s="9"/>
      <c r="Y306" s="9"/>
    </row>
    <row r="307" spans="1:25" ht="26.25" customHeight="1" x14ac:dyDescent="0.15">
      <c r="A307" s="9" t="str">
        <f ca="1">IFERROR(__xludf.DUMMYFUNCTION("""COMPUTED_VALUE"""),"MUKHEE JYOTHSNA")</f>
        <v>MUKHEE JYOTHSNA</v>
      </c>
      <c r="B307" s="9" t="str">
        <f ca="1">IFERROR(__xludf.DUMMYFUNCTION("""COMPUTED_VALUE"""),"18331A05A2")</f>
        <v>18331A05A2</v>
      </c>
      <c r="C307" s="78" t="str">
        <f ca="1">IFERROR(__xludf.DUMMYFUNCTION("""COMPUTED_VALUE"""),"Programming Essentials in Python")</f>
        <v>Programming Essentials in Python</v>
      </c>
      <c r="D307" s="9" t="str">
        <f ca="1">IFERROR(__xludf.DUMMYFUNCTION("""COMPUTED_VALUE"""),"CISCO")</f>
        <v>CISCO</v>
      </c>
      <c r="E307" s="9" t="str">
        <f ca="1">IFERROR(__xludf.DUMMYFUNCTION("""COMPUTED_VALUE"""),"2 Months")</f>
        <v>2 Months</v>
      </c>
      <c r="F307" s="79">
        <f ca="1">IFERROR(__xludf.DUMMYFUNCTION("""COMPUTED_VALUE"""),44325)</f>
        <v>44325</v>
      </c>
      <c r="G307" s="79">
        <f ca="1">IFERROR(__xludf.DUMMYFUNCTION("""COMPUTED_VALUE"""),44386)</f>
        <v>44386</v>
      </c>
      <c r="H307" s="72">
        <f ca="1">IFERROR(__xludf.DUMMYFUNCTION("""COMPUTED_VALUE"""),44386)</f>
        <v>44386</v>
      </c>
      <c r="I307" s="80"/>
      <c r="J307" s="9" t="str">
        <f ca="1">IFERROR(__xludf.DUMMYFUNCTION("""COMPUTED_VALUE"""),"K V Subba Raju")</f>
        <v>K V Subba Raju</v>
      </c>
      <c r="K307" s="73" t="str">
        <f ca="1">IFERROR(__xludf.DUMMYFUNCTION("""COMPUTED_VALUE"""),"https://drive.google.com/open?id=1QS0nQI88rgIEiYjj7TO4KU58qQvkytVU")</f>
        <v>https://drive.google.com/open?id=1QS0nQI88rgIEiYjj7TO4KU58qQvkytVU</v>
      </c>
      <c r="L307" s="9" t="str">
        <f ca="1">IFERROR(__xludf.DUMMYFUNCTION("""COMPUTED_VALUE"""),"2018-2022")</f>
        <v>2018-2022</v>
      </c>
      <c r="M307" s="9" t="str">
        <f ca="1">IFERROR(__xludf.DUMMYFUNCTION("""COMPUTED_VALUE"""),"S4: Student Certifications")</f>
        <v>S4: Student Certifications</v>
      </c>
      <c r="N307" s="9" t="str">
        <f ca="1">IFERROR(__xludf.DUMMYFUNCTION("""COMPUTED_VALUE"""),"jyothsnamukhee03@gmail.com")</f>
        <v>jyothsnamukhee03@gmail.com</v>
      </c>
      <c r="O307" s="9" t="str">
        <f ca="1">IFERROR(__xludf.DUMMYFUNCTION("""COMPUTED_VALUE"""),"SEM-8")</f>
        <v>SEM-8</v>
      </c>
      <c r="P307" s="9"/>
      <c r="Q307" s="9"/>
      <c r="R307" s="9"/>
      <c r="S307" s="9"/>
      <c r="T307" s="9"/>
      <c r="U307" s="9"/>
      <c r="V307" s="9"/>
      <c r="W307" s="9"/>
      <c r="X307" s="9"/>
      <c r="Y307" s="9"/>
    </row>
    <row r="308" spans="1:25" ht="26.25" customHeight="1" x14ac:dyDescent="0.15">
      <c r="A308" s="9" t="str">
        <f ca="1">IFERROR(__xludf.DUMMYFUNCTION("""COMPUTED_VALUE"""),"MUKHEE JYOTHSNA")</f>
        <v>MUKHEE JYOTHSNA</v>
      </c>
      <c r="B308" s="9" t="str">
        <f ca="1">IFERROR(__xludf.DUMMYFUNCTION("""COMPUTED_VALUE"""),"18331A05A2")</f>
        <v>18331A05A2</v>
      </c>
      <c r="C308" s="78" t="str">
        <f ca="1">IFERROR(__xludf.DUMMYFUNCTION("""COMPUTED_VALUE"""),"Programming Essentials in C")</f>
        <v>Programming Essentials in C</v>
      </c>
      <c r="D308" s="9" t="str">
        <f ca="1">IFERROR(__xludf.DUMMYFUNCTION("""COMPUTED_VALUE"""),"CISCO")</f>
        <v>CISCO</v>
      </c>
      <c r="E308" s="9" t="str">
        <f ca="1">IFERROR(__xludf.DUMMYFUNCTION("""COMPUTED_VALUE"""),"2 Months")</f>
        <v>2 Months</v>
      </c>
      <c r="F308" s="79">
        <f ca="1">IFERROR(__xludf.DUMMYFUNCTION("""COMPUTED_VALUE"""),43611)</f>
        <v>43611</v>
      </c>
      <c r="G308" s="79">
        <f ca="1">IFERROR(__xludf.DUMMYFUNCTION("""COMPUTED_VALUE"""),43672)</f>
        <v>43672</v>
      </c>
      <c r="H308" s="72">
        <f ca="1">IFERROR(__xludf.DUMMYFUNCTION("""COMPUTED_VALUE"""),43672)</f>
        <v>43672</v>
      </c>
      <c r="I308" s="80"/>
      <c r="J308" s="9" t="str">
        <f ca="1">IFERROR(__xludf.DUMMYFUNCTION("""COMPUTED_VALUE"""),"VAMSI KRISHNA MAHABHASHYAM")</f>
        <v>VAMSI KRISHNA MAHABHASHYAM</v>
      </c>
      <c r="K308" s="73" t="str">
        <f ca="1">IFERROR(__xludf.DUMMYFUNCTION("""COMPUTED_VALUE"""),"https://drive.google.com/open?id=1JG2cKnTAt6FFwBtdLaOvidtCwg1Gx4CN")</f>
        <v>https://drive.google.com/open?id=1JG2cKnTAt6FFwBtdLaOvidtCwg1Gx4CN</v>
      </c>
      <c r="L308" s="9" t="str">
        <f ca="1">IFERROR(__xludf.DUMMYFUNCTION("""COMPUTED_VALUE"""),"2018-2022")</f>
        <v>2018-2022</v>
      </c>
      <c r="M308" s="9" t="str">
        <f ca="1">IFERROR(__xludf.DUMMYFUNCTION("""COMPUTED_VALUE"""),"S4: Student Certifications")</f>
        <v>S4: Student Certifications</v>
      </c>
      <c r="N308" s="9" t="str">
        <f ca="1">IFERROR(__xludf.DUMMYFUNCTION("""COMPUTED_VALUE"""),"jyothsnamukhee03@gmail.com")</f>
        <v>jyothsnamukhee03@gmail.com</v>
      </c>
      <c r="O308" s="9" t="str">
        <f ca="1">IFERROR(__xludf.DUMMYFUNCTION("""COMPUTED_VALUE"""),"SEM-8")</f>
        <v>SEM-8</v>
      </c>
      <c r="P308" s="9"/>
      <c r="Q308" s="9"/>
      <c r="R308" s="9"/>
      <c r="S308" s="9"/>
      <c r="T308" s="9"/>
      <c r="U308" s="9"/>
      <c r="V308" s="9"/>
      <c r="W308" s="9"/>
      <c r="X308" s="9"/>
      <c r="Y308" s="9"/>
    </row>
    <row r="309" spans="1:25" ht="26.25" customHeight="1" x14ac:dyDescent="0.15">
      <c r="A309" s="9" t="str">
        <f ca="1">IFERROR(__xludf.DUMMYFUNCTION("""COMPUTED_VALUE"""),"MUKHEE JYOTHSNA")</f>
        <v>MUKHEE JYOTHSNA</v>
      </c>
      <c r="B309" s="9" t="str">
        <f ca="1">IFERROR(__xludf.DUMMYFUNCTION("""COMPUTED_VALUE"""),"18331A05A2")</f>
        <v>18331A05A2</v>
      </c>
      <c r="C309" s="78" t="str">
        <f ca="1">IFERROR(__xludf.DUMMYFUNCTION("""COMPUTED_VALUE"""),"CCNAv7: Introduction to Networks")</f>
        <v>CCNAv7: Introduction to Networks</v>
      </c>
      <c r="D309" s="9" t="str">
        <f ca="1">IFERROR(__xludf.DUMMYFUNCTION("""COMPUTED_VALUE"""),"CISCO")</f>
        <v>CISCO</v>
      </c>
      <c r="E309" s="9" t="str">
        <f ca="1">IFERROR(__xludf.DUMMYFUNCTION("""COMPUTED_VALUE"""),"2 Months")</f>
        <v>2 Months</v>
      </c>
      <c r="F309" s="79">
        <f ca="1">IFERROR(__xludf.DUMMYFUNCTION("""COMPUTED_VALUE"""),44320)</f>
        <v>44320</v>
      </c>
      <c r="G309" s="79">
        <f ca="1">IFERROR(__xludf.DUMMYFUNCTION("""COMPUTED_VALUE"""),44381)</f>
        <v>44381</v>
      </c>
      <c r="H309" s="72">
        <f ca="1">IFERROR(__xludf.DUMMYFUNCTION("""COMPUTED_VALUE"""),44381)</f>
        <v>44381</v>
      </c>
      <c r="I309" s="80"/>
      <c r="J309" s="9" t="str">
        <f ca="1">IFERROR(__xludf.DUMMYFUNCTION("""COMPUTED_VALUE"""),"Dr. Ravi Kiran Varma")</f>
        <v>Dr. Ravi Kiran Varma</v>
      </c>
      <c r="K309" s="73" t="str">
        <f ca="1">IFERROR(__xludf.DUMMYFUNCTION("""COMPUTED_VALUE"""),"https://drive.google.com/open?id=1B45LHuXyosLJYJfrfizCUPhkpMVKLUxC")</f>
        <v>https://drive.google.com/open?id=1B45LHuXyosLJYJfrfizCUPhkpMVKLUxC</v>
      </c>
      <c r="L309" s="9" t="str">
        <f ca="1">IFERROR(__xludf.DUMMYFUNCTION("""COMPUTED_VALUE"""),"2018-2022")</f>
        <v>2018-2022</v>
      </c>
      <c r="M309" s="9" t="str">
        <f ca="1">IFERROR(__xludf.DUMMYFUNCTION("""COMPUTED_VALUE"""),"S4: Student Certifications")</f>
        <v>S4: Student Certifications</v>
      </c>
      <c r="N309" s="9" t="str">
        <f ca="1">IFERROR(__xludf.DUMMYFUNCTION("""COMPUTED_VALUE"""),"jyothsnamukhee03@gmail.com")</f>
        <v>jyothsnamukhee03@gmail.com</v>
      </c>
      <c r="O309" s="9" t="str">
        <f ca="1">IFERROR(__xludf.DUMMYFUNCTION("""COMPUTED_VALUE"""),"SEM-8")</f>
        <v>SEM-8</v>
      </c>
      <c r="P309" s="9"/>
      <c r="Q309" s="9"/>
      <c r="R309" s="9"/>
      <c r="S309" s="9"/>
      <c r="T309" s="9"/>
      <c r="U309" s="9"/>
      <c r="V309" s="9"/>
      <c r="W309" s="9"/>
      <c r="X309" s="9"/>
      <c r="Y309" s="9"/>
    </row>
    <row r="310" spans="1:25" ht="26.25" customHeight="1" x14ac:dyDescent="0.15">
      <c r="A310" s="9" t="str">
        <f ca="1">IFERROR(__xludf.DUMMYFUNCTION("""COMPUTED_VALUE"""),"MUKHEE JYOTHSNA")</f>
        <v>MUKHEE JYOTHSNA</v>
      </c>
      <c r="B310" s="9" t="str">
        <f ca="1">IFERROR(__xludf.DUMMYFUNCTION("""COMPUTED_VALUE"""),"18331A05A2")</f>
        <v>18331A05A2</v>
      </c>
      <c r="C310" s="78" t="str">
        <f ca="1">IFERROR(__xludf.DUMMYFUNCTION("""COMPUTED_VALUE"""),"Linux")</f>
        <v>Linux</v>
      </c>
      <c r="D310" s="9" t="str">
        <f ca="1">IFERROR(__xludf.DUMMYFUNCTION("""COMPUTED_VALUE"""),"Red Hat")</f>
        <v>Red Hat</v>
      </c>
      <c r="E310" s="9" t="str">
        <f ca="1">IFERROR(__xludf.DUMMYFUNCTION("""COMPUTED_VALUE"""),"1 Months")</f>
        <v>1 Months</v>
      </c>
      <c r="F310" s="79">
        <f ca="1">IFERROR(__xludf.DUMMYFUNCTION("""COMPUTED_VALUE"""),44625)</f>
        <v>44625</v>
      </c>
      <c r="G310" s="79">
        <f ca="1">IFERROR(__xludf.DUMMYFUNCTION("""COMPUTED_VALUE"""),44656)</f>
        <v>44656</v>
      </c>
      <c r="H310" s="72">
        <f ca="1">IFERROR(__xludf.DUMMYFUNCTION("""COMPUTED_VALUE"""),44656)</f>
        <v>44656</v>
      </c>
      <c r="I310" s="80"/>
      <c r="J310" s="9" t="str">
        <f ca="1">IFERROR(__xludf.DUMMYFUNCTION("""COMPUTED_VALUE"""),"K V Subba Raju")</f>
        <v>K V Subba Raju</v>
      </c>
      <c r="K310" s="73" t="str">
        <f ca="1">IFERROR(__xludf.DUMMYFUNCTION("""COMPUTED_VALUE"""),"https://drive.google.com/open?id=1nw46DLHTIhvxTqAm5_dB1SW8mAcDAZgU")</f>
        <v>https://drive.google.com/open?id=1nw46DLHTIhvxTqAm5_dB1SW8mAcDAZgU</v>
      </c>
      <c r="L310" s="9" t="str">
        <f ca="1">IFERROR(__xludf.DUMMYFUNCTION("""COMPUTED_VALUE"""),"2018-2022")</f>
        <v>2018-2022</v>
      </c>
      <c r="M310" s="9" t="str">
        <f ca="1">IFERROR(__xludf.DUMMYFUNCTION("""COMPUTED_VALUE"""),"S4: Student Certifications")</f>
        <v>S4: Student Certifications</v>
      </c>
      <c r="N310" s="9" t="str">
        <f ca="1">IFERROR(__xludf.DUMMYFUNCTION("""COMPUTED_VALUE"""),"jyothsnamukhee03@gmail.com")</f>
        <v>jyothsnamukhee03@gmail.com</v>
      </c>
      <c r="O310" s="9" t="str">
        <f ca="1">IFERROR(__xludf.DUMMYFUNCTION("""COMPUTED_VALUE"""),"SEM-8")</f>
        <v>SEM-8</v>
      </c>
      <c r="P310" s="9"/>
      <c r="Q310" s="9"/>
      <c r="R310" s="9"/>
      <c r="S310" s="9"/>
      <c r="T310" s="9"/>
      <c r="U310" s="9"/>
      <c r="V310" s="9"/>
      <c r="W310" s="9"/>
      <c r="X310" s="9"/>
      <c r="Y310" s="9"/>
    </row>
    <row r="311" spans="1:25" ht="26.25" customHeight="1" x14ac:dyDescent="0.15">
      <c r="A311" s="9" t="str">
        <f ca="1">IFERROR(__xludf.DUMMYFUNCTION("""COMPUTED_VALUE"""),"MUKHEE JYOTHSNA")</f>
        <v>MUKHEE JYOTHSNA</v>
      </c>
      <c r="B311" s="9" t="str">
        <f ca="1">IFERROR(__xludf.DUMMYFUNCTION("""COMPUTED_VALUE"""),"18331A05A2")</f>
        <v>18331A05A2</v>
      </c>
      <c r="C311" s="78" t="str">
        <f ca="1">IFERROR(__xludf.DUMMYFUNCTION("""COMPUTED_VALUE"""),"AI &amp; ML, Data Science")</f>
        <v>AI &amp; ML, Data Science</v>
      </c>
      <c r="D311" s="9" t="str">
        <f ca="1">IFERROR(__xludf.DUMMYFUNCTION("""COMPUTED_VALUE"""),"Next Wave")</f>
        <v>Next Wave</v>
      </c>
      <c r="E311" s="9" t="str">
        <f ca="1">IFERROR(__xludf.DUMMYFUNCTION("""COMPUTED_VALUE"""),"4 Months")</f>
        <v>4 Months</v>
      </c>
      <c r="F311" s="79">
        <f ca="1">IFERROR(__xludf.DUMMYFUNCTION("""COMPUTED_VALUE"""),44174)</f>
        <v>44174</v>
      </c>
      <c r="G311" s="79">
        <f ca="1">IFERROR(__xludf.DUMMYFUNCTION("""COMPUTED_VALUE"""),44296)</f>
        <v>44296</v>
      </c>
      <c r="H311" s="72">
        <f ca="1">IFERROR(__xludf.DUMMYFUNCTION("""COMPUTED_VALUE"""),44296)</f>
        <v>44296</v>
      </c>
      <c r="I311" s="80"/>
      <c r="J311" s="9" t="str">
        <f ca="1">IFERROR(__xludf.DUMMYFUNCTION("""COMPUTED_VALUE"""),"College")</f>
        <v>College</v>
      </c>
      <c r="K311" s="73" t="str">
        <f ca="1">IFERROR(__xludf.DUMMYFUNCTION("""COMPUTED_VALUE"""),"https://drive.google.com/open?id=1yXWfjkTzVJACdP3CmygqEhe8TFipaIH7")</f>
        <v>https://drive.google.com/open?id=1yXWfjkTzVJACdP3CmygqEhe8TFipaIH7</v>
      </c>
      <c r="L311" s="9" t="str">
        <f ca="1">IFERROR(__xludf.DUMMYFUNCTION("""COMPUTED_VALUE"""),"2018-2022")</f>
        <v>2018-2022</v>
      </c>
      <c r="M311" s="9" t="str">
        <f ca="1">IFERROR(__xludf.DUMMYFUNCTION("""COMPUTED_VALUE"""),"S4: Student Certifications")</f>
        <v>S4: Student Certifications</v>
      </c>
      <c r="N311" s="9" t="str">
        <f ca="1">IFERROR(__xludf.DUMMYFUNCTION("""COMPUTED_VALUE"""),"jyothsnamukhee03@gmail.com")</f>
        <v>jyothsnamukhee03@gmail.com</v>
      </c>
      <c r="O311" s="9" t="str">
        <f ca="1">IFERROR(__xludf.DUMMYFUNCTION("""COMPUTED_VALUE"""),"SEM-8")</f>
        <v>SEM-8</v>
      </c>
      <c r="P311" s="9"/>
      <c r="Q311" s="9"/>
      <c r="R311" s="9"/>
      <c r="S311" s="9"/>
      <c r="T311" s="9"/>
      <c r="U311" s="9"/>
      <c r="V311" s="9"/>
      <c r="W311" s="9"/>
      <c r="X311" s="9"/>
      <c r="Y311" s="9"/>
    </row>
    <row r="312" spans="1:25" ht="26.25" customHeight="1" x14ac:dyDescent="0.15">
      <c r="A312" s="9" t="str">
        <f ca="1">IFERROR(__xludf.DUMMYFUNCTION("""COMPUTED_VALUE"""),"MUKHEE JYOTHSNA")</f>
        <v>MUKHEE JYOTHSNA</v>
      </c>
      <c r="B312" s="9" t="str">
        <f ca="1">IFERROR(__xludf.DUMMYFUNCTION("""COMPUTED_VALUE"""),"18331A05A2")</f>
        <v>18331A05A2</v>
      </c>
      <c r="C312" s="78" t="str">
        <f ca="1">IFERROR(__xludf.DUMMYFUNCTION("""COMPUTED_VALUE"""),"coderiders")</f>
        <v>coderiders</v>
      </c>
      <c r="D312" s="9" t="str">
        <f ca="1">IFERROR(__xludf.DUMMYFUNCTION("""COMPUTED_VALUE"""),"CISCO")</f>
        <v>CISCO</v>
      </c>
      <c r="E312" s="9" t="str">
        <f ca="1">IFERROR(__xludf.DUMMYFUNCTION("""COMPUTED_VALUE"""),"1 Month")</f>
        <v>1 Month</v>
      </c>
      <c r="F312" s="79">
        <f ca="1">IFERROR(__xludf.DUMMYFUNCTION("""COMPUTED_VALUE"""),44357)</f>
        <v>44357</v>
      </c>
      <c r="G312" s="79">
        <f ca="1">IFERROR(__xludf.DUMMYFUNCTION("""COMPUTED_VALUE"""),44387)</f>
        <v>44387</v>
      </c>
      <c r="H312" s="72">
        <f ca="1">IFERROR(__xludf.DUMMYFUNCTION("""COMPUTED_VALUE"""),44387)</f>
        <v>44387</v>
      </c>
      <c r="I312" s="80"/>
      <c r="J312" s="9" t="str">
        <f ca="1">IFERROR(__xludf.DUMMYFUNCTION("""COMPUTED_VALUE"""),"College")</f>
        <v>College</v>
      </c>
      <c r="K312" s="73" t="str">
        <f ca="1">IFERROR(__xludf.DUMMYFUNCTION("""COMPUTED_VALUE"""),"https://drive.google.com/open?id=1QfD3YoKwUmM276CZ53kxVi9fxuGdfYai")</f>
        <v>https://drive.google.com/open?id=1QfD3YoKwUmM276CZ53kxVi9fxuGdfYai</v>
      </c>
      <c r="L312" s="9" t="str">
        <f ca="1">IFERROR(__xludf.DUMMYFUNCTION("""COMPUTED_VALUE"""),"2018-2022")</f>
        <v>2018-2022</v>
      </c>
      <c r="M312" s="9" t="str">
        <f ca="1">IFERROR(__xludf.DUMMYFUNCTION("""COMPUTED_VALUE"""),"S4: Student Certifications")</f>
        <v>S4: Student Certifications</v>
      </c>
      <c r="N312" s="9" t="str">
        <f ca="1">IFERROR(__xludf.DUMMYFUNCTION("""COMPUTED_VALUE"""),"jyothsnamukhee03@gmail.com")</f>
        <v>jyothsnamukhee03@gmail.com</v>
      </c>
      <c r="O312" s="9" t="str">
        <f ca="1">IFERROR(__xludf.DUMMYFUNCTION("""COMPUTED_VALUE"""),"SEM-8")</f>
        <v>SEM-8</v>
      </c>
      <c r="P312" s="9"/>
      <c r="Q312" s="9"/>
      <c r="R312" s="9"/>
      <c r="S312" s="9"/>
      <c r="T312" s="9"/>
      <c r="U312" s="9"/>
      <c r="V312" s="9"/>
      <c r="W312" s="9"/>
      <c r="X312" s="9"/>
      <c r="Y312" s="9"/>
    </row>
    <row r="313" spans="1:25" ht="26.25" customHeight="1" x14ac:dyDescent="0.15">
      <c r="A313" s="9" t="str">
        <f ca="1">IFERROR(__xludf.DUMMYFUNCTION("""COMPUTED_VALUE"""),"Sai Sri Priya Prasanthi Pulipati")</f>
        <v>Sai Sri Priya Prasanthi Pulipati</v>
      </c>
      <c r="B313" s="9" t="str">
        <f ca="1">IFERROR(__xludf.DUMMYFUNCTION("""COMPUTED_VALUE"""),"18331A05D2")</f>
        <v>18331A05D2</v>
      </c>
      <c r="C313" s="78" t="str">
        <f ca="1">IFERROR(__xludf.DUMMYFUNCTION("""COMPUTED_VALUE"""),"CLA: Programming Essentials in C")</f>
        <v>CLA: Programming Essentials in C</v>
      </c>
      <c r="D313" s="9" t="str">
        <f ca="1">IFERROR(__xludf.DUMMYFUNCTION("""COMPUTED_VALUE"""),"CISCO")</f>
        <v>CISCO</v>
      </c>
      <c r="E313" s="9" t="str">
        <f ca="1">IFERROR(__xludf.DUMMYFUNCTION("""COMPUTED_VALUE"""),"4 Months")</f>
        <v>4 Months</v>
      </c>
      <c r="F313" s="79">
        <f ca="1">IFERROR(__xludf.DUMMYFUNCTION("""COMPUTED_VALUE"""),43109)</f>
        <v>43109</v>
      </c>
      <c r="G313" s="79">
        <f ca="1">IFERROR(__xludf.DUMMYFUNCTION("""COMPUTED_VALUE"""),43565)</f>
        <v>43565</v>
      </c>
      <c r="H313" s="72">
        <f ca="1">IFERROR(__xludf.DUMMYFUNCTION("""COMPUTED_VALUE"""),43205)</f>
        <v>43205</v>
      </c>
      <c r="I313" s="80"/>
      <c r="J313" s="9" t="str">
        <f ca="1">IFERROR(__xludf.DUMMYFUNCTION("""COMPUTED_VALUE"""),"P.Ravi Kiran Varma")</f>
        <v>P.Ravi Kiran Varma</v>
      </c>
      <c r="K313" s="73" t="str">
        <f ca="1">IFERROR(__xludf.DUMMYFUNCTION("""COMPUTED_VALUE"""),"https://drive.google.com/open?id=1AUlxpqtAYLI6dnxM8-qKO9Qz_T3OjvE4")</f>
        <v>https://drive.google.com/open?id=1AUlxpqtAYLI6dnxM8-qKO9Qz_T3OjvE4</v>
      </c>
      <c r="L313" s="9" t="str">
        <f ca="1">IFERROR(__xludf.DUMMYFUNCTION("""COMPUTED_VALUE"""),"2018-2022")</f>
        <v>2018-2022</v>
      </c>
      <c r="M313" s="9" t="str">
        <f ca="1">IFERROR(__xludf.DUMMYFUNCTION("""COMPUTED_VALUE"""),"S4: Student Certifications")</f>
        <v>S4: Student Certifications</v>
      </c>
      <c r="N313" s="9" t="str">
        <f ca="1">IFERROR(__xludf.DUMMYFUNCTION("""COMPUTED_VALUE"""),"Priyaprasanthi.pulipati@gmail.com")</f>
        <v>Priyaprasanthi.pulipati@gmail.com</v>
      </c>
      <c r="O313" s="9" t="str">
        <f ca="1">IFERROR(__xludf.DUMMYFUNCTION("""COMPUTED_VALUE"""),"SEM-1")</f>
        <v>SEM-1</v>
      </c>
      <c r="P313" s="9"/>
      <c r="Q313" s="9"/>
      <c r="R313" s="9"/>
      <c r="S313" s="9"/>
      <c r="T313" s="9"/>
      <c r="U313" s="9"/>
      <c r="V313" s="9"/>
      <c r="W313" s="9"/>
      <c r="X313" s="9"/>
      <c r="Y313" s="9"/>
    </row>
    <row r="314" spans="1:25" ht="26.25" customHeight="1" x14ac:dyDescent="0.15">
      <c r="A314" s="9" t="str">
        <f ca="1">IFERROR(__xludf.DUMMYFUNCTION("""COMPUTED_VALUE"""),"Sai Sri Priya Prasanthi Pulipati")</f>
        <v>Sai Sri Priya Prasanthi Pulipati</v>
      </c>
      <c r="B314" s="9" t="str">
        <f ca="1">IFERROR(__xludf.DUMMYFUNCTION("""COMPUTED_VALUE"""),"18331A05D2")</f>
        <v>18331A05D2</v>
      </c>
      <c r="C314" s="78" t="str">
        <f ca="1">IFERROR(__xludf.DUMMYFUNCTION("""COMPUTED_VALUE"""),"Cybersecurity Essentials")</f>
        <v>Cybersecurity Essentials</v>
      </c>
      <c r="D314" s="9" t="str">
        <f ca="1">IFERROR(__xludf.DUMMYFUNCTION("""COMPUTED_VALUE"""),"CISCO")</f>
        <v>CISCO</v>
      </c>
      <c r="E314" s="9" t="str">
        <f ca="1">IFERROR(__xludf.DUMMYFUNCTION("""COMPUTED_VALUE"""),"5 Months")</f>
        <v>5 Months</v>
      </c>
      <c r="F314" s="79">
        <f ca="1">IFERROR(__xludf.DUMMYFUNCTION("""COMPUTED_VALUE"""),43447)</f>
        <v>43447</v>
      </c>
      <c r="G314" s="79">
        <f ca="1">IFERROR(__xludf.DUMMYFUNCTION("""COMPUTED_VALUE"""),43651)</f>
        <v>43651</v>
      </c>
      <c r="H314" s="72">
        <f ca="1">IFERROR(__xludf.DUMMYFUNCTION("""COMPUTED_VALUE"""),43664)</f>
        <v>43664</v>
      </c>
      <c r="I314" s="80"/>
      <c r="J314" s="9" t="str">
        <f ca="1">IFERROR(__xludf.DUMMYFUNCTION("""COMPUTED_VALUE"""),"P.Ravi Kiran Varma")</f>
        <v>P.Ravi Kiran Varma</v>
      </c>
      <c r="K314" s="73" t="str">
        <f ca="1">IFERROR(__xludf.DUMMYFUNCTION("""COMPUTED_VALUE"""),"https://drive.google.com/open?id=19aeJwC8b5XnMxqmN3pfcrhfeawrRDQwJ")</f>
        <v>https://drive.google.com/open?id=19aeJwC8b5XnMxqmN3pfcrhfeawrRDQwJ</v>
      </c>
      <c r="L314" s="9" t="str">
        <f ca="1">IFERROR(__xludf.DUMMYFUNCTION("""COMPUTED_VALUE"""),"2018-2022")</f>
        <v>2018-2022</v>
      </c>
      <c r="M314" s="9" t="str">
        <f ca="1">IFERROR(__xludf.DUMMYFUNCTION("""COMPUTED_VALUE"""),"S4: Student Certifications")</f>
        <v>S4: Student Certifications</v>
      </c>
      <c r="N314" s="9" t="str">
        <f ca="1">IFERROR(__xludf.DUMMYFUNCTION("""COMPUTED_VALUE"""),"Priyaprasanthi.pulipati@gmail.com")</f>
        <v>Priyaprasanthi.pulipati@gmail.com</v>
      </c>
      <c r="O314" s="9" t="str">
        <f ca="1">IFERROR(__xludf.DUMMYFUNCTION("""COMPUTED_VALUE"""),"SEM-2")</f>
        <v>SEM-2</v>
      </c>
      <c r="P314" s="9"/>
      <c r="Q314" s="9"/>
      <c r="R314" s="9"/>
      <c r="S314" s="9"/>
      <c r="T314" s="9"/>
      <c r="U314" s="9"/>
      <c r="V314" s="9"/>
      <c r="W314" s="9"/>
      <c r="X314" s="9"/>
      <c r="Y314" s="9"/>
    </row>
    <row r="315" spans="1:25" ht="26.25" customHeight="1" x14ac:dyDescent="0.15">
      <c r="A315" s="9" t="str">
        <f ca="1">IFERROR(__xludf.DUMMYFUNCTION("""COMPUTED_VALUE"""),"Sai Sri Priya Prasanthi Pulipati")</f>
        <v>Sai Sri Priya Prasanthi Pulipati</v>
      </c>
      <c r="B315" s="9" t="str">
        <f ca="1">IFERROR(__xludf.DUMMYFUNCTION("""COMPUTED_VALUE"""),"18331A05D2")</f>
        <v>18331A05D2</v>
      </c>
      <c r="C315" s="78" t="str">
        <f ca="1">IFERROR(__xludf.DUMMYFUNCTION("""COMPUTED_VALUE"""),"Introduction to Cybersecurity")</f>
        <v>Introduction to Cybersecurity</v>
      </c>
      <c r="D315" s="9" t="str">
        <f ca="1">IFERROR(__xludf.DUMMYFUNCTION("""COMPUTED_VALUE"""),"CISCO")</f>
        <v>CISCO</v>
      </c>
      <c r="E315" s="9" t="str">
        <f ca="1">IFERROR(__xludf.DUMMYFUNCTION("""COMPUTED_VALUE"""),"5 Months")</f>
        <v>5 Months</v>
      </c>
      <c r="F315" s="79">
        <f ca="1">IFERROR(__xludf.DUMMYFUNCTION("""COMPUTED_VALUE"""),43505)</f>
        <v>43505</v>
      </c>
      <c r="G315" s="79">
        <f ca="1">IFERROR(__xludf.DUMMYFUNCTION("""COMPUTED_VALUE"""),43649)</f>
        <v>43649</v>
      </c>
      <c r="H315" s="72">
        <f ca="1">IFERROR(__xludf.DUMMYFUNCTION("""COMPUTED_VALUE"""),43659)</f>
        <v>43659</v>
      </c>
      <c r="I315" s="80"/>
      <c r="J315" s="9" t="str">
        <f ca="1">IFERROR(__xludf.DUMMYFUNCTION("""COMPUTED_VALUE"""),"P.Ravi Kiran Varma")</f>
        <v>P.Ravi Kiran Varma</v>
      </c>
      <c r="K315" s="73" t="str">
        <f ca="1">IFERROR(__xludf.DUMMYFUNCTION("""COMPUTED_VALUE"""),"https://drive.google.com/open?id=1VaUH-A22cfvXSe2NQUv3nyEdsF86eyPR")</f>
        <v>https://drive.google.com/open?id=1VaUH-A22cfvXSe2NQUv3nyEdsF86eyPR</v>
      </c>
      <c r="L315" s="9" t="str">
        <f ca="1">IFERROR(__xludf.DUMMYFUNCTION("""COMPUTED_VALUE"""),"2018-2022")</f>
        <v>2018-2022</v>
      </c>
      <c r="M315" s="9" t="str">
        <f ca="1">IFERROR(__xludf.DUMMYFUNCTION("""COMPUTED_VALUE"""),"S4: Student Certifications")</f>
        <v>S4: Student Certifications</v>
      </c>
      <c r="N315" s="9" t="str">
        <f ca="1">IFERROR(__xludf.DUMMYFUNCTION("""COMPUTED_VALUE"""),"Priyaprasanthi.pulipati@gmail.com")</f>
        <v>Priyaprasanthi.pulipati@gmail.com</v>
      </c>
      <c r="O315" s="9" t="str">
        <f ca="1">IFERROR(__xludf.DUMMYFUNCTION("""COMPUTED_VALUE"""),"SEM-2")</f>
        <v>SEM-2</v>
      </c>
      <c r="P315" s="9"/>
      <c r="Q315" s="9"/>
      <c r="R315" s="9"/>
      <c r="S315" s="9"/>
      <c r="T315" s="9"/>
      <c r="U315" s="9"/>
      <c r="V315" s="9"/>
      <c r="W315" s="9"/>
      <c r="X315" s="9"/>
      <c r="Y315" s="9"/>
    </row>
    <row r="316" spans="1:25" ht="26.25" customHeight="1" x14ac:dyDescent="0.15">
      <c r="A316" s="9" t="str">
        <f ca="1">IFERROR(__xludf.DUMMYFUNCTION("""COMPUTED_VALUE"""),"Sai Sri Priya Prasanthi Pulipati")</f>
        <v>Sai Sri Priya Prasanthi Pulipati</v>
      </c>
      <c r="B316" s="9" t="str">
        <f ca="1">IFERROR(__xludf.DUMMYFUNCTION("""COMPUTED_VALUE"""),"18331A05D2")</f>
        <v>18331A05D2</v>
      </c>
      <c r="C316" s="78" t="str">
        <f ca="1">IFERROR(__xludf.DUMMYFUNCTION("""COMPUTED_VALUE"""),"Introduction to Web Development")</f>
        <v>Introduction to Web Development</v>
      </c>
      <c r="D316" s="9" t="str">
        <f ca="1">IFERROR(__xludf.DUMMYFUNCTION("""COMPUTED_VALUE"""),"Coursera")</f>
        <v>Coursera</v>
      </c>
      <c r="E316" s="9" t="str">
        <f ca="1">IFERROR(__xludf.DUMMYFUNCTION("""COMPUTED_VALUE"""),"4 Weeks")</f>
        <v>4 Weeks</v>
      </c>
      <c r="F316" s="79">
        <f ca="1">IFERROR(__xludf.DUMMYFUNCTION("""COMPUTED_VALUE"""),43910)</f>
        <v>43910</v>
      </c>
      <c r="G316" s="79">
        <f ca="1">IFERROR(__xludf.DUMMYFUNCTION("""COMPUTED_VALUE"""),43941)</f>
        <v>43941</v>
      </c>
      <c r="H316" s="72">
        <f ca="1">IFERROR(__xludf.DUMMYFUNCTION("""COMPUTED_VALUE"""),43941)</f>
        <v>43941</v>
      </c>
      <c r="I316" s="80"/>
      <c r="J316" s="9" t="str">
        <f ca="1">IFERROR(__xludf.DUMMYFUNCTION("""COMPUTED_VALUE"""),"Daniel Randall")</f>
        <v>Daniel Randall</v>
      </c>
      <c r="K316" s="73" t="str">
        <f ca="1">IFERROR(__xludf.DUMMYFUNCTION("""COMPUTED_VALUE"""),"https://drive.google.com/open?id=1P8w8GvyxqUANvL9Jmnanhtu3FmIqQJiy")</f>
        <v>https://drive.google.com/open?id=1P8w8GvyxqUANvL9Jmnanhtu3FmIqQJiy</v>
      </c>
      <c r="L316" s="9" t="str">
        <f ca="1">IFERROR(__xludf.DUMMYFUNCTION("""COMPUTED_VALUE"""),"2018-2022")</f>
        <v>2018-2022</v>
      </c>
      <c r="M316" s="9" t="str">
        <f ca="1">IFERROR(__xludf.DUMMYFUNCTION("""COMPUTED_VALUE"""),"S4: Student Certifications")</f>
        <v>S4: Student Certifications</v>
      </c>
      <c r="N316" s="9" t="str">
        <f ca="1">IFERROR(__xludf.DUMMYFUNCTION("""COMPUTED_VALUE"""),"Priyaprasanthi.pulipati@gmail.com")</f>
        <v>Priyaprasanthi.pulipati@gmail.com</v>
      </c>
      <c r="O316" s="9" t="str">
        <f ca="1">IFERROR(__xludf.DUMMYFUNCTION("""COMPUTED_VALUE"""),"SEM-3")</f>
        <v>SEM-3</v>
      </c>
      <c r="P316" s="9"/>
      <c r="Q316" s="9"/>
      <c r="R316" s="9"/>
      <c r="S316" s="9"/>
      <c r="T316" s="9"/>
      <c r="U316" s="9"/>
      <c r="V316" s="9"/>
      <c r="W316" s="9"/>
      <c r="X316" s="9"/>
      <c r="Y316" s="9"/>
    </row>
    <row r="317" spans="1:25" ht="26.25" customHeight="1" x14ac:dyDescent="0.15">
      <c r="A317" s="9" t="str">
        <f ca="1">IFERROR(__xludf.DUMMYFUNCTION("""COMPUTED_VALUE"""),"Sai Sri Priya Prasanthi Pulipati")</f>
        <v>Sai Sri Priya Prasanthi Pulipati</v>
      </c>
      <c r="B317" s="9" t="str">
        <f ca="1">IFERROR(__xludf.DUMMYFUNCTION("""COMPUTED_VALUE"""),"18331A05D2")</f>
        <v>18331A05D2</v>
      </c>
      <c r="C317" s="78" t="str">
        <f ca="1">IFERROR(__xludf.DUMMYFUNCTION("""COMPUTED_VALUE"""),"Cybersecurity and the Internet of Things")</f>
        <v>Cybersecurity and the Internet of Things</v>
      </c>
      <c r="D317" s="9" t="str">
        <f ca="1">IFERROR(__xludf.DUMMYFUNCTION("""COMPUTED_VALUE"""),"Coursera")</f>
        <v>Coursera</v>
      </c>
      <c r="E317" s="9" t="str">
        <f ca="1">IFERROR(__xludf.DUMMYFUNCTION("""COMPUTED_VALUE"""),"4 Weeks")</f>
        <v>4 Weeks</v>
      </c>
      <c r="F317" s="79">
        <f ca="1">IFERROR(__xludf.DUMMYFUNCTION("""COMPUTED_VALUE"""),43909)</f>
        <v>43909</v>
      </c>
      <c r="G317" s="79">
        <f ca="1">IFERROR(__xludf.DUMMYFUNCTION("""COMPUTED_VALUE"""),43940)</f>
        <v>43940</v>
      </c>
      <c r="H317" s="72">
        <f ca="1">IFERROR(__xludf.DUMMYFUNCTION("""COMPUTED_VALUE"""),43941)</f>
        <v>43941</v>
      </c>
      <c r="I317" s="80"/>
      <c r="J317" s="9" t="str">
        <f ca="1">IFERROR(__xludf.DUMMYFUNCTION("""COMPUTED_VALUE"""),"Dr. Traci Carte")</f>
        <v>Dr. Traci Carte</v>
      </c>
      <c r="K317" s="73" t="str">
        <f ca="1">IFERROR(__xludf.DUMMYFUNCTION("""COMPUTED_VALUE"""),"https://drive.google.com/open?id=1Ck3LnQotgKdjvrT_F1Y9zbynAxV3l9Ys")</f>
        <v>https://drive.google.com/open?id=1Ck3LnQotgKdjvrT_F1Y9zbynAxV3l9Ys</v>
      </c>
      <c r="L317" s="9" t="str">
        <f ca="1">IFERROR(__xludf.DUMMYFUNCTION("""COMPUTED_VALUE"""),"2018-2022")</f>
        <v>2018-2022</v>
      </c>
      <c r="M317" s="9" t="str">
        <f ca="1">IFERROR(__xludf.DUMMYFUNCTION("""COMPUTED_VALUE"""),"S4: Student Certifications")</f>
        <v>S4: Student Certifications</v>
      </c>
      <c r="N317" s="9" t="str">
        <f ca="1">IFERROR(__xludf.DUMMYFUNCTION("""COMPUTED_VALUE"""),"Priyaprasanthi.pulipati@gmail.com")</f>
        <v>Priyaprasanthi.pulipati@gmail.com</v>
      </c>
      <c r="O317" s="9" t="str">
        <f ca="1">IFERROR(__xludf.DUMMYFUNCTION("""COMPUTED_VALUE"""),"SEM-4")</f>
        <v>SEM-4</v>
      </c>
      <c r="P317" s="9"/>
      <c r="Q317" s="9"/>
      <c r="R317" s="9"/>
      <c r="S317" s="9"/>
      <c r="T317" s="9"/>
      <c r="U317" s="9"/>
      <c r="V317" s="9"/>
      <c r="W317" s="9"/>
      <c r="X317" s="9"/>
      <c r="Y317" s="9"/>
    </row>
    <row r="318" spans="1:25" ht="26.25" customHeight="1" x14ac:dyDescent="0.15">
      <c r="A318" s="9" t="str">
        <f ca="1">IFERROR(__xludf.DUMMYFUNCTION("""COMPUTED_VALUE"""),"Sai Sri Priya Prasanthi Pulipati")</f>
        <v>Sai Sri Priya Prasanthi Pulipati</v>
      </c>
      <c r="B318" s="9" t="str">
        <f ca="1">IFERROR(__xludf.DUMMYFUNCTION("""COMPUTED_VALUE"""),"18331A05D2")</f>
        <v>18331A05D2</v>
      </c>
      <c r="C318" s="78" t="str">
        <f ca="1">IFERROR(__xludf.DUMMYFUNCTION("""COMPUTED_VALUE"""),"AI For Everyone")</f>
        <v>AI For Everyone</v>
      </c>
      <c r="D318" s="9" t="str">
        <f ca="1">IFERROR(__xludf.DUMMYFUNCTION("""COMPUTED_VALUE"""),"Coursera")</f>
        <v>Coursera</v>
      </c>
      <c r="E318" s="9" t="str">
        <f ca="1">IFERROR(__xludf.DUMMYFUNCTION("""COMPUTED_VALUE"""),"3 weeks")</f>
        <v>3 weeks</v>
      </c>
      <c r="F318" s="79">
        <f ca="1">IFERROR(__xludf.DUMMYFUNCTION("""COMPUTED_VALUE"""),43920)</f>
        <v>43920</v>
      </c>
      <c r="G318" s="79">
        <f ca="1">IFERROR(__xludf.DUMMYFUNCTION("""COMPUTED_VALUE"""),43941)</f>
        <v>43941</v>
      </c>
      <c r="H318" s="72">
        <f ca="1">IFERROR(__xludf.DUMMYFUNCTION("""COMPUTED_VALUE"""),43941)</f>
        <v>43941</v>
      </c>
      <c r="I318" s="80"/>
      <c r="J318" s="9" t="str">
        <f ca="1">IFERROR(__xludf.DUMMYFUNCTION("""COMPUTED_VALUE"""),"Andrew Ng")</f>
        <v>Andrew Ng</v>
      </c>
      <c r="K318" s="73" t="str">
        <f ca="1">IFERROR(__xludf.DUMMYFUNCTION("""COMPUTED_VALUE"""),"https://drive.google.com/open?id=1i8HHuCsfFOoOcbEvNBTOAB_bxCKoXHKN")</f>
        <v>https://drive.google.com/open?id=1i8HHuCsfFOoOcbEvNBTOAB_bxCKoXHKN</v>
      </c>
      <c r="L318" s="9" t="str">
        <f ca="1">IFERROR(__xludf.DUMMYFUNCTION("""COMPUTED_VALUE"""),"2018-2022")</f>
        <v>2018-2022</v>
      </c>
      <c r="M318" s="9" t="str">
        <f ca="1">IFERROR(__xludf.DUMMYFUNCTION("""COMPUTED_VALUE"""),"S4: Student Certifications")</f>
        <v>S4: Student Certifications</v>
      </c>
      <c r="N318" s="9" t="str">
        <f ca="1">IFERROR(__xludf.DUMMYFUNCTION("""COMPUTED_VALUE"""),"Priyaprasanthi.pulipati@gmail.com")</f>
        <v>Priyaprasanthi.pulipati@gmail.com</v>
      </c>
      <c r="O318" s="9" t="str">
        <f ca="1">IFERROR(__xludf.DUMMYFUNCTION("""COMPUTED_VALUE"""),"SEM-4")</f>
        <v>SEM-4</v>
      </c>
      <c r="P318" s="9"/>
      <c r="Q318" s="9"/>
      <c r="R318" s="9"/>
      <c r="S318" s="9"/>
      <c r="T318" s="9"/>
      <c r="U318" s="9"/>
      <c r="V318" s="9"/>
      <c r="W318" s="9"/>
      <c r="X318" s="9"/>
      <c r="Y318" s="9"/>
    </row>
    <row r="319" spans="1:25" ht="26.25" customHeight="1" x14ac:dyDescent="0.15">
      <c r="A319" s="9" t="str">
        <f ca="1">IFERROR(__xludf.DUMMYFUNCTION("""COMPUTED_VALUE"""),"Sai Sri Priya Prasanthi Pulipati")</f>
        <v>Sai Sri Priya Prasanthi Pulipati</v>
      </c>
      <c r="B319" s="9" t="str">
        <f ca="1">IFERROR(__xludf.DUMMYFUNCTION("""COMPUTED_VALUE"""),"18331A05D2")</f>
        <v>18331A05D2</v>
      </c>
      <c r="C319" s="78" t="str">
        <f ca="1">IFERROR(__xludf.DUMMYFUNCTION("""COMPUTED_VALUE"""),"PCAP: Programming Essentials in Python")</f>
        <v>PCAP: Programming Essentials in Python</v>
      </c>
      <c r="D319" s="9" t="str">
        <f ca="1">IFERROR(__xludf.DUMMYFUNCTION("""COMPUTED_VALUE"""),"CISCO")</f>
        <v>CISCO</v>
      </c>
      <c r="E319" s="9" t="str">
        <f ca="1">IFERROR(__xludf.DUMMYFUNCTION("""COMPUTED_VALUE"""),"2 months")</f>
        <v>2 months</v>
      </c>
      <c r="F319" s="79">
        <f ca="1">IFERROR(__xludf.DUMMYFUNCTION("""COMPUTED_VALUE"""),44301)</f>
        <v>44301</v>
      </c>
      <c r="G319" s="79">
        <f ca="1">IFERROR(__xludf.DUMMYFUNCTION("""COMPUTED_VALUE"""),44362)</f>
        <v>44362</v>
      </c>
      <c r="H319" s="72">
        <f ca="1">IFERROR(__xludf.DUMMYFUNCTION("""COMPUTED_VALUE"""),44377)</f>
        <v>44377</v>
      </c>
      <c r="I319" s="80"/>
      <c r="J319" s="9" t="str">
        <f ca="1">IFERROR(__xludf.DUMMYFUNCTION("""COMPUTED_VALUE"""),"P.Ravi Kiran Varma")</f>
        <v>P.Ravi Kiran Varma</v>
      </c>
      <c r="K319" s="73" t="str">
        <f ca="1">IFERROR(__xludf.DUMMYFUNCTION("""COMPUTED_VALUE"""),"https://drive.google.com/open?id=1UBPcUGu-Eetauau5woeM7YBFkiac-EWx")</f>
        <v>https://drive.google.com/open?id=1UBPcUGu-Eetauau5woeM7YBFkiac-EWx</v>
      </c>
      <c r="L319" s="9" t="str">
        <f ca="1">IFERROR(__xludf.DUMMYFUNCTION("""COMPUTED_VALUE"""),"2018-2022")</f>
        <v>2018-2022</v>
      </c>
      <c r="M319" s="9" t="str">
        <f ca="1">IFERROR(__xludf.DUMMYFUNCTION("""COMPUTED_VALUE"""),"S4: Student Certifications")</f>
        <v>S4: Student Certifications</v>
      </c>
      <c r="N319" s="9" t="str">
        <f ca="1">IFERROR(__xludf.DUMMYFUNCTION("""COMPUTED_VALUE"""),"Priyaprasanthi.pulipati@gmail.com")</f>
        <v>Priyaprasanthi.pulipati@gmail.com</v>
      </c>
      <c r="O319" s="9" t="str">
        <f ca="1">IFERROR(__xludf.DUMMYFUNCTION("""COMPUTED_VALUE"""),"SEM-6")</f>
        <v>SEM-6</v>
      </c>
      <c r="P319" s="9"/>
      <c r="Q319" s="9"/>
      <c r="R319" s="9"/>
      <c r="S319" s="9"/>
      <c r="T319" s="9"/>
      <c r="U319" s="9"/>
      <c r="V319" s="9"/>
      <c r="W319" s="9"/>
      <c r="X319" s="9"/>
      <c r="Y319" s="9"/>
    </row>
    <row r="320" spans="1:25" ht="26.25" customHeight="1" x14ac:dyDescent="0.15">
      <c r="A320" s="9" t="str">
        <f ca="1">IFERROR(__xludf.DUMMYFUNCTION("""COMPUTED_VALUE"""),"Mudili Kavya")</f>
        <v>Mudili Kavya</v>
      </c>
      <c r="B320" s="9" t="str">
        <f ca="1">IFERROR(__xludf.DUMMYFUNCTION("""COMPUTED_VALUE"""),"18331A05A1")</f>
        <v>18331A05A1</v>
      </c>
      <c r="C320" s="78" t="str">
        <f ca="1">IFERROR(__xludf.DUMMYFUNCTION("""COMPUTED_VALUE"""),"SQL - quiz")</f>
        <v>SQL - quiz</v>
      </c>
      <c r="D320" s="9" t="str">
        <f ca="1">IFERROR(__xludf.DUMMYFUNCTION("""COMPUTED_VALUE"""),"Vignan institute of engineering for women")</f>
        <v>Vignan institute of engineering for women</v>
      </c>
      <c r="E320" s="9" t="str">
        <f ca="1">IFERROR(__xludf.DUMMYFUNCTION("""COMPUTED_VALUE"""),"1 week")</f>
        <v>1 week</v>
      </c>
      <c r="F320" s="79">
        <f ca="1">IFERROR(__xludf.DUMMYFUNCTION("""COMPUTED_VALUE"""),43971)</f>
        <v>43971</v>
      </c>
      <c r="G320" s="79">
        <f ca="1">IFERROR(__xludf.DUMMYFUNCTION("""COMPUTED_VALUE"""),43979)</f>
        <v>43979</v>
      </c>
      <c r="H320" s="72">
        <f ca="1">IFERROR(__xludf.DUMMYFUNCTION("""COMPUTED_VALUE"""),43979)</f>
        <v>43979</v>
      </c>
      <c r="I320" s="80">
        <f ca="1">IFERROR(__xludf.DUMMYFUNCTION("""COMPUTED_VALUE"""),0.92)</f>
        <v>0.92</v>
      </c>
      <c r="J320" s="9" t="str">
        <f ca="1">IFERROR(__xludf.DUMMYFUNCTION("""COMPUTED_VALUE"""),"Aruna Kumari")</f>
        <v>Aruna Kumari</v>
      </c>
      <c r="K320" s="73" t="str">
        <f ca="1">IFERROR(__xludf.DUMMYFUNCTION("""COMPUTED_VALUE"""),"https://drive.google.com/open?id=19Bz4-TSyMFGw2NJTz2LV242aaUzJXp0-")</f>
        <v>https://drive.google.com/open?id=19Bz4-TSyMFGw2NJTz2LV242aaUzJXp0-</v>
      </c>
      <c r="L320" s="9" t="str">
        <f ca="1">IFERROR(__xludf.DUMMYFUNCTION("""COMPUTED_VALUE"""),"2018-2022")</f>
        <v>2018-2022</v>
      </c>
      <c r="M320" s="9" t="str">
        <f ca="1">IFERROR(__xludf.DUMMYFUNCTION("""COMPUTED_VALUE"""),"S4: Student Certifications")</f>
        <v>S4: Student Certifications</v>
      </c>
      <c r="N320" s="9" t="str">
        <f ca="1">IFERROR(__xludf.DUMMYFUNCTION("""COMPUTED_VALUE"""),"kavyamudili2001@gmail.com")</f>
        <v>kavyamudili2001@gmail.com</v>
      </c>
      <c r="O320" s="9" t="str">
        <f ca="1">IFERROR(__xludf.DUMMYFUNCTION("""COMPUTED_VALUE"""),"SEM-8")</f>
        <v>SEM-8</v>
      </c>
      <c r="P320" s="9"/>
      <c r="Q320" s="9"/>
      <c r="R320" s="9"/>
      <c r="S320" s="9"/>
      <c r="T320" s="9"/>
      <c r="U320" s="9"/>
      <c r="V320" s="9"/>
      <c r="W320" s="9"/>
      <c r="X320" s="9"/>
      <c r="Y320" s="9"/>
    </row>
    <row r="321" spans="1:25" ht="26.25" customHeight="1" x14ac:dyDescent="0.15">
      <c r="A321" s="9" t="str">
        <f ca="1">IFERROR(__xludf.DUMMYFUNCTION("""COMPUTED_VALUE"""),"Sai Sri Priya Prasanthi Pulipati")</f>
        <v>Sai Sri Priya Prasanthi Pulipati</v>
      </c>
      <c r="B321" s="9" t="str">
        <f ca="1">IFERROR(__xludf.DUMMYFUNCTION("""COMPUTED_VALUE"""),"18331A05D2")</f>
        <v>18331A05D2</v>
      </c>
      <c r="C321" s="78" t="str">
        <f ca="1">IFERROR(__xludf.DUMMYFUNCTION("""COMPUTED_VALUE"""),"Juspay")</f>
        <v>Juspay</v>
      </c>
      <c r="D321" s="9" t="str">
        <f ca="1">IFERROR(__xludf.DUMMYFUNCTION("""COMPUTED_VALUE"""),"Dare2Compete")</f>
        <v>Dare2Compete</v>
      </c>
      <c r="E321" s="9" t="str">
        <f ca="1">IFERROR(__xludf.DUMMYFUNCTION("""COMPUTED_VALUE"""),"1 Day")</f>
        <v>1 Day</v>
      </c>
      <c r="F321" s="79">
        <f ca="1">IFERROR(__xludf.DUMMYFUNCTION("""COMPUTED_VALUE"""),44456)</f>
        <v>44456</v>
      </c>
      <c r="G321" s="79">
        <f ca="1">IFERROR(__xludf.DUMMYFUNCTION("""COMPUTED_VALUE"""),44456)</f>
        <v>44456</v>
      </c>
      <c r="H321" s="72">
        <f ca="1">IFERROR(__xludf.DUMMYFUNCTION("""COMPUTED_VALUE"""),44303)</f>
        <v>44303</v>
      </c>
      <c r="I321" s="80"/>
      <c r="J321" s="9" t="str">
        <f ca="1">IFERROR(__xludf.DUMMYFUNCTION("""COMPUTED_VALUE"""),"R.Ravi Kumar")</f>
        <v>R.Ravi Kumar</v>
      </c>
      <c r="K321" s="73" t="str">
        <f ca="1">IFERROR(__xludf.DUMMYFUNCTION("""COMPUTED_VALUE"""),"https://drive.google.com/open?id=1_3Y3Dn-fAuceIAkVOsN3hfSh-z_L91wz")</f>
        <v>https://drive.google.com/open?id=1_3Y3Dn-fAuceIAkVOsN3hfSh-z_L91wz</v>
      </c>
      <c r="L321" s="9" t="str">
        <f ca="1">IFERROR(__xludf.DUMMYFUNCTION("""COMPUTED_VALUE"""),"2018-2022")</f>
        <v>2018-2022</v>
      </c>
      <c r="M321" s="9" t="str">
        <f ca="1">IFERROR(__xludf.DUMMYFUNCTION("""COMPUTED_VALUE"""),"S4: Student Certifications")</f>
        <v>S4: Student Certifications</v>
      </c>
      <c r="N321" s="9" t="str">
        <f ca="1">IFERROR(__xludf.DUMMYFUNCTION("""COMPUTED_VALUE"""),"Priyaprasanthi.pulipati@gmail.com")</f>
        <v>Priyaprasanthi.pulipati@gmail.com</v>
      </c>
      <c r="O321" s="9" t="str">
        <f ca="1">IFERROR(__xludf.DUMMYFUNCTION("""COMPUTED_VALUE"""),"SEM-7")</f>
        <v>SEM-7</v>
      </c>
      <c r="P321" s="9"/>
      <c r="Q321" s="9"/>
      <c r="R321" s="9"/>
      <c r="S321" s="9"/>
      <c r="T321" s="9"/>
      <c r="U321" s="9"/>
      <c r="V321" s="9"/>
      <c r="W321" s="9"/>
      <c r="X321" s="9"/>
      <c r="Y321" s="9"/>
    </row>
    <row r="322" spans="1:25" ht="26.25" customHeight="1" x14ac:dyDescent="0.15">
      <c r="A322" s="9" t="str">
        <f ca="1">IFERROR(__xludf.DUMMYFUNCTION("""COMPUTED_VALUE"""),"mohammad riyazul haneef sharief")</f>
        <v>mohammad riyazul haneef sharief</v>
      </c>
      <c r="B322" s="9" t="str">
        <f ca="1">IFERROR(__xludf.DUMMYFUNCTION("""COMPUTED_VALUE"""),"18331A05H6")</f>
        <v>18331A05H6</v>
      </c>
      <c r="C322" s="78" t="str">
        <f ca="1">IFERROR(__xludf.DUMMYFUNCTION("""COMPUTED_VALUE"""),"AWS")</f>
        <v>AWS</v>
      </c>
      <c r="D322" s="9" t="str">
        <f ca="1">IFERROR(__xludf.DUMMYFUNCTION("""COMPUTED_VALUE"""),"AWS Academy Graduate - AWS Academy Cloud Foundations")</f>
        <v>AWS Academy Graduate - AWS Academy Cloud Foundations</v>
      </c>
      <c r="E322" s="9" t="str">
        <f ca="1">IFERROR(__xludf.DUMMYFUNCTION("""COMPUTED_VALUE"""),"20 hours")</f>
        <v>20 hours</v>
      </c>
      <c r="F322" s="79">
        <f ca="1">IFERROR(__xludf.DUMMYFUNCTION("""COMPUTED_VALUE"""),44511)</f>
        <v>44511</v>
      </c>
      <c r="G322" s="79">
        <f ca="1">IFERROR(__xludf.DUMMYFUNCTION("""COMPUTED_VALUE"""),44512)</f>
        <v>44512</v>
      </c>
      <c r="H322" s="72">
        <f ca="1">IFERROR(__xludf.DUMMYFUNCTION("""COMPUTED_VALUE"""),44512)</f>
        <v>44512</v>
      </c>
      <c r="I322" s="80">
        <f ca="1">IFERROR(__xludf.DUMMYFUNCTION("""COMPUTED_VALUE"""),80)</f>
        <v>80</v>
      </c>
      <c r="J322" s="9" t="str">
        <f ca="1">IFERROR(__xludf.DUMMYFUNCTION("""COMPUTED_VALUE"""),"hod")</f>
        <v>hod</v>
      </c>
      <c r="K322" s="73" t="str">
        <f ca="1">IFERROR(__xludf.DUMMYFUNCTION("""COMPUTED_VALUE"""),"https://drive.google.com/open?id=19h15cFhPipW5vUj08jHS_uz6zvL_TrVJ")</f>
        <v>https://drive.google.com/open?id=19h15cFhPipW5vUj08jHS_uz6zvL_TrVJ</v>
      </c>
      <c r="L322" s="9" t="str">
        <f ca="1">IFERROR(__xludf.DUMMYFUNCTION("""COMPUTED_VALUE"""),"2018-2022")</f>
        <v>2018-2022</v>
      </c>
      <c r="M322" s="9" t="str">
        <f ca="1">IFERROR(__xludf.DUMMYFUNCTION("""COMPUTED_VALUE"""),"S4: Student Certifications")</f>
        <v>S4: Student Certifications</v>
      </c>
      <c r="N322" s="9" t="str">
        <f ca="1">IFERROR(__xludf.DUMMYFUNCTION("""COMPUTED_VALUE"""),"haneefleo10@gmail.com")</f>
        <v>haneefleo10@gmail.com</v>
      </c>
      <c r="O322" s="9" t="str">
        <f ca="1">IFERROR(__xludf.DUMMYFUNCTION("""COMPUTED_VALUE"""),"SEM-8")</f>
        <v>SEM-8</v>
      </c>
      <c r="P322" s="9"/>
      <c r="Q322" s="9"/>
      <c r="R322" s="9"/>
      <c r="S322" s="9"/>
      <c r="T322" s="9"/>
      <c r="U322" s="9"/>
      <c r="V322" s="9"/>
      <c r="W322" s="9"/>
      <c r="X322" s="9"/>
      <c r="Y322" s="9"/>
    </row>
    <row r="323" spans="1:25" ht="26.25" customHeight="1" x14ac:dyDescent="0.15">
      <c r="A323" s="9" t="str">
        <f ca="1">IFERROR(__xludf.DUMMYFUNCTION("""COMPUTED_VALUE"""),"mohammad riyazul haneef sharief")</f>
        <v>mohammad riyazul haneef sharief</v>
      </c>
      <c r="B323" s="9" t="str">
        <f ca="1">IFERROR(__xludf.DUMMYFUNCTION("""COMPUTED_VALUE"""),"18331A05H6")</f>
        <v>18331A05H6</v>
      </c>
      <c r="C323" s="78" t="str">
        <f ca="1">IFERROR(__xludf.DUMMYFUNCTION("""COMPUTED_VALUE"""),"palo alto")</f>
        <v>palo alto</v>
      </c>
      <c r="D323" s="9" t="str">
        <f ca="1">IFERROR(__xludf.DUMMYFUNCTION("""COMPUTED_VALUE"""),"Cybersecurity Foundation")</f>
        <v>Cybersecurity Foundation</v>
      </c>
      <c r="E323" s="9" t="str">
        <f ca="1">IFERROR(__xludf.DUMMYFUNCTION("""COMPUTED_VALUE"""),"20")</f>
        <v>20</v>
      </c>
      <c r="F323" s="79">
        <f ca="1">IFERROR(__xludf.DUMMYFUNCTION("""COMPUTED_VALUE"""),44398)</f>
        <v>44398</v>
      </c>
      <c r="G323" s="79">
        <f ca="1">IFERROR(__xludf.DUMMYFUNCTION("""COMPUTED_VALUE"""),44399)</f>
        <v>44399</v>
      </c>
      <c r="H323" s="72">
        <f ca="1">IFERROR(__xludf.DUMMYFUNCTION("""COMPUTED_VALUE"""),44400)</f>
        <v>44400</v>
      </c>
      <c r="I323" s="80">
        <f ca="1">IFERROR(__xludf.DUMMYFUNCTION("""COMPUTED_VALUE"""),85)</f>
        <v>85</v>
      </c>
      <c r="J323" s="9" t="str">
        <f ca="1">IFERROR(__xludf.DUMMYFUNCTION("""COMPUTED_VALUE"""),"hod")</f>
        <v>hod</v>
      </c>
      <c r="K323" s="73" t="str">
        <f ca="1">IFERROR(__xludf.DUMMYFUNCTION("""COMPUTED_VALUE"""),"https://drive.google.com/open?id=1gL1-pFaJTVb4ekmp6tbUST46T9MTOiEa")</f>
        <v>https://drive.google.com/open?id=1gL1-pFaJTVb4ekmp6tbUST46T9MTOiEa</v>
      </c>
      <c r="L323" s="9" t="str">
        <f ca="1">IFERROR(__xludf.DUMMYFUNCTION("""COMPUTED_VALUE"""),"2018-2022")</f>
        <v>2018-2022</v>
      </c>
      <c r="M323" s="9" t="str">
        <f ca="1">IFERROR(__xludf.DUMMYFUNCTION("""COMPUTED_VALUE"""),"S4: Student Certifications")</f>
        <v>S4: Student Certifications</v>
      </c>
      <c r="N323" s="9" t="str">
        <f ca="1">IFERROR(__xludf.DUMMYFUNCTION("""COMPUTED_VALUE"""),"haneefleo10@gmail.com")</f>
        <v>haneefleo10@gmail.com</v>
      </c>
      <c r="O323" s="9" t="str">
        <f ca="1">IFERROR(__xludf.DUMMYFUNCTION("""COMPUTED_VALUE"""),"SEM-8")</f>
        <v>SEM-8</v>
      </c>
      <c r="P323" s="9"/>
      <c r="Q323" s="9"/>
      <c r="R323" s="9"/>
      <c r="S323" s="9"/>
      <c r="T323" s="9"/>
      <c r="U323" s="9"/>
      <c r="V323" s="9"/>
      <c r="W323" s="9"/>
      <c r="X323" s="9"/>
      <c r="Y323" s="9"/>
    </row>
    <row r="324" spans="1:25" ht="26.25" customHeight="1" x14ac:dyDescent="0.15">
      <c r="A324" s="9" t="str">
        <f ca="1">IFERROR(__xludf.DUMMYFUNCTION("""COMPUTED_VALUE"""),"Sai Sri Priya Prasanthi Pulipati")</f>
        <v>Sai Sri Priya Prasanthi Pulipati</v>
      </c>
      <c r="B324" s="9" t="str">
        <f ca="1">IFERROR(__xludf.DUMMYFUNCTION("""COMPUTED_VALUE"""),"18331A05D2")</f>
        <v>18331A05D2</v>
      </c>
      <c r="C324" s="78" t="str">
        <f ca="1">IFERROR(__xludf.DUMMYFUNCTION("""COMPUTED_VALUE"""),"Cybersecurity Foundation")</f>
        <v>Cybersecurity Foundation</v>
      </c>
      <c r="D324" s="9" t="str">
        <f ca="1">IFERROR(__xludf.DUMMYFUNCTION("""COMPUTED_VALUE"""),"Palo Alto Netwoks Cybersecurity Academy")</f>
        <v>Palo Alto Netwoks Cybersecurity Academy</v>
      </c>
      <c r="E324" s="9" t="str">
        <f ca="1">IFERROR(__xludf.DUMMYFUNCTION("""COMPUTED_VALUE"""),"5 Weeks")</f>
        <v>5 Weeks</v>
      </c>
      <c r="F324" s="79">
        <f ca="1">IFERROR(__xludf.DUMMYFUNCTION("""COMPUTED_VALUE"""),44360)</f>
        <v>44360</v>
      </c>
      <c r="G324" s="79">
        <f ca="1">IFERROR(__xludf.DUMMYFUNCTION("""COMPUTED_VALUE"""),44400)</f>
        <v>44400</v>
      </c>
      <c r="H324" s="72">
        <f ca="1">IFERROR(__xludf.DUMMYFUNCTION("""COMPUTED_VALUE"""),44401)</f>
        <v>44401</v>
      </c>
      <c r="I324" s="80"/>
      <c r="J324" s="9" t="str">
        <f ca="1">IFERROR(__xludf.DUMMYFUNCTION("""COMPUTED_VALUE"""),"P.Ravi Kian Varma")</f>
        <v>P.Ravi Kian Varma</v>
      </c>
      <c r="K324" s="73" t="str">
        <f ca="1">IFERROR(__xludf.DUMMYFUNCTION("""COMPUTED_VALUE"""),"https://drive.google.com/open?id=1z3bh4S-82Zij-0NQjhYOYn9onXj1uIj5")</f>
        <v>https://drive.google.com/open?id=1z3bh4S-82Zij-0NQjhYOYn9onXj1uIj5</v>
      </c>
      <c r="L324" s="9" t="str">
        <f ca="1">IFERROR(__xludf.DUMMYFUNCTION("""COMPUTED_VALUE"""),"2018-2022")</f>
        <v>2018-2022</v>
      </c>
      <c r="M324" s="9" t="str">
        <f ca="1">IFERROR(__xludf.DUMMYFUNCTION("""COMPUTED_VALUE"""),"S4: Student Certifications")</f>
        <v>S4: Student Certifications</v>
      </c>
      <c r="N324" s="9" t="str">
        <f ca="1">IFERROR(__xludf.DUMMYFUNCTION("""COMPUTED_VALUE"""),"Priyaprasanthi.pulipati@gmail.com")</f>
        <v>Priyaprasanthi.pulipati@gmail.com</v>
      </c>
      <c r="O324" s="9" t="str">
        <f ca="1">IFERROR(__xludf.DUMMYFUNCTION("""COMPUTED_VALUE"""),"SEM-7")</f>
        <v>SEM-7</v>
      </c>
      <c r="P324" s="9"/>
      <c r="Q324" s="9"/>
      <c r="R324" s="9"/>
      <c r="S324" s="9"/>
      <c r="T324" s="9"/>
      <c r="U324" s="9"/>
      <c r="V324" s="9"/>
      <c r="W324" s="9"/>
      <c r="X324" s="9"/>
      <c r="Y324" s="9"/>
    </row>
    <row r="325" spans="1:25" ht="26.25" customHeight="1" x14ac:dyDescent="0.15">
      <c r="A325" s="9" t="str">
        <f ca="1">IFERROR(__xludf.DUMMYFUNCTION("""COMPUTED_VALUE"""),"mohammad riyazul haneef sharief")</f>
        <v>mohammad riyazul haneef sharief</v>
      </c>
      <c r="B325" s="9" t="str">
        <f ca="1">IFERROR(__xludf.DUMMYFUNCTION("""COMPUTED_VALUE"""),"18331A05H6")</f>
        <v>18331A05H6</v>
      </c>
      <c r="C325" s="78" t="str">
        <f ca="1">IFERROR(__xludf.DUMMYFUNCTION("""COMPUTED_VALUE"""),"eduskills")</f>
        <v>eduskills</v>
      </c>
      <c r="D325" s="9" t="str">
        <f ca="1">IFERROR(__xludf.DUMMYFUNCTION("""COMPUTED_VALUE"""),"aws")</f>
        <v>aws</v>
      </c>
      <c r="E325" s="9" t="str">
        <f ca="1">IFERROR(__xludf.DUMMYFUNCTION("""COMPUTED_VALUE"""),"oct-dec")</f>
        <v>oct-dec</v>
      </c>
      <c r="F325" s="79">
        <f ca="1">IFERROR(__xludf.DUMMYFUNCTION("""COMPUTED_VALUE"""),44420)</f>
        <v>44420</v>
      </c>
      <c r="G325" s="79">
        <f ca="1">IFERROR(__xludf.DUMMYFUNCTION("""COMPUTED_VALUE"""),44535)</f>
        <v>44535</v>
      </c>
      <c r="H325" s="72">
        <f ca="1">IFERROR(__xludf.DUMMYFUNCTION("""COMPUTED_VALUE"""),44547)</f>
        <v>44547</v>
      </c>
      <c r="I325" s="80">
        <f ca="1">IFERROR(__xludf.DUMMYFUNCTION("""COMPUTED_VALUE"""),80)</f>
        <v>80</v>
      </c>
      <c r="J325" s="9" t="str">
        <f ca="1">IFERROR(__xludf.DUMMYFUNCTION("""COMPUTED_VALUE"""),"hod")</f>
        <v>hod</v>
      </c>
      <c r="K325" s="73" t="str">
        <f ca="1">IFERROR(__xludf.DUMMYFUNCTION("""COMPUTED_VALUE"""),"https://drive.google.com/open?id=1dSLAOq_qHDJ33dDwkguw-lP3lSBua3Rv")</f>
        <v>https://drive.google.com/open?id=1dSLAOq_qHDJ33dDwkguw-lP3lSBua3Rv</v>
      </c>
      <c r="L325" s="9" t="str">
        <f ca="1">IFERROR(__xludf.DUMMYFUNCTION("""COMPUTED_VALUE"""),"2018-2022")</f>
        <v>2018-2022</v>
      </c>
      <c r="M325" s="9" t="str">
        <f ca="1">IFERROR(__xludf.DUMMYFUNCTION("""COMPUTED_VALUE"""),"S4: Student Certifications")</f>
        <v>S4: Student Certifications</v>
      </c>
      <c r="N325" s="9" t="str">
        <f ca="1">IFERROR(__xludf.DUMMYFUNCTION("""COMPUTED_VALUE"""),"haneefleo10@gmail.com")</f>
        <v>haneefleo10@gmail.com</v>
      </c>
      <c r="O325" s="9" t="str">
        <f ca="1">IFERROR(__xludf.DUMMYFUNCTION("""COMPUTED_VALUE"""),"SEM-8")</f>
        <v>SEM-8</v>
      </c>
      <c r="P325" s="9"/>
      <c r="Q325" s="9"/>
      <c r="R325" s="9"/>
      <c r="S325" s="9"/>
      <c r="T325" s="9"/>
      <c r="U325" s="9"/>
      <c r="V325" s="9"/>
      <c r="W325" s="9"/>
      <c r="X325" s="9"/>
      <c r="Y325" s="9"/>
    </row>
    <row r="326" spans="1:25" ht="26.25" customHeight="1" x14ac:dyDescent="0.15">
      <c r="A326" s="9" t="str">
        <f ca="1">IFERROR(__xludf.DUMMYFUNCTION("""COMPUTED_VALUE"""),"mohammad riyazul haneef sharief")</f>
        <v>mohammad riyazul haneef sharief</v>
      </c>
      <c r="B326" s="9" t="str">
        <f ca="1">IFERROR(__xludf.DUMMYFUNCTION("""COMPUTED_VALUE"""),"18331A05H6")</f>
        <v>18331A05H6</v>
      </c>
      <c r="C326" s="78" t="str">
        <f ca="1">IFERROR(__xludf.DUMMYFUNCTION("""COMPUTED_VALUE"""),"ipr")</f>
        <v>ipr</v>
      </c>
      <c r="D326" s="9" t="str">
        <f ca="1">IFERROR(__xludf.DUMMYFUNCTION("""COMPUTED_VALUE"""),"nipam Intellectual  Property Office, India")</f>
        <v>nipam Intellectual  Property Office, India</v>
      </c>
      <c r="E326" s="9" t="str">
        <f ca="1">IFERROR(__xludf.DUMMYFUNCTION("""COMPUTED_VALUE"""),"15")</f>
        <v>15</v>
      </c>
      <c r="F326" s="79">
        <f ca="1">IFERROR(__xludf.DUMMYFUNCTION("""COMPUTED_VALUE"""),44567)</f>
        <v>44567</v>
      </c>
      <c r="G326" s="79">
        <f ca="1">IFERROR(__xludf.DUMMYFUNCTION("""COMPUTED_VALUE"""),44573)</f>
        <v>44573</v>
      </c>
      <c r="H326" s="72">
        <f ca="1">IFERROR(__xludf.DUMMYFUNCTION("""COMPUTED_VALUE"""),44573)</f>
        <v>44573</v>
      </c>
      <c r="I326" s="80">
        <f ca="1">IFERROR(__xludf.DUMMYFUNCTION("""COMPUTED_VALUE"""),79)</f>
        <v>79</v>
      </c>
      <c r="J326" s="9" t="str">
        <f ca="1">IFERROR(__xludf.DUMMYFUNCTION("""COMPUTED_VALUE"""),"hod")</f>
        <v>hod</v>
      </c>
      <c r="K326" s="73" t="str">
        <f ca="1">IFERROR(__xludf.DUMMYFUNCTION("""COMPUTED_VALUE"""),"https://drive.google.com/open?id=1o9CmMMPo4x_cPDqfR1uAC4229rmDrOlE")</f>
        <v>https://drive.google.com/open?id=1o9CmMMPo4x_cPDqfR1uAC4229rmDrOlE</v>
      </c>
      <c r="L326" s="9" t="str">
        <f ca="1">IFERROR(__xludf.DUMMYFUNCTION("""COMPUTED_VALUE"""),"2018-2022")</f>
        <v>2018-2022</v>
      </c>
      <c r="M326" s="9" t="str">
        <f ca="1">IFERROR(__xludf.DUMMYFUNCTION("""COMPUTED_VALUE"""),"S4: Student Certifications")</f>
        <v>S4: Student Certifications</v>
      </c>
      <c r="N326" s="9" t="str">
        <f ca="1">IFERROR(__xludf.DUMMYFUNCTION("""COMPUTED_VALUE"""),"haneefleo10@gmail.com")</f>
        <v>haneefleo10@gmail.com</v>
      </c>
      <c r="O326" s="9" t="str">
        <f ca="1">IFERROR(__xludf.DUMMYFUNCTION("""COMPUTED_VALUE"""),"SEM-8")</f>
        <v>SEM-8</v>
      </c>
      <c r="P326" s="9"/>
      <c r="Q326" s="9"/>
      <c r="R326" s="9"/>
      <c r="S326" s="9"/>
      <c r="T326" s="9"/>
      <c r="U326" s="9"/>
      <c r="V326" s="9"/>
      <c r="W326" s="9"/>
      <c r="X326" s="9"/>
      <c r="Y326" s="9"/>
    </row>
    <row r="327" spans="1:25" ht="26.25" customHeight="1" x14ac:dyDescent="0.15">
      <c r="A327" s="9" t="str">
        <f ca="1">IFERROR(__xludf.DUMMYFUNCTION("""COMPUTED_VALUE"""),"mohammad riyazul haneef sharief")</f>
        <v>mohammad riyazul haneef sharief</v>
      </c>
      <c r="B327" s="9" t="str">
        <f ca="1">IFERROR(__xludf.DUMMYFUNCTION("""COMPUTED_VALUE"""),"18331A05H6")</f>
        <v>18331A05H6</v>
      </c>
      <c r="C327" s="78" t="str">
        <f ca="1">IFERROR(__xludf.DUMMYFUNCTION("""COMPUTED_VALUE"""),"nptel")</f>
        <v>nptel</v>
      </c>
      <c r="D327" s="9" t="str">
        <f ca="1">IFERROR(__xludf.DUMMYFUNCTION("""COMPUTED_VALUE"""),"programming")</f>
        <v>programming</v>
      </c>
      <c r="E327" s="9" t="str">
        <f ca="1">IFERROR(__xludf.DUMMYFUNCTION("""COMPUTED_VALUE"""),"13 weeks")</f>
        <v>13 weeks</v>
      </c>
      <c r="F327" s="79">
        <f ca="1">IFERROR(__xludf.DUMMYFUNCTION("""COMPUTED_VALUE"""),44242)</f>
        <v>44242</v>
      </c>
      <c r="G327" s="79">
        <f ca="1">IFERROR(__xludf.DUMMYFUNCTION("""COMPUTED_VALUE"""),44322)</f>
        <v>44322</v>
      </c>
      <c r="H327" s="72">
        <f ca="1">IFERROR(__xludf.DUMMYFUNCTION("""COMPUTED_VALUE"""),44354)</f>
        <v>44354</v>
      </c>
      <c r="I327" s="80">
        <f ca="1">IFERROR(__xludf.DUMMYFUNCTION("""COMPUTED_VALUE"""),43)</f>
        <v>43</v>
      </c>
      <c r="J327" s="9" t="str">
        <f ca="1">IFERROR(__xludf.DUMMYFUNCTION("""COMPUTED_VALUE"""),"hod")</f>
        <v>hod</v>
      </c>
      <c r="K327" s="73" t="str">
        <f ca="1">IFERROR(__xludf.DUMMYFUNCTION("""COMPUTED_VALUE"""),"https://drive.google.com/open?id=1j1LJB0cHO3-M56_bgxFu7Uv7ZXpyg8IL")</f>
        <v>https://drive.google.com/open?id=1j1LJB0cHO3-M56_bgxFu7Uv7ZXpyg8IL</v>
      </c>
      <c r="L327" s="9" t="str">
        <f ca="1">IFERROR(__xludf.DUMMYFUNCTION("""COMPUTED_VALUE"""),"2018-2022")</f>
        <v>2018-2022</v>
      </c>
      <c r="M327" s="9" t="str">
        <f ca="1">IFERROR(__xludf.DUMMYFUNCTION("""COMPUTED_VALUE"""),"S4: Student Certifications")</f>
        <v>S4: Student Certifications</v>
      </c>
      <c r="N327" s="9" t="str">
        <f ca="1">IFERROR(__xludf.DUMMYFUNCTION("""COMPUTED_VALUE"""),"haneefleo10@gmail.com")</f>
        <v>haneefleo10@gmail.com</v>
      </c>
      <c r="O327" s="9" t="str">
        <f ca="1">IFERROR(__xludf.DUMMYFUNCTION("""COMPUTED_VALUE"""),"SEM-8")</f>
        <v>SEM-8</v>
      </c>
      <c r="P327" s="9"/>
      <c r="Q327" s="9"/>
      <c r="R327" s="9"/>
      <c r="S327" s="9"/>
      <c r="T327" s="9"/>
      <c r="U327" s="9"/>
      <c r="V327" s="9"/>
      <c r="W327" s="9"/>
      <c r="X327" s="9"/>
      <c r="Y327" s="9"/>
    </row>
    <row r="328" spans="1:25" ht="26.25" customHeight="1" x14ac:dyDescent="0.15">
      <c r="A328" s="9" t="str">
        <f ca="1">IFERROR(__xludf.DUMMYFUNCTION("""COMPUTED_VALUE"""),"mohammad riyazul haneef sharief")</f>
        <v>mohammad riyazul haneef sharief</v>
      </c>
      <c r="B328" s="9" t="str">
        <f ca="1">IFERROR(__xludf.DUMMYFUNCTION("""COMPUTED_VALUE"""),"18331A05H6")</f>
        <v>18331A05H6</v>
      </c>
      <c r="C328" s="78" t="str">
        <f ca="1">IFERROR(__xludf.DUMMYFUNCTION("""COMPUTED_VALUE"""),"redhat")</f>
        <v>redhat</v>
      </c>
      <c r="D328" s="9" t="str">
        <f ca="1">IFERROR(__xludf.DUMMYFUNCTION("""COMPUTED_VALUE"""),"networking")</f>
        <v>networking</v>
      </c>
      <c r="E328" s="9" t="str">
        <f ca="1">IFERROR(__xludf.DUMMYFUNCTION("""COMPUTED_VALUE"""),"15 days")</f>
        <v>15 days</v>
      </c>
      <c r="F328" s="79">
        <f ca="1">IFERROR(__xludf.DUMMYFUNCTION("""COMPUTED_VALUE"""),44632)</f>
        <v>44632</v>
      </c>
      <c r="G328" s="79">
        <f ca="1">IFERROR(__xludf.DUMMYFUNCTION("""COMPUTED_VALUE"""),44653)</f>
        <v>44653</v>
      </c>
      <c r="H328" s="72">
        <f ca="1">IFERROR(__xludf.DUMMYFUNCTION("""COMPUTED_VALUE"""),44654)</f>
        <v>44654</v>
      </c>
      <c r="I328" s="80">
        <f ca="1">IFERROR(__xludf.DUMMYFUNCTION("""COMPUTED_VALUE"""),100)</f>
        <v>100</v>
      </c>
      <c r="J328" s="9" t="str">
        <f ca="1">IFERROR(__xludf.DUMMYFUNCTION("""COMPUTED_VALUE"""),"hod")</f>
        <v>hod</v>
      </c>
      <c r="K328" s="73" t="str">
        <f ca="1">IFERROR(__xludf.DUMMYFUNCTION("""COMPUTED_VALUE"""),"https://drive.google.com/open?id=1DX0D2SIWhzLk7FMpUnFIMNLM8oPjm0_4")</f>
        <v>https://drive.google.com/open?id=1DX0D2SIWhzLk7FMpUnFIMNLM8oPjm0_4</v>
      </c>
      <c r="L328" s="9" t="str">
        <f ca="1">IFERROR(__xludf.DUMMYFUNCTION("""COMPUTED_VALUE"""),"2018-2022")</f>
        <v>2018-2022</v>
      </c>
      <c r="M328" s="9" t="str">
        <f ca="1">IFERROR(__xludf.DUMMYFUNCTION("""COMPUTED_VALUE"""),"S4: Student Certifications")</f>
        <v>S4: Student Certifications</v>
      </c>
      <c r="N328" s="9" t="str">
        <f ca="1">IFERROR(__xludf.DUMMYFUNCTION("""COMPUTED_VALUE"""),"haneefleo10@gmail.com")</f>
        <v>haneefleo10@gmail.com</v>
      </c>
      <c r="O328" s="9" t="str">
        <f ca="1">IFERROR(__xludf.DUMMYFUNCTION("""COMPUTED_VALUE"""),"SEM-8")</f>
        <v>SEM-8</v>
      </c>
      <c r="P328" s="9"/>
      <c r="Q328" s="9"/>
      <c r="R328" s="9"/>
      <c r="S328" s="9"/>
      <c r="T328" s="9"/>
      <c r="U328" s="9"/>
      <c r="V328" s="9"/>
      <c r="W328" s="9"/>
      <c r="X328" s="9"/>
      <c r="Y328" s="9"/>
    </row>
    <row r="329" spans="1:25" ht="26.25" customHeight="1" x14ac:dyDescent="0.15">
      <c r="A329" s="9" t="str">
        <f ca="1">IFERROR(__xludf.DUMMYFUNCTION("""COMPUTED_VALUE"""),"mohammad riyazul haneef sharief")</f>
        <v>mohammad riyazul haneef sharief</v>
      </c>
      <c r="B329" s="9" t="str">
        <f ca="1">IFERROR(__xludf.DUMMYFUNCTION("""COMPUTED_VALUE"""),"18331A05H6")</f>
        <v>18331A05H6</v>
      </c>
      <c r="C329" s="78" t="str">
        <f ca="1">IFERROR(__xludf.DUMMYFUNCTION("""COMPUTED_VALUE"""),"WAC")</f>
        <v>WAC</v>
      </c>
      <c r="D329" s="9" t="str">
        <f ca="1">IFERROR(__xludf.DUMMYFUNCTION("""COMPUTED_VALUE"""),"kyrion")</f>
        <v>kyrion</v>
      </c>
      <c r="E329" s="9" t="str">
        <f ca="1">IFERROR(__xludf.DUMMYFUNCTION("""COMPUTED_VALUE"""),"2 days")</f>
        <v>2 days</v>
      </c>
      <c r="F329" s="79">
        <f ca="1">IFERROR(__xludf.DUMMYFUNCTION("""COMPUTED_VALUE"""),43633)</f>
        <v>43633</v>
      </c>
      <c r="G329" s="79">
        <f ca="1">IFERROR(__xludf.DUMMYFUNCTION("""COMPUTED_VALUE"""),43634)</f>
        <v>43634</v>
      </c>
      <c r="H329" s="72">
        <f ca="1">IFERROR(__xludf.DUMMYFUNCTION("""COMPUTED_VALUE"""),43634)</f>
        <v>43634</v>
      </c>
      <c r="I329" s="80">
        <f ca="1">IFERROR(__xludf.DUMMYFUNCTION("""COMPUTED_VALUE"""),90)</f>
        <v>90</v>
      </c>
      <c r="J329" s="9" t="str">
        <f ca="1">IFERROR(__xludf.DUMMYFUNCTION("""COMPUTED_VALUE"""),"hod")</f>
        <v>hod</v>
      </c>
      <c r="K329" s="73" t="str">
        <f ca="1">IFERROR(__xludf.DUMMYFUNCTION("""COMPUTED_VALUE"""),"https://drive.google.com/open?id=1yoWewoCcYE_mAq1cw9T2GlSjw8VorDod")</f>
        <v>https://drive.google.com/open?id=1yoWewoCcYE_mAq1cw9T2GlSjw8VorDod</v>
      </c>
      <c r="L329" s="9" t="str">
        <f ca="1">IFERROR(__xludf.DUMMYFUNCTION("""COMPUTED_VALUE"""),"2018-2022")</f>
        <v>2018-2022</v>
      </c>
      <c r="M329" s="9" t="str">
        <f ca="1">IFERROR(__xludf.DUMMYFUNCTION("""COMPUTED_VALUE"""),"S4: Student Certifications")</f>
        <v>S4: Student Certifications</v>
      </c>
      <c r="N329" s="9" t="str">
        <f ca="1">IFERROR(__xludf.DUMMYFUNCTION("""COMPUTED_VALUE"""),"haneefleo10@gmail.com")</f>
        <v>haneefleo10@gmail.com</v>
      </c>
      <c r="O329" s="9" t="str">
        <f ca="1">IFERROR(__xludf.DUMMYFUNCTION("""COMPUTED_VALUE"""),"SEM-8")</f>
        <v>SEM-8</v>
      </c>
      <c r="P329" s="9"/>
      <c r="Q329" s="9"/>
      <c r="R329" s="9"/>
      <c r="S329" s="9"/>
      <c r="T329" s="9"/>
      <c r="U329" s="9"/>
      <c r="V329" s="9"/>
      <c r="W329" s="9"/>
      <c r="X329" s="9"/>
      <c r="Y329" s="9"/>
    </row>
    <row r="330" spans="1:25" ht="26.25" customHeight="1" x14ac:dyDescent="0.15">
      <c r="A330" s="9" t="str">
        <f ca="1">IFERROR(__xludf.DUMMYFUNCTION("""COMPUTED_VALUE"""),"mohammad riyazul haneef sharief")</f>
        <v>mohammad riyazul haneef sharief</v>
      </c>
      <c r="B330" s="9" t="str">
        <f ca="1">IFERROR(__xludf.DUMMYFUNCTION("""COMPUTED_VALUE"""),"18331A05H6")</f>
        <v>18331A05H6</v>
      </c>
      <c r="C330" s="78" t="str">
        <f ca="1">IFERROR(__xludf.DUMMYFUNCTION("""COMPUTED_VALUE"""),"udemy")</f>
        <v>udemy</v>
      </c>
      <c r="D330" s="9" t="str">
        <f ca="1">IFERROR(__xludf.DUMMYFUNCTION("""COMPUTED_VALUE"""),"html and css")</f>
        <v>html and css</v>
      </c>
      <c r="E330" s="9" t="str">
        <f ca="1">IFERROR(__xludf.DUMMYFUNCTION("""COMPUTED_VALUE"""),"4")</f>
        <v>4</v>
      </c>
      <c r="F330" s="79">
        <f ca="1">IFERROR(__xludf.DUMMYFUNCTION("""COMPUTED_VALUE"""),44659)</f>
        <v>44659</v>
      </c>
      <c r="G330" s="79">
        <f ca="1">IFERROR(__xludf.DUMMYFUNCTION("""COMPUTED_VALUE"""),44659)</f>
        <v>44659</v>
      </c>
      <c r="H330" s="72">
        <f ca="1">IFERROR(__xludf.DUMMYFUNCTION("""COMPUTED_VALUE"""),44659)</f>
        <v>44659</v>
      </c>
      <c r="I330" s="80">
        <f ca="1">IFERROR(__xludf.DUMMYFUNCTION("""COMPUTED_VALUE"""),86)</f>
        <v>86</v>
      </c>
      <c r="J330" s="9" t="str">
        <f ca="1">IFERROR(__xludf.DUMMYFUNCTION("""COMPUTED_VALUE"""),"hod")</f>
        <v>hod</v>
      </c>
      <c r="K330" s="73" t="str">
        <f ca="1">IFERROR(__xludf.DUMMYFUNCTION("""COMPUTED_VALUE"""),"https://drive.google.com/open?id=1nco6whHmoSoug69oD_HlGJml4LsO4Mtu")</f>
        <v>https://drive.google.com/open?id=1nco6whHmoSoug69oD_HlGJml4LsO4Mtu</v>
      </c>
      <c r="L330" s="9" t="str">
        <f ca="1">IFERROR(__xludf.DUMMYFUNCTION("""COMPUTED_VALUE"""),"2018-2022")</f>
        <v>2018-2022</v>
      </c>
      <c r="M330" s="9" t="str">
        <f ca="1">IFERROR(__xludf.DUMMYFUNCTION("""COMPUTED_VALUE"""),"S4: Student Certifications")</f>
        <v>S4: Student Certifications</v>
      </c>
      <c r="N330" s="9" t="str">
        <f ca="1">IFERROR(__xludf.DUMMYFUNCTION("""COMPUTED_VALUE"""),"haneefleo10@gmail.com")</f>
        <v>haneefleo10@gmail.com</v>
      </c>
      <c r="O330" s="9" t="str">
        <f ca="1">IFERROR(__xludf.DUMMYFUNCTION("""COMPUTED_VALUE"""),"SEM-8")</f>
        <v>SEM-8</v>
      </c>
      <c r="P330" s="9"/>
      <c r="Q330" s="9"/>
      <c r="R330" s="9"/>
      <c r="S330" s="9"/>
      <c r="T330" s="9"/>
      <c r="U330" s="9"/>
      <c r="V330" s="9"/>
      <c r="W330" s="9"/>
      <c r="X330" s="9"/>
      <c r="Y330" s="9"/>
    </row>
    <row r="331" spans="1:25" ht="26.25" customHeight="1" x14ac:dyDescent="0.15">
      <c r="A331" s="9" t="str">
        <f ca="1">IFERROR(__xludf.DUMMYFUNCTION("""COMPUTED_VALUE"""),"SOWMYA SHREE KALIDINDI")</f>
        <v>SOWMYA SHREE KALIDINDI</v>
      </c>
      <c r="B331" s="9" t="str">
        <f ca="1">IFERROR(__xludf.DUMMYFUNCTION("""COMPUTED_VALUE"""),"18331A0562")</f>
        <v>18331A0562</v>
      </c>
      <c r="C331" s="78" t="str">
        <f ca="1">IFERROR(__xludf.DUMMYFUNCTION("""COMPUTED_VALUE"""),"Red Hat system Administration")</f>
        <v>Red Hat system Administration</v>
      </c>
      <c r="D331" s="9" t="str">
        <f ca="1">IFERROR(__xludf.DUMMYFUNCTION("""COMPUTED_VALUE"""),"Red Hat ACADEMY")</f>
        <v>Red Hat ACADEMY</v>
      </c>
      <c r="E331" s="9" t="str">
        <f ca="1">IFERROR(__xludf.DUMMYFUNCTION("""COMPUTED_VALUE"""),"1")</f>
        <v>1</v>
      </c>
      <c r="F331" s="79">
        <f ca="1">IFERROR(__xludf.DUMMYFUNCTION("""COMPUTED_VALUE"""),44644)</f>
        <v>44644</v>
      </c>
      <c r="G331" s="79">
        <f ca="1">IFERROR(__xludf.DUMMYFUNCTION("""COMPUTED_VALUE"""),44681)</f>
        <v>44681</v>
      </c>
      <c r="H331" s="72">
        <f ca="1">IFERROR(__xludf.DUMMYFUNCTION("""COMPUTED_VALUE"""),44658)</f>
        <v>44658</v>
      </c>
      <c r="I331" s="80">
        <f ca="1">IFERROR(__xludf.DUMMYFUNCTION("""COMPUTED_VALUE"""),100)</f>
        <v>100</v>
      </c>
      <c r="J331" s="9" t="str">
        <f ca="1">IFERROR(__xludf.DUMMYFUNCTION("""COMPUTED_VALUE"""),"k v Subba Raju ")</f>
        <v xml:space="preserve">k v Subba Raju </v>
      </c>
      <c r="K331" s="73" t="str">
        <f ca="1">IFERROR(__xludf.DUMMYFUNCTION("""COMPUTED_VALUE"""),"https://drive.google.com/open?id=1Fx3MGZMylb2KB4VQ8-8ri0r51KfCvmQ4")</f>
        <v>https://drive.google.com/open?id=1Fx3MGZMylb2KB4VQ8-8ri0r51KfCvmQ4</v>
      </c>
      <c r="L331" s="9" t="str">
        <f ca="1">IFERROR(__xludf.DUMMYFUNCTION("""COMPUTED_VALUE"""),"2018-2022")</f>
        <v>2018-2022</v>
      </c>
      <c r="M331" s="9" t="str">
        <f ca="1">IFERROR(__xludf.DUMMYFUNCTION("""COMPUTED_VALUE"""),"S4: Student Certifications")</f>
        <v>S4: Student Certifications</v>
      </c>
      <c r="N331" s="9" t="str">
        <f ca="1">IFERROR(__xludf.DUMMYFUNCTION("""COMPUTED_VALUE"""),"sowmyakalidindi.01@gmail.com")</f>
        <v>sowmyakalidindi.01@gmail.com</v>
      </c>
      <c r="O331" s="9" t="str">
        <f ca="1">IFERROR(__xludf.DUMMYFUNCTION("""COMPUTED_VALUE"""),"SEM-8")</f>
        <v>SEM-8</v>
      </c>
      <c r="P331" s="9"/>
      <c r="Q331" s="9"/>
      <c r="R331" s="9"/>
      <c r="S331" s="9"/>
      <c r="T331" s="9"/>
      <c r="U331" s="9"/>
      <c r="V331" s="9"/>
      <c r="W331" s="9"/>
      <c r="X331" s="9"/>
      <c r="Y331" s="9"/>
    </row>
    <row r="332" spans="1:25" ht="26.25" customHeight="1" x14ac:dyDescent="0.15">
      <c r="A332" s="9" t="str">
        <f ca="1">IFERROR(__xludf.DUMMYFUNCTION("""COMPUTED_VALUE""")," Mallavarapu Tejaswi")</f>
        <v xml:space="preserve"> Mallavarapu Tejaswi</v>
      </c>
      <c r="B332" s="9" t="str">
        <f ca="1">IFERROR(__xludf.DUMMYFUNCTION("""COMPUTED_VALUE"""),"18331A0591")</f>
        <v>18331A0591</v>
      </c>
      <c r="C332" s="78" t="str">
        <f ca="1">IFERROR(__xludf.DUMMYFUNCTION("""COMPUTED_VALUE"""),"Red Hat System Administration")</f>
        <v>Red Hat System Administration</v>
      </c>
      <c r="D332" s="9" t="str">
        <f ca="1">IFERROR(__xludf.DUMMYFUNCTION("""COMPUTED_VALUE"""),"Red Hat Academy")</f>
        <v>Red Hat Academy</v>
      </c>
      <c r="E332" s="9" t="str">
        <f ca="1">IFERROR(__xludf.DUMMYFUNCTION("""COMPUTED_VALUE"""),"1month")</f>
        <v>1month</v>
      </c>
      <c r="F332" s="79">
        <f ca="1">IFERROR(__xludf.DUMMYFUNCTION("""COMPUTED_VALUE"""),44644)</f>
        <v>44644</v>
      </c>
      <c r="G332" s="79">
        <f ca="1">IFERROR(__xludf.DUMMYFUNCTION("""COMPUTED_VALUE"""),44681)</f>
        <v>44681</v>
      </c>
      <c r="H332" s="72">
        <f ca="1">IFERROR(__xludf.DUMMYFUNCTION("""COMPUTED_VALUE"""),44658)</f>
        <v>44658</v>
      </c>
      <c r="I332" s="80">
        <f ca="1">IFERROR(__xludf.DUMMYFUNCTION("""COMPUTED_VALUE"""),100)</f>
        <v>100</v>
      </c>
      <c r="J332" s="9" t="str">
        <f ca="1">IFERROR(__xludf.DUMMYFUNCTION("""COMPUTED_VALUE"""),"K.Subbaraju ")</f>
        <v xml:space="preserve">K.Subbaraju </v>
      </c>
      <c r="K332" s="73" t="str">
        <f ca="1">IFERROR(__xludf.DUMMYFUNCTION("""COMPUTED_VALUE"""),"https://drive.google.com/open?id=1Hus_hZaH_wddVaJby0dqKYREGOtrx7re")</f>
        <v>https://drive.google.com/open?id=1Hus_hZaH_wddVaJby0dqKYREGOtrx7re</v>
      </c>
      <c r="L332" s="9" t="str">
        <f ca="1">IFERROR(__xludf.DUMMYFUNCTION("""COMPUTED_VALUE"""),"2018-2022")</f>
        <v>2018-2022</v>
      </c>
      <c r="M332" s="9" t="str">
        <f ca="1">IFERROR(__xludf.DUMMYFUNCTION("""COMPUTED_VALUE"""),"S4: Student Certifications")</f>
        <v>S4: Student Certifications</v>
      </c>
      <c r="N332" s="9" t="str">
        <f ca="1">IFERROR(__xludf.DUMMYFUNCTION("""COMPUTED_VALUE"""),"Mallavarapu.tejaswi@gmail.com")</f>
        <v>Mallavarapu.tejaswi@gmail.com</v>
      </c>
      <c r="O332" s="9" t="str">
        <f ca="1">IFERROR(__xludf.DUMMYFUNCTION("""COMPUTED_VALUE"""),"SEM-8")</f>
        <v>SEM-8</v>
      </c>
      <c r="P332" s="9"/>
      <c r="Q332" s="9"/>
      <c r="R332" s="9"/>
      <c r="S332" s="9"/>
      <c r="T332" s="9"/>
      <c r="U332" s="9"/>
      <c r="V332" s="9"/>
      <c r="W332" s="9"/>
      <c r="X332" s="9"/>
      <c r="Y332" s="9"/>
    </row>
    <row r="333" spans="1:25" ht="26.25" customHeight="1" x14ac:dyDescent="0.15">
      <c r="A333" s="9" t="str">
        <f ca="1">IFERROR(__xludf.DUMMYFUNCTION("""COMPUTED_VALUE"""),"mohammad riyazul haneef sharief")</f>
        <v>mohammad riyazul haneef sharief</v>
      </c>
      <c r="B333" s="9" t="str">
        <f ca="1">IFERROR(__xludf.DUMMYFUNCTION("""COMPUTED_VALUE"""),"18331A05H6")</f>
        <v>18331A05H6</v>
      </c>
      <c r="C333" s="78" t="str">
        <f ca="1">IFERROR(__xludf.DUMMYFUNCTION("""COMPUTED_VALUE"""),"udemy")</f>
        <v>udemy</v>
      </c>
      <c r="D333" s="9" t="str">
        <f ca="1">IFERROR(__xludf.DUMMYFUNCTION("""COMPUTED_VALUE"""),"Introduction to Quantum Computing")</f>
        <v>Introduction to Quantum Computing</v>
      </c>
      <c r="E333" s="9" t="str">
        <f ca="1">IFERROR(__xludf.DUMMYFUNCTION("""COMPUTED_VALUE"""),"2")</f>
        <v>2</v>
      </c>
      <c r="F333" s="79">
        <f ca="1">IFERROR(__xludf.DUMMYFUNCTION("""COMPUTED_VALUE"""),44659)</f>
        <v>44659</v>
      </c>
      <c r="G333" s="79">
        <f ca="1">IFERROR(__xludf.DUMMYFUNCTION("""COMPUTED_VALUE"""),44659)</f>
        <v>44659</v>
      </c>
      <c r="H333" s="72">
        <f ca="1">IFERROR(__xludf.DUMMYFUNCTION("""COMPUTED_VALUE"""),44659)</f>
        <v>44659</v>
      </c>
      <c r="I333" s="80">
        <f ca="1">IFERROR(__xludf.DUMMYFUNCTION("""COMPUTED_VALUE"""),87)</f>
        <v>87</v>
      </c>
      <c r="J333" s="9" t="str">
        <f ca="1">IFERROR(__xludf.DUMMYFUNCTION("""COMPUTED_VALUE"""),"hod")</f>
        <v>hod</v>
      </c>
      <c r="K333" s="73" t="str">
        <f ca="1">IFERROR(__xludf.DUMMYFUNCTION("""COMPUTED_VALUE"""),"https://drive.google.com/open?id=1Om5mTkeCm46j56W_vD94EOFJ_nV1AU5X")</f>
        <v>https://drive.google.com/open?id=1Om5mTkeCm46j56W_vD94EOFJ_nV1AU5X</v>
      </c>
      <c r="L333" s="9" t="str">
        <f ca="1">IFERROR(__xludf.DUMMYFUNCTION("""COMPUTED_VALUE"""),"2018-2022")</f>
        <v>2018-2022</v>
      </c>
      <c r="M333" s="9" t="str">
        <f ca="1">IFERROR(__xludf.DUMMYFUNCTION("""COMPUTED_VALUE"""),"S4: Student Certifications")</f>
        <v>S4: Student Certifications</v>
      </c>
      <c r="N333" s="9" t="str">
        <f ca="1">IFERROR(__xludf.DUMMYFUNCTION("""COMPUTED_VALUE"""),"haneefleo10@gmail.com")</f>
        <v>haneefleo10@gmail.com</v>
      </c>
      <c r="O333" s="9" t="str">
        <f ca="1">IFERROR(__xludf.DUMMYFUNCTION("""COMPUTED_VALUE"""),"SEM-8")</f>
        <v>SEM-8</v>
      </c>
      <c r="P333" s="9"/>
      <c r="Q333" s="9"/>
      <c r="R333" s="9"/>
      <c r="S333" s="9"/>
      <c r="T333" s="9"/>
      <c r="U333" s="9"/>
      <c r="V333" s="9"/>
      <c r="W333" s="9"/>
      <c r="X333" s="9"/>
      <c r="Y333" s="9"/>
    </row>
    <row r="334" spans="1:25" ht="26.25" customHeight="1" x14ac:dyDescent="0.15">
      <c r="A334" s="9" t="str">
        <f ca="1">IFERROR(__xludf.DUMMYFUNCTION("""COMPUTED_VALUE"""),"mohammad riyazul haneef sharief")</f>
        <v>mohammad riyazul haneef sharief</v>
      </c>
      <c r="B334" s="9" t="str">
        <f ca="1">IFERROR(__xludf.DUMMYFUNCTION("""COMPUTED_VALUE"""),"18331A05H6")</f>
        <v>18331A05H6</v>
      </c>
      <c r="C334" s="78" t="str">
        <f ca="1">IFERROR(__xludf.DUMMYFUNCTION("""COMPUTED_VALUE"""),"l4g")</f>
        <v>l4g</v>
      </c>
      <c r="D334" s="9" t="str">
        <f ca="1">IFERROR(__xludf.DUMMYFUNCTION("""COMPUTED_VALUE"""),"coursera International Cyber Conflicts")</f>
        <v>coursera International Cyber Conflicts</v>
      </c>
      <c r="E334" s="9" t="str">
        <f ca="1">IFERROR(__xludf.DUMMYFUNCTION("""COMPUTED_VALUE"""),"5")</f>
        <v>5</v>
      </c>
      <c r="F334" s="79">
        <f ca="1">IFERROR(__xludf.DUMMYFUNCTION("""COMPUTED_VALUE"""),43865)</f>
        <v>43865</v>
      </c>
      <c r="G334" s="79">
        <f ca="1">IFERROR(__xludf.DUMMYFUNCTION("""COMPUTED_VALUE"""),43865)</f>
        <v>43865</v>
      </c>
      <c r="H334" s="72">
        <f ca="1">IFERROR(__xludf.DUMMYFUNCTION("""COMPUTED_VALUE"""),43895)</f>
        <v>43895</v>
      </c>
      <c r="I334" s="80">
        <f ca="1">IFERROR(__xludf.DUMMYFUNCTION("""COMPUTED_VALUE"""),90)</f>
        <v>90</v>
      </c>
      <c r="J334" s="9" t="str">
        <f ca="1">IFERROR(__xludf.DUMMYFUNCTION("""COMPUTED_VALUE"""),"hod")</f>
        <v>hod</v>
      </c>
      <c r="K334" s="73" t="str">
        <f ca="1">IFERROR(__xludf.DUMMYFUNCTION("""COMPUTED_VALUE"""),"https://drive.google.com/open?id=1oWasJFEXhwahVIPRB8q_8btbTW7ApZkQ")</f>
        <v>https://drive.google.com/open?id=1oWasJFEXhwahVIPRB8q_8btbTW7ApZkQ</v>
      </c>
      <c r="L334" s="9" t="str">
        <f ca="1">IFERROR(__xludf.DUMMYFUNCTION("""COMPUTED_VALUE"""),"2018-2022")</f>
        <v>2018-2022</v>
      </c>
      <c r="M334" s="9" t="str">
        <f ca="1">IFERROR(__xludf.DUMMYFUNCTION("""COMPUTED_VALUE"""),"S4: Student Certifications")</f>
        <v>S4: Student Certifications</v>
      </c>
      <c r="N334" s="9" t="str">
        <f ca="1">IFERROR(__xludf.DUMMYFUNCTION("""COMPUTED_VALUE"""),"haneefleo10@gmail.com")</f>
        <v>haneefleo10@gmail.com</v>
      </c>
      <c r="O334" s="9" t="str">
        <f ca="1">IFERROR(__xludf.DUMMYFUNCTION("""COMPUTED_VALUE"""),"SEM-8")</f>
        <v>SEM-8</v>
      </c>
      <c r="P334" s="9"/>
      <c r="Q334" s="9"/>
      <c r="R334" s="9"/>
      <c r="S334" s="9"/>
      <c r="T334" s="9"/>
      <c r="U334" s="9"/>
      <c r="V334" s="9"/>
      <c r="W334" s="9"/>
      <c r="X334" s="9"/>
      <c r="Y334" s="9"/>
    </row>
    <row r="335" spans="1:25" ht="26.25" customHeight="1" x14ac:dyDescent="0.15">
      <c r="A335" s="9" t="str">
        <f ca="1">IFERROR(__xludf.DUMMYFUNCTION("""COMPUTED_VALUE"""),"mohammad riyazul haneef sharief")</f>
        <v>mohammad riyazul haneef sharief</v>
      </c>
      <c r="B335" s="9" t="str">
        <f ca="1">IFERROR(__xludf.DUMMYFUNCTION("""COMPUTED_VALUE"""),"18331A05H6")</f>
        <v>18331A05H6</v>
      </c>
      <c r="C335" s="78" t="str">
        <f ca="1">IFERROR(__xludf.DUMMYFUNCTION("""COMPUTED_VALUE"""),"LG4")</f>
        <v>LG4</v>
      </c>
      <c r="D335" s="9" t="str">
        <f ca="1">IFERROR(__xludf.DUMMYFUNCTION("""COMPUTED_VALUE"""),"AI For Everyone")</f>
        <v>AI For Everyone</v>
      </c>
      <c r="E335" s="9" t="str">
        <f ca="1">IFERROR(__xludf.DUMMYFUNCTION("""COMPUTED_VALUE"""),"16")</f>
        <v>16</v>
      </c>
      <c r="F335" s="79">
        <f ca="1">IFERROR(__xludf.DUMMYFUNCTION("""COMPUTED_VALUE"""),43905)</f>
        <v>43905</v>
      </c>
      <c r="G335" s="79">
        <f ca="1">IFERROR(__xludf.DUMMYFUNCTION("""COMPUTED_VALUE"""),43920)</f>
        <v>43920</v>
      </c>
      <c r="H335" s="72">
        <f ca="1">IFERROR(__xludf.DUMMYFUNCTION("""COMPUTED_VALUE"""),43920)</f>
        <v>43920</v>
      </c>
      <c r="I335" s="80">
        <f ca="1">IFERROR(__xludf.DUMMYFUNCTION("""COMPUTED_VALUE"""),86)</f>
        <v>86</v>
      </c>
      <c r="J335" s="9" t="str">
        <f ca="1">IFERROR(__xludf.DUMMYFUNCTION("""COMPUTED_VALUE"""),"HOD")</f>
        <v>HOD</v>
      </c>
      <c r="K335" s="73" t="str">
        <f ca="1">IFERROR(__xludf.DUMMYFUNCTION("""COMPUTED_VALUE"""),"https://drive.google.com/open?id=1xt5LEu5bBb-4_0oISAlYRhZxRlhgQLfX")</f>
        <v>https://drive.google.com/open?id=1xt5LEu5bBb-4_0oISAlYRhZxRlhgQLfX</v>
      </c>
      <c r="L335" s="9" t="str">
        <f ca="1">IFERROR(__xludf.DUMMYFUNCTION("""COMPUTED_VALUE"""),"2018-2022")</f>
        <v>2018-2022</v>
      </c>
      <c r="M335" s="9" t="str">
        <f ca="1">IFERROR(__xludf.DUMMYFUNCTION("""COMPUTED_VALUE"""),"S4: Student Certifications")</f>
        <v>S4: Student Certifications</v>
      </c>
      <c r="N335" s="9" t="str">
        <f ca="1">IFERROR(__xludf.DUMMYFUNCTION("""COMPUTED_VALUE"""),"haneefleo10@gmail.com")</f>
        <v>haneefleo10@gmail.com</v>
      </c>
      <c r="O335" s="9" t="str">
        <f ca="1">IFERROR(__xludf.DUMMYFUNCTION("""COMPUTED_VALUE"""),"SEM-8")</f>
        <v>SEM-8</v>
      </c>
      <c r="P335" s="9"/>
      <c r="Q335" s="9"/>
      <c r="R335" s="9"/>
      <c r="S335" s="9"/>
      <c r="T335" s="9"/>
      <c r="U335" s="9"/>
      <c r="V335" s="9"/>
      <c r="W335" s="9"/>
      <c r="X335" s="9"/>
      <c r="Y335" s="9"/>
    </row>
    <row r="336" spans="1:25" ht="26.25" customHeight="1" x14ac:dyDescent="0.15">
      <c r="A336" s="9" t="str">
        <f ca="1">IFERROR(__xludf.DUMMYFUNCTION("""COMPUTED_VALUE"""),"mohammad riyazul haneef sharief")</f>
        <v>mohammad riyazul haneef sharief</v>
      </c>
      <c r="B336" s="9" t="str">
        <f ca="1">IFERROR(__xludf.DUMMYFUNCTION("""COMPUTED_VALUE"""),"18331A05H6")</f>
        <v>18331A05H6</v>
      </c>
      <c r="C336" s="78" t="str">
        <f ca="1">IFERROR(__xludf.DUMMYFUNCTION("""COMPUTED_VALUE"""),"L4G")</f>
        <v>L4G</v>
      </c>
      <c r="D336" s="9" t="str">
        <f ca="1">IFERROR(__xludf.DUMMYFUNCTION("""COMPUTED_VALUE"""),"Internet of Things: Communication Technologies")</f>
        <v>Internet of Things: Communication Technologies</v>
      </c>
      <c r="E336" s="9" t="str">
        <f ca="1">IFERROR(__xludf.DUMMYFUNCTION("""COMPUTED_VALUE"""),"15")</f>
        <v>15</v>
      </c>
      <c r="F336" s="79">
        <f ca="1">IFERROR(__xludf.DUMMYFUNCTION("""COMPUTED_VALUE"""),43925)</f>
        <v>43925</v>
      </c>
      <c r="G336" s="79">
        <f ca="1">IFERROR(__xludf.DUMMYFUNCTION("""COMPUTED_VALUE"""),43941)</f>
        <v>43941</v>
      </c>
      <c r="H336" s="72">
        <f ca="1">IFERROR(__xludf.DUMMYFUNCTION("""COMPUTED_VALUE"""),43942)</f>
        <v>43942</v>
      </c>
      <c r="I336" s="80">
        <f ca="1">IFERROR(__xludf.DUMMYFUNCTION("""COMPUTED_VALUE"""),86)</f>
        <v>86</v>
      </c>
      <c r="J336" s="9" t="str">
        <f ca="1">IFERROR(__xludf.DUMMYFUNCTION("""COMPUTED_VALUE"""),"HOD")</f>
        <v>HOD</v>
      </c>
      <c r="K336" s="73" t="str">
        <f ca="1">IFERROR(__xludf.DUMMYFUNCTION("""COMPUTED_VALUE"""),"https://drive.google.com/open?id=1RweKqsvzDX5niTTmixe4L1DXbfBCvLMk")</f>
        <v>https://drive.google.com/open?id=1RweKqsvzDX5niTTmixe4L1DXbfBCvLMk</v>
      </c>
      <c r="L336" s="9" t="str">
        <f ca="1">IFERROR(__xludf.DUMMYFUNCTION("""COMPUTED_VALUE"""),"2018-2022")</f>
        <v>2018-2022</v>
      </c>
      <c r="M336" s="9" t="str">
        <f ca="1">IFERROR(__xludf.DUMMYFUNCTION("""COMPUTED_VALUE"""),"S4: Student Certifications")</f>
        <v>S4: Student Certifications</v>
      </c>
      <c r="N336" s="9" t="str">
        <f ca="1">IFERROR(__xludf.DUMMYFUNCTION("""COMPUTED_VALUE"""),"haneefleo10@gmail.com")</f>
        <v>haneefleo10@gmail.com</v>
      </c>
      <c r="O336" s="9" t="str">
        <f ca="1">IFERROR(__xludf.DUMMYFUNCTION("""COMPUTED_VALUE"""),"SEM-8")</f>
        <v>SEM-8</v>
      </c>
      <c r="P336" s="9"/>
      <c r="Q336" s="9"/>
      <c r="R336" s="9"/>
      <c r="S336" s="9"/>
      <c r="T336" s="9"/>
      <c r="U336" s="9"/>
      <c r="V336" s="9"/>
      <c r="W336" s="9"/>
      <c r="X336" s="9"/>
      <c r="Y336" s="9"/>
    </row>
    <row r="337" spans="1:25" ht="26.25" customHeight="1" x14ac:dyDescent="0.15">
      <c r="A337" s="9" t="str">
        <f ca="1">IFERROR(__xludf.DUMMYFUNCTION("""COMPUTED_VALUE"""),"CHANDANA PITLA")</f>
        <v>CHANDANA PITLA</v>
      </c>
      <c r="B337" s="9" t="str">
        <f ca="1">IFERROR(__xludf.DUMMYFUNCTION("""COMPUTED_VALUE"""),"18331A05C1")</f>
        <v>18331A05C1</v>
      </c>
      <c r="C337" s="78" t="str">
        <f ca="1">IFERROR(__xludf.DUMMYFUNCTION("""COMPUTED_VALUE"""),"AI For Everyone")</f>
        <v>AI For Everyone</v>
      </c>
      <c r="D337" s="9" t="str">
        <f ca="1">IFERROR(__xludf.DUMMYFUNCTION("""COMPUTED_VALUE"""),"COURSERA")</f>
        <v>COURSERA</v>
      </c>
      <c r="E337" s="9" t="str">
        <f ca="1">IFERROR(__xludf.DUMMYFUNCTION("""COMPUTED_VALUE"""),"4 weeks")</f>
        <v>4 weeks</v>
      </c>
      <c r="F337" s="79">
        <f ca="1">IFERROR(__xludf.DUMMYFUNCTION("""COMPUTED_VALUE"""),43948)</f>
        <v>43948</v>
      </c>
      <c r="G337" s="79">
        <f ca="1">IFERROR(__xludf.DUMMYFUNCTION("""COMPUTED_VALUE"""),43950)</f>
        <v>43950</v>
      </c>
      <c r="H337" s="72">
        <f ca="1">IFERROR(__xludf.DUMMYFUNCTION("""COMPUTED_VALUE"""),43950)</f>
        <v>43950</v>
      </c>
      <c r="I337" s="80">
        <f ca="1">IFERROR(__xludf.DUMMYFUNCTION("""COMPUTED_VALUE"""),90)</f>
        <v>90</v>
      </c>
      <c r="J337" s="9" t="str">
        <f ca="1">IFERROR(__xludf.DUMMYFUNCTION("""COMPUTED_VALUE"""),"N/A")</f>
        <v>N/A</v>
      </c>
      <c r="K337" s="73" t="str">
        <f ca="1">IFERROR(__xludf.DUMMYFUNCTION("""COMPUTED_VALUE"""),"https://drive.google.com/open?id=1DS6ZBes_FtFimJEeFfznz8YwMYxneyMB")</f>
        <v>https://drive.google.com/open?id=1DS6ZBes_FtFimJEeFfznz8YwMYxneyMB</v>
      </c>
      <c r="L337" s="9" t="str">
        <f ca="1">IFERROR(__xludf.DUMMYFUNCTION("""COMPUTED_VALUE"""),"2018-2022")</f>
        <v>2018-2022</v>
      </c>
      <c r="M337" s="9" t="str">
        <f ca="1">IFERROR(__xludf.DUMMYFUNCTION("""COMPUTED_VALUE"""),"S4: Student Certifications")</f>
        <v>S4: Student Certifications</v>
      </c>
      <c r="N337" s="9" t="str">
        <f ca="1">IFERROR(__xludf.DUMMYFUNCTION("""COMPUTED_VALUE"""),"pitlachandana@gmail.com")</f>
        <v>pitlachandana@gmail.com</v>
      </c>
      <c r="O337" s="9" t="str">
        <f ca="1">IFERROR(__xludf.DUMMYFUNCTION("""COMPUTED_VALUE"""),"SEM-8")</f>
        <v>SEM-8</v>
      </c>
      <c r="P337" s="9"/>
      <c r="Q337" s="9"/>
      <c r="R337" s="9"/>
      <c r="S337" s="9"/>
      <c r="T337" s="9"/>
      <c r="U337" s="9"/>
      <c r="V337" s="9"/>
      <c r="W337" s="9"/>
      <c r="X337" s="9"/>
      <c r="Y337" s="9"/>
    </row>
    <row r="338" spans="1:25" ht="26.25" customHeight="1" x14ac:dyDescent="0.15">
      <c r="A338" s="9" t="str">
        <f ca="1">IFERROR(__xludf.DUMMYFUNCTION("""COMPUTED_VALUE"""),"mohammad riyazul haneef sharief")</f>
        <v>mohammad riyazul haneef sharief</v>
      </c>
      <c r="B338" s="9" t="str">
        <f ca="1">IFERROR(__xludf.DUMMYFUNCTION("""COMPUTED_VALUE"""),"18331A05H6")</f>
        <v>18331A05H6</v>
      </c>
      <c r="C338" s="78" t="str">
        <f ca="1">IFERROR(__xludf.DUMMYFUNCTION("""COMPUTED_VALUE"""),"L4G")</f>
        <v>L4G</v>
      </c>
      <c r="D338" s="9" t="str">
        <f ca="1">IFERROR(__xludf.DUMMYFUNCTION("""COMPUTED_VALUE"""),"Programming for Everybody (Getting Started with Python)")</f>
        <v>Programming for Everybody (Getting Started with Python)</v>
      </c>
      <c r="E338" s="9" t="str">
        <f ca="1">IFERROR(__xludf.DUMMYFUNCTION("""COMPUTED_VALUE"""),"15")</f>
        <v>15</v>
      </c>
      <c r="F338" s="79">
        <f ca="1">IFERROR(__xludf.DUMMYFUNCTION("""COMPUTED_VALUE"""),43955)</f>
        <v>43955</v>
      </c>
      <c r="G338" s="79">
        <f ca="1">IFERROR(__xludf.DUMMYFUNCTION("""COMPUTED_VALUE"""),43970)</f>
        <v>43970</v>
      </c>
      <c r="H338" s="72">
        <f ca="1">IFERROR(__xludf.DUMMYFUNCTION("""COMPUTED_VALUE"""),43971)</f>
        <v>43971</v>
      </c>
      <c r="I338" s="80">
        <f ca="1">IFERROR(__xludf.DUMMYFUNCTION("""COMPUTED_VALUE"""),94)</f>
        <v>94</v>
      </c>
      <c r="J338" s="9" t="str">
        <f ca="1">IFERROR(__xludf.DUMMYFUNCTION("""COMPUTED_VALUE"""),"HOD")</f>
        <v>HOD</v>
      </c>
      <c r="K338" s="73" t="str">
        <f ca="1">IFERROR(__xludf.DUMMYFUNCTION("""COMPUTED_VALUE"""),"https://drive.google.com/open?id=1rOpA9Qf3MkBT8yJhdUGsZiyuUl0f6ufw")</f>
        <v>https://drive.google.com/open?id=1rOpA9Qf3MkBT8yJhdUGsZiyuUl0f6ufw</v>
      </c>
      <c r="L338" s="9" t="str">
        <f ca="1">IFERROR(__xludf.DUMMYFUNCTION("""COMPUTED_VALUE"""),"2018-2022")</f>
        <v>2018-2022</v>
      </c>
      <c r="M338" s="9" t="str">
        <f ca="1">IFERROR(__xludf.DUMMYFUNCTION("""COMPUTED_VALUE"""),"S4: Student Certifications")</f>
        <v>S4: Student Certifications</v>
      </c>
      <c r="N338" s="9" t="str">
        <f ca="1">IFERROR(__xludf.DUMMYFUNCTION("""COMPUTED_VALUE"""),"haneefleo10@gmail.com")</f>
        <v>haneefleo10@gmail.com</v>
      </c>
      <c r="O338" s="9" t="str">
        <f ca="1">IFERROR(__xludf.DUMMYFUNCTION("""COMPUTED_VALUE"""),"SEM-8")</f>
        <v>SEM-8</v>
      </c>
      <c r="P338" s="9"/>
      <c r="Q338" s="9"/>
      <c r="R338" s="9"/>
      <c r="S338" s="9"/>
      <c r="T338" s="9"/>
      <c r="U338" s="9"/>
      <c r="V338" s="9"/>
      <c r="W338" s="9"/>
      <c r="X338" s="9"/>
      <c r="Y338" s="9"/>
    </row>
    <row r="339" spans="1:25" ht="26.25" customHeight="1" x14ac:dyDescent="0.15">
      <c r="A339" s="9" t="str">
        <f ca="1">IFERROR(__xludf.DUMMYFUNCTION("""COMPUTED_VALUE"""),"mohammad riyazul haneef sharief")</f>
        <v>mohammad riyazul haneef sharief</v>
      </c>
      <c r="B339" s="9" t="str">
        <f ca="1">IFERROR(__xludf.DUMMYFUNCTION("""COMPUTED_VALUE"""),"18331A05H6")</f>
        <v>18331A05H6</v>
      </c>
      <c r="C339" s="78" t="str">
        <f ca="1">IFERROR(__xludf.DUMMYFUNCTION("""COMPUTED_VALUE"""),"L4G")</f>
        <v>L4G</v>
      </c>
      <c r="D339" s="9" t="str">
        <f ca="1">IFERROR(__xludf.DUMMYFUNCTION("""COMPUTED_VALUE"""),"Introduction to Cyber Attacks")</f>
        <v>Introduction to Cyber Attacks</v>
      </c>
      <c r="E339" s="9" t="str">
        <f ca="1">IFERROR(__xludf.DUMMYFUNCTION("""COMPUTED_VALUE"""),"15")</f>
        <v>15</v>
      </c>
      <c r="F339" s="79">
        <f ca="1">IFERROR(__xludf.DUMMYFUNCTION("""COMPUTED_VALUE"""),43955)</f>
        <v>43955</v>
      </c>
      <c r="G339" s="79">
        <f ca="1">IFERROR(__xludf.DUMMYFUNCTION("""COMPUTED_VALUE"""),43966)</f>
        <v>43966</v>
      </c>
      <c r="H339" s="72">
        <f ca="1">IFERROR(__xludf.DUMMYFUNCTION("""COMPUTED_VALUE"""),43967)</f>
        <v>43967</v>
      </c>
      <c r="I339" s="80">
        <f ca="1">IFERROR(__xludf.DUMMYFUNCTION("""COMPUTED_VALUE"""),96)</f>
        <v>96</v>
      </c>
      <c r="J339" s="9" t="str">
        <f ca="1">IFERROR(__xludf.DUMMYFUNCTION("""COMPUTED_VALUE"""),"HOD")</f>
        <v>HOD</v>
      </c>
      <c r="K339" s="73" t="str">
        <f ca="1">IFERROR(__xludf.DUMMYFUNCTION("""COMPUTED_VALUE"""),"https://drive.google.com/open?id=1fzMlUctlFglMIqKFJADBsK49j0d5pd8G")</f>
        <v>https://drive.google.com/open?id=1fzMlUctlFglMIqKFJADBsK49j0d5pd8G</v>
      </c>
      <c r="L339" s="9" t="str">
        <f ca="1">IFERROR(__xludf.DUMMYFUNCTION("""COMPUTED_VALUE"""),"2018-2022")</f>
        <v>2018-2022</v>
      </c>
      <c r="M339" s="9" t="str">
        <f ca="1">IFERROR(__xludf.DUMMYFUNCTION("""COMPUTED_VALUE"""),"S4: Student Certifications")</f>
        <v>S4: Student Certifications</v>
      </c>
      <c r="N339" s="9" t="str">
        <f ca="1">IFERROR(__xludf.DUMMYFUNCTION("""COMPUTED_VALUE"""),"haneefleo10@gmail.com")</f>
        <v>haneefleo10@gmail.com</v>
      </c>
      <c r="O339" s="9" t="str">
        <f ca="1">IFERROR(__xludf.DUMMYFUNCTION("""COMPUTED_VALUE"""),"SEM-8")</f>
        <v>SEM-8</v>
      </c>
      <c r="P339" s="9"/>
      <c r="Q339" s="9"/>
      <c r="R339" s="9"/>
      <c r="S339" s="9"/>
      <c r="T339" s="9"/>
      <c r="U339" s="9"/>
      <c r="V339" s="9"/>
      <c r="W339" s="9"/>
      <c r="X339" s="9"/>
      <c r="Y339" s="9"/>
    </row>
    <row r="340" spans="1:25" ht="26.25" customHeight="1" x14ac:dyDescent="0.15">
      <c r="A340" s="9" t="str">
        <f ca="1">IFERROR(__xludf.DUMMYFUNCTION("""COMPUTED_VALUE"""),"CHANDANA PITLA")</f>
        <v>CHANDANA PITLA</v>
      </c>
      <c r="B340" s="9" t="str">
        <f ca="1">IFERROR(__xludf.DUMMYFUNCTION("""COMPUTED_VALUE"""),"1833A05C1")</f>
        <v>1833A05C1</v>
      </c>
      <c r="C340" s="78" t="str">
        <f ca="1">IFERROR(__xludf.DUMMYFUNCTION("""COMPUTED_VALUE"""),"Introduction to Cyber Attacks")</f>
        <v>Introduction to Cyber Attacks</v>
      </c>
      <c r="D340" s="9" t="str">
        <f ca="1">IFERROR(__xludf.DUMMYFUNCTION("""COMPUTED_VALUE"""),"COURSERA")</f>
        <v>COURSERA</v>
      </c>
      <c r="E340" s="9" t="str">
        <f ca="1">IFERROR(__xludf.DUMMYFUNCTION("""COMPUTED_VALUE"""),"4 WEEKS")</f>
        <v>4 WEEKS</v>
      </c>
      <c r="F340" s="79">
        <f ca="1">IFERROR(__xludf.DUMMYFUNCTION("""COMPUTED_VALUE"""),43976)</f>
        <v>43976</v>
      </c>
      <c r="G340" s="79">
        <f ca="1">IFERROR(__xludf.DUMMYFUNCTION("""COMPUTED_VALUE"""),43997)</f>
        <v>43997</v>
      </c>
      <c r="H340" s="72">
        <f ca="1">IFERROR(__xludf.DUMMYFUNCTION("""COMPUTED_VALUE"""),44004)</f>
        <v>44004</v>
      </c>
      <c r="I340" s="80">
        <f ca="1">IFERROR(__xludf.DUMMYFUNCTION("""COMPUTED_VALUE"""),90)</f>
        <v>90</v>
      </c>
      <c r="J340" s="9" t="str">
        <f ca="1">IFERROR(__xludf.DUMMYFUNCTION("""COMPUTED_VALUE"""),"N/A")</f>
        <v>N/A</v>
      </c>
      <c r="K340" s="73" t="str">
        <f ca="1">IFERROR(__xludf.DUMMYFUNCTION("""COMPUTED_VALUE"""),"https://drive.google.com/open?id=1eCpyWkLyc-6dr-tMZugc9DkqbKcpQtVl")</f>
        <v>https://drive.google.com/open?id=1eCpyWkLyc-6dr-tMZugc9DkqbKcpQtVl</v>
      </c>
      <c r="L340" s="9" t="str">
        <f ca="1">IFERROR(__xludf.DUMMYFUNCTION("""COMPUTED_VALUE"""),"2018-2022")</f>
        <v>2018-2022</v>
      </c>
      <c r="M340" s="9" t="str">
        <f ca="1">IFERROR(__xludf.DUMMYFUNCTION("""COMPUTED_VALUE"""),"S4: Student Certifications")</f>
        <v>S4: Student Certifications</v>
      </c>
      <c r="N340" s="9" t="str">
        <f ca="1">IFERROR(__xludf.DUMMYFUNCTION("""COMPUTED_VALUE"""),"pitlachandana@gmail.com")</f>
        <v>pitlachandana@gmail.com</v>
      </c>
      <c r="O340" s="9" t="str">
        <f ca="1">IFERROR(__xludf.DUMMYFUNCTION("""COMPUTED_VALUE"""),"SEM-8")</f>
        <v>SEM-8</v>
      </c>
      <c r="P340" s="9"/>
      <c r="Q340" s="9"/>
      <c r="R340" s="9"/>
      <c r="S340" s="9"/>
      <c r="T340" s="9"/>
      <c r="U340" s="9"/>
      <c r="V340" s="9"/>
      <c r="W340" s="9"/>
      <c r="X340" s="9"/>
      <c r="Y340" s="9"/>
    </row>
    <row r="341" spans="1:25" ht="26.25" customHeight="1" x14ac:dyDescent="0.15">
      <c r="A341" s="9" t="str">
        <f ca="1">IFERROR(__xludf.DUMMYFUNCTION("""COMPUTED_VALUE"""),"KALIDINDI SOWMYA SHREE ")</f>
        <v xml:space="preserve">KALIDINDI SOWMYA SHREE </v>
      </c>
      <c r="B341" s="9" t="str">
        <f ca="1">IFERROR(__xludf.DUMMYFUNCTION("""COMPUTED_VALUE"""),"18331A0562")</f>
        <v>18331A0562</v>
      </c>
      <c r="C341" s="78" t="str">
        <f ca="1">IFERROR(__xludf.DUMMYFUNCTION("""COMPUTED_VALUE"""),"ARTIFICIAL INTELLIGENE WORKSHOP")</f>
        <v>ARTIFICIAL INTELLIGENE WORKSHOP</v>
      </c>
      <c r="D341" s="9" t="str">
        <f ca="1">IFERROR(__xludf.DUMMYFUNCTION("""COMPUTED_VALUE"""),"Kyrion Technologies pvt ")</f>
        <v xml:space="preserve">Kyrion Technologies pvt </v>
      </c>
      <c r="E341" s="9" t="str">
        <f ca="1">IFERROR(__xludf.DUMMYFUNCTION("""COMPUTED_VALUE"""),"2 days")</f>
        <v>2 days</v>
      </c>
      <c r="F341" s="79">
        <f ca="1">IFERROR(__xludf.DUMMYFUNCTION("""COMPUTED_VALUE"""),43694)</f>
        <v>43694</v>
      </c>
      <c r="G341" s="79">
        <f ca="1">IFERROR(__xludf.DUMMYFUNCTION("""COMPUTED_VALUE"""),43695)</f>
        <v>43695</v>
      </c>
      <c r="H341" s="72">
        <f ca="1">IFERROR(__xludf.DUMMYFUNCTION("""COMPUTED_VALUE"""),43695)</f>
        <v>43695</v>
      </c>
      <c r="I341" s="80">
        <f ca="1">IFERROR(__xludf.DUMMYFUNCTION("""COMPUTED_VALUE"""),100)</f>
        <v>100</v>
      </c>
      <c r="J341" s="9" t="str">
        <f ca="1">IFERROR(__xludf.DUMMYFUNCTION("""COMPUTED_VALUE"""),"Rishabh Mehta")</f>
        <v>Rishabh Mehta</v>
      </c>
      <c r="K341" s="73" t="str">
        <f ca="1">IFERROR(__xludf.DUMMYFUNCTION("""COMPUTED_VALUE"""),"https://drive.google.com/open?id=135Q2r1gTVjaVA3KaRMDJ0K-zgdyfsFgO")</f>
        <v>https://drive.google.com/open?id=135Q2r1gTVjaVA3KaRMDJ0K-zgdyfsFgO</v>
      </c>
      <c r="L341" s="9" t="str">
        <f ca="1">IFERROR(__xludf.DUMMYFUNCTION("""COMPUTED_VALUE"""),"2018-2022")</f>
        <v>2018-2022</v>
      </c>
      <c r="M341" s="9" t="str">
        <f ca="1">IFERROR(__xludf.DUMMYFUNCTION("""COMPUTED_VALUE"""),"S4: Student Certifications")</f>
        <v>S4: Student Certifications</v>
      </c>
      <c r="N341" s="9" t="str">
        <f ca="1">IFERROR(__xludf.DUMMYFUNCTION("""COMPUTED_VALUE"""),"sowmyakalidindi.01@gmail.com")</f>
        <v>sowmyakalidindi.01@gmail.com</v>
      </c>
      <c r="O341" s="9" t="str">
        <f ca="1">IFERROR(__xludf.DUMMYFUNCTION("""COMPUTED_VALUE"""),"SEM-8")</f>
        <v>SEM-8</v>
      </c>
      <c r="P341" s="9"/>
      <c r="Q341" s="9"/>
      <c r="R341" s="9"/>
      <c r="S341" s="9"/>
      <c r="T341" s="9"/>
      <c r="U341" s="9"/>
      <c r="V341" s="9"/>
      <c r="W341" s="9"/>
      <c r="X341" s="9"/>
      <c r="Y341" s="9"/>
    </row>
    <row r="342" spans="1:25" ht="26.25" customHeight="1" x14ac:dyDescent="0.15">
      <c r="A342" s="9" t="str">
        <f ca="1">IFERROR(__xludf.DUMMYFUNCTION("""COMPUTED_VALUE"""),"CHANDANA PITLA")</f>
        <v>CHANDANA PITLA</v>
      </c>
      <c r="B342" s="9" t="str">
        <f ca="1">IFERROR(__xludf.DUMMYFUNCTION("""COMPUTED_VALUE"""),"18331A05C1")</f>
        <v>18331A05C1</v>
      </c>
      <c r="C342" s="78" t="str">
        <f ca="1">IFERROR(__xludf.DUMMYFUNCTION("""COMPUTED_VALUE"""),"Design Thinking for the Greater Good: Innovation in the Social Sector")</f>
        <v>Design Thinking for the Greater Good: Innovation in the Social Sector</v>
      </c>
      <c r="D342" s="9" t="str">
        <f ca="1">IFERROR(__xludf.DUMMYFUNCTION("""COMPUTED_VALUE"""),"COURSERA")</f>
        <v>COURSERA</v>
      </c>
      <c r="E342" s="9" t="str">
        <f ca="1">IFERROR(__xludf.DUMMYFUNCTION("""COMPUTED_VALUE"""),"4 WEEKS")</f>
        <v>4 WEEKS</v>
      </c>
      <c r="F342" s="79">
        <f ca="1">IFERROR(__xludf.DUMMYFUNCTION("""COMPUTED_VALUE"""),43997)</f>
        <v>43997</v>
      </c>
      <c r="G342" s="79">
        <f ca="1">IFERROR(__xludf.DUMMYFUNCTION("""COMPUTED_VALUE"""),44018)</f>
        <v>44018</v>
      </c>
      <c r="H342" s="72">
        <f ca="1">IFERROR(__xludf.DUMMYFUNCTION("""COMPUTED_VALUE"""),44018)</f>
        <v>44018</v>
      </c>
      <c r="I342" s="80">
        <f ca="1">IFERROR(__xludf.DUMMYFUNCTION("""COMPUTED_VALUE"""),90)</f>
        <v>90</v>
      </c>
      <c r="J342" s="9" t="str">
        <f ca="1">IFERROR(__xludf.DUMMYFUNCTION("""COMPUTED_VALUE"""),"N/A")</f>
        <v>N/A</v>
      </c>
      <c r="K342" s="73" t="str">
        <f ca="1">IFERROR(__xludf.DUMMYFUNCTION("""COMPUTED_VALUE"""),"https://drive.google.com/open?id=1lbtq1ot8rFAJUeIqnZAXSgTiy6gaVoOc")</f>
        <v>https://drive.google.com/open?id=1lbtq1ot8rFAJUeIqnZAXSgTiy6gaVoOc</v>
      </c>
      <c r="L342" s="9" t="str">
        <f ca="1">IFERROR(__xludf.DUMMYFUNCTION("""COMPUTED_VALUE"""),"2018-2022")</f>
        <v>2018-2022</v>
      </c>
      <c r="M342" s="9" t="str">
        <f ca="1">IFERROR(__xludf.DUMMYFUNCTION("""COMPUTED_VALUE"""),"S4: Student Certifications")</f>
        <v>S4: Student Certifications</v>
      </c>
      <c r="N342" s="9" t="str">
        <f ca="1">IFERROR(__xludf.DUMMYFUNCTION("""COMPUTED_VALUE"""),"pitlachandana@gmail.com")</f>
        <v>pitlachandana@gmail.com</v>
      </c>
      <c r="O342" s="9" t="str">
        <f ca="1">IFERROR(__xludf.DUMMYFUNCTION("""COMPUTED_VALUE"""),"SEM-8")</f>
        <v>SEM-8</v>
      </c>
      <c r="P342" s="9"/>
      <c r="Q342" s="9"/>
      <c r="R342" s="9"/>
      <c r="S342" s="9"/>
      <c r="T342" s="9"/>
      <c r="U342" s="9"/>
      <c r="V342" s="9"/>
      <c r="W342" s="9"/>
      <c r="X342" s="9"/>
      <c r="Y342" s="9"/>
    </row>
    <row r="343" spans="1:25" ht="26.25" customHeight="1" x14ac:dyDescent="0.15">
      <c r="A343" s="9" t="str">
        <f ca="1">IFERROR(__xludf.DUMMYFUNCTION("""COMPUTED_VALUE"""),"CHANDANA PITLA")</f>
        <v>CHANDANA PITLA</v>
      </c>
      <c r="B343" s="9" t="str">
        <f ca="1">IFERROR(__xludf.DUMMYFUNCTION("""COMPUTED_VALUE"""),"18331A05C1")</f>
        <v>18331A05C1</v>
      </c>
      <c r="C343" s="78" t="str">
        <f ca="1">IFERROR(__xludf.DUMMYFUNCTION("""COMPUTED_VALUE"""),"Web Design for Everybody Capstone")</f>
        <v>Web Design for Everybody Capstone</v>
      </c>
      <c r="D343" s="9" t="str">
        <f ca="1">IFERROR(__xludf.DUMMYFUNCTION("""COMPUTED_VALUE"""),"COURSERA")</f>
        <v>COURSERA</v>
      </c>
      <c r="E343" s="9" t="str">
        <f ca="1">IFERROR(__xludf.DUMMYFUNCTION("""COMPUTED_VALUE"""),"6 WEEKS")</f>
        <v>6 WEEKS</v>
      </c>
      <c r="F343" s="79">
        <f ca="1">IFERROR(__xludf.DUMMYFUNCTION("""COMPUTED_VALUE"""),44041)</f>
        <v>44041</v>
      </c>
      <c r="G343" s="79">
        <f ca="1">IFERROR(__xludf.DUMMYFUNCTION("""COMPUTED_VALUE"""),44052)</f>
        <v>44052</v>
      </c>
      <c r="H343" s="72">
        <f ca="1">IFERROR(__xludf.DUMMYFUNCTION("""COMPUTED_VALUE"""),44052)</f>
        <v>44052</v>
      </c>
      <c r="I343" s="80">
        <f ca="1">IFERROR(__xludf.DUMMYFUNCTION("""COMPUTED_VALUE"""),90)</f>
        <v>90</v>
      </c>
      <c r="J343" s="9" t="str">
        <f ca="1">IFERROR(__xludf.DUMMYFUNCTION("""COMPUTED_VALUE"""),"N/A")</f>
        <v>N/A</v>
      </c>
      <c r="K343" s="73" t="str">
        <f ca="1">IFERROR(__xludf.DUMMYFUNCTION("""COMPUTED_VALUE"""),"https://drive.google.com/open?id=1Ctfpt_XIN9hAYn3bHXijID1hrcsz-gMV")</f>
        <v>https://drive.google.com/open?id=1Ctfpt_XIN9hAYn3bHXijID1hrcsz-gMV</v>
      </c>
      <c r="L343" s="9" t="str">
        <f ca="1">IFERROR(__xludf.DUMMYFUNCTION("""COMPUTED_VALUE"""),"2018-2022")</f>
        <v>2018-2022</v>
      </c>
      <c r="M343" s="9" t="str">
        <f ca="1">IFERROR(__xludf.DUMMYFUNCTION("""COMPUTED_VALUE"""),"S4: Student Certifications")</f>
        <v>S4: Student Certifications</v>
      </c>
      <c r="N343" s="9" t="str">
        <f ca="1">IFERROR(__xludf.DUMMYFUNCTION("""COMPUTED_VALUE"""),"pitlachandana@gmail.com")</f>
        <v>pitlachandana@gmail.com</v>
      </c>
      <c r="O343" s="9" t="str">
        <f ca="1">IFERROR(__xludf.DUMMYFUNCTION("""COMPUTED_VALUE"""),"SEM-8")</f>
        <v>SEM-8</v>
      </c>
      <c r="P343" s="9"/>
      <c r="Q343" s="9"/>
      <c r="R343" s="9"/>
      <c r="S343" s="9"/>
      <c r="T343" s="9"/>
      <c r="U343" s="9"/>
      <c r="V343" s="9"/>
      <c r="W343" s="9"/>
      <c r="X343" s="9"/>
      <c r="Y343" s="9"/>
    </row>
    <row r="344" spans="1:25" ht="26.25" customHeight="1" x14ac:dyDescent="0.15">
      <c r="A344" s="9" t="str">
        <f ca="1">IFERROR(__xludf.DUMMYFUNCTION("""COMPUTED_VALUE"""),"SOWMYA SHREE KALIDINDI")</f>
        <v>SOWMYA SHREE KALIDINDI</v>
      </c>
      <c r="B344" s="9" t="str">
        <f ca="1">IFERROR(__xludf.DUMMYFUNCTION("""COMPUTED_VALUE"""),"18331A0562")</f>
        <v>18331A0562</v>
      </c>
      <c r="C344" s="78" t="str">
        <f ca="1">IFERROR(__xludf.DUMMYFUNCTION("""COMPUTED_VALUE"""),"Cybersecurity Essentials")</f>
        <v>Cybersecurity Essentials</v>
      </c>
      <c r="D344" s="9" t="str">
        <f ca="1">IFERROR(__xludf.DUMMYFUNCTION("""COMPUTED_VALUE"""),"CISCO")</f>
        <v>CISCO</v>
      </c>
      <c r="E344" s="9" t="str">
        <f ca="1">IFERROR(__xludf.DUMMYFUNCTION("""COMPUTED_VALUE"""),"1 MONTH")</f>
        <v>1 MONTH</v>
      </c>
      <c r="F344" s="79">
        <f ca="1">IFERROR(__xludf.DUMMYFUNCTION("""COMPUTED_VALUE"""),43637)</f>
        <v>43637</v>
      </c>
      <c r="G344" s="79">
        <f ca="1">IFERROR(__xludf.DUMMYFUNCTION("""COMPUTED_VALUE"""),43675)</f>
        <v>43675</v>
      </c>
      <c r="H344" s="72">
        <f ca="1">IFERROR(__xludf.DUMMYFUNCTION("""COMPUTED_VALUE"""),43675)</f>
        <v>43675</v>
      </c>
      <c r="I344" s="80">
        <f ca="1">IFERROR(__xludf.DUMMYFUNCTION("""COMPUTED_VALUE"""),100)</f>
        <v>100</v>
      </c>
      <c r="J344" s="9" t="str">
        <f ca="1">IFERROR(__xludf.DUMMYFUNCTION("""COMPUTED_VALUE"""),"DR RAVI KIRAN VARMA PENMATSA")</f>
        <v>DR RAVI KIRAN VARMA PENMATSA</v>
      </c>
      <c r="K344" s="73" t="str">
        <f ca="1">IFERROR(__xludf.DUMMYFUNCTION("""COMPUTED_VALUE"""),"https://drive.google.com/open?id=1ewXXWm2TWYbNSnabislMMRorrSBEDccP")</f>
        <v>https://drive.google.com/open?id=1ewXXWm2TWYbNSnabislMMRorrSBEDccP</v>
      </c>
      <c r="L344" s="9" t="str">
        <f ca="1">IFERROR(__xludf.DUMMYFUNCTION("""COMPUTED_VALUE"""),"2018-2022")</f>
        <v>2018-2022</v>
      </c>
      <c r="M344" s="9" t="str">
        <f ca="1">IFERROR(__xludf.DUMMYFUNCTION("""COMPUTED_VALUE"""),"S4: Student Certifications")</f>
        <v>S4: Student Certifications</v>
      </c>
      <c r="N344" s="9" t="str">
        <f ca="1">IFERROR(__xludf.DUMMYFUNCTION("""COMPUTED_VALUE"""),"sowmyakalidindi.01@gmail.com")</f>
        <v>sowmyakalidindi.01@gmail.com</v>
      </c>
      <c r="O344" s="9" t="str">
        <f ca="1">IFERROR(__xludf.DUMMYFUNCTION("""COMPUTED_VALUE"""),"SEM-8")</f>
        <v>SEM-8</v>
      </c>
      <c r="P344" s="9"/>
      <c r="Q344" s="9"/>
      <c r="R344" s="9"/>
      <c r="S344" s="9"/>
      <c r="T344" s="9"/>
      <c r="U344" s="9"/>
      <c r="V344" s="9"/>
      <c r="W344" s="9"/>
      <c r="X344" s="9"/>
      <c r="Y344" s="9"/>
    </row>
    <row r="345" spans="1:25" ht="26.25" customHeight="1" x14ac:dyDescent="0.15">
      <c r="A345" s="9" t="str">
        <f ca="1">IFERROR(__xludf.DUMMYFUNCTION("""COMPUTED_VALUE"""),"CHANDANA PITLA")</f>
        <v>CHANDANA PITLA</v>
      </c>
      <c r="B345" s="9" t="str">
        <f ca="1">IFERROR(__xludf.DUMMYFUNCTION("""COMPUTED_VALUE"""),"18331A05C1")</f>
        <v>18331A05C1</v>
      </c>
      <c r="C345" s="78" t="str">
        <f ca="1">IFERROR(__xludf.DUMMYFUNCTION("""COMPUTED_VALUE"""),"Speak English Professionally: In Person, Online &amp; On the Phone")</f>
        <v>Speak English Professionally: In Person, Online &amp; On the Phone</v>
      </c>
      <c r="D345" s="9" t="str">
        <f ca="1">IFERROR(__xludf.DUMMYFUNCTION("""COMPUTED_VALUE"""),"COURSERA")</f>
        <v>COURSERA</v>
      </c>
      <c r="E345" s="9" t="str">
        <f ca="1">IFERROR(__xludf.DUMMYFUNCTION("""COMPUTED_VALUE"""),"5 WEEKS")</f>
        <v>5 WEEKS</v>
      </c>
      <c r="F345" s="79">
        <f ca="1">IFERROR(__xludf.DUMMYFUNCTION("""COMPUTED_VALUE"""),44014)</f>
        <v>44014</v>
      </c>
      <c r="G345" s="79">
        <f ca="1">IFERROR(__xludf.DUMMYFUNCTION("""COMPUTED_VALUE"""),44042)</f>
        <v>44042</v>
      </c>
      <c r="H345" s="72">
        <f ca="1">IFERROR(__xludf.DUMMYFUNCTION("""COMPUTED_VALUE"""),44042)</f>
        <v>44042</v>
      </c>
      <c r="I345" s="80">
        <f ca="1">IFERROR(__xludf.DUMMYFUNCTION("""COMPUTED_VALUE"""),99)</f>
        <v>99</v>
      </c>
      <c r="J345" s="9" t="str">
        <f ca="1">IFERROR(__xludf.DUMMYFUNCTION("""COMPUTED_VALUE"""),"N/A")</f>
        <v>N/A</v>
      </c>
      <c r="K345" s="73" t="str">
        <f ca="1">IFERROR(__xludf.DUMMYFUNCTION("""COMPUTED_VALUE"""),"https://drive.google.com/open?id=18dAxoIXFcIgmNM697BE2ZyWofCJK-k-S")</f>
        <v>https://drive.google.com/open?id=18dAxoIXFcIgmNM697BE2ZyWofCJK-k-S</v>
      </c>
      <c r="L345" s="9" t="str">
        <f ca="1">IFERROR(__xludf.DUMMYFUNCTION("""COMPUTED_VALUE"""),"2018-2022")</f>
        <v>2018-2022</v>
      </c>
      <c r="M345" s="9" t="str">
        <f ca="1">IFERROR(__xludf.DUMMYFUNCTION("""COMPUTED_VALUE"""),"S4: Student Certifications")</f>
        <v>S4: Student Certifications</v>
      </c>
      <c r="N345" s="9" t="str">
        <f ca="1">IFERROR(__xludf.DUMMYFUNCTION("""COMPUTED_VALUE"""),"pitlachandana@gmail.com")</f>
        <v>pitlachandana@gmail.com</v>
      </c>
      <c r="O345" s="9" t="str">
        <f ca="1">IFERROR(__xludf.DUMMYFUNCTION("""COMPUTED_VALUE"""),"SEM-8")</f>
        <v>SEM-8</v>
      </c>
      <c r="P345" s="9"/>
      <c r="Q345" s="9"/>
      <c r="R345" s="9"/>
      <c r="S345" s="9"/>
      <c r="T345" s="9"/>
      <c r="U345" s="9"/>
      <c r="V345" s="9"/>
      <c r="W345" s="9"/>
      <c r="X345" s="9"/>
      <c r="Y345" s="9"/>
    </row>
    <row r="346" spans="1:25" ht="26.25" customHeight="1" x14ac:dyDescent="0.15">
      <c r="A346" s="9" t="str">
        <f ca="1">IFERROR(__xludf.DUMMYFUNCTION("""COMPUTED_VALUE"""),"SOWMYA SHREE KALIDINDI")</f>
        <v>SOWMYA SHREE KALIDINDI</v>
      </c>
      <c r="B346" s="9" t="str">
        <f ca="1">IFERROR(__xludf.DUMMYFUNCTION("""COMPUTED_VALUE"""),"18331A0562")</f>
        <v>18331A0562</v>
      </c>
      <c r="C346" s="78" t="str">
        <f ca="1">IFERROR(__xludf.DUMMYFUNCTION("""COMPUTED_VALUE"""),"INTRODUCTION TO CYBERSECURITY")</f>
        <v>INTRODUCTION TO CYBERSECURITY</v>
      </c>
      <c r="D346" s="9" t="str">
        <f ca="1">IFERROR(__xludf.DUMMYFUNCTION("""COMPUTED_VALUE"""),"CISCO")</f>
        <v>CISCO</v>
      </c>
      <c r="E346" s="9" t="str">
        <f ca="1">IFERROR(__xludf.DUMMYFUNCTION("""COMPUTED_VALUE"""),"1 MONTH")</f>
        <v>1 MONTH</v>
      </c>
      <c r="F346" s="79">
        <f ca="1">IFERROR(__xludf.DUMMYFUNCTION("""COMPUTED_VALUE"""),43583)</f>
        <v>43583</v>
      </c>
      <c r="G346" s="79">
        <f ca="1">IFERROR(__xludf.DUMMYFUNCTION("""COMPUTED_VALUE"""),43600)</f>
        <v>43600</v>
      </c>
      <c r="H346" s="72">
        <f ca="1">IFERROR(__xludf.DUMMYFUNCTION("""COMPUTED_VALUE"""),43600)</f>
        <v>43600</v>
      </c>
      <c r="I346" s="80">
        <f ca="1">IFERROR(__xludf.DUMMYFUNCTION("""COMPUTED_VALUE"""),100)</f>
        <v>100</v>
      </c>
      <c r="J346" s="9" t="str">
        <f ca="1">IFERROR(__xludf.DUMMYFUNCTION("""COMPUTED_VALUE"""),"DR RAVI KIRAN VARMA PENMATSA")</f>
        <v>DR RAVI KIRAN VARMA PENMATSA</v>
      </c>
      <c r="K346" s="73" t="str">
        <f ca="1">IFERROR(__xludf.DUMMYFUNCTION("""COMPUTED_VALUE"""),"https://drive.google.com/open?id=1KmZO2SOcVkXhna0Y1SSTfbCAazPqP9wm")</f>
        <v>https://drive.google.com/open?id=1KmZO2SOcVkXhna0Y1SSTfbCAazPqP9wm</v>
      </c>
      <c r="L346" s="9" t="str">
        <f ca="1">IFERROR(__xludf.DUMMYFUNCTION("""COMPUTED_VALUE"""),"2018-2022")</f>
        <v>2018-2022</v>
      </c>
      <c r="M346" s="9" t="str">
        <f ca="1">IFERROR(__xludf.DUMMYFUNCTION("""COMPUTED_VALUE"""),"S4: Student Certifications")</f>
        <v>S4: Student Certifications</v>
      </c>
      <c r="N346" s="9" t="str">
        <f ca="1">IFERROR(__xludf.DUMMYFUNCTION("""COMPUTED_VALUE"""),"sowmyakalidindi.01@gmail.com")</f>
        <v>sowmyakalidindi.01@gmail.com</v>
      </c>
      <c r="O346" s="9" t="str">
        <f ca="1">IFERROR(__xludf.DUMMYFUNCTION("""COMPUTED_VALUE"""),"SEM-8")</f>
        <v>SEM-8</v>
      </c>
      <c r="P346" s="9"/>
      <c r="Q346" s="9"/>
      <c r="R346" s="9"/>
      <c r="S346" s="9"/>
      <c r="T346" s="9"/>
      <c r="U346" s="9"/>
      <c r="V346" s="9"/>
      <c r="W346" s="9"/>
      <c r="X346" s="9"/>
      <c r="Y346" s="9"/>
    </row>
    <row r="347" spans="1:25" ht="26.25" customHeight="1" x14ac:dyDescent="0.15">
      <c r="A347" s="9" t="str">
        <f ca="1">IFERROR(__xludf.DUMMYFUNCTION("""COMPUTED_VALUE"""),"Mallavarapu Tejaswi")</f>
        <v>Mallavarapu Tejaswi</v>
      </c>
      <c r="B347" s="9" t="str">
        <f ca="1">IFERROR(__xludf.DUMMYFUNCTION("""COMPUTED_VALUE"""),"18331A0591")</f>
        <v>18331A0591</v>
      </c>
      <c r="C347" s="78" t="str">
        <f ca="1">IFERROR(__xludf.DUMMYFUNCTION("""COMPUTED_VALUE"""),"Cybersecurity Essentials")</f>
        <v>Cybersecurity Essentials</v>
      </c>
      <c r="D347" s="9" t="str">
        <f ca="1">IFERROR(__xludf.DUMMYFUNCTION("""COMPUTED_VALUE"""),"Cisco")</f>
        <v>Cisco</v>
      </c>
      <c r="E347" s="9" t="str">
        <f ca="1">IFERROR(__xludf.DUMMYFUNCTION("""COMPUTED_VALUE"""),"1")</f>
        <v>1</v>
      </c>
      <c r="F347" s="79">
        <f ca="1">IFERROR(__xludf.DUMMYFUNCTION("""COMPUTED_VALUE"""),43645)</f>
        <v>43645</v>
      </c>
      <c r="G347" s="79">
        <f ca="1">IFERROR(__xludf.DUMMYFUNCTION("""COMPUTED_VALUE"""),43675)</f>
        <v>43675</v>
      </c>
      <c r="H347" s="72">
        <f ca="1">IFERROR(__xludf.DUMMYFUNCTION("""COMPUTED_VALUE"""),43675)</f>
        <v>43675</v>
      </c>
      <c r="I347" s="80">
        <f ca="1">IFERROR(__xludf.DUMMYFUNCTION("""COMPUTED_VALUE"""),100)</f>
        <v>100</v>
      </c>
      <c r="J347" s="9" t="str">
        <f ca="1">IFERROR(__xludf.DUMMYFUNCTION("""COMPUTED_VALUE"""),"Dr.P Ravikiran Varma")</f>
        <v>Dr.P Ravikiran Varma</v>
      </c>
      <c r="K347" s="73" t="str">
        <f ca="1">IFERROR(__xludf.DUMMYFUNCTION("""COMPUTED_VALUE"""),"https://drive.google.com/open?id=1KsJQ4g2v1OiJ-Y3MxO_I9mqFmrJrAW7S")</f>
        <v>https://drive.google.com/open?id=1KsJQ4g2v1OiJ-Y3MxO_I9mqFmrJrAW7S</v>
      </c>
      <c r="L347" s="9" t="str">
        <f ca="1">IFERROR(__xludf.DUMMYFUNCTION("""COMPUTED_VALUE"""),"2018-2022")</f>
        <v>2018-2022</v>
      </c>
      <c r="M347" s="9" t="str">
        <f ca="1">IFERROR(__xludf.DUMMYFUNCTION("""COMPUTED_VALUE"""),"S4: Student Certifications")</f>
        <v>S4: Student Certifications</v>
      </c>
      <c r="N347" s="9" t="str">
        <f ca="1">IFERROR(__xludf.DUMMYFUNCTION("""COMPUTED_VALUE"""),"Mallavarapu.tejaswi@gmail.com")</f>
        <v>Mallavarapu.tejaswi@gmail.com</v>
      </c>
      <c r="O347" s="9" t="str">
        <f ca="1">IFERROR(__xludf.DUMMYFUNCTION("""COMPUTED_VALUE"""),"SEM-8")</f>
        <v>SEM-8</v>
      </c>
      <c r="P347" s="9"/>
      <c r="Q347" s="9"/>
      <c r="R347" s="9"/>
      <c r="S347" s="9"/>
      <c r="T347" s="9"/>
      <c r="U347" s="9"/>
      <c r="V347" s="9"/>
      <c r="W347" s="9"/>
      <c r="X347" s="9"/>
      <c r="Y347" s="9"/>
    </row>
    <row r="348" spans="1:25" ht="26.25" customHeight="1" x14ac:dyDescent="0.15">
      <c r="A348" s="9" t="str">
        <f ca="1">IFERROR(__xludf.DUMMYFUNCTION("""COMPUTED_VALUE"""),"CHANDANA PITLA")</f>
        <v>CHANDANA PITLA</v>
      </c>
      <c r="B348" s="9" t="str">
        <f ca="1">IFERROR(__xludf.DUMMYFUNCTION("""COMPUTED_VALUE"""),"18331A05C1")</f>
        <v>18331A05C1</v>
      </c>
      <c r="C348" s="78" t="str">
        <f ca="1">IFERROR(__xludf.DUMMYFUNCTION("""COMPUTED_VALUE"""),"Programming for Everybody ")</f>
        <v xml:space="preserve">Programming for Everybody </v>
      </c>
      <c r="D348" s="9" t="str">
        <f ca="1">IFERROR(__xludf.DUMMYFUNCTION("""COMPUTED_VALUE"""),"COURSERA")</f>
        <v>COURSERA</v>
      </c>
      <c r="E348" s="9" t="str">
        <f ca="1">IFERROR(__xludf.DUMMYFUNCTION("""COMPUTED_VALUE"""),"7 WEEKS")</f>
        <v>7 WEEKS</v>
      </c>
      <c r="F348" s="79">
        <f ca="1">IFERROR(__xludf.DUMMYFUNCTION("""COMPUTED_VALUE"""),44005)</f>
        <v>44005</v>
      </c>
      <c r="G348" s="79">
        <f ca="1">IFERROR(__xludf.DUMMYFUNCTION("""COMPUTED_VALUE"""),44039)</f>
        <v>44039</v>
      </c>
      <c r="H348" s="72">
        <f ca="1">IFERROR(__xludf.DUMMYFUNCTION("""COMPUTED_VALUE"""),44039)</f>
        <v>44039</v>
      </c>
      <c r="I348" s="80">
        <f ca="1">IFERROR(__xludf.DUMMYFUNCTION("""COMPUTED_VALUE"""),97)</f>
        <v>97</v>
      </c>
      <c r="J348" s="9" t="str">
        <f ca="1">IFERROR(__xludf.DUMMYFUNCTION("""COMPUTED_VALUE"""),"N/A")</f>
        <v>N/A</v>
      </c>
      <c r="K348" s="73" t="str">
        <f ca="1">IFERROR(__xludf.DUMMYFUNCTION("""COMPUTED_VALUE"""),"https://drive.google.com/open?id=1CAgQLguOwJiwiLffS2m5njKmzhOeqroo")</f>
        <v>https://drive.google.com/open?id=1CAgQLguOwJiwiLffS2m5njKmzhOeqroo</v>
      </c>
      <c r="L348" s="9" t="str">
        <f ca="1">IFERROR(__xludf.DUMMYFUNCTION("""COMPUTED_VALUE"""),"2018-2022")</f>
        <v>2018-2022</v>
      </c>
      <c r="M348" s="9" t="str">
        <f ca="1">IFERROR(__xludf.DUMMYFUNCTION("""COMPUTED_VALUE"""),"S4: Student Certifications")</f>
        <v>S4: Student Certifications</v>
      </c>
      <c r="N348" s="9" t="str">
        <f ca="1">IFERROR(__xludf.DUMMYFUNCTION("""COMPUTED_VALUE"""),"pitlachandana@gmail.com")</f>
        <v>pitlachandana@gmail.com</v>
      </c>
      <c r="O348" s="9" t="str">
        <f ca="1">IFERROR(__xludf.DUMMYFUNCTION("""COMPUTED_VALUE"""),"SEM-8")</f>
        <v>SEM-8</v>
      </c>
      <c r="P348" s="9"/>
      <c r="Q348" s="9"/>
      <c r="R348" s="9"/>
      <c r="S348" s="9"/>
      <c r="T348" s="9"/>
      <c r="U348" s="9"/>
      <c r="V348" s="9"/>
      <c r="W348" s="9"/>
      <c r="X348" s="9"/>
      <c r="Y348" s="9"/>
    </row>
    <row r="349" spans="1:25" ht="26.25" customHeight="1" x14ac:dyDescent="0.15">
      <c r="A349" s="9" t="str">
        <f ca="1">IFERROR(__xludf.DUMMYFUNCTION("""COMPUTED_VALUE"""),"Mallavarapu Tejaswi")</f>
        <v>Mallavarapu Tejaswi</v>
      </c>
      <c r="B349" s="9" t="str">
        <f ca="1">IFERROR(__xludf.DUMMYFUNCTION("""COMPUTED_VALUE"""),"18331A0591")</f>
        <v>18331A0591</v>
      </c>
      <c r="C349" s="78" t="str">
        <f ca="1">IFERROR(__xludf.DUMMYFUNCTION("""COMPUTED_VALUE"""),"Introduction to Cybersecurity")</f>
        <v>Introduction to Cybersecurity</v>
      </c>
      <c r="D349" s="9" t="str">
        <f ca="1">IFERROR(__xludf.DUMMYFUNCTION("""COMPUTED_VALUE"""),"Cisco")</f>
        <v>Cisco</v>
      </c>
      <c r="E349" s="9" t="str">
        <f ca="1">IFERROR(__xludf.DUMMYFUNCTION("""COMPUTED_VALUE"""),"1")</f>
        <v>1</v>
      </c>
      <c r="F349" s="79">
        <f ca="1">IFERROR(__xludf.DUMMYFUNCTION("""COMPUTED_VALUE"""),44660)</f>
        <v>44660</v>
      </c>
      <c r="G349" s="79">
        <f ca="1">IFERROR(__xludf.DUMMYFUNCTION("""COMPUTED_VALUE"""),44302)</f>
        <v>44302</v>
      </c>
      <c r="H349" s="72">
        <f ca="1">IFERROR(__xludf.DUMMYFUNCTION("""COMPUTED_VALUE"""),44302)</f>
        <v>44302</v>
      </c>
      <c r="I349" s="80">
        <f ca="1">IFERROR(__xludf.DUMMYFUNCTION("""COMPUTED_VALUE"""),100)</f>
        <v>100</v>
      </c>
      <c r="J349" s="9" t="str">
        <f ca="1">IFERROR(__xludf.DUMMYFUNCTION("""COMPUTED_VALUE"""),"Dr. P Ravi kiran Varma")</f>
        <v>Dr. P Ravi kiran Varma</v>
      </c>
      <c r="K349" s="73" t="str">
        <f ca="1">IFERROR(__xludf.DUMMYFUNCTION("""COMPUTED_VALUE"""),"https://drive.google.com/open?id=1EoNPL_1E82X1InuZl-Fo7mxvYqTLOY7X")</f>
        <v>https://drive.google.com/open?id=1EoNPL_1E82X1InuZl-Fo7mxvYqTLOY7X</v>
      </c>
      <c r="L349" s="9" t="str">
        <f ca="1">IFERROR(__xludf.DUMMYFUNCTION("""COMPUTED_VALUE"""),"2018-2022")</f>
        <v>2018-2022</v>
      </c>
      <c r="M349" s="9" t="str">
        <f ca="1">IFERROR(__xludf.DUMMYFUNCTION("""COMPUTED_VALUE"""),"S4: Student Certifications")</f>
        <v>S4: Student Certifications</v>
      </c>
      <c r="N349" s="9" t="str">
        <f ca="1">IFERROR(__xludf.DUMMYFUNCTION("""COMPUTED_VALUE"""),"Mallavarapu.tejaswi@gmail.com")</f>
        <v>Mallavarapu.tejaswi@gmail.com</v>
      </c>
      <c r="O349" s="9" t="str">
        <f ca="1">IFERROR(__xludf.DUMMYFUNCTION("""COMPUTED_VALUE"""),"SEM-8")</f>
        <v>SEM-8</v>
      </c>
      <c r="P349" s="9"/>
      <c r="Q349" s="9"/>
      <c r="R349" s="9"/>
      <c r="S349" s="9"/>
      <c r="T349" s="9"/>
      <c r="U349" s="9"/>
      <c r="V349" s="9"/>
      <c r="W349" s="9"/>
      <c r="X349" s="9"/>
      <c r="Y349" s="9"/>
    </row>
    <row r="350" spans="1:25" ht="26.25" customHeight="1" x14ac:dyDescent="0.15">
      <c r="A350" s="9" t="str">
        <f ca="1">IFERROR(__xludf.DUMMYFUNCTION("""COMPUTED_VALUE"""),"Sruthi")</f>
        <v>Sruthi</v>
      </c>
      <c r="B350" s="9" t="str">
        <f ca="1">IFERROR(__xludf.DUMMYFUNCTION("""COMPUTED_VALUE"""),"18331A05C5")</f>
        <v>18331A05C5</v>
      </c>
      <c r="C350" s="78" t="str">
        <f ca="1">IFERROR(__xludf.DUMMYFUNCTION("""COMPUTED_VALUE"""),"AI FOR EVERYONE")</f>
        <v>AI FOR EVERYONE</v>
      </c>
      <c r="D350" s="9" t="str">
        <f ca="1">IFERROR(__xludf.DUMMYFUNCTION("""COMPUTED_VALUE"""),"COURSERA")</f>
        <v>COURSERA</v>
      </c>
      <c r="E350" s="9" t="str">
        <f ca="1">IFERROR(__xludf.DUMMYFUNCTION("""COMPUTED_VALUE"""),"20DAYS")</f>
        <v>20DAYS</v>
      </c>
      <c r="F350" s="79">
        <f ca="1">IFERROR(__xludf.DUMMYFUNCTION("""COMPUTED_VALUE"""),43925)</f>
        <v>43925</v>
      </c>
      <c r="G350" s="79">
        <f ca="1">IFERROR(__xludf.DUMMYFUNCTION("""COMPUTED_VALUE"""),43945)</f>
        <v>43945</v>
      </c>
      <c r="H350" s="72">
        <f ca="1">IFERROR(__xludf.DUMMYFUNCTION("""COMPUTED_VALUE"""),43945)</f>
        <v>43945</v>
      </c>
      <c r="I350" s="80">
        <f ca="1">IFERROR(__xludf.DUMMYFUNCTION("""COMPUTED_VALUE"""),100)</f>
        <v>100</v>
      </c>
      <c r="J350" s="9" t="str">
        <f ca="1">IFERROR(__xludf.DUMMYFUNCTION("""COMPUTED_VALUE"""),"NA")</f>
        <v>NA</v>
      </c>
      <c r="K350" s="73" t="str">
        <f ca="1">IFERROR(__xludf.DUMMYFUNCTION("""COMPUTED_VALUE"""),"https://drive.google.com/open?id=1I3FsKgZVcxoWW5NeYzNV2ZxGBoIbCnKe")</f>
        <v>https://drive.google.com/open?id=1I3FsKgZVcxoWW5NeYzNV2ZxGBoIbCnKe</v>
      </c>
      <c r="L350" s="9" t="str">
        <f ca="1">IFERROR(__xludf.DUMMYFUNCTION("""COMPUTED_VALUE"""),"2018-2022")</f>
        <v>2018-2022</v>
      </c>
      <c r="M350" s="9" t="str">
        <f ca="1">IFERROR(__xludf.DUMMYFUNCTION("""COMPUTED_VALUE"""),"S4: Student Certifications")</f>
        <v>S4: Student Certifications</v>
      </c>
      <c r="N350" s="9" t="str">
        <f ca="1">IFERROR(__xludf.DUMMYFUNCTION("""COMPUTED_VALUE"""),"sruthirokalla369@gmail.com")</f>
        <v>sruthirokalla369@gmail.com</v>
      </c>
      <c r="O350" s="9" t="str">
        <f ca="1">IFERROR(__xludf.DUMMYFUNCTION("""COMPUTED_VALUE"""),"SEM-8")</f>
        <v>SEM-8</v>
      </c>
      <c r="P350" s="9"/>
      <c r="Q350" s="9"/>
      <c r="R350" s="9"/>
      <c r="S350" s="9"/>
      <c r="T350" s="9"/>
      <c r="U350" s="9"/>
      <c r="V350" s="9"/>
      <c r="W350" s="9"/>
      <c r="X350" s="9"/>
      <c r="Y350" s="9"/>
    </row>
    <row r="351" spans="1:25" ht="26.25" customHeight="1" x14ac:dyDescent="0.15">
      <c r="A351" s="9" t="str">
        <f ca="1">IFERROR(__xludf.DUMMYFUNCTION("""COMPUTED_VALUE"""),"SOWMYA SHREE")</f>
        <v>SOWMYA SHREE</v>
      </c>
      <c r="B351" s="9" t="str">
        <f ca="1">IFERROR(__xludf.DUMMYFUNCTION("""COMPUTED_VALUE"""),"18331A0562")</f>
        <v>18331A0562</v>
      </c>
      <c r="C351" s="78" t="str">
        <f ca="1">IFERROR(__xludf.DUMMYFUNCTION("""COMPUTED_VALUE"""),"DEEP LEARNING.AI")</f>
        <v>DEEP LEARNING.AI</v>
      </c>
      <c r="D351" s="9" t="str">
        <f ca="1">IFERROR(__xludf.DUMMYFUNCTION("""COMPUTED_VALUE"""),"COURSERA")</f>
        <v>COURSERA</v>
      </c>
      <c r="E351" s="9" t="str">
        <f ca="1">IFERROR(__xludf.DUMMYFUNCTION("""COMPUTED_VALUE"""),"5 WEEKS")</f>
        <v>5 WEEKS</v>
      </c>
      <c r="F351" s="79">
        <f ca="1">IFERROR(__xludf.DUMMYFUNCTION("""COMPUTED_VALUE"""),43924)</f>
        <v>43924</v>
      </c>
      <c r="G351" s="79">
        <f ca="1">IFERROR(__xludf.DUMMYFUNCTION("""COMPUTED_VALUE"""),43961)</f>
        <v>43961</v>
      </c>
      <c r="H351" s="72">
        <f ca="1">IFERROR(__xludf.DUMMYFUNCTION("""COMPUTED_VALUE"""),43961)</f>
        <v>43961</v>
      </c>
      <c r="I351" s="80">
        <f ca="1">IFERROR(__xludf.DUMMYFUNCTION("""COMPUTED_VALUE"""),100)</f>
        <v>100</v>
      </c>
      <c r="J351" s="9" t="str">
        <f ca="1">IFERROR(__xludf.DUMMYFUNCTION("""COMPUTED_VALUE"""),"Andrew Ng")</f>
        <v>Andrew Ng</v>
      </c>
      <c r="K351" s="73" t="str">
        <f ca="1">IFERROR(__xludf.DUMMYFUNCTION("""COMPUTED_VALUE"""),"https://drive.google.com/open?id=1kFaXnM7AKbPqvJ7OkEBuEez0r0yNOk4J")</f>
        <v>https://drive.google.com/open?id=1kFaXnM7AKbPqvJ7OkEBuEez0r0yNOk4J</v>
      </c>
      <c r="L351" s="9" t="str">
        <f ca="1">IFERROR(__xludf.DUMMYFUNCTION("""COMPUTED_VALUE"""),"2018-2022")</f>
        <v>2018-2022</v>
      </c>
      <c r="M351" s="9" t="str">
        <f ca="1">IFERROR(__xludf.DUMMYFUNCTION("""COMPUTED_VALUE"""),"S4: Student Certifications")</f>
        <v>S4: Student Certifications</v>
      </c>
      <c r="N351" s="9" t="str">
        <f ca="1">IFERROR(__xludf.DUMMYFUNCTION("""COMPUTED_VALUE"""),"sowmyakalidindi.01@gmail.com")</f>
        <v>sowmyakalidindi.01@gmail.com</v>
      </c>
      <c r="O351" s="9" t="str">
        <f ca="1">IFERROR(__xludf.DUMMYFUNCTION("""COMPUTED_VALUE"""),"SEM-8")</f>
        <v>SEM-8</v>
      </c>
      <c r="P351" s="9"/>
      <c r="Q351" s="9"/>
      <c r="R351" s="9"/>
      <c r="S351" s="9"/>
      <c r="T351" s="9"/>
      <c r="U351" s="9"/>
      <c r="V351" s="9"/>
      <c r="W351" s="9"/>
      <c r="X351" s="9"/>
      <c r="Y351" s="9"/>
    </row>
    <row r="352" spans="1:25" ht="26.25" customHeight="1" x14ac:dyDescent="0.15">
      <c r="A352" s="9" t="str">
        <f ca="1">IFERROR(__xludf.DUMMYFUNCTION("""COMPUTED_VALUE"""),"Mallavarapu Tejaswi")</f>
        <v>Mallavarapu Tejaswi</v>
      </c>
      <c r="B352" s="9" t="str">
        <f ca="1">IFERROR(__xludf.DUMMYFUNCTION("""COMPUTED_VALUE"""),"18331A0591")</f>
        <v>18331A0591</v>
      </c>
      <c r="C352" s="78" t="str">
        <f ca="1">IFERROR(__xludf.DUMMYFUNCTION("""COMPUTED_VALUE""")," Programming Essentials in C")</f>
        <v xml:space="preserve"> Programming Essentials in C</v>
      </c>
      <c r="D352" s="9" t="str">
        <f ca="1">IFERROR(__xludf.DUMMYFUNCTION("""COMPUTED_VALUE"""),"Cisco")</f>
        <v>Cisco</v>
      </c>
      <c r="E352" s="9" t="str">
        <f ca="1">IFERROR(__xludf.DUMMYFUNCTION("""COMPUTED_VALUE"""),"1")</f>
        <v>1</v>
      </c>
      <c r="F352" s="79">
        <f ca="1">IFERROR(__xludf.DUMMYFUNCTION("""COMPUTED_VALUE"""),43642)</f>
        <v>43642</v>
      </c>
      <c r="G352" s="79">
        <f ca="1">IFERROR(__xludf.DUMMYFUNCTION("""COMPUTED_VALUE"""),43672)</f>
        <v>43672</v>
      </c>
      <c r="H352" s="72">
        <f ca="1">IFERROR(__xludf.DUMMYFUNCTION("""COMPUTED_VALUE"""),43672)</f>
        <v>43672</v>
      </c>
      <c r="I352" s="80">
        <f ca="1">IFERROR(__xludf.DUMMYFUNCTION("""COMPUTED_VALUE"""),100)</f>
        <v>100</v>
      </c>
      <c r="J352" s="9" t="str">
        <f ca="1">IFERROR(__xludf.DUMMYFUNCTION("""COMPUTED_VALUE"""),"Subba Raju K V")</f>
        <v>Subba Raju K V</v>
      </c>
      <c r="K352" s="73" t="str">
        <f ca="1">IFERROR(__xludf.DUMMYFUNCTION("""COMPUTED_VALUE"""),"https://drive.google.com/open?id=18pgc0gm0hmGPJP9oH8JCJDHPND5ntMnR")</f>
        <v>https://drive.google.com/open?id=18pgc0gm0hmGPJP9oH8JCJDHPND5ntMnR</v>
      </c>
      <c r="L352" s="9" t="str">
        <f ca="1">IFERROR(__xludf.DUMMYFUNCTION("""COMPUTED_VALUE"""),"2018-2022")</f>
        <v>2018-2022</v>
      </c>
      <c r="M352" s="9" t="str">
        <f ca="1">IFERROR(__xludf.DUMMYFUNCTION("""COMPUTED_VALUE"""),"S4: Student Certifications")</f>
        <v>S4: Student Certifications</v>
      </c>
      <c r="N352" s="9" t="str">
        <f ca="1">IFERROR(__xludf.DUMMYFUNCTION("""COMPUTED_VALUE"""),"Mallavarapu.tejaswi@gmail.com")</f>
        <v>Mallavarapu.tejaswi@gmail.com</v>
      </c>
      <c r="O352" s="9" t="str">
        <f ca="1">IFERROR(__xludf.DUMMYFUNCTION("""COMPUTED_VALUE"""),"SEM-8")</f>
        <v>SEM-8</v>
      </c>
      <c r="P352" s="9"/>
      <c r="Q352" s="9"/>
      <c r="R352" s="9"/>
      <c r="S352" s="9"/>
      <c r="T352" s="9"/>
      <c r="U352" s="9"/>
      <c r="V352" s="9"/>
      <c r="W352" s="9"/>
      <c r="X352" s="9"/>
      <c r="Y352" s="9"/>
    </row>
    <row r="353" spans="1:25" ht="26.25" customHeight="1" x14ac:dyDescent="0.15">
      <c r="A353" s="9" t="str">
        <f ca="1">IFERROR(__xludf.DUMMYFUNCTION("""COMPUTED_VALUE"""),"CHANDANA PITLA")</f>
        <v>CHANDANA PITLA</v>
      </c>
      <c r="B353" s="9" t="str">
        <f ca="1">IFERROR(__xludf.DUMMYFUNCTION("""COMPUTED_VALUE"""),"18331A05C1")</f>
        <v>18331A05C1</v>
      </c>
      <c r="C353" s="78" t="str">
        <f ca="1">IFERROR(__xludf.DUMMYFUNCTION("""COMPUTED_VALUE"""),"CYBERSECURITY essentials")</f>
        <v>CYBERSECURITY essentials</v>
      </c>
      <c r="D353" s="9" t="str">
        <f ca="1">IFERROR(__xludf.DUMMYFUNCTION("""COMPUTED_VALUE"""),"CISCO")</f>
        <v>CISCO</v>
      </c>
      <c r="E353" s="9" t="str">
        <f ca="1">IFERROR(__xludf.DUMMYFUNCTION("""COMPUTED_VALUE"""),"2 months")</f>
        <v>2 months</v>
      </c>
      <c r="F353" s="79">
        <f ca="1">IFERROR(__xludf.DUMMYFUNCTION("""COMPUTED_VALUE"""),44348)</f>
        <v>44348</v>
      </c>
      <c r="G353" s="79">
        <f ca="1">IFERROR(__xludf.DUMMYFUNCTION("""COMPUTED_VALUE"""),44403)</f>
        <v>44403</v>
      </c>
      <c r="H353" s="72">
        <f ca="1">IFERROR(__xludf.DUMMYFUNCTION("""COMPUTED_VALUE"""),44404)</f>
        <v>44404</v>
      </c>
      <c r="I353" s="80">
        <f ca="1">IFERROR(__xludf.DUMMYFUNCTION("""COMPUTED_VALUE"""),89)</f>
        <v>89</v>
      </c>
      <c r="J353" s="9" t="str">
        <f ca="1">IFERROR(__xludf.DUMMYFUNCTION("""COMPUTED_VALUE"""),"RAVIKIRAN VARMA")</f>
        <v>RAVIKIRAN VARMA</v>
      </c>
      <c r="K353" s="73" t="str">
        <f ca="1">IFERROR(__xludf.DUMMYFUNCTION("""COMPUTED_VALUE"""),"https://drive.google.com/open?id=1mLca-pf2cnjAaPzLwB8dZU0P4r-iP5-v")</f>
        <v>https://drive.google.com/open?id=1mLca-pf2cnjAaPzLwB8dZU0P4r-iP5-v</v>
      </c>
      <c r="L353" s="9" t="str">
        <f ca="1">IFERROR(__xludf.DUMMYFUNCTION("""COMPUTED_VALUE"""),"2018-2022")</f>
        <v>2018-2022</v>
      </c>
      <c r="M353" s="9" t="str">
        <f ca="1">IFERROR(__xludf.DUMMYFUNCTION("""COMPUTED_VALUE"""),"S4: Student Certifications")</f>
        <v>S4: Student Certifications</v>
      </c>
      <c r="N353" s="9" t="str">
        <f ca="1">IFERROR(__xludf.DUMMYFUNCTION("""COMPUTED_VALUE"""),"pitlachandana@gmail.com")</f>
        <v>pitlachandana@gmail.com</v>
      </c>
      <c r="O353" s="9" t="str">
        <f ca="1">IFERROR(__xludf.DUMMYFUNCTION("""COMPUTED_VALUE"""),"SEM-8")</f>
        <v>SEM-8</v>
      </c>
      <c r="P353" s="9"/>
      <c r="Q353" s="9"/>
      <c r="R353" s="9"/>
      <c r="S353" s="9"/>
      <c r="T353" s="9"/>
      <c r="U353" s="9"/>
      <c r="V353" s="9"/>
      <c r="W353" s="9"/>
      <c r="X353" s="9"/>
      <c r="Y353" s="9"/>
    </row>
    <row r="354" spans="1:25" ht="26.25" customHeight="1" x14ac:dyDescent="0.15">
      <c r="A354" s="9" t="str">
        <f ca="1">IFERROR(__xludf.DUMMYFUNCTION("""COMPUTED_VALUE"""),"sruthi")</f>
        <v>sruthi</v>
      </c>
      <c r="B354" s="9" t="str">
        <f ca="1">IFERROR(__xludf.DUMMYFUNCTION("""COMPUTED_VALUE"""),"18331A05C5")</f>
        <v>18331A05C5</v>
      </c>
      <c r="C354" s="78" t="str">
        <f ca="1">IFERROR(__xludf.DUMMYFUNCTION("""COMPUTED_VALUE"""),"python programming")</f>
        <v>python programming</v>
      </c>
      <c r="D354" s="9" t="str">
        <f ca="1">IFERROR(__xludf.DUMMYFUNCTION("""COMPUTED_VALUE"""),"coursera")</f>
        <v>coursera</v>
      </c>
      <c r="E354" s="9" t="str">
        <f ca="1">IFERROR(__xludf.DUMMYFUNCTION("""COMPUTED_VALUE"""),"1 month")</f>
        <v>1 month</v>
      </c>
      <c r="F354" s="79">
        <f ca="1">IFERROR(__xludf.DUMMYFUNCTION("""COMPUTED_VALUE"""),43926)</f>
        <v>43926</v>
      </c>
      <c r="G354" s="79">
        <f ca="1">IFERROR(__xludf.DUMMYFUNCTION("""COMPUTED_VALUE"""),43956)</f>
        <v>43956</v>
      </c>
      <c r="H354" s="72">
        <f ca="1">IFERROR(__xludf.DUMMYFUNCTION("""COMPUTED_VALUE"""),43956)</f>
        <v>43956</v>
      </c>
      <c r="I354" s="80">
        <f ca="1">IFERROR(__xludf.DUMMYFUNCTION("""COMPUTED_VALUE"""),0.95)</f>
        <v>0.95</v>
      </c>
      <c r="J354" s="9" t="str">
        <f ca="1">IFERROR(__xludf.DUMMYFUNCTION("""COMPUTED_VALUE"""),"na")</f>
        <v>na</v>
      </c>
      <c r="K354" s="73" t="str">
        <f ca="1">IFERROR(__xludf.DUMMYFUNCTION("""COMPUTED_VALUE"""),"https://drive.google.com/open?id=1fD-93RwXXhC0K5ycSPrdDptYbiWhn34J")</f>
        <v>https://drive.google.com/open?id=1fD-93RwXXhC0K5ycSPrdDptYbiWhn34J</v>
      </c>
      <c r="L354" s="9" t="str">
        <f ca="1">IFERROR(__xludf.DUMMYFUNCTION("""COMPUTED_VALUE"""),"2018-2022")</f>
        <v>2018-2022</v>
      </c>
      <c r="M354" s="9" t="str">
        <f ca="1">IFERROR(__xludf.DUMMYFUNCTION("""COMPUTED_VALUE"""),"S4: Student Certifications")</f>
        <v>S4: Student Certifications</v>
      </c>
      <c r="N354" s="9" t="str">
        <f ca="1">IFERROR(__xludf.DUMMYFUNCTION("""COMPUTED_VALUE"""),"sruthirokalla369@gmail.com")</f>
        <v>sruthirokalla369@gmail.com</v>
      </c>
      <c r="O354" s="9" t="str">
        <f ca="1">IFERROR(__xludf.DUMMYFUNCTION("""COMPUTED_VALUE"""),"SEM-8")</f>
        <v>SEM-8</v>
      </c>
      <c r="P354" s="9"/>
      <c r="Q354" s="9"/>
      <c r="R354" s="9"/>
      <c r="S354" s="9"/>
      <c r="T354" s="9"/>
      <c r="U354" s="9"/>
      <c r="V354" s="9"/>
      <c r="W354" s="9"/>
      <c r="X354" s="9"/>
      <c r="Y354" s="9"/>
    </row>
    <row r="355" spans="1:25" ht="26.25" customHeight="1" x14ac:dyDescent="0.15">
      <c r="A355" s="9" t="str">
        <f ca="1">IFERROR(__xludf.DUMMYFUNCTION("""COMPUTED_VALUE"""),"SOWMYA SHREE ")</f>
        <v xml:space="preserve">SOWMYA SHREE </v>
      </c>
      <c r="B355" s="9" t="str">
        <f ca="1">IFERROR(__xludf.DUMMYFUNCTION("""COMPUTED_VALUE"""),"18331A0562")</f>
        <v>18331A0562</v>
      </c>
      <c r="C355" s="78" t="str">
        <f ca="1">IFERROR(__xludf.DUMMYFUNCTION("""COMPUTED_VALUE"""),"Programming for everybody")</f>
        <v>Programming for everybody</v>
      </c>
      <c r="D355" s="9" t="str">
        <f ca="1">IFERROR(__xludf.DUMMYFUNCTION("""COMPUTED_VALUE"""),"COURSERA")</f>
        <v>COURSERA</v>
      </c>
      <c r="E355" s="9" t="str">
        <f ca="1">IFERROR(__xludf.DUMMYFUNCTION("""COMPUTED_VALUE"""),"7 WEEKS")</f>
        <v>7 WEEKS</v>
      </c>
      <c r="F355" s="79">
        <f ca="1">IFERROR(__xludf.DUMMYFUNCTION("""COMPUTED_VALUE"""),43924)</f>
        <v>43924</v>
      </c>
      <c r="G355" s="79">
        <f ca="1">IFERROR(__xludf.DUMMYFUNCTION("""COMPUTED_VALUE"""),43968)</f>
        <v>43968</v>
      </c>
      <c r="H355" s="72">
        <f ca="1">IFERROR(__xludf.DUMMYFUNCTION("""COMPUTED_VALUE"""),43968)</f>
        <v>43968</v>
      </c>
      <c r="I355" s="80">
        <f ca="1">IFERROR(__xludf.DUMMYFUNCTION("""COMPUTED_VALUE"""),100)</f>
        <v>100</v>
      </c>
      <c r="J355" s="9" t="str">
        <f ca="1">IFERROR(__xludf.DUMMYFUNCTION("""COMPUTED_VALUE"""),"Charles Severance")</f>
        <v>Charles Severance</v>
      </c>
      <c r="K355" s="73" t="str">
        <f ca="1">IFERROR(__xludf.DUMMYFUNCTION("""COMPUTED_VALUE"""),"https://drive.google.com/open?id=1I29xo311bxhhi0UhASwQ_9tsxhTs0JSF")</f>
        <v>https://drive.google.com/open?id=1I29xo311bxhhi0UhASwQ_9tsxhTs0JSF</v>
      </c>
      <c r="L355" s="9" t="str">
        <f ca="1">IFERROR(__xludf.DUMMYFUNCTION("""COMPUTED_VALUE"""),"2018-2022")</f>
        <v>2018-2022</v>
      </c>
      <c r="M355" s="9" t="str">
        <f ca="1">IFERROR(__xludf.DUMMYFUNCTION("""COMPUTED_VALUE"""),"S4: Student Certifications")</f>
        <v>S4: Student Certifications</v>
      </c>
      <c r="N355" s="9" t="str">
        <f ca="1">IFERROR(__xludf.DUMMYFUNCTION("""COMPUTED_VALUE"""),"sowmyakalidindi.01@gmail.com")</f>
        <v>sowmyakalidindi.01@gmail.com</v>
      </c>
      <c r="O355" s="9" t="str">
        <f ca="1">IFERROR(__xludf.DUMMYFUNCTION("""COMPUTED_VALUE"""),"SEM-8")</f>
        <v>SEM-8</v>
      </c>
      <c r="P355" s="9"/>
      <c r="Q355" s="9"/>
      <c r="R355" s="9"/>
      <c r="S355" s="9"/>
      <c r="T355" s="9"/>
      <c r="U355" s="9"/>
      <c r="V355" s="9"/>
      <c r="W355" s="9"/>
      <c r="X355" s="9"/>
      <c r="Y355" s="9"/>
    </row>
    <row r="356" spans="1:25" ht="26.25" customHeight="1" x14ac:dyDescent="0.15">
      <c r="A356" s="9" t="str">
        <f ca="1">IFERROR(__xludf.DUMMYFUNCTION("""COMPUTED_VALUE"""),"CHANDANA PITLA")</f>
        <v>CHANDANA PITLA</v>
      </c>
      <c r="B356" s="9" t="str">
        <f ca="1">IFERROR(__xludf.DUMMYFUNCTION("""COMPUTED_VALUE"""),"18331A05C1")</f>
        <v>18331A05C1</v>
      </c>
      <c r="C356" s="78" t="str">
        <f ca="1">IFERROR(__xludf.DUMMYFUNCTION("""COMPUTED_VALUE"""),"CLA: Programming essentials with c")</f>
        <v>CLA: Programming essentials with c</v>
      </c>
      <c r="D356" s="9" t="str">
        <f ca="1">IFERROR(__xludf.DUMMYFUNCTION("""COMPUTED_VALUE"""),"Cisco")</f>
        <v>Cisco</v>
      </c>
      <c r="E356" s="9" t="str">
        <f ca="1">IFERROR(__xludf.DUMMYFUNCTION("""COMPUTED_VALUE"""),"4 months")</f>
        <v>4 months</v>
      </c>
      <c r="F356" s="79">
        <f ca="1">IFERROR(__xludf.DUMMYFUNCTION("""COMPUTED_VALUE"""),43647)</f>
        <v>43647</v>
      </c>
      <c r="G356" s="79">
        <f ca="1">IFERROR(__xludf.DUMMYFUNCTION("""COMPUTED_VALUE"""),43681)</f>
        <v>43681</v>
      </c>
      <c r="H356" s="72">
        <f ca="1">IFERROR(__xludf.DUMMYFUNCTION("""COMPUTED_VALUE"""),43803)</f>
        <v>43803</v>
      </c>
      <c r="I356" s="80">
        <f ca="1">IFERROR(__xludf.DUMMYFUNCTION("""COMPUTED_VALUE"""),90)</f>
        <v>90</v>
      </c>
      <c r="J356" s="9" t="str">
        <f ca="1">IFERROR(__xludf.DUMMYFUNCTION("""COMPUTED_VALUE"""),"Dr.P.Ravi Kiran varma")</f>
        <v>Dr.P.Ravi Kiran varma</v>
      </c>
      <c r="K356" s="73" t="str">
        <f ca="1">IFERROR(__xludf.DUMMYFUNCTION("""COMPUTED_VALUE"""),"https://drive.google.com/open?id=1rXxIP0-ycjvngDbWwuTy-ueH2NHTPTs_")</f>
        <v>https://drive.google.com/open?id=1rXxIP0-ycjvngDbWwuTy-ueH2NHTPTs_</v>
      </c>
      <c r="L356" s="9" t="str">
        <f ca="1">IFERROR(__xludf.DUMMYFUNCTION("""COMPUTED_VALUE"""),"2018-2022")</f>
        <v>2018-2022</v>
      </c>
      <c r="M356" s="9" t="str">
        <f ca="1">IFERROR(__xludf.DUMMYFUNCTION("""COMPUTED_VALUE"""),"S4: Student Certifications")</f>
        <v>S4: Student Certifications</v>
      </c>
      <c r="N356" s="9" t="str">
        <f ca="1">IFERROR(__xludf.DUMMYFUNCTION("""COMPUTED_VALUE"""),"pitlachandana@gmail.com")</f>
        <v>pitlachandana@gmail.com</v>
      </c>
      <c r="O356" s="9" t="str">
        <f ca="1">IFERROR(__xludf.DUMMYFUNCTION("""COMPUTED_VALUE"""),"SEM-8")</f>
        <v>SEM-8</v>
      </c>
      <c r="P356" s="9"/>
      <c r="Q356" s="9"/>
      <c r="R356" s="9"/>
      <c r="S356" s="9"/>
      <c r="T356" s="9"/>
      <c r="U356" s="9"/>
      <c r="V356" s="9"/>
      <c r="W356" s="9"/>
      <c r="X356" s="9"/>
      <c r="Y356" s="9"/>
    </row>
    <row r="357" spans="1:25" ht="26.25" customHeight="1" x14ac:dyDescent="0.15">
      <c r="A357" s="9" t="str">
        <f ca="1">IFERROR(__xludf.DUMMYFUNCTION("""COMPUTED_VALUE"""),"Mallavarapu Tejaswi")</f>
        <v>Mallavarapu Tejaswi</v>
      </c>
      <c r="B357" s="9" t="str">
        <f ca="1">IFERROR(__xludf.DUMMYFUNCTION("""COMPUTED_VALUE"""),"18331A0591")</f>
        <v>18331A0591</v>
      </c>
      <c r="C357" s="78" t="str">
        <f ca="1">IFERROR(__xludf.DUMMYFUNCTION("""COMPUTED_VALUE""")," AI For Everyone")</f>
        <v xml:space="preserve"> AI For Everyone</v>
      </c>
      <c r="D357" s="9" t="str">
        <f ca="1">IFERROR(__xludf.DUMMYFUNCTION("""COMPUTED_VALUE"""),"Coursera")</f>
        <v>Coursera</v>
      </c>
      <c r="E357" s="9" t="str">
        <f ca="1">IFERROR(__xludf.DUMMYFUNCTION("""COMPUTED_VALUE"""),"1")</f>
        <v>1</v>
      </c>
      <c r="F357" s="79">
        <f ca="1">IFERROR(__xludf.DUMMYFUNCTION("""COMPUTED_VALUE"""),43953)</f>
        <v>43953</v>
      </c>
      <c r="G357" s="79">
        <f ca="1">IFERROR(__xludf.DUMMYFUNCTION("""COMPUTED_VALUE"""),43984)</f>
        <v>43984</v>
      </c>
      <c r="H357" s="72">
        <f ca="1">IFERROR(__xludf.DUMMYFUNCTION("""COMPUTED_VALUE"""),43984)</f>
        <v>43984</v>
      </c>
      <c r="I357" s="80">
        <f ca="1">IFERROR(__xludf.DUMMYFUNCTION("""COMPUTED_VALUE"""),100)</f>
        <v>100</v>
      </c>
      <c r="J357" s="9" t="str">
        <f ca="1">IFERROR(__xludf.DUMMYFUNCTION("""COMPUTED_VALUE"""),"Coursera")</f>
        <v>Coursera</v>
      </c>
      <c r="K357" s="73" t="str">
        <f ca="1">IFERROR(__xludf.DUMMYFUNCTION("""COMPUTED_VALUE"""),"https://drive.google.com/open?id=1napAuTrFY6jTxUg6igWVS81ratYpZGNx")</f>
        <v>https://drive.google.com/open?id=1napAuTrFY6jTxUg6igWVS81ratYpZGNx</v>
      </c>
      <c r="L357" s="9" t="str">
        <f ca="1">IFERROR(__xludf.DUMMYFUNCTION("""COMPUTED_VALUE"""),"2018-2022")</f>
        <v>2018-2022</v>
      </c>
      <c r="M357" s="9" t="str">
        <f ca="1">IFERROR(__xludf.DUMMYFUNCTION("""COMPUTED_VALUE"""),"S4: Student Certifications")</f>
        <v>S4: Student Certifications</v>
      </c>
      <c r="N357" s="9" t="str">
        <f ca="1">IFERROR(__xludf.DUMMYFUNCTION("""COMPUTED_VALUE"""),"Mallavarapu.tejaswi@gmail.com")</f>
        <v>Mallavarapu.tejaswi@gmail.com</v>
      </c>
      <c r="O357" s="9" t="str">
        <f ca="1">IFERROR(__xludf.DUMMYFUNCTION("""COMPUTED_VALUE"""),"SEM-8")</f>
        <v>SEM-8</v>
      </c>
      <c r="P357" s="9"/>
      <c r="Q357" s="9"/>
      <c r="R357" s="9"/>
      <c r="S357" s="9"/>
      <c r="T357" s="9"/>
      <c r="U357" s="9"/>
      <c r="V357" s="9"/>
      <c r="W357" s="9"/>
      <c r="X357" s="9"/>
      <c r="Y357" s="9"/>
    </row>
    <row r="358" spans="1:25" ht="26.25" customHeight="1" x14ac:dyDescent="0.15">
      <c r="A358" s="9" t="str">
        <f ca="1">IFERROR(__xludf.DUMMYFUNCTION("""COMPUTED_VALUE"""),"sruthi")</f>
        <v>sruthi</v>
      </c>
      <c r="B358" s="9" t="str">
        <f ca="1">IFERROR(__xludf.DUMMYFUNCTION("""COMPUTED_VALUE"""),"18331A05C5")</f>
        <v>18331A05C5</v>
      </c>
      <c r="C358" s="78" t="str">
        <f ca="1">IFERROR(__xludf.DUMMYFUNCTION("""COMPUTED_VALUE"""),"CLA : programming essentials with c")</f>
        <v>CLA : programming essentials with c</v>
      </c>
      <c r="D358" s="9" t="str">
        <f ca="1">IFERROR(__xludf.DUMMYFUNCTION("""COMPUTED_VALUE"""),"CISCO")</f>
        <v>CISCO</v>
      </c>
      <c r="E358" s="9" t="str">
        <f ca="1">IFERROR(__xludf.DUMMYFUNCTION("""COMPUTED_VALUE"""),"4 MONTHS")</f>
        <v>4 MONTHS</v>
      </c>
      <c r="F358" s="79">
        <f ca="1">IFERROR(__xludf.DUMMYFUNCTION("""COMPUTED_VALUE"""),43472)</f>
        <v>43472</v>
      </c>
      <c r="G358" s="79">
        <f ca="1">IFERROR(__xludf.DUMMYFUNCTION("""COMPUTED_VALUE"""),43563)</f>
        <v>43563</v>
      </c>
      <c r="H358" s="72">
        <f ca="1">IFERROR(__xludf.DUMMYFUNCTION("""COMPUTED_VALUE"""),43567)</f>
        <v>43567</v>
      </c>
      <c r="I358" s="80">
        <f ca="1">IFERROR(__xludf.DUMMYFUNCTION("""COMPUTED_VALUE"""),0.9)</f>
        <v>0.9</v>
      </c>
      <c r="J358" s="9" t="str">
        <f ca="1">IFERROR(__xludf.DUMMYFUNCTION("""COMPUTED_VALUE"""),"DR.P.RAVI KIRAN VARMA")</f>
        <v>DR.P.RAVI KIRAN VARMA</v>
      </c>
      <c r="K358" s="73" t="str">
        <f ca="1">IFERROR(__xludf.DUMMYFUNCTION("""COMPUTED_VALUE"""),"https://drive.google.com/open?id=10jN8ft_iXeXc4DHwstW5z-1I0QAWcWtR")</f>
        <v>https://drive.google.com/open?id=10jN8ft_iXeXc4DHwstW5z-1I0QAWcWtR</v>
      </c>
      <c r="L358" s="9" t="str">
        <f ca="1">IFERROR(__xludf.DUMMYFUNCTION("""COMPUTED_VALUE"""),"2018-2022")</f>
        <v>2018-2022</v>
      </c>
      <c r="M358" s="9" t="str">
        <f ca="1">IFERROR(__xludf.DUMMYFUNCTION("""COMPUTED_VALUE"""),"S4: Student Certifications")</f>
        <v>S4: Student Certifications</v>
      </c>
      <c r="N358" s="9" t="str">
        <f ca="1">IFERROR(__xludf.DUMMYFUNCTION("""COMPUTED_VALUE"""),"sruthirokalla369@gmail.com")</f>
        <v>sruthirokalla369@gmail.com</v>
      </c>
      <c r="O358" s="9" t="str">
        <f ca="1">IFERROR(__xludf.DUMMYFUNCTION("""COMPUTED_VALUE"""),"SEM-8")</f>
        <v>SEM-8</v>
      </c>
      <c r="P358" s="9"/>
      <c r="Q358" s="9"/>
      <c r="R358" s="9"/>
      <c r="S358" s="9"/>
      <c r="T358" s="9"/>
      <c r="U358" s="9"/>
      <c r="V358" s="9"/>
      <c r="W358" s="9"/>
      <c r="X358" s="9"/>
      <c r="Y358" s="9"/>
    </row>
    <row r="359" spans="1:25" ht="26.25" customHeight="1" x14ac:dyDescent="0.15">
      <c r="A359" s="9" t="str">
        <f ca="1">IFERROR(__xludf.DUMMYFUNCTION("""COMPUTED_VALUE"""),"SOWMYA SHREE ")</f>
        <v xml:space="preserve">SOWMYA SHREE </v>
      </c>
      <c r="B359" s="9" t="str">
        <f ca="1">IFERROR(__xludf.DUMMYFUNCTION("""COMPUTED_VALUE"""),"18331A0562")</f>
        <v>18331A0562</v>
      </c>
      <c r="C359" s="78" t="str">
        <f ca="1">IFERROR(__xludf.DUMMYFUNCTION("""COMPUTED_VALUE"""),"Design Thinking for Innovation")</f>
        <v>Design Thinking for Innovation</v>
      </c>
      <c r="D359" s="9" t="str">
        <f ca="1">IFERROR(__xludf.DUMMYFUNCTION("""COMPUTED_VALUE"""),"COURSERA")</f>
        <v>COURSERA</v>
      </c>
      <c r="E359" s="9" t="str">
        <f ca="1">IFERROR(__xludf.DUMMYFUNCTION("""COMPUTED_VALUE"""),"6 WEEKS")</f>
        <v>6 WEEKS</v>
      </c>
      <c r="F359" s="79">
        <f ca="1">IFERROR(__xludf.DUMMYFUNCTION("""COMPUTED_VALUE"""),43974)</f>
        <v>43974</v>
      </c>
      <c r="G359" s="79">
        <f ca="1">IFERROR(__xludf.DUMMYFUNCTION("""COMPUTED_VALUE"""),44016)</f>
        <v>44016</v>
      </c>
      <c r="H359" s="72">
        <f ca="1">IFERROR(__xludf.DUMMYFUNCTION("""COMPUTED_VALUE"""),44016)</f>
        <v>44016</v>
      </c>
      <c r="I359" s="80">
        <f ca="1">IFERROR(__xludf.DUMMYFUNCTION("""COMPUTED_VALUE"""),100)</f>
        <v>100</v>
      </c>
      <c r="J359" s="9" t="str">
        <f ca="1">IFERROR(__xludf.DUMMYFUNCTION("""COMPUTED_VALUE"""),"JEANNE M LIEDTKA")</f>
        <v>JEANNE M LIEDTKA</v>
      </c>
      <c r="K359" s="73" t="str">
        <f ca="1">IFERROR(__xludf.DUMMYFUNCTION("""COMPUTED_VALUE"""),"https://drive.google.com/open?id=1BEfNeiiEu9LMjljlAsteG1kp_wTycme-")</f>
        <v>https://drive.google.com/open?id=1BEfNeiiEu9LMjljlAsteG1kp_wTycme-</v>
      </c>
      <c r="L359" s="9" t="str">
        <f ca="1">IFERROR(__xludf.DUMMYFUNCTION("""COMPUTED_VALUE"""),"2018-2022")</f>
        <v>2018-2022</v>
      </c>
      <c r="M359" s="9" t="str">
        <f ca="1">IFERROR(__xludf.DUMMYFUNCTION("""COMPUTED_VALUE"""),"S4: Student Certifications")</f>
        <v>S4: Student Certifications</v>
      </c>
      <c r="N359" s="9" t="str">
        <f ca="1">IFERROR(__xludf.DUMMYFUNCTION("""COMPUTED_VALUE"""),"sowmyakalidindi.01@gmail.com")</f>
        <v>sowmyakalidindi.01@gmail.com</v>
      </c>
      <c r="O359" s="9" t="str">
        <f ca="1">IFERROR(__xludf.DUMMYFUNCTION("""COMPUTED_VALUE"""),"SEM-8")</f>
        <v>SEM-8</v>
      </c>
      <c r="P359" s="9"/>
      <c r="Q359" s="9"/>
      <c r="R359" s="9"/>
      <c r="S359" s="9"/>
      <c r="T359" s="9"/>
      <c r="U359" s="9"/>
      <c r="V359" s="9"/>
      <c r="W359" s="9"/>
      <c r="X359" s="9"/>
      <c r="Y359" s="9"/>
    </row>
    <row r="360" spans="1:25" ht="26.25" customHeight="1" x14ac:dyDescent="0.15">
      <c r="A360" s="9" t="str">
        <f ca="1">IFERROR(__xludf.DUMMYFUNCTION("""COMPUTED_VALUE"""),"KARUNA SRI PITHANI")</f>
        <v>KARUNA SRI PITHANI</v>
      </c>
      <c r="B360" s="9" t="str">
        <f ca="1">IFERROR(__xludf.DUMMYFUNCTION("""COMPUTED_VALUE"""),"18331A0572")</f>
        <v>18331A0572</v>
      </c>
      <c r="C360" s="78" t="str">
        <f ca="1">IFERROR(__xludf.DUMMYFUNCTION("""COMPUTED_VALUE"""),"Introduction to Cybersecurity")</f>
        <v>Introduction to Cybersecurity</v>
      </c>
      <c r="D360" s="9" t="str">
        <f ca="1">IFERROR(__xludf.DUMMYFUNCTION("""COMPUTED_VALUE"""),"Cisco Networking Academy")</f>
        <v>Cisco Networking Academy</v>
      </c>
      <c r="E360" s="9" t="str">
        <f ca="1">IFERROR(__xludf.DUMMYFUNCTION("""COMPUTED_VALUE"""),"2 Months")</f>
        <v>2 Months</v>
      </c>
      <c r="F360" s="79">
        <f ca="1">IFERROR(__xludf.DUMMYFUNCTION("""COMPUTED_VALUE"""),44251)</f>
        <v>44251</v>
      </c>
      <c r="G360" s="79">
        <f ca="1">IFERROR(__xludf.DUMMYFUNCTION("""COMPUTED_VALUE"""),44310)</f>
        <v>44310</v>
      </c>
      <c r="H360" s="72">
        <f ca="1">IFERROR(__xludf.DUMMYFUNCTION("""COMPUTED_VALUE"""),44308)</f>
        <v>44308</v>
      </c>
      <c r="I360" s="80">
        <f ca="1">IFERROR(__xludf.DUMMYFUNCTION("""COMPUTED_VALUE"""),99)</f>
        <v>99</v>
      </c>
      <c r="J360" s="9" t="str">
        <f ca="1">IFERROR(__xludf.DUMMYFUNCTION("""COMPUTED_VALUE"""),"K.V. Subba Raju ")</f>
        <v xml:space="preserve">K.V. Subba Raju </v>
      </c>
      <c r="K360" s="73" t="str">
        <f ca="1">IFERROR(__xludf.DUMMYFUNCTION("""COMPUTED_VALUE"""),"https://drive.google.com/open?id=1V3fybC-DGobMr_SsQLb8jGq39MBPwary")</f>
        <v>https://drive.google.com/open?id=1V3fybC-DGobMr_SsQLb8jGq39MBPwary</v>
      </c>
      <c r="L360" s="9" t="str">
        <f ca="1">IFERROR(__xludf.DUMMYFUNCTION("""COMPUTED_VALUE"""),"2018-2022")</f>
        <v>2018-2022</v>
      </c>
      <c r="M360" s="9" t="str">
        <f ca="1">IFERROR(__xludf.DUMMYFUNCTION("""COMPUTED_VALUE"""),"S4: Student Certifications")</f>
        <v>S4: Student Certifications</v>
      </c>
      <c r="N360" s="9" t="str">
        <f ca="1">IFERROR(__xludf.DUMMYFUNCTION("""COMPUTED_VALUE"""),"pithanikarunasri2001@gmail.com")</f>
        <v>pithanikarunasri2001@gmail.com</v>
      </c>
      <c r="O360" s="9" t="str">
        <f ca="1">IFERROR(__xludf.DUMMYFUNCTION("""COMPUTED_VALUE"""),"SEM-8")</f>
        <v>SEM-8</v>
      </c>
      <c r="P360" s="9"/>
      <c r="Q360" s="9"/>
      <c r="R360" s="9"/>
      <c r="S360" s="9"/>
      <c r="T360" s="9"/>
      <c r="U360" s="9"/>
      <c r="V360" s="9"/>
      <c r="W360" s="9"/>
      <c r="X360" s="9"/>
      <c r="Y360" s="9"/>
    </row>
    <row r="361" spans="1:25" ht="26.25" customHeight="1" x14ac:dyDescent="0.15">
      <c r="A361" s="9" t="str">
        <f ca="1">IFERROR(__xludf.DUMMYFUNCTION("""COMPUTED_VALUE"""),"mohammad riyazul haneef sharief")</f>
        <v>mohammad riyazul haneef sharief</v>
      </c>
      <c r="B361" s="9" t="str">
        <f ca="1">IFERROR(__xludf.DUMMYFUNCTION("""COMPUTED_VALUE"""),"18331A05H6")</f>
        <v>18331A05H6</v>
      </c>
      <c r="C361" s="78" t="str">
        <f ca="1">IFERROR(__xludf.DUMMYFUNCTION("""COMPUTED_VALUE"""),"CCNA")</f>
        <v>CCNA</v>
      </c>
      <c r="D361" s="9" t="str">
        <f ca="1">IFERROR(__xludf.DUMMYFUNCTION("""COMPUTED_VALUE"""),"Switching, Routing, and Wireless Essentials")</f>
        <v>Switching, Routing, and Wireless Essentials</v>
      </c>
      <c r="E361" s="9" t="str">
        <f ca="1">IFERROR(__xludf.DUMMYFUNCTION("""COMPUTED_VALUE"""),"15")</f>
        <v>15</v>
      </c>
      <c r="F361" s="79">
        <f ca="1">IFERROR(__xludf.DUMMYFUNCTION("""COMPUTED_VALUE"""),44422)</f>
        <v>44422</v>
      </c>
      <c r="G361" s="79">
        <f ca="1">IFERROR(__xludf.DUMMYFUNCTION("""COMPUTED_VALUE"""),44453)</f>
        <v>44453</v>
      </c>
      <c r="H361" s="72">
        <f ca="1">IFERROR(__xludf.DUMMYFUNCTION("""COMPUTED_VALUE"""),44454)</f>
        <v>44454</v>
      </c>
      <c r="I361" s="80">
        <f ca="1">IFERROR(__xludf.DUMMYFUNCTION("""COMPUTED_VALUE"""),94)</f>
        <v>94</v>
      </c>
      <c r="J361" s="9" t="str">
        <f ca="1">IFERROR(__xludf.DUMMYFUNCTION("""COMPUTED_VALUE"""),"HOD")</f>
        <v>HOD</v>
      </c>
      <c r="K361" s="73" t="str">
        <f ca="1">IFERROR(__xludf.DUMMYFUNCTION("""COMPUTED_VALUE"""),"https://drive.google.com/open?id=1CDB0KVbPqd39RcXbdpdW2pLBV-s3QZtu")</f>
        <v>https://drive.google.com/open?id=1CDB0KVbPqd39RcXbdpdW2pLBV-s3QZtu</v>
      </c>
      <c r="L361" s="9" t="str">
        <f ca="1">IFERROR(__xludf.DUMMYFUNCTION("""COMPUTED_VALUE"""),"2018-2022")</f>
        <v>2018-2022</v>
      </c>
      <c r="M361" s="9" t="str">
        <f ca="1">IFERROR(__xludf.DUMMYFUNCTION("""COMPUTED_VALUE"""),"S4: Student Certifications")</f>
        <v>S4: Student Certifications</v>
      </c>
      <c r="N361" s="9" t="str">
        <f ca="1">IFERROR(__xludf.DUMMYFUNCTION("""COMPUTED_VALUE"""),"haneefleo10@gmail.com")</f>
        <v>haneefleo10@gmail.com</v>
      </c>
      <c r="O361" s="9" t="str">
        <f ca="1">IFERROR(__xludf.DUMMYFUNCTION("""COMPUTED_VALUE"""),"SEM-8")</f>
        <v>SEM-8</v>
      </c>
      <c r="P361" s="9"/>
      <c r="Q361" s="9"/>
      <c r="R361" s="9"/>
      <c r="S361" s="9"/>
      <c r="T361" s="9"/>
      <c r="U361" s="9"/>
      <c r="V361" s="9"/>
      <c r="W361" s="9"/>
      <c r="X361" s="9"/>
      <c r="Y361" s="9"/>
    </row>
    <row r="362" spans="1:25" ht="26.25" customHeight="1" x14ac:dyDescent="0.15">
      <c r="A362" s="9" t="str">
        <f ca="1">IFERROR(__xludf.DUMMYFUNCTION("""COMPUTED_VALUE"""),"mohammad riyazul haneef sharief")</f>
        <v>mohammad riyazul haneef sharief</v>
      </c>
      <c r="B362" s="9" t="str">
        <f ca="1">IFERROR(__xludf.DUMMYFUNCTION("""COMPUTED_VALUE"""),"18331A05H6")</f>
        <v>18331A05H6</v>
      </c>
      <c r="C362" s="78" t="str">
        <f ca="1">IFERROR(__xludf.DUMMYFUNCTION("""COMPUTED_VALUE"""),"CCNA")</f>
        <v>CCNA</v>
      </c>
      <c r="D362" s="9" t="str">
        <f ca="1">IFERROR(__xludf.DUMMYFUNCTION("""COMPUTED_VALUE"""),"Introduction to Cybersecurity")</f>
        <v>Introduction to Cybersecurity</v>
      </c>
      <c r="E362" s="9" t="str">
        <f ca="1">IFERROR(__xludf.DUMMYFUNCTION("""COMPUTED_VALUE"""),"15")</f>
        <v>15</v>
      </c>
      <c r="F362" s="79">
        <f ca="1">IFERROR(__xludf.DUMMYFUNCTION("""COMPUTED_VALUE"""),44362)</f>
        <v>44362</v>
      </c>
      <c r="G362" s="79">
        <f ca="1">IFERROR(__xludf.DUMMYFUNCTION("""COMPUTED_VALUE"""),44400)</f>
        <v>44400</v>
      </c>
      <c r="H362" s="72">
        <f ca="1">IFERROR(__xludf.DUMMYFUNCTION("""COMPUTED_VALUE"""),44401)</f>
        <v>44401</v>
      </c>
      <c r="I362" s="80">
        <f ca="1">IFERROR(__xludf.DUMMYFUNCTION("""COMPUTED_VALUE"""),86)</f>
        <v>86</v>
      </c>
      <c r="J362" s="9" t="str">
        <f ca="1">IFERROR(__xludf.DUMMYFUNCTION("""COMPUTED_VALUE"""),"HOD")</f>
        <v>HOD</v>
      </c>
      <c r="K362" s="73" t="str">
        <f ca="1">IFERROR(__xludf.DUMMYFUNCTION("""COMPUTED_VALUE"""),"https://drive.google.com/open?id=1XzpEHnmsRo1Uja7H4Ago-dTSgB7E3juT")</f>
        <v>https://drive.google.com/open?id=1XzpEHnmsRo1Uja7H4Ago-dTSgB7E3juT</v>
      </c>
      <c r="L362" s="9" t="str">
        <f ca="1">IFERROR(__xludf.DUMMYFUNCTION("""COMPUTED_VALUE"""),"2018-2022")</f>
        <v>2018-2022</v>
      </c>
      <c r="M362" s="9" t="str">
        <f ca="1">IFERROR(__xludf.DUMMYFUNCTION("""COMPUTED_VALUE"""),"S4: Student Certifications")</f>
        <v>S4: Student Certifications</v>
      </c>
      <c r="N362" s="9" t="str">
        <f ca="1">IFERROR(__xludf.DUMMYFUNCTION("""COMPUTED_VALUE"""),"haneefleo10@gmail.com")</f>
        <v>haneefleo10@gmail.com</v>
      </c>
      <c r="O362" s="9" t="str">
        <f ca="1">IFERROR(__xludf.DUMMYFUNCTION("""COMPUTED_VALUE"""),"SEM-8")</f>
        <v>SEM-8</v>
      </c>
      <c r="P362" s="9"/>
      <c r="Q362" s="9"/>
      <c r="R362" s="9"/>
      <c r="S362" s="9"/>
      <c r="T362" s="9"/>
      <c r="U362" s="9"/>
      <c r="V362" s="9"/>
      <c r="W362" s="9"/>
      <c r="X362" s="9"/>
      <c r="Y362" s="9"/>
    </row>
    <row r="363" spans="1:25" ht="26.25" customHeight="1" x14ac:dyDescent="0.15">
      <c r="A363" s="9" t="str">
        <f ca="1">IFERROR(__xludf.DUMMYFUNCTION("""COMPUTED_VALUE"""),"mohammad riyazul haneef sharief")</f>
        <v>mohammad riyazul haneef sharief</v>
      </c>
      <c r="B363" s="9" t="str">
        <f ca="1">IFERROR(__xludf.DUMMYFUNCTION("""COMPUTED_VALUE"""),"18331A05H6")</f>
        <v>18331A05H6</v>
      </c>
      <c r="C363" s="78" t="str">
        <f ca="1">IFERROR(__xludf.DUMMYFUNCTION("""COMPUTED_VALUE"""),"CCNA")</f>
        <v>CCNA</v>
      </c>
      <c r="D363" s="9" t="str">
        <f ca="1">IFERROR(__xludf.DUMMYFUNCTION("""COMPUTED_VALUE"""),"Introduction to Packet Tracer")</f>
        <v>Introduction to Packet Tracer</v>
      </c>
      <c r="E363" s="9" t="str">
        <f ca="1">IFERROR(__xludf.DUMMYFUNCTION("""COMPUTED_VALUE"""),"15")</f>
        <v>15</v>
      </c>
      <c r="F363" s="79">
        <f ca="1">IFERROR(__xludf.DUMMYFUNCTION("""COMPUTED_VALUE"""),44384)</f>
        <v>44384</v>
      </c>
      <c r="G363" s="79">
        <f ca="1">IFERROR(__xludf.DUMMYFUNCTION("""COMPUTED_VALUE"""),44403)</f>
        <v>44403</v>
      </c>
      <c r="H363" s="72">
        <f ca="1">IFERROR(__xludf.DUMMYFUNCTION("""COMPUTED_VALUE"""),44404)</f>
        <v>44404</v>
      </c>
      <c r="I363" s="80">
        <f ca="1">IFERROR(__xludf.DUMMYFUNCTION("""COMPUTED_VALUE"""),97)</f>
        <v>97</v>
      </c>
      <c r="J363" s="9" t="str">
        <f ca="1">IFERROR(__xludf.DUMMYFUNCTION("""COMPUTED_VALUE"""),"HOD")</f>
        <v>HOD</v>
      </c>
      <c r="K363" s="73" t="str">
        <f ca="1">IFERROR(__xludf.DUMMYFUNCTION("""COMPUTED_VALUE"""),"https://drive.google.com/open?id=16gZmeUvS9zZULTRIPtzvstcoMURbbR7z")</f>
        <v>https://drive.google.com/open?id=16gZmeUvS9zZULTRIPtzvstcoMURbbR7z</v>
      </c>
      <c r="L363" s="9" t="str">
        <f ca="1">IFERROR(__xludf.DUMMYFUNCTION("""COMPUTED_VALUE"""),"2018-2022")</f>
        <v>2018-2022</v>
      </c>
      <c r="M363" s="9" t="str">
        <f ca="1">IFERROR(__xludf.DUMMYFUNCTION("""COMPUTED_VALUE"""),"S4: Student Certifications")</f>
        <v>S4: Student Certifications</v>
      </c>
      <c r="N363" s="9" t="str">
        <f ca="1">IFERROR(__xludf.DUMMYFUNCTION("""COMPUTED_VALUE"""),"haneefleo10@gmail.com")</f>
        <v>haneefleo10@gmail.com</v>
      </c>
      <c r="O363" s="9" t="str">
        <f ca="1">IFERROR(__xludf.DUMMYFUNCTION("""COMPUTED_VALUE"""),"SEM-8")</f>
        <v>SEM-8</v>
      </c>
      <c r="P363" s="9"/>
      <c r="Q363" s="9"/>
      <c r="R363" s="9"/>
      <c r="S363" s="9"/>
      <c r="T363" s="9"/>
      <c r="U363" s="9"/>
      <c r="V363" s="9"/>
      <c r="W363" s="9"/>
      <c r="X363" s="9"/>
      <c r="Y363" s="9"/>
    </row>
    <row r="364" spans="1:25" ht="26.25" customHeight="1" x14ac:dyDescent="0.15">
      <c r="A364" s="9" t="str">
        <f ca="1">IFERROR(__xludf.DUMMYFUNCTION("""COMPUTED_VALUE"""),"Buddharaju Pragna")</f>
        <v>Buddharaju Pragna</v>
      </c>
      <c r="B364" s="9" t="str">
        <f ca="1">IFERROR(__xludf.DUMMYFUNCTION("""COMPUTED_VALUE"""),"18331A05H2")</f>
        <v>18331A05H2</v>
      </c>
      <c r="C364" s="78" t="str">
        <f ca="1">IFERROR(__xludf.DUMMYFUNCTION("""COMPUTED_VALUE"""),"Math Quiz")</f>
        <v>Math Quiz</v>
      </c>
      <c r="D364" s="9" t="str">
        <f ca="1">IFERROR(__xludf.DUMMYFUNCTION("""COMPUTED_VALUE"""),"K.RAMAKRISHNAN college of technology")</f>
        <v>K.RAMAKRISHNAN college of technology</v>
      </c>
      <c r="E364" s="9" t="str">
        <f ca="1">IFERROR(__xludf.DUMMYFUNCTION("""COMPUTED_VALUE"""),"1 week")</f>
        <v>1 week</v>
      </c>
      <c r="F364" s="79">
        <f ca="1">IFERROR(__xludf.DUMMYFUNCTION("""COMPUTED_VALUE"""),43968)</f>
        <v>43968</v>
      </c>
      <c r="G364" s="79">
        <f ca="1">IFERROR(__xludf.DUMMYFUNCTION("""COMPUTED_VALUE"""),43975)</f>
        <v>43975</v>
      </c>
      <c r="H364" s="72">
        <f ca="1">IFERROR(__xludf.DUMMYFUNCTION("""COMPUTED_VALUE"""),43975)</f>
        <v>43975</v>
      </c>
      <c r="I364" s="80">
        <f ca="1">IFERROR(__xludf.DUMMYFUNCTION("""COMPUTED_VALUE"""),100)</f>
        <v>100</v>
      </c>
      <c r="J364" s="9" t="str">
        <f ca="1">IFERROR(__xludf.DUMMYFUNCTION("""COMPUTED_VALUE"""),"Online")</f>
        <v>Online</v>
      </c>
      <c r="K364" s="73" t="str">
        <f ca="1">IFERROR(__xludf.DUMMYFUNCTION("""COMPUTED_VALUE"""),"https://drive.google.com/open?id=1sGz2Ht7iO4CJXa-dYUGiz7pcwTQPBs37")</f>
        <v>https://drive.google.com/open?id=1sGz2Ht7iO4CJXa-dYUGiz7pcwTQPBs37</v>
      </c>
      <c r="L364" s="9" t="str">
        <f ca="1">IFERROR(__xludf.DUMMYFUNCTION("""COMPUTED_VALUE"""),"2018-2022")</f>
        <v>2018-2022</v>
      </c>
      <c r="M364" s="9" t="str">
        <f ca="1">IFERROR(__xludf.DUMMYFUNCTION("""COMPUTED_VALUE"""),"S4: Student Certifications")</f>
        <v>S4: Student Certifications</v>
      </c>
      <c r="N364" s="9" t="str">
        <f ca="1">IFERROR(__xludf.DUMMYFUNCTION("""COMPUTED_VALUE"""),"pragnabuddharaju@gmail.com")</f>
        <v>pragnabuddharaju@gmail.com</v>
      </c>
      <c r="O364" s="9" t="str">
        <f ca="1">IFERROR(__xludf.DUMMYFUNCTION("""COMPUTED_VALUE"""),"SEM-4")</f>
        <v>SEM-4</v>
      </c>
      <c r="P364" s="9"/>
      <c r="Q364" s="9"/>
      <c r="R364" s="9"/>
      <c r="S364" s="9"/>
      <c r="T364" s="9"/>
      <c r="U364" s="9"/>
      <c r="V364" s="9"/>
      <c r="W364" s="9"/>
      <c r="X364" s="9"/>
      <c r="Y364" s="9"/>
    </row>
    <row r="365" spans="1:25" ht="26.25" customHeight="1" x14ac:dyDescent="0.15">
      <c r="A365" s="9" t="str">
        <f ca="1">IFERROR(__xludf.DUMMYFUNCTION("""COMPUTED_VALUE"""),"Sagi Gayathri")</f>
        <v>Sagi Gayathri</v>
      </c>
      <c r="B365" s="9" t="str">
        <f ca="1">IFERROR(__xludf.DUMMYFUNCTION("""COMPUTED_VALUE"""),"18331A05C7")</f>
        <v>18331A05C7</v>
      </c>
      <c r="C365" s="78" t="str">
        <f ca="1">IFERROR(__xludf.DUMMYFUNCTION("""COMPUTED_VALUE"""),"CLA: Programming Essentials in C")</f>
        <v>CLA: Programming Essentials in C</v>
      </c>
      <c r="D365" s="9" t="str">
        <f ca="1">IFERROR(__xludf.DUMMYFUNCTION("""COMPUTED_VALUE"""),"cisco")</f>
        <v>cisco</v>
      </c>
      <c r="E365" s="9" t="str">
        <f ca="1">IFERROR(__xludf.DUMMYFUNCTION("""COMPUTED_VALUE"""),"4 months")</f>
        <v>4 months</v>
      </c>
      <c r="F365" s="79">
        <f ca="1">IFERROR(__xludf.DUMMYFUNCTION("""COMPUTED_VALUE"""),43472)</f>
        <v>43472</v>
      </c>
      <c r="G365" s="79">
        <f ca="1">IFERROR(__xludf.DUMMYFUNCTION("""COMPUTED_VALUE"""),43563)</f>
        <v>43563</v>
      </c>
      <c r="H365" s="72">
        <f ca="1">IFERROR(__xludf.DUMMYFUNCTION("""COMPUTED_VALUE"""),43567)</f>
        <v>43567</v>
      </c>
      <c r="I365" s="80">
        <f ca="1">IFERROR(__xludf.DUMMYFUNCTION("""COMPUTED_VALUE"""),90)</f>
        <v>90</v>
      </c>
      <c r="J365" s="9" t="str">
        <f ca="1">IFERROR(__xludf.DUMMYFUNCTION("""COMPUTED_VALUE"""),"DR. P. Ravi Kiran Varma")</f>
        <v>DR. P. Ravi Kiran Varma</v>
      </c>
      <c r="K365" s="73" t="str">
        <f ca="1">IFERROR(__xludf.DUMMYFUNCTION("""COMPUTED_VALUE"""),"https://drive.google.com/open?id=1RnC2GbH-CfcVWrmFfeFFuPPZWipJe-1V")</f>
        <v>https://drive.google.com/open?id=1RnC2GbH-CfcVWrmFfeFFuPPZWipJe-1V</v>
      </c>
      <c r="L365" s="9" t="str">
        <f ca="1">IFERROR(__xludf.DUMMYFUNCTION("""COMPUTED_VALUE"""),"2018-2022")</f>
        <v>2018-2022</v>
      </c>
      <c r="M365" s="9" t="str">
        <f ca="1">IFERROR(__xludf.DUMMYFUNCTION("""COMPUTED_VALUE"""),"S4: Student Certifications")</f>
        <v>S4: Student Certifications</v>
      </c>
      <c r="N365" s="9" t="str">
        <f ca="1">IFERROR(__xludf.DUMMYFUNCTION("""COMPUTED_VALUE"""),"sagigayathri02@gmail.com")</f>
        <v>sagigayathri02@gmail.com</v>
      </c>
      <c r="O365" s="9" t="str">
        <f ca="1">IFERROR(__xludf.DUMMYFUNCTION("""COMPUTED_VALUE"""),"SEM-2")</f>
        <v>SEM-2</v>
      </c>
      <c r="P365" s="9"/>
      <c r="Q365" s="9"/>
      <c r="R365" s="9"/>
      <c r="S365" s="9"/>
      <c r="T365" s="9"/>
      <c r="U365" s="9"/>
      <c r="V365" s="9"/>
      <c r="W365" s="9"/>
      <c r="X365" s="9"/>
      <c r="Y365" s="9"/>
    </row>
    <row r="366" spans="1:25" ht="26.25" customHeight="1" x14ac:dyDescent="0.15">
      <c r="A366" s="9" t="str">
        <f ca="1">IFERROR(__xludf.DUMMYFUNCTION("""COMPUTED_VALUE"""),"mohammad riyazul haneef sharief")</f>
        <v>mohammad riyazul haneef sharief</v>
      </c>
      <c r="B366" s="9" t="str">
        <f ca="1">IFERROR(__xludf.DUMMYFUNCTION("""COMPUTED_VALUE"""),"18331A05H6")</f>
        <v>18331A05H6</v>
      </c>
      <c r="C366" s="78" t="str">
        <f ca="1">IFERROR(__xludf.DUMMYFUNCTION("""COMPUTED_VALUE"""),"CCNA")</f>
        <v>CCNA</v>
      </c>
      <c r="D366" s="9" t="str">
        <f ca="1">IFERROR(__xludf.DUMMYFUNCTION("""COMPUTED_VALUE"""),"Partner: PCAP - Programming Essentials in Python")</f>
        <v>Partner: PCAP - Programming Essentials in Python</v>
      </c>
      <c r="E366" s="9" t="str">
        <f ca="1">IFERROR(__xludf.DUMMYFUNCTION("""COMPUTED_VALUE"""),"4")</f>
        <v>4</v>
      </c>
      <c r="F366" s="79">
        <f ca="1">IFERROR(__xludf.DUMMYFUNCTION("""COMPUTED_VALUE"""),44381)</f>
        <v>44381</v>
      </c>
      <c r="G366" s="79">
        <f ca="1">IFERROR(__xludf.DUMMYFUNCTION("""COMPUTED_VALUE"""),44320)</f>
        <v>44320</v>
      </c>
      <c r="H366" s="72">
        <f ca="1">IFERROR(__xludf.DUMMYFUNCTION("""COMPUTED_VALUE"""),44322)</f>
        <v>44322</v>
      </c>
      <c r="I366" s="80">
        <f ca="1">IFERROR(__xludf.DUMMYFUNCTION("""COMPUTED_VALUE"""),93)</f>
        <v>93</v>
      </c>
      <c r="J366" s="9" t="str">
        <f ca="1">IFERROR(__xludf.DUMMYFUNCTION("""COMPUTED_VALUE"""),"HOD")</f>
        <v>HOD</v>
      </c>
      <c r="K366" s="73" t="str">
        <f ca="1">IFERROR(__xludf.DUMMYFUNCTION("""COMPUTED_VALUE"""),"https://drive.google.com/open?id=1Sx1ZyD2BHcQN0GDSRkGEnVP0HUCSDu2X")</f>
        <v>https://drive.google.com/open?id=1Sx1ZyD2BHcQN0GDSRkGEnVP0HUCSDu2X</v>
      </c>
      <c r="L366" s="9" t="str">
        <f ca="1">IFERROR(__xludf.DUMMYFUNCTION("""COMPUTED_VALUE"""),"2018-2022")</f>
        <v>2018-2022</v>
      </c>
      <c r="M366" s="9" t="str">
        <f ca="1">IFERROR(__xludf.DUMMYFUNCTION("""COMPUTED_VALUE"""),"S4: Student Certifications")</f>
        <v>S4: Student Certifications</v>
      </c>
      <c r="N366" s="9" t="str">
        <f ca="1">IFERROR(__xludf.DUMMYFUNCTION("""COMPUTED_VALUE"""),"haneefleo10@gmail.com")</f>
        <v>haneefleo10@gmail.com</v>
      </c>
      <c r="O366" s="9" t="str">
        <f ca="1">IFERROR(__xludf.DUMMYFUNCTION("""COMPUTED_VALUE"""),"SEM-8")</f>
        <v>SEM-8</v>
      </c>
      <c r="P366" s="9"/>
      <c r="Q366" s="9"/>
      <c r="R366" s="9"/>
      <c r="S366" s="9"/>
      <c r="T366" s="9"/>
      <c r="U366" s="9"/>
      <c r="V366" s="9"/>
      <c r="W366" s="9"/>
      <c r="X366" s="9"/>
      <c r="Y366" s="9"/>
    </row>
    <row r="367" spans="1:25" ht="26.25" customHeight="1" x14ac:dyDescent="0.15">
      <c r="A367" s="9" t="str">
        <f ca="1">IFERROR(__xludf.DUMMYFUNCTION("""COMPUTED_VALUE"""),"mohammad riyazul haneef sharief")</f>
        <v>mohammad riyazul haneef sharief</v>
      </c>
      <c r="B367" s="9" t="str">
        <f ca="1">IFERROR(__xludf.DUMMYFUNCTION("""COMPUTED_VALUE"""),"18331A05H6")</f>
        <v>18331A05H6</v>
      </c>
      <c r="C367" s="78" t="str">
        <f ca="1">IFERROR(__xludf.DUMMYFUNCTION("""COMPUTED_VALUE"""),"CCNA")</f>
        <v>CCNA</v>
      </c>
      <c r="D367" s="9" t="str">
        <f ca="1">IFERROR(__xludf.DUMMYFUNCTION("""COMPUTED_VALUE"""),"CCNAv7: Introduction to Networks")</f>
        <v>CCNAv7: Introduction to Networks</v>
      </c>
      <c r="E367" s="9" t="str">
        <f ca="1">IFERROR(__xludf.DUMMYFUNCTION("""COMPUTED_VALUE"""),"12")</f>
        <v>12</v>
      </c>
      <c r="F367" s="79">
        <f ca="1">IFERROR(__xludf.DUMMYFUNCTION("""COMPUTED_VALUE"""),44394)</f>
        <v>44394</v>
      </c>
      <c r="G367" s="79">
        <f ca="1">IFERROR(__xludf.DUMMYFUNCTION("""COMPUTED_VALUE"""),44405)</f>
        <v>44405</v>
      </c>
      <c r="H367" s="72">
        <f ca="1">IFERROR(__xludf.DUMMYFUNCTION("""COMPUTED_VALUE"""),44406)</f>
        <v>44406</v>
      </c>
      <c r="I367" s="80">
        <f ca="1">IFERROR(__xludf.DUMMYFUNCTION("""COMPUTED_VALUE"""),89)</f>
        <v>89</v>
      </c>
      <c r="J367" s="9" t="str">
        <f ca="1">IFERROR(__xludf.DUMMYFUNCTION("""COMPUTED_VALUE"""),"HOD")</f>
        <v>HOD</v>
      </c>
      <c r="K367" s="73" t="str">
        <f ca="1">IFERROR(__xludf.DUMMYFUNCTION("""COMPUTED_VALUE"""),"https://drive.google.com/open?id=1FrmD4FrVsbwjfv3n3SsjPWzxbBvJl3aH")</f>
        <v>https://drive.google.com/open?id=1FrmD4FrVsbwjfv3n3SsjPWzxbBvJl3aH</v>
      </c>
      <c r="L367" s="9" t="str">
        <f ca="1">IFERROR(__xludf.DUMMYFUNCTION("""COMPUTED_VALUE"""),"2018-2022")</f>
        <v>2018-2022</v>
      </c>
      <c r="M367" s="9" t="str">
        <f ca="1">IFERROR(__xludf.DUMMYFUNCTION("""COMPUTED_VALUE"""),"S4: Student Certifications")</f>
        <v>S4: Student Certifications</v>
      </c>
      <c r="N367" s="9" t="str">
        <f ca="1">IFERROR(__xludf.DUMMYFUNCTION("""COMPUTED_VALUE"""),"haneefleo10@gmail.com")</f>
        <v>haneefleo10@gmail.com</v>
      </c>
      <c r="O367" s="9" t="str">
        <f ca="1">IFERROR(__xludf.DUMMYFUNCTION("""COMPUTED_VALUE"""),"SEM-8")</f>
        <v>SEM-8</v>
      </c>
      <c r="P367" s="9"/>
      <c r="Q367" s="9"/>
      <c r="R367" s="9"/>
      <c r="S367" s="9"/>
      <c r="T367" s="9"/>
      <c r="U367" s="9"/>
      <c r="V367" s="9"/>
      <c r="W367" s="9"/>
      <c r="X367" s="9"/>
      <c r="Y367" s="9"/>
    </row>
    <row r="368" spans="1:25" ht="26.25" customHeight="1" x14ac:dyDescent="0.15">
      <c r="A368" s="9" t="str">
        <f ca="1">IFERROR(__xludf.DUMMYFUNCTION("""COMPUTED_VALUE"""),"mohammad riyazul haneef sharief")</f>
        <v>mohammad riyazul haneef sharief</v>
      </c>
      <c r="B368" s="9" t="str">
        <f ca="1">IFERROR(__xludf.DUMMYFUNCTION("""COMPUTED_VALUE"""),"18331A05H6")</f>
        <v>18331A05H6</v>
      </c>
      <c r="C368" s="78" t="str">
        <f ca="1">IFERROR(__xludf.DUMMYFUNCTION("""COMPUTED_VALUE"""),"CCNA")</f>
        <v>CCNA</v>
      </c>
      <c r="D368" s="9" t="str">
        <f ca="1">IFERROR(__xludf.DUMMYFUNCTION("""COMPUTED_VALUE"""),"Cybersecurity Essentials")</f>
        <v>Cybersecurity Essentials</v>
      </c>
      <c r="E368" s="9" t="str">
        <f ca="1">IFERROR(__xludf.DUMMYFUNCTION("""COMPUTED_VALUE"""),"4")</f>
        <v>4</v>
      </c>
      <c r="F368" s="79">
        <f ca="1">IFERROR(__xludf.DUMMYFUNCTION("""COMPUTED_VALUE"""),44407)</f>
        <v>44407</v>
      </c>
      <c r="G368" s="79">
        <f ca="1">IFERROR(__xludf.DUMMYFUNCTION("""COMPUTED_VALUE"""),44384)</f>
        <v>44384</v>
      </c>
      <c r="H368" s="72">
        <f ca="1">IFERROR(__xludf.DUMMYFUNCTION("""COMPUTED_VALUE"""),44385)</f>
        <v>44385</v>
      </c>
      <c r="I368" s="80">
        <f ca="1">IFERROR(__xludf.DUMMYFUNCTION("""COMPUTED_VALUE"""),90)</f>
        <v>90</v>
      </c>
      <c r="J368" s="9" t="str">
        <f ca="1">IFERROR(__xludf.DUMMYFUNCTION("""COMPUTED_VALUE"""),"HOD")</f>
        <v>HOD</v>
      </c>
      <c r="K368" s="73" t="str">
        <f ca="1">IFERROR(__xludf.DUMMYFUNCTION("""COMPUTED_VALUE"""),"https://drive.google.com/open?id=1yvAZgwQQ0WAUyCgbaDFF-bYA-saESrT9")</f>
        <v>https://drive.google.com/open?id=1yvAZgwQQ0WAUyCgbaDFF-bYA-saESrT9</v>
      </c>
      <c r="L368" s="9" t="str">
        <f ca="1">IFERROR(__xludf.DUMMYFUNCTION("""COMPUTED_VALUE"""),"2018-2022")</f>
        <v>2018-2022</v>
      </c>
      <c r="M368" s="9" t="str">
        <f ca="1">IFERROR(__xludf.DUMMYFUNCTION("""COMPUTED_VALUE"""),"S4: Student Certifications")</f>
        <v>S4: Student Certifications</v>
      </c>
      <c r="N368" s="9" t="str">
        <f ca="1">IFERROR(__xludf.DUMMYFUNCTION("""COMPUTED_VALUE"""),"haneefleo10@gmail.com")</f>
        <v>haneefleo10@gmail.com</v>
      </c>
      <c r="O368" s="9" t="str">
        <f ca="1">IFERROR(__xludf.DUMMYFUNCTION("""COMPUTED_VALUE"""),"SEM-8")</f>
        <v>SEM-8</v>
      </c>
      <c r="P368" s="9"/>
      <c r="Q368" s="9"/>
      <c r="R368" s="9"/>
      <c r="S368" s="9"/>
      <c r="T368" s="9"/>
      <c r="U368" s="9"/>
      <c r="V368" s="9"/>
      <c r="W368" s="9"/>
      <c r="X368" s="9"/>
      <c r="Y368" s="9"/>
    </row>
    <row r="369" spans="1:25" ht="26.25" customHeight="1" x14ac:dyDescent="0.15">
      <c r="A369" s="9" t="str">
        <f ca="1">IFERROR(__xludf.DUMMYFUNCTION("""COMPUTED_VALUE"""),"mohammad riyazul haneef sharief")</f>
        <v>mohammad riyazul haneef sharief</v>
      </c>
      <c r="B369" s="9" t="str">
        <f ca="1">IFERROR(__xludf.DUMMYFUNCTION("""COMPUTED_VALUE"""),"18331A05H6")</f>
        <v>18331A05H6</v>
      </c>
      <c r="C369" s="78" t="str">
        <f ca="1">IFERROR(__xludf.DUMMYFUNCTION("""COMPUTED_VALUE"""),"CCNA")</f>
        <v>CCNA</v>
      </c>
      <c r="D369" s="9" t="str">
        <f ca="1">IFERROR(__xludf.DUMMYFUNCTION("""COMPUTED_VALUE"""),"Partner: CLA - Programming Essentials in C")</f>
        <v>Partner: CLA - Programming Essentials in C</v>
      </c>
      <c r="E369" s="9" t="str">
        <f ca="1">IFERROR(__xludf.DUMMYFUNCTION("""COMPUTED_VALUE"""),"6")</f>
        <v>6</v>
      </c>
      <c r="F369" s="79">
        <f ca="1">IFERROR(__xludf.DUMMYFUNCTION("""COMPUTED_VALUE"""),44410)</f>
        <v>44410</v>
      </c>
      <c r="G369" s="79">
        <f ca="1">IFERROR(__xludf.DUMMYFUNCTION("""COMPUTED_VALUE"""),44422)</f>
        <v>44422</v>
      </c>
      <c r="H369" s="72">
        <f ca="1">IFERROR(__xludf.DUMMYFUNCTION("""COMPUTED_VALUE"""),44423)</f>
        <v>44423</v>
      </c>
      <c r="I369" s="80">
        <f ca="1">IFERROR(__xludf.DUMMYFUNCTION("""COMPUTED_VALUE"""),89)</f>
        <v>89</v>
      </c>
      <c r="J369" s="9" t="str">
        <f ca="1">IFERROR(__xludf.DUMMYFUNCTION("""COMPUTED_VALUE"""),"HOD")</f>
        <v>HOD</v>
      </c>
      <c r="K369" s="73" t="str">
        <f ca="1">IFERROR(__xludf.DUMMYFUNCTION("""COMPUTED_VALUE"""),"https://drive.google.com/open?id=1vP7XB9PLCSVA5x3_RS9FgkgZg7Yg90Kh")</f>
        <v>https://drive.google.com/open?id=1vP7XB9PLCSVA5x3_RS9FgkgZg7Yg90Kh</v>
      </c>
      <c r="L369" s="9" t="str">
        <f ca="1">IFERROR(__xludf.DUMMYFUNCTION("""COMPUTED_VALUE"""),"2018-2022")</f>
        <v>2018-2022</v>
      </c>
      <c r="M369" s="9" t="str">
        <f ca="1">IFERROR(__xludf.DUMMYFUNCTION("""COMPUTED_VALUE"""),"S4: Student Certifications")</f>
        <v>S4: Student Certifications</v>
      </c>
      <c r="N369" s="9" t="str">
        <f ca="1">IFERROR(__xludf.DUMMYFUNCTION("""COMPUTED_VALUE"""),"haneefleo10@gmail.com")</f>
        <v>haneefleo10@gmail.com</v>
      </c>
      <c r="O369" s="9" t="str">
        <f ca="1">IFERROR(__xludf.DUMMYFUNCTION("""COMPUTED_VALUE"""),"SEM-8")</f>
        <v>SEM-8</v>
      </c>
      <c r="P369" s="9"/>
      <c r="Q369" s="9"/>
      <c r="R369" s="9"/>
      <c r="S369" s="9"/>
      <c r="T369" s="9"/>
      <c r="U369" s="9"/>
      <c r="V369" s="9"/>
      <c r="W369" s="9"/>
      <c r="X369" s="9"/>
      <c r="Y369" s="9"/>
    </row>
    <row r="370" spans="1:25" ht="26.25" customHeight="1" x14ac:dyDescent="0.15">
      <c r="A370" s="9" t="str">
        <f ca="1">IFERROR(__xludf.DUMMYFUNCTION("""COMPUTED_VALUE"""),"mohammad riyazul haneef sharief")</f>
        <v>mohammad riyazul haneef sharief</v>
      </c>
      <c r="B370" s="9" t="str">
        <f ca="1">IFERROR(__xludf.DUMMYFUNCTION("""COMPUTED_VALUE"""),"18331A05H6")</f>
        <v>18331A05H6</v>
      </c>
      <c r="C370" s="78" t="str">
        <f ca="1">IFERROR(__xludf.DUMMYFUNCTION("""COMPUTED_VALUE"""),"CCNA")</f>
        <v>CCNA</v>
      </c>
      <c r="D370" s="9" t="str">
        <f ca="1">IFERROR(__xludf.DUMMYFUNCTION("""COMPUTED_VALUE"""),"CCNAv7: Switching, Routing, and Wireless Essentials")</f>
        <v>CCNAv7: Switching, Routing, and Wireless Essentials</v>
      </c>
      <c r="E370" s="9" t="str">
        <f ca="1">IFERROR(__xludf.DUMMYFUNCTION("""COMPUTED_VALUE"""),"5")</f>
        <v>5</v>
      </c>
      <c r="F370" s="79">
        <f ca="1">IFERROR(__xludf.DUMMYFUNCTION("""COMPUTED_VALUE"""),44453)</f>
        <v>44453</v>
      </c>
      <c r="G370" s="79">
        <f ca="1">IFERROR(__xludf.DUMMYFUNCTION("""COMPUTED_VALUE"""),44455)</f>
        <v>44455</v>
      </c>
      <c r="H370" s="72">
        <f ca="1">IFERROR(__xludf.DUMMYFUNCTION("""COMPUTED_VALUE"""),44458)</f>
        <v>44458</v>
      </c>
      <c r="I370" s="80">
        <f ca="1">IFERROR(__xludf.DUMMYFUNCTION("""COMPUTED_VALUE"""),96)</f>
        <v>96</v>
      </c>
      <c r="J370" s="9" t="str">
        <f ca="1">IFERROR(__xludf.DUMMYFUNCTION("""COMPUTED_VALUE"""),"HOD")</f>
        <v>HOD</v>
      </c>
      <c r="K370" s="73" t="str">
        <f ca="1">IFERROR(__xludf.DUMMYFUNCTION("""COMPUTED_VALUE"""),"https://drive.google.com/open?id=1hxMUQFll5RKAmvU_5YVnns8Ot4gix8Ew")</f>
        <v>https://drive.google.com/open?id=1hxMUQFll5RKAmvU_5YVnns8Ot4gix8Ew</v>
      </c>
      <c r="L370" s="9" t="str">
        <f ca="1">IFERROR(__xludf.DUMMYFUNCTION("""COMPUTED_VALUE"""),"2018-2022")</f>
        <v>2018-2022</v>
      </c>
      <c r="M370" s="9" t="str">
        <f ca="1">IFERROR(__xludf.DUMMYFUNCTION("""COMPUTED_VALUE"""),"S4: Student Certifications")</f>
        <v>S4: Student Certifications</v>
      </c>
      <c r="N370" s="9" t="str">
        <f ca="1">IFERROR(__xludf.DUMMYFUNCTION("""COMPUTED_VALUE"""),"haneefleo10@gmail.com")</f>
        <v>haneefleo10@gmail.com</v>
      </c>
      <c r="O370" s="9" t="str">
        <f ca="1">IFERROR(__xludf.DUMMYFUNCTION("""COMPUTED_VALUE"""),"SEM-8")</f>
        <v>SEM-8</v>
      </c>
      <c r="P370" s="9"/>
      <c r="Q370" s="9"/>
      <c r="R370" s="9"/>
      <c r="S370" s="9"/>
      <c r="T370" s="9"/>
      <c r="U370" s="9"/>
      <c r="V370" s="9"/>
      <c r="W370" s="9"/>
      <c r="X370" s="9"/>
      <c r="Y370" s="9"/>
    </row>
    <row r="371" spans="1:25" ht="26.25" customHeight="1" x14ac:dyDescent="0.15">
      <c r="A371" s="9" t="str">
        <f ca="1">IFERROR(__xludf.DUMMYFUNCTION("""COMPUTED_VALUE"""),"KARUNA SRI PITHANI")</f>
        <v>KARUNA SRI PITHANI</v>
      </c>
      <c r="B371" s="9" t="str">
        <f ca="1">IFERROR(__xludf.DUMMYFUNCTION("""COMPUTED_VALUE"""),"18331A0572")</f>
        <v>18331A0572</v>
      </c>
      <c r="C371" s="78" t="str">
        <f ca="1">IFERROR(__xludf.DUMMYFUNCTION("""COMPUTED_VALUE"""),"Introduction to Packet Tracer")</f>
        <v>Introduction to Packet Tracer</v>
      </c>
      <c r="D371" s="9" t="str">
        <f ca="1">IFERROR(__xludf.DUMMYFUNCTION("""COMPUTED_VALUE"""),"Cisco Networking Academy")</f>
        <v>Cisco Networking Academy</v>
      </c>
      <c r="E371" s="9" t="str">
        <f ca="1">IFERROR(__xludf.DUMMYFUNCTION("""COMPUTED_VALUE"""),"2 months")</f>
        <v>2 months</v>
      </c>
      <c r="F371" s="79">
        <f ca="1">IFERROR(__xludf.DUMMYFUNCTION("""COMPUTED_VALUE"""),44236)</f>
        <v>44236</v>
      </c>
      <c r="G371" s="79">
        <f ca="1">IFERROR(__xludf.DUMMYFUNCTION("""COMPUTED_VALUE"""),44311)</f>
        <v>44311</v>
      </c>
      <c r="H371" s="72">
        <f ca="1">IFERROR(__xludf.DUMMYFUNCTION("""COMPUTED_VALUE"""),44309)</f>
        <v>44309</v>
      </c>
      <c r="I371" s="80">
        <f ca="1">IFERROR(__xludf.DUMMYFUNCTION("""COMPUTED_VALUE"""),98)</f>
        <v>98</v>
      </c>
      <c r="J371" s="9" t="str">
        <f ca="1">IFERROR(__xludf.DUMMYFUNCTION("""COMPUTED_VALUE"""),"K.V. Subba Raju")</f>
        <v>K.V. Subba Raju</v>
      </c>
      <c r="K371" s="73" t="str">
        <f ca="1">IFERROR(__xludf.DUMMYFUNCTION("""COMPUTED_VALUE"""),"https://drive.google.com/open?id=1tluUCTW5833qn2Y2I016fUFLNcvU9wQN")</f>
        <v>https://drive.google.com/open?id=1tluUCTW5833qn2Y2I016fUFLNcvU9wQN</v>
      </c>
      <c r="L371" s="9" t="str">
        <f ca="1">IFERROR(__xludf.DUMMYFUNCTION("""COMPUTED_VALUE"""),"2018-2022")</f>
        <v>2018-2022</v>
      </c>
      <c r="M371" s="9" t="str">
        <f ca="1">IFERROR(__xludf.DUMMYFUNCTION("""COMPUTED_VALUE"""),"S4: Student Certifications")</f>
        <v>S4: Student Certifications</v>
      </c>
      <c r="N371" s="9" t="str">
        <f ca="1">IFERROR(__xludf.DUMMYFUNCTION("""COMPUTED_VALUE"""),"pithanikarunasri2001@gmail.com")</f>
        <v>pithanikarunasri2001@gmail.com</v>
      </c>
      <c r="O371" s="9" t="str">
        <f ca="1">IFERROR(__xludf.DUMMYFUNCTION("""COMPUTED_VALUE"""),"SEM-8")</f>
        <v>SEM-8</v>
      </c>
      <c r="P371" s="9"/>
      <c r="Q371" s="9"/>
      <c r="R371" s="9"/>
      <c r="S371" s="9"/>
      <c r="T371" s="9"/>
      <c r="U371" s="9"/>
      <c r="V371" s="9"/>
      <c r="W371" s="9"/>
      <c r="X371" s="9"/>
      <c r="Y371" s="9"/>
    </row>
    <row r="372" spans="1:25" ht="26.25" customHeight="1" x14ac:dyDescent="0.15">
      <c r="A372" s="9" t="str">
        <f ca="1">IFERROR(__xludf.DUMMYFUNCTION("""COMPUTED_VALUE"""),"mohammad riyazul haneef sharief")</f>
        <v>mohammad riyazul haneef sharief</v>
      </c>
      <c r="B372" s="9" t="str">
        <f ca="1">IFERROR(__xludf.DUMMYFUNCTION("""COMPUTED_VALUE"""),"18331A05H6")</f>
        <v>18331A05H6</v>
      </c>
      <c r="C372" s="78" t="str">
        <f ca="1">IFERROR(__xludf.DUMMYFUNCTION("""COMPUTED_VALUE"""),"CCNA")</f>
        <v>CCNA</v>
      </c>
      <c r="D372" s="9" t="str">
        <f ca="1">IFERROR(__xludf.DUMMYFUNCTION("""COMPUTED_VALUE"""),"CCNAv7: Introduction to Networks")</f>
        <v>CCNAv7: Introduction to Networks</v>
      </c>
      <c r="E372" s="9" t="str">
        <f ca="1">IFERROR(__xludf.DUMMYFUNCTION("""COMPUTED_VALUE"""),"5")</f>
        <v>5</v>
      </c>
      <c r="F372" s="79">
        <f ca="1">IFERROR(__xludf.DUMMYFUNCTION("""COMPUTED_VALUE"""),44363)</f>
        <v>44363</v>
      </c>
      <c r="G372" s="79">
        <f ca="1">IFERROR(__xludf.DUMMYFUNCTION("""COMPUTED_VALUE"""),44366)</f>
        <v>44366</v>
      </c>
      <c r="H372" s="72">
        <f ca="1">IFERROR(__xludf.DUMMYFUNCTION("""COMPUTED_VALUE"""),44370)</f>
        <v>44370</v>
      </c>
      <c r="I372" s="80">
        <f ca="1">IFERROR(__xludf.DUMMYFUNCTION("""COMPUTED_VALUE"""),97)</f>
        <v>97</v>
      </c>
      <c r="J372" s="9" t="str">
        <f ca="1">IFERROR(__xludf.DUMMYFUNCTION("""COMPUTED_VALUE"""),"HOD")</f>
        <v>HOD</v>
      </c>
      <c r="K372" s="73" t="str">
        <f ca="1">IFERROR(__xludf.DUMMYFUNCTION("""COMPUTED_VALUE"""),"https://drive.google.com/open?id=1BSdn0sj7sm_8k8qnMWJVLWe2eDruQRFu")</f>
        <v>https://drive.google.com/open?id=1BSdn0sj7sm_8k8qnMWJVLWe2eDruQRFu</v>
      </c>
      <c r="L372" s="9" t="str">
        <f ca="1">IFERROR(__xludf.DUMMYFUNCTION("""COMPUTED_VALUE"""),"2018-2022")</f>
        <v>2018-2022</v>
      </c>
      <c r="M372" s="9" t="str">
        <f ca="1">IFERROR(__xludf.DUMMYFUNCTION("""COMPUTED_VALUE"""),"S4: Student Certifications")</f>
        <v>S4: Student Certifications</v>
      </c>
      <c r="N372" s="9" t="str">
        <f ca="1">IFERROR(__xludf.DUMMYFUNCTION("""COMPUTED_VALUE"""),"haneefleo10@gmail.com")</f>
        <v>haneefleo10@gmail.com</v>
      </c>
      <c r="O372" s="9" t="str">
        <f ca="1">IFERROR(__xludf.DUMMYFUNCTION("""COMPUTED_VALUE"""),"SEM-8")</f>
        <v>SEM-8</v>
      </c>
      <c r="P372" s="9"/>
      <c r="Q372" s="9"/>
      <c r="R372" s="9"/>
      <c r="S372" s="9"/>
      <c r="T372" s="9"/>
      <c r="U372" s="9"/>
      <c r="V372" s="9"/>
      <c r="W372" s="9"/>
      <c r="X372" s="9"/>
      <c r="Y372" s="9"/>
    </row>
    <row r="373" spans="1:25" ht="26.25" customHeight="1" x14ac:dyDescent="0.15">
      <c r="A373" s="9" t="str">
        <f ca="1">IFERROR(__xludf.DUMMYFUNCTION("""COMPUTED_VALUE"""),"Swathi Paluri")</f>
        <v>Swathi Paluri</v>
      </c>
      <c r="B373" s="9" t="str">
        <f ca="1">IFERROR(__xludf.DUMMYFUNCTION("""COMPUTED_VALUE"""),"19335A0516")</f>
        <v>19335A0516</v>
      </c>
      <c r="C373" s="78" t="str">
        <f ca="1">IFERROR(__xludf.DUMMYFUNCTION("""COMPUTED_VALUE"""),"Programming for Everybody")</f>
        <v>Programming for Everybody</v>
      </c>
      <c r="D373" s="9" t="str">
        <f ca="1">IFERROR(__xludf.DUMMYFUNCTION("""COMPUTED_VALUE"""),"Coursera")</f>
        <v>Coursera</v>
      </c>
      <c r="E373" s="9" t="str">
        <f ca="1">IFERROR(__xludf.DUMMYFUNCTION("""COMPUTED_VALUE"""),"2 months")</f>
        <v>2 months</v>
      </c>
      <c r="F373" s="79">
        <f ca="1">IFERROR(__xludf.DUMMYFUNCTION("""COMPUTED_VALUE"""),43924)</f>
        <v>43924</v>
      </c>
      <c r="G373" s="79">
        <f ca="1">IFERROR(__xludf.DUMMYFUNCTION("""COMPUTED_VALUE"""),44714)</f>
        <v>44714</v>
      </c>
      <c r="H373" s="72">
        <f ca="1">IFERROR(__xludf.DUMMYFUNCTION("""COMPUTED_VALUE"""),43986)</f>
        <v>43986</v>
      </c>
      <c r="I373" s="80">
        <f ca="1">IFERROR(__xludf.DUMMYFUNCTION("""COMPUTED_VALUE"""),96)</f>
        <v>96</v>
      </c>
      <c r="J373" s="9" t="str">
        <f ca="1">IFERROR(__xludf.DUMMYFUNCTION("""COMPUTED_VALUE"""),".")</f>
        <v>.</v>
      </c>
      <c r="K373" s="73" t="str">
        <f ca="1">IFERROR(__xludf.DUMMYFUNCTION("""COMPUTED_VALUE"""),"https://drive.google.com/open?id=1KVLd8bu3XroEMIX5eGBRLp0Ny1PYDFLa")</f>
        <v>https://drive.google.com/open?id=1KVLd8bu3XroEMIX5eGBRLp0Ny1PYDFLa</v>
      </c>
      <c r="L373" s="9" t="str">
        <f ca="1">IFERROR(__xludf.DUMMYFUNCTION("""COMPUTED_VALUE"""),"2018-2022")</f>
        <v>2018-2022</v>
      </c>
      <c r="M373" s="9" t="str">
        <f ca="1">IFERROR(__xludf.DUMMYFUNCTION("""COMPUTED_VALUE"""),"S4: Student Certifications")</f>
        <v>S4: Student Certifications</v>
      </c>
      <c r="N373" s="9" t="str">
        <f ca="1">IFERROR(__xludf.DUMMYFUNCTION("""COMPUTED_VALUE"""),"swathich164@gmail.com")</f>
        <v>swathich164@gmail.com</v>
      </c>
      <c r="O373" s="9" t="str">
        <f ca="1">IFERROR(__xludf.DUMMYFUNCTION("""COMPUTED_VALUE"""),"SEM-4")</f>
        <v>SEM-4</v>
      </c>
      <c r="P373" s="9"/>
      <c r="Q373" s="9"/>
      <c r="R373" s="9"/>
      <c r="S373" s="9"/>
      <c r="T373" s="9"/>
      <c r="U373" s="9"/>
      <c r="V373" s="9"/>
      <c r="W373" s="9"/>
      <c r="X373" s="9"/>
      <c r="Y373" s="9"/>
    </row>
    <row r="374" spans="1:25" ht="26.25" customHeight="1" x14ac:dyDescent="0.15">
      <c r="A374" s="9" t="str">
        <f ca="1">IFERROR(__xludf.DUMMYFUNCTION("""COMPUTED_VALUE"""),"Sagi Gayathri")</f>
        <v>Sagi Gayathri</v>
      </c>
      <c r="B374" s="9" t="str">
        <f ca="1">IFERROR(__xludf.DUMMYFUNCTION("""COMPUTED_VALUE"""),"18331A05C7")</f>
        <v>18331A05C7</v>
      </c>
      <c r="C374" s="78" t="str">
        <f ca="1">IFERROR(__xludf.DUMMYFUNCTION("""COMPUTED_VALUE"""),"Cybersecurity Essentials")</f>
        <v>Cybersecurity Essentials</v>
      </c>
      <c r="D374" s="9" t="str">
        <f ca="1">IFERROR(__xludf.DUMMYFUNCTION("""COMPUTED_VALUE"""),"cisco")</f>
        <v>cisco</v>
      </c>
      <c r="E374" s="9" t="str">
        <f ca="1">IFERROR(__xludf.DUMMYFUNCTION("""COMPUTED_VALUE"""),"2 months")</f>
        <v>2 months</v>
      </c>
      <c r="F374" s="79">
        <f ca="1">IFERROR(__xludf.DUMMYFUNCTION("""COMPUTED_VALUE"""),43587)</f>
        <v>43587</v>
      </c>
      <c r="G374" s="79">
        <f ca="1">IFERROR(__xludf.DUMMYFUNCTION("""COMPUTED_VALUE"""),43664)</f>
        <v>43664</v>
      </c>
      <c r="H374" s="72">
        <f ca="1">IFERROR(__xludf.DUMMYFUNCTION("""COMPUTED_VALUE"""),43676)</f>
        <v>43676</v>
      </c>
      <c r="I374" s="80">
        <f ca="1">IFERROR(__xludf.DUMMYFUNCTION("""COMPUTED_VALUE"""),89)</f>
        <v>89</v>
      </c>
      <c r="J374" s="9" t="str">
        <f ca="1">IFERROR(__xludf.DUMMYFUNCTION("""COMPUTED_VALUE"""),"Dr. P. Ravi Kiran Varma")</f>
        <v>Dr. P. Ravi Kiran Varma</v>
      </c>
      <c r="K374" s="73" t="str">
        <f ca="1">IFERROR(__xludf.DUMMYFUNCTION("""COMPUTED_VALUE"""),"https://drive.google.com/open?id=1dclhAY9hOiRHeG2Veptfo-i5Pl2ti7ub")</f>
        <v>https://drive.google.com/open?id=1dclhAY9hOiRHeG2Veptfo-i5Pl2ti7ub</v>
      </c>
      <c r="L374" s="9" t="str">
        <f ca="1">IFERROR(__xludf.DUMMYFUNCTION("""COMPUTED_VALUE"""),"2018-2022")</f>
        <v>2018-2022</v>
      </c>
      <c r="M374" s="9" t="str">
        <f ca="1">IFERROR(__xludf.DUMMYFUNCTION("""COMPUTED_VALUE"""),"S4: Student Certifications")</f>
        <v>S4: Student Certifications</v>
      </c>
      <c r="N374" s="9" t="str">
        <f ca="1">IFERROR(__xludf.DUMMYFUNCTION("""COMPUTED_VALUE"""),"sagigayathri02@gmail.com")</f>
        <v>sagigayathri02@gmail.com</v>
      </c>
      <c r="O374" s="9" t="str">
        <f ca="1">IFERROR(__xludf.DUMMYFUNCTION("""COMPUTED_VALUE"""),"SEM-2")</f>
        <v>SEM-2</v>
      </c>
      <c r="P374" s="9"/>
      <c r="Q374" s="9"/>
      <c r="R374" s="9"/>
      <c r="S374" s="9"/>
      <c r="T374" s="9"/>
      <c r="U374" s="9"/>
      <c r="V374" s="9"/>
      <c r="W374" s="9"/>
      <c r="X374" s="9"/>
      <c r="Y374" s="9"/>
    </row>
    <row r="375" spans="1:25" ht="26.25" customHeight="1" x14ac:dyDescent="0.15">
      <c r="A375" s="9" t="str">
        <f ca="1">IFERROR(__xludf.DUMMYFUNCTION("""COMPUTED_VALUE"""),"Swathi Paluri")</f>
        <v>Swathi Paluri</v>
      </c>
      <c r="B375" s="9" t="str">
        <f ca="1">IFERROR(__xludf.DUMMYFUNCTION("""COMPUTED_VALUE"""),"19335A0516")</f>
        <v>19335A0516</v>
      </c>
      <c r="C375" s="78" t="str">
        <f ca="1">IFERROR(__xludf.DUMMYFUNCTION("""COMPUTED_VALUE"""),"Introduction to Microsoft Azure Cloud Services")</f>
        <v>Introduction to Microsoft Azure Cloud Services</v>
      </c>
      <c r="D375" s="9" t="str">
        <f ca="1">IFERROR(__xludf.DUMMYFUNCTION("""COMPUTED_VALUE"""),"Coursera")</f>
        <v>Coursera</v>
      </c>
      <c r="E375" s="9" t="str">
        <f ca="1">IFERROR(__xludf.DUMMYFUNCTION("""COMPUTED_VALUE"""),"2 months")</f>
        <v>2 months</v>
      </c>
      <c r="F375" s="79">
        <f ca="1">IFERROR(__xludf.DUMMYFUNCTION("""COMPUTED_VALUE"""),44531)</f>
        <v>44531</v>
      </c>
      <c r="G375" s="79">
        <f ca="1">IFERROR(__xludf.DUMMYFUNCTION("""COMPUTED_VALUE"""),44582)</f>
        <v>44582</v>
      </c>
      <c r="H375" s="72">
        <f ca="1">IFERROR(__xludf.DUMMYFUNCTION("""COMPUTED_VALUE"""),44585)</f>
        <v>44585</v>
      </c>
      <c r="I375" s="80">
        <f ca="1">IFERROR(__xludf.DUMMYFUNCTION("""COMPUTED_VALUE"""),96)</f>
        <v>96</v>
      </c>
      <c r="J375" s="9" t="str">
        <f ca="1">IFERROR(__xludf.DUMMYFUNCTION("""COMPUTED_VALUE"""),".")</f>
        <v>.</v>
      </c>
      <c r="K375" s="73" t="str">
        <f ca="1">IFERROR(__xludf.DUMMYFUNCTION("""COMPUTED_VALUE"""),"https://drive.google.com/open?id=1Ag7a8-iLv_jbwDS4g5LMfd_Qm1mYghCP")</f>
        <v>https://drive.google.com/open?id=1Ag7a8-iLv_jbwDS4g5LMfd_Qm1mYghCP</v>
      </c>
      <c r="L375" s="9" t="str">
        <f ca="1">IFERROR(__xludf.DUMMYFUNCTION("""COMPUTED_VALUE"""),"2018-2022")</f>
        <v>2018-2022</v>
      </c>
      <c r="M375" s="9" t="str">
        <f ca="1">IFERROR(__xludf.DUMMYFUNCTION("""COMPUTED_VALUE"""),"S4: Student Certifications")</f>
        <v>S4: Student Certifications</v>
      </c>
      <c r="N375" s="9" t="str">
        <f ca="1">IFERROR(__xludf.DUMMYFUNCTION("""COMPUTED_VALUE"""),"swathich164@gmail.com")</f>
        <v>swathich164@gmail.com</v>
      </c>
      <c r="O375" s="9" t="str">
        <f ca="1">IFERROR(__xludf.DUMMYFUNCTION("""COMPUTED_VALUE"""),"SEM-4")</f>
        <v>SEM-4</v>
      </c>
      <c r="P375" s="9"/>
      <c r="Q375" s="9"/>
      <c r="R375" s="9"/>
      <c r="S375" s="9"/>
      <c r="T375" s="9"/>
      <c r="U375" s="9"/>
      <c r="V375" s="9"/>
      <c r="W375" s="9"/>
      <c r="X375" s="9"/>
      <c r="Y375" s="9"/>
    </row>
    <row r="376" spans="1:25" ht="26.25" customHeight="1" x14ac:dyDescent="0.15">
      <c r="A376" s="9" t="str">
        <f ca="1">IFERROR(__xludf.DUMMYFUNCTION("""COMPUTED_VALUE"""),"KARUNA SRI PITHANI")</f>
        <v>KARUNA SRI PITHANI</v>
      </c>
      <c r="B376" s="9" t="str">
        <f ca="1">IFERROR(__xludf.DUMMYFUNCTION("""COMPUTED_VALUE"""),"183331A0572")</f>
        <v>183331A0572</v>
      </c>
      <c r="C376" s="78" t="str">
        <f ca="1">IFERROR(__xludf.DUMMYFUNCTION("""COMPUTED_VALUE"""),"Matlab")</f>
        <v>Matlab</v>
      </c>
      <c r="D376" s="9" t="str">
        <f ca="1">IFERROR(__xludf.DUMMYFUNCTION("""COMPUTED_VALUE"""),"Mathworks")</f>
        <v>Mathworks</v>
      </c>
      <c r="E376" s="9" t="str">
        <f ca="1">IFERROR(__xludf.DUMMYFUNCTION("""COMPUTED_VALUE"""),"2 months")</f>
        <v>2 months</v>
      </c>
      <c r="F376" s="79">
        <f ca="1">IFERROR(__xludf.DUMMYFUNCTION("""COMPUTED_VALUE"""),44174)</f>
        <v>44174</v>
      </c>
      <c r="G376" s="79">
        <f ca="1">IFERROR(__xludf.DUMMYFUNCTION("""COMPUTED_VALUE"""),44234)</f>
        <v>44234</v>
      </c>
      <c r="H376" s="72">
        <f ca="1">IFERROR(__xludf.DUMMYFUNCTION("""COMPUTED_VALUE"""),44233)</f>
        <v>44233</v>
      </c>
      <c r="I376" s="80">
        <f ca="1">IFERROR(__xludf.DUMMYFUNCTION("""COMPUTED_VALUE"""),100)</f>
        <v>100</v>
      </c>
      <c r="J376" s="9" t="str">
        <f ca="1">IFERROR(__xludf.DUMMYFUNCTION("""COMPUTED_VALUE"""),"K. Prasad Rao")</f>
        <v>K. Prasad Rao</v>
      </c>
      <c r="K376" s="73" t="str">
        <f ca="1">IFERROR(__xludf.DUMMYFUNCTION("""COMPUTED_VALUE"""),"https://drive.google.com/open?id=1DGq3Z9Hv6wdsfDLdxFHWrkfim1dk2reA")</f>
        <v>https://drive.google.com/open?id=1DGq3Z9Hv6wdsfDLdxFHWrkfim1dk2reA</v>
      </c>
      <c r="L376" s="9" t="str">
        <f ca="1">IFERROR(__xludf.DUMMYFUNCTION("""COMPUTED_VALUE"""),"2018-2022")</f>
        <v>2018-2022</v>
      </c>
      <c r="M376" s="9" t="str">
        <f ca="1">IFERROR(__xludf.DUMMYFUNCTION("""COMPUTED_VALUE"""),"S4: Student Certifications")</f>
        <v>S4: Student Certifications</v>
      </c>
      <c r="N376" s="9" t="str">
        <f ca="1">IFERROR(__xludf.DUMMYFUNCTION("""COMPUTED_VALUE"""),"pithanikarunasri2001@gmail.com")</f>
        <v>pithanikarunasri2001@gmail.com</v>
      </c>
      <c r="O376" s="9" t="str">
        <f ca="1">IFERROR(__xludf.DUMMYFUNCTION("""COMPUTED_VALUE"""),"SEM-8")</f>
        <v>SEM-8</v>
      </c>
      <c r="P376" s="9"/>
      <c r="Q376" s="9"/>
      <c r="R376" s="9"/>
      <c r="S376" s="9"/>
      <c r="T376" s="9"/>
      <c r="U376" s="9"/>
      <c r="V376" s="9"/>
      <c r="W376" s="9"/>
      <c r="X376" s="9"/>
      <c r="Y376" s="9"/>
    </row>
    <row r="377" spans="1:25" ht="26.25" customHeight="1" x14ac:dyDescent="0.15">
      <c r="A377" s="9" t="str">
        <f ca="1">IFERROR(__xludf.DUMMYFUNCTION("""COMPUTED_VALUE"""),"KARUNA SRI PITHANI")</f>
        <v>KARUNA SRI PITHANI</v>
      </c>
      <c r="B377" s="9" t="str">
        <f ca="1">IFERROR(__xludf.DUMMYFUNCTION("""COMPUTED_VALUE"""),"18331A0572")</f>
        <v>18331A0572</v>
      </c>
      <c r="C377" s="78" t="str">
        <f ca="1">IFERROR(__xludf.DUMMYFUNCTION("""COMPUTED_VALUE"""),"The Science of Well-Being")</f>
        <v>The Science of Well-Being</v>
      </c>
      <c r="D377" s="9" t="str">
        <f ca="1">IFERROR(__xludf.DUMMYFUNCTION("""COMPUTED_VALUE"""),"coursera")</f>
        <v>coursera</v>
      </c>
      <c r="E377" s="9" t="str">
        <f ca="1">IFERROR(__xludf.DUMMYFUNCTION("""COMPUTED_VALUE"""),"1 month")</f>
        <v>1 month</v>
      </c>
      <c r="F377" s="79">
        <f ca="1">IFERROR(__xludf.DUMMYFUNCTION("""COMPUTED_VALUE"""),43960)</f>
        <v>43960</v>
      </c>
      <c r="G377" s="79">
        <f ca="1">IFERROR(__xludf.DUMMYFUNCTION("""COMPUTED_VALUE"""),43995)</f>
        <v>43995</v>
      </c>
      <c r="H377" s="72">
        <f ca="1">IFERROR(__xludf.DUMMYFUNCTION("""COMPUTED_VALUE"""),43987)</f>
        <v>43987</v>
      </c>
      <c r="I377" s="80">
        <f ca="1">IFERROR(__xludf.DUMMYFUNCTION("""COMPUTED_VALUE"""),100)</f>
        <v>100</v>
      </c>
      <c r="J377" s="9" t="str">
        <f ca="1">IFERROR(__xludf.DUMMYFUNCTION("""COMPUTED_VALUE"""),"Laurie Santos")</f>
        <v>Laurie Santos</v>
      </c>
      <c r="K377" s="73" t="str">
        <f ca="1">IFERROR(__xludf.DUMMYFUNCTION("""COMPUTED_VALUE"""),"https://drive.google.com/open?id=1jRQLjFUB42L-7lWbY9cFdYdWHXICyjt1")</f>
        <v>https://drive.google.com/open?id=1jRQLjFUB42L-7lWbY9cFdYdWHXICyjt1</v>
      </c>
      <c r="L377" s="9" t="str">
        <f ca="1">IFERROR(__xludf.DUMMYFUNCTION("""COMPUTED_VALUE"""),"2018-2022")</f>
        <v>2018-2022</v>
      </c>
      <c r="M377" s="9" t="str">
        <f ca="1">IFERROR(__xludf.DUMMYFUNCTION("""COMPUTED_VALUE"""),"S4: Student Certifications")</f>
        <v>S4: Student Certifications</v>
      </c>
      <c r="N377" s="9" t="str">
        <f ca="1">IFERROR(__xludf.DUMMYFUNCTION("""COMPUTED_VALUE"""),"pithanikarunasri2001@gmail.com")</f>
        <v>pithanikarunasri2001@gmail.com</v>
      </c>
      <c r="O377" s="9" t="str">
        <f ca="1">IFERROR(__xludf.DUMMYFUNCTION("""COMPUTED_VALUE"""),"SEM-8")</f>
        <v>SEM-8</v>
      </c>
      <c r="P377" s="9"/>
      <c r="Q377" s="9"/>
      <c r="R377" s="9"/>
      <c r="S377" s="9"/>
      <c r="T377" s="9"/>
      <c r="U377" s="9"/>
      <c r="V377" s="9"/>
      <c r="W377" s="9"/>
      <c r="X377" s="9"/>
      <c r="Y377" s="9"/>
    </row>
    <row r="378" spans="1:25" ht="26.25" customHeight="1" x14ac:dyDescent="0.15">
      <c r="A378" s="9" t="str">
        <f ca="1">IFERROR(__xludf.DUMMYFUNCTION("""COMPUTED_VALUE"""),"KARUNA SRI PITHANI")</f>
        <v>KARUNA SRI PITHANI</v>
      </c>
      <c r="B378" s="9" t="str">
        <f ca="1">IFERROR(__xludf.DUMMYFUNCTION("""COMPUTED_VALUE"""),"18331A0572")</f>
        <v>18331A0572</v>
      </c>
      <c r="C378" s="78" t="str">
        <f ca="1">IFERROR(__xludf.DUMMYFUNCTION("""COMPUTED_VALUE"""),"Science of Exercise")</f>
        <v>Science of Exercise</v>
      </c>
      <c r="D378" s="9" t="str">
        <f ca="1">IFERROR(__xludf.DUMMYFUNCTION("""COMPUTED_VALUE"""),"coursera")</f>
        <v>coursera</v>
      </c>
      <c r="E378" s="9" t="str">
        <f ca="1">IFERROR(__xludf.DUMMYFUNCTION("""COMPUTED_VALUE"""),"1 month")</f>
        <v>1 month</v>
      </c>
      <c r="F378" s="79">
        <f ca="1">IFERROR(__xludf.DUMMYFUNCTION("""COMPUTED_VALUE"""),43956)</f>
        <v>43956</v>
      </c>
      <c r="G378" s="79">
        <f ca="1">IFERROR(__xludf.DUMMYFUNCTION("""COMPUTED_VALUE"""),43997)</f>
        <v>43997</v>
      </c>
      <c r="H378" s="72">
        <f ca="1">IFERROR(__xludf.DUMMYFUNCTION("""COMPUTED_VALUE"""),43991)</f>
        <v>43991</v>
      </c>
      <c r="I378" s="80">
        <f ca="1">IFERROR(__xludf.DUMMYFUNCTION("""COMPUTED_VALUE"""),100)</f>
        <v>100</v>
      </c>
      <c r="J378" s="9" t="str">
        <f ca="1">IFERROR(__xludf.DUMMYFUNCTION("""COMPUTED_VALUE"""),"Robert Mazzeo")</f>
        <v>Robert Mazzeo</v>
      </c>
      <c r="K378" s="73" t="str">
        <f ca="1">IFERROR(__xludf.DUMMYFUNCTION("""COMPUTED_VALUE"""),"https://drive.google.com/open?id=1xuoVqr0QMgCsvz5rFTo9SVoMb5UeU67O")</f>
        <v>https://drive.google.com/open?id=1xuoVqr0QMgCsvz5rFTo9SVoMb5UeU67O</v>
      </c>
      <c r="L378" s="9" t="str">
        <f ca="1">IFERROR(__xludf.DUMMYFUNCTION("""COMPUTED_VALUE"""),"2018-2022")</f>
        <v>2018-2022</v>
      </c>
      <c r="M378" s="9" t="str">
        <f ca="1">IFERROR(__xludf.DUMMYFUNCTION("""COMPUTED_VALUE"""),"S4: Student Certifications")</f>
        <v>S4: Student Certifications</v>
      </c>
      <c r="N378" s="9" t="str">
        <f ca="1">IFERROR(__xludf.DUMMYFUNCTION("""COMPUTED_VALUE"""),"pithanikarunasri2001@gmail.com")</f>
        <v>pithanikarunasri2001@gmail.com</v>
      </c>
      <c r="O378" s="9" t="str">
        <f ca="1">IFERROR(__xludf.DUMMYFUNCTION("""COMPUTED_VALUE"""),"SEM-8")</f>
        <v>SEM-8</v>
      </c>
      <c r="P378" s="9"/>
      <c r="Q378" s="9"/>
      <c r="R378" s="9"/>
      <c r="S378" s="9"/>
      <c r="T378" s="9"/>
      <c r="U378" s="9"/>
      <c r="V378" s="9"/>
      <c r="W378" s="9"/>
      <c r="X378" s="9"/>
      <c r="Y378" s="9"/>
    </row>
    <row r="379" spans="1:25" ht="26.25" customHeight="1" x14ac:dyDescent="0.15">
      <c r="A379" s="9" t="str">
        <f ca="1">IFERROR(__xludf.DUMMYFUNCTION("""COMPUTED_VALUE"""),"Buddharaju Pragna")</f>
        <v>Buddharaju Pragna</v>
      </c>
      <c r="B379" s="9" t="str">
        <f ca="1">IFERROR(__xludf.DUMMYFUNCTION("""COMPUTED_VALUE"""),"18331A05H2")</f>
        <v>18331A05H2</v>
      </c>
      <c r="C379" s="78" t="str">
        <f ca="1">IFERROR(__xludf.DUMMYFUNCTION("""COMPUTED_VALUE"""),"Cybersecurity Essentials")</f>
        <v>Cybersecurity Essentials</v>
      </c>
      <c r="D379" s="9" t="str">
        <f ca="1">IFERROR(__xludf.DUMMYFUNCTION("""COMPUTED_VALUE"""),"CISCO")</f>
        <v>CISCO</v>
      </c>
      <c r="E379" s="9" t="str">
        <f ca="1">IFERROR(__xludf.DUMMYFUNCTION("""COMPUTED_VALUE"""),"4 months")</f>
        <v>4 months</v>
      </c>
      <c r="F379" s="79">
        <f ca="1">IFERROR(__xludf.DUMMYFUNCTION("""COMPUTED_VALUE"""),43556)</f>
        <v>43556</v>
      </c>
      <c r="G379" s="79">
        <f ca="1">IFERROR(__xludf.DUMMYFUNCTION("""COMPUTED_VALUE"""),43676)</f>
        <v>43676</v>
      </c>
      <c r="H379" s="72">
        <f ca="1">IFERROR(__xludf.DUMMYFUNCTION("""COMPUTED_VALUE"""),43676)</f>
        <v>43676</v>
      </c>
      <c r="I379" s="80">
        <f ca="1">IFERROR(__xludf.DUMMYFUNCTION("""COMPUTED_VALUE"""),90)</f>
        <v>90</v>
      </c>
      <c r="J379" s="9" t="str">
        <f ca="1">IFERROR(__xludf.DUMMYFUNCTION("""COMPUTED_VALUE"""),"DR.P.Ravi Kiran Varma")</f>
        <v>DR.P.Ravi Kiran Varma</v>
      </c>
      <c r="K379" s="73" t="str">
        <f ca="1">IFERROR(__xludf.DUMMYFUNCTION("""COMPUTED_VALUE"""),"https://drive.google.com/open?id=1VksBdV3ybINuVdznQDBP-Cr4O1vi219V")</f>
        <v>https://drive.google.com/open?id=1VksBdV3ybINuVdznQDBP-Cr4O1vi219V</v>
      </c>
      <c r="L379" s="9" t="str">
        <f ca="1">IFERROR(__xludf.DUMMYFUNCTION("""COMPUTED_VALUE"""),"2018-2022")</f>
        <v>2018-2022</v>
      </c>
      <c r="M379" s="9" t="str">
        <f ca="1">IFERROR(__xludf.DUMMYFUNCTION("""COMPUTED_VALUE"""),"S4: Student Certifications")</f>
        <v>S4: Student Certifications</v>
      </c>
      <c r="N379" s="9" t="str">
        <f ca="1">IFERROR(__xludf.DUMMYFUNCTION("""COMPUTED_VALUE"""),"pragnabuddharaju@gmail.com")</f>
        <v>pragnabuddharaju@gmail.com</v>
      </c>
      <c r="O379" s="9" t="str">
        <f ca="1">IFERROR(__xludf.DUMMYFUNCTION("""COMPUTED_VALUE"""),"SEM-2")</f>
        <v>SEM-2</v>
      </c>
      <c r="P379" s="9"/>
      <c r="Q379" s="9"/>
      <c r="R379" s="9"/>
      <c r="S379" s="9"/>
      <c r="T379" s="9"/>
      <c r="U379" s="9"/>
      <c r="V379" s="9"/>
      <c r="W379" s="9"/>
      <c r="X379" s="9"/>
      <c r="Y379" s="9"/>
    </row>
    <row r="380" spans="1:25" ht="26.25" customHeight="1" x14ac:dyDescent="0.15">
      <c r="A380" s="9" t="str">
        <f ca="1">IFERROR(__xludf.DUMMYFUNCTION("""COMPUTED_VALUE"""),"KARUNA SRI PITHANI")</f>
        <v>KARUNA SRI PITHANI</v>
      </c>
      <c r="B380" s="9" t="str">
        <f ca="1">IFERROR(__xludf.DUMMYFUNCTION("""COMPUTED_VALUE"""),"18331A0572")</f>
        <v>18331A0572</v>
      </c>
      <c r="C380" s="78" t="str">
        <f ca="1">IFERROR(__xludf.DUMMYFUNCTION("""COMPUTED_VALUE"""),"Python Data Structure")</f>
        <v>Python Data Structure</v>
      </c>
      <c r="D380" s="9" t="str">
        <f ca="1">IFERROR(__xludf.DUMMYFUNCTION("""COMPUTED_VALUE"""),"coursera")</f>
        <v>coursera</v>
      </c>
      <c r="E380" s="9" t="str">
        <f ca="1">IFERROR(__xludf.DUMMYFUNCTION("""COMPUTED_VALUE"""),"1 month")</f>
        <v>1 month</v>
      </c>
      <c r="F380" s="79">
        <f ca="1">IFERROR(__xludf.DUMMYFUNCTION("""COMPUTED_VALUE"""),43956)</f>
        <v>43956</v>
      </c>
      <c r="G380" s="79">
        <f ca="1">IFERROR(__xludf.DUMMYFUNCTION("""COMPUTED_VALUE"""),44012)</f>
        <v>44012</v>
      </c>
      <c r="H380" s="72">
        <f ca="1">IFERROR(__xludf.DUMMYFUNCTION("""COMPUTED_VALUE"""),44005)</f>
        <v>44005</v>
      </c>
      <c r="I380" s="80">
        <f ca="1">IFERROR(__xludf.DUMMYFUNCTION("""COMPUTED_VALUE"""),100)</f>
        <v>100</v>
      </c>
      <c r="J380" s="9" t="str">
        <f ca="1">IFERROR(__xludf.DUMMYFUNCTION("""COMPUTED_VALUE"""),"Charles Severance")</f>
        <v>Charles Severance</v>
      </c>
      <c r="K380" s="73" t="str">
        <f ca="1">IFERROR(__xludf.DUMMYFUNCTION("""COMPUTED_VALUE"""),"https://drive.google.com/open?id=1ST4b8Hp_jhQRMiO7hFlz-QG0wtYMcjcr")</f>
        <v>https://drive.google.com/open?id=1ST4b8Hp_jhQRMiO7hFlz-QG0wtYMcjcr</v>
      </c>
      <c r="L380" s="9" t="str">
        <f ca="1">IFERROR(__xludf.DUMMYFUNCTION("""COMPUTED_VALUE"""),"2018-2022")</f>
        <v>2018-2022</v>
      </c>
      <c r="M380" s="9" t="str">
        <f ca="1">IFERROR(__xludf.DUMMYFUNCTION("""COMPUTED_VALUE"""),"S4: Student Certifications")</f>
        <v>S4: Student Certifications</v>
      </c>
      <c r="N380" s="9" t="str">
        <f ca="1">IFERROR(__xludf.DUMMYFUNCTION("""COMPUTED_VALUE"""),"pithanikarunasri2001@gmail.com")</f>
        <v>pithanikarunasri2001@gmail.com</v>
      </c>
      <c r="O380" s="9" t="str">
        <f ca="1">IFERROR(__xludf.DUMMYFUNCTION("""COMPUTED_VALUE"""),"SEM-8")</f>
        <v>SEM-8</v>
      </c>
      <c r="P380" s="9"/>
      <c r="Q380" s="9"/>
      <c r="R380" s="9"/>
      <c r="S380" s="9"/>
      <c r="T380" s="9"/>
      <c r="U380" s="9"/>
      <c r="V380" s="9"/>
      <c r="W380" s="9"/>
      <c r="X380" s="9"/>
      <c r="Y380" s="9"/>
    </row>
    <row r="381" spans="1:25" ht="26.25" customHeight="1" x14ac:dyDescent="0.15">
      <c r="A381" s="9" t="str">
        <f ca="1">IFERROR(__xludf.DUMMYFUNCTION("""COMPUTED_VALUE"""),"KARUNA SRI PITHANI")</f>
        <v>KARUNA SRI PITHANI</v>
      </c>
      <c r="B381" s="9" t="str">
        <f ca="1">IFERROR(__xludf.DUMMYFUNCTION("""COMPUTED_VALUE"""),"18331A0572")</f>
        <v>18331A0572</v>
      </c>
      <c r="C381" s="78" t="str">
        <f ca="1">IFERROR(__xludf.DUMMYFUNCTION("""COMPUTED_VALUE"""),"Programming for Everybody (Getting Started with Python)")</f>
        <v>Programming for Everybody (Getting Started with Python)</v>
      </c>
      <c r="D381" s="9" t="str">
        <f ca="1">IFERROR(__xludf.DUMMYFUNCTION("""COMPUTED_VALUE"""),"coursera")</f>
        <v>coursera</v>
      </c>
      <c r="E381" s="9" t="str">
        <f ca="1">IFERROR(__xludf.DUMMYFUNCTION("""COMPUTED_VALUE"""),"1 month")</f>
        <v>1 month</v>
      </c>
      <c r="F381" s="79">
        <f ca="1">IFERROR(__xludf.DUMMYFUNCTION("""COMPUTED_VALUE"""),43960)</f>
        <v>43960</v>
      </c>
      <c r="G381" s="79">
        <f ca="1">IFERROR(__xludf.DUMMYFUNCTION("""COMPUTED_VALUE"""),43997)</f>
        <v>43997</v>
      </c>
      <c r="H381" s="72">
        <f ca="1">IFERROR(__xludf.DUMMYFUNCTION("""COMPUTED_VALUE"""),43991)</f>
        <v>43991</v>
      </c>
      <c r="I381" s="80">
        <f ca="1">IFERROR(__xludf.DUMMYFUNCTION("""COMPUTED_VALUE"""),100)</f>
        <v>100</v>
      </c>
      <c r="J381" s="9" t="str">
        <f ca="1">IFERROR(__xludf.DUMMYFUNCTION("""COMPUTED_VALUE"""),"Charles Severance")</f>
        <v>Charles Severance</v>
      </c>
      <c r="K381" s="73" t="str">
        <f ca="1">IFERROR(__xludf.DUMMYFUNCTION("""COMPUTED_VALUE"""),"https://drive.google.com/open?id=149E4ROiJYHPw5OBN0KsGUY5hFPqL8gfC")</f>
        <v>https://drive.google.com/open?id=149E4ROiJYHPw5OBN0KsGUY5hFPqL8gfC</v>
      </c>
      <c r="L381" s="9" t="str">
        <f ca="1">IFERROR(__xludf.DUMMYFUNCTION("""COMPUTED_VALUE"""),"2018-2022")</f>
        <v>2018-2022</v>
      </c>
      <c r="M381" s="9" t="str">
        <f ca="1">IFERROR(__xludf.DUMMYFUNCTION("""COMPUTED_VALUE"""),"S4: Student Certifications")</f>
        <v>S4: Student Certifications</v>
      </c>
      <c r="N381" s="9" t="str">
        <f ca="1">IFERROR(__xludf.DUMMYFUNCTION("""COMPUTED_VALUE"""),"pithanikarunasri2001@gmail.com")</f>
        <v>pithanikarunasri2001@gmail.com</v>
      </c>
      <c r="O381" s="9" t="str">
        <f ca="1">IFERROR(__xludf.DUMMYFUNCTION("""COMPUTED_VALUE"""),"SEM-8")</f>
        <v>SEM-8</v>
      </c>
      <c r="P381" s="9"/>
      <c r="Q381" s="9"/>
      <c r="R381" s="9"/>
      <c r="S381" s="9"/>
      <c r="T381" s="9"/>
      <c r="U381" s="9"/>
      <c r="V381" s="9"/>
      <c r="W381" s="9"/>
      <c r="X381" s="9"/>
      <c r="Y381" s="9"/>
    </row>
    <row r="382" spans="1:25" ht="26.25" customHeight="1" x14ac:dyDescent="0.15">
      <c r="A382" s="9" t="str">
        <f ca="1">IFERROR(__xludf.DUMMYFUNCTION("""COMPUTED_VALUE"""),"Buddharaju Pragna")</f>
        <v>Buddharaju Pragna</v>
      </c>
      <c r="B382" s="9" t="str">
        <f ca="1">IFERROR(__xludf.DUMMYFUNCTION("""COMPUTED_VALUE"""),"18331A05H2")</f>
        <v>18331A05H2</v>
      </c>
      <c r="C382" s="78" t="str">
        <f ca="1">IFERROR(__xludf.DUMMYFUNCTION("""COMPUTED_VALUE"""),"Programming Essentials in C")</f>
        <v>Programming Essentials in C</v>
      </c>
      <c r="D382" s="9" t="str">
        <f ca="1">IFERROR(__xludf.DUMMYFUNCTION("""COMPUTED_VALUE"""),"CISCO")</f>
        <v>CISCO</v>
      </c>
      <c r="E382" s="9" t="str">
        <f ca="1">IFERROR(__xludf.DUMMYFUNCTION("""COMPUTED_VALUE"""),"3 months")</f>
        <v>3 months</v>
      </c>
      <c r="F382" s="79">
        <f ca="1">IFERROR(__xludf.DUMMYFUNCTION("""COMPUTED_VALUE"""),43587)</f>
        <v>43587</v>
      </c>
      <c r="G382" s="79">
        <f ca="1">IFERROR(__xludf.DUMMYFUNCTION("""COMPUTED_VALUE"""),43699)</f>
        <v>43699</v>
      </c>
      <c r="H382" s="72">
        <f ca="1">IFERROR(__xludf.DUMMYFUNCTION("""COMPUTED_VALUE"""),43699)</f>
        <v>43699</v>
      </c>
      <c r="I382" s="80">
        <f ca="1">IFERROR(__xludf.DUMMYFUNCTION("""COMPUTED_VALUE"""),90)</f>
        <v>90</v>
      </c>
      <c r="J382" s="9" t="str">
        <f ca="1">IFERROR(__xludf.DUMMYFUNCTION("""COMPUTED_VALUE"""),"DR.P.Ravi Kiran Varma")</f>
        <v>DR.P.Ravi Kiran Varma</v>
      </c>
      <c r="K382" s="73" t="str">
        <f ca="1">IFERROR(__xludf.DUMMYFUNCTION("""COMPUTED_VALUE"""),"https://drive.google.com/open?id=1KZYZ-Lb9-WgsfgcK-Baipk7HTxVfU9w-")</f>
        <v>https://drive.google.com/open?id=1KZYZ-Lb9-WgsfgcK-Baipk7HTxVfU9w-</v>
      </c>
      <c r="L382" s="9" t="str">
        <f ca="1">IFERROR(__xludf.DUMMYFUNCTION("""COMPUTED_VALUE"""),"2018-2022")</f>
        <v>2018-2022</v>
      </c>
      <c r="M382" s="9" t="str">
        <f ca="1">IFERROR(__xludf.DUMMYFUNCTION("""COMPUTED_VALUE"""),"S4: Student Certifications")</f>
        <v>S4: Student Certifications</v>
      </c>
      <c r="N382" s="9" t="str">
        <f ca="1">IFERROR(__xludf.DUMMYFUNCTION("""COMPUTED_VALUE"""),"pragnabuddharaju@gmail.com")</f>
        <v>pragnabuddharaju@gmail.com</v>
      </c>
      <c r="O382" s="9" t="str">
        <f ca="1">IFERROR(__xludf.DUMMYFUNCTION("""COMPUTED_VALUE"""),"SEM-2")</f>
        <v>SEM-2</v>
      </c>
      <c r="P382" s="9"/>
      <c r="Q382" s="9"/>
      <c r="R382" s="9"/>
      <c r="S382" s="9"/>
      <c r="T382" s="9"/>
      <c r="U382" s="9"/>
      <c r="V382" s="9"/>
      <c r="W382" s="9"/>
      <c r="X382" s="9"/>
      <c r="Y382" s="9"/>
    </row>
    <row r="383" spans="1:25" ht="26.25" customHeight="1" x14ac:dyDescent="0.15">
      <c r="A383" s="9" t="str">
        <f ca="1">IFERROR(__xludf.DUMMYFUNCTION("""COMPUTED_VALUE"""),"Sagi Gayathri")</f>
        <v>Sagi Gayathri</v>
      </c>
      <c r="B383" s="9" t="str">
        <f ca="1">IFERROR(__xludf.DUMMYFUNCTION("""COMPUTED_VALUE"""),"18331A05C7")</f>
        <v>18331A05C7</v>
      </c>
      <c r="C383" s="78" t="str">
        <f ca="1">IFERROR(__xludf.DUMMYFUNCTION("""COMPUTED_VALUE"""),"Math Quiz")</f>
        <v>Math Quiz</v>
      </c>
      <c r="D383" s="9" t="str">
        <f ca="1">IFERROR(__xludf.DUMMYFUNCTION("""COMPUTED_VALUE"""),"K.RAMAKRISHNAN college of technology")</f>
        <v>K.RAMAKRISHNAN college of technology</v>
      </c>
      <c r="E383" s="9" t="str">
        <f ca="1">IFERROR(__xludf.DUMMYFUNCTION("""COMPUTED_VALUE"""),"1 week")</f>
        <v>1 week</v>
      </c>
      <c r="F383" s="79">
        <f ca="1">IFERROR(__xludf.DUMMYFUNCTION("""COMPUTED_VALUE"""),43968)</f>
        <v>43968</v>
      </c>
      <c r="G383" s="79">
        <f ca="1">IFERROR(__xludf.DUMMYFUNCTION("""COMPUTED_VALUE"""),43975)</f>
        <v>43975</v>
      </c>
      <c r="H383" s="72">
        <f ca="1">IFERROR(__xludf.DUMMYFUNCTION("""COMPUTED_VALUE"""),43975)</f>
        <v>43975</v>
      </c>
      <c r="I383" s="80">
        <f ca="1">IFERROR(__xludf.DUMMYFUNCTION("""COMPUTED_VALUE"""),100)</f>
        <v>100</v>
      </c>
      <c r="J383" s="9" t="str">
        <f ca="1">IFERROR(__xludf.DUMMYFUNCTION("""COMPUTED_VALUE"""),"Online")</f>
        <v>Online</v>
      </c>
      <c r="K383" s="73" t="str">
        <f ca="1">IFERROR(__xludf.DUMMYFUNCTION("""COMPUTED_VALUE"""),"https://drive.google.com/open?id=1NQc3uCU_vybJQ93r1wFSyFbEWe15DgTn")</f>
        <v>https://drive.google.com/open?id=1NQc3uCU_vybJQ93r1wFSyFbEWe15DgTn</v>
      </c>
      <c r="L383" s="9" t="str">
        <f ca="1">IFERROR(__xludf.DUMMYFUNCTION("""COMPUTED_VALUE"""),"2018-2022")</f>
        <v>2018-2022</v>
      </c>
      <c r="M383" s="9" t="str">
        <f ca="1">IFERROR(__xludf.DUMMYFUNCTION("""COMPUTED_VALUE"""),"S4: Student Certifications")</f>
        <v>S4: Student Certifications</v>
      </c>
      <c r="N383" s="9" t="str">
        <f ca="1">IFERROR(__xludf.DUMMYFUNCTION("""COMPUTED_VALUE"""),"sagigayathri02@gmail.com")</f>
        <v>sagigayathri02@gmail.com</v>
      </c>
      <c r="O383" s="9" t="str">
        <f ca="1">IFERROR(__xludf.DUMMYFUNCTION("""COMPUTED_VALUE"""),"SEM-4")</f>
        <v>SEM-4</v>
      </c>
      <c r="P383" s="9"/>
      <c r="Q383" s="9"/>
      <c r="R383" s="9"/>
      <c r="S383" s="9"/>
      <c r="T383" s="9"/>
      <c r="U383" s="9"/>
      <c r="V383" s="9"/>
      <c r="W383" s="9"/>
      <c r="X383" s="9"/>
      <c r="Y383" s="9"/>
    </row>
    <row r="384" spans="1:25" ht="26.25" customHeight="1" x14ac:dyDescent="0.15">
      <c r="A384" s="9" t="str">
        <f ca="1">IFERROR(__xludf.DUMMYFUNCTION("""COMPUTED_VALUE"""),"KARUNA SRI PITHANI")</f>
        <v>KARUNA SRI PITHANI</v>
      </c>
      <c r="B384" s="9" t="str">
        <f ca="1">IFERROR(__xludf.DUMMYFUNCTION("""COMPUTED_VALUE"""),"18331A0572")</f>
        <v>18331A0572</v>
      </c>
      <c r="C384" s="78" t="str">
        <f ca="1">IFERROR(__xludf.DUMMYFUNCTION("""COMPUTED_VALUE"""),"Modern Art &amp; Ideas")</f>
        <v>Modern Art &amp; Ideas</v>
      </c>
      <c r="D384" s="9" t="str">
        <f ca="1">IFERROR(__xludf.DUMMYFUNCTION("""COMPUTED_VALUE"""),"coursera")</f>
        <v>coursera</v>
      </c>
      <c r="E384" s="9" t="str">
        <f ca="1">IFERROR(__xludf.DUMMYFUNCTION("""COMPUTED_VALUE"""),"1 month")</f>
        <v>1 month</v>
      </c>
      <c r="F384" s="79">
        <f ca="1">IFERROR(__xludf.DUMMYFUNCTION("""COMPUTED_VALUE"""),43899)</f>
        <v>43899</v>
      </c>
      <c r="G384" s="79">
        <f ca="1">IFERROR(__xludf.DUMMYFUNCTION("""COMPUTED_VALUE"""),43928)</f>
        <v>43928</v>
      </c>
      <c r="H384" s="72">
        <f ca="1">IFERROR(__xludf.DUMMYFUNCTION("""COMPUTED_VALUE"""),43927)</f>
        <v>43927</v>
      </c>
      <c r="I384" s="80">
        <f ca="1">IFERROR(__xludf.DUMMYFUNCTION("""COMPUTED_VALUE"""),100)</f>
        <v>100</v>
      </c>
      <c r="J384" s="9" t="str">
        <f ca="1">IFERROR(__xludf.DUMMYFUNCTION("""COMPUTED_VALUE"""),"Lisa Mazzola")</f>
        <v>Lisa Mazzola</v>
      </c>
      <c r="K384" s="73" t="str">
        <f ca="1">IFERROR(__xludf.DUMMYFUNCTION("""COMPUTED_VALUE"""),"https://drive.google.com/open?id=1GZ6HmXd0Z96Lgo4uEZ3qL3WT5kxQ6Pde")</f>
        <v>https://drive.google.com/open?id=1GZ6HmXd0Z96Lgo4uEZ3qL3WT5kxQ6Pde</v>
      </c>
      <c r="L384" s="9" t="str">
        <f ca="1">IFERROR(__xludf.DUMMYFUNCTION("""COMPUTED_VALUE"""),"2018-2022")</f>
        <v>2018-2022</v>
      </c>
      <c r="M384" s="9" t="str">
        <f ca="1">IFERROR(__xludf.DUMMYFUNCTION("""COMPUTED_VALUE"""),"S4: Student Certifications")</f>
        <v>S4: Student Certifications</v>
      </c>
      <c r="N384" s="9" t="str">
        <f ca="1">IFERROR(__xludf.DUMMYFUNCTION("""COMPUTED_VALUE"""),"pithanikarunasri2001@gmail.com")</f>
        <v>pithanikarunasri2001@gmail.com</v>
      </c>
      <c r="O384" s="9" t="str">
        <f ca="1">IFERROR(__xludf.DUMMYFUNCTION("""COMPUTED_VALUE"""),"SEM-8")</f>
        <v>SEM-8</v>
      </c>
      <c r="P384" s="9"/>
      <c r="Q384" s="9"/>
      <c r="R384" s="9"/>
      <c r="S384" s="9"/>
      <c r="T384" s="9"/>
      <c r="U384" s="9"/>
      <c r="V384" s="9"/>
      <c r="W384" s="9"/>
      <c r="X384" s="9"/>
      <c r="Y384" s="9"/>
    </row>
    <row r="385" spans="1:25" ht="26.25" customHeight="1" x14ac:dyDescent="0.15">
      <c r="A385" s="9" t="str">
        <f ca="1">IFERROR(__xludf.DUMMYFUNCTION("""COMPUTED_VALUE"""),"KARUNA SRI PITHANI")</f>
        <v>KARUNA SRI PITHANI</v>
      </c>
      <c r="B385" s="9" t="str">
        <f ca="1">IFERROR(__xludf.DUMMYFUNCTION("""COMPUTED_VALUE"""),"18331A0572")</f>
        <v>18331A0572</v>
      </c>
      <c r="C385" s="78" t="str">
        <f ca="1">IFERROR(__xludf.DUMMYFUNCTION("""COMPUTED_VALUE"""),"Introduction to Philosophy")</f>
        <v>Introduction to Philosophy</v>
      </c>
      <c r="D385" s="9" t="str">
        <f ca="1">IFERROR(__xludf.DUMMYFUNCTION("""COMPUTED_VALUE"""),"coursera")</f>
        <v>coursera</v>
      </c>
      <c r="E385" s="9" t="str">
        <f ca="1">IFERROR(__xludf.DUMMYFUNCTION("""COMPUTED_VALUE"""),"1 month")</f>
        <v>1 month</v>
      </c>
      <c r="F385" s="79">
        <f ca="1">IFERROR(__xludf.DUMMYFUNCTION("""COMPUTED_VALUE"""),43989)</f>
        <v>43989</v>
      </c>
      <c r="G385" s="79">
        <f ca="1">IFERROR(__xludf.DUMMYFUNCTION("""COMPUTED_VALUE"""),44025)</f>
        <v>44025</v>
      </c>
      <c r="H385" s="72">
        <f ca="1">IFERROR(__xludf.DUMMYFUNCTION("""COMPUTED_VALUE"""),44021)</f>
        <v>44021</v>
      </c>
      <c r="I385" s="80">
        <f ca="1">IFERROR(__xludf.DUMMYFUNCTION("""COMPUTED_VALUE"""),100)</f>
        <v>100</v>
      </c>
      <c r="J385" s="9" t="str">
        <f ca="1">IFERROR(__xludf.DUMMYFUNCTION("""COMPUTED_VALUE"""),"Dave Ward")</f>
        <v>Dave Ward</v>
      </c>
      <c r="K385" s="73" t="str">
        <f ca="1">IFERROR(__xludf.DUMMYFUNCTION("""COMPUTED_VALUE"""),"https://drive.google.com/open?id=15zLmiPTwGlB263x4Rbuxp5ft-FbLEaKg")</f>
        <v>https://drive.google.com/open?id=15zLmiPTwGlB263x4Rbuxp5ft-FbLEaKg</v>
      </c>
      <c r="L385" s="9" t="str">
        <f ca="1">IFERROR(__xludf.DUMMYFUNCTION("""COMPUTED_VALUE"""),"2018-2022")</f>
        <v>2018-2022</v>
      </c>
      <c r="M385" s="9" t="str">
        <f ca="1">IFERROR(__xludf.DUMMYFUNCTION("""COMPUTED_VALUE"""),"S4: Student Certifications")</f>
        <v>S4: Student Certifications</v>
      </c>
      <c r="N385" s="9" t="str">
        <f ca="1">IFERROR(__xludf.DUMMYFUNCTION("""COMPUTED_VALUE"""),"pithanikarunasri2001@gmail.com")</f>
        <v>pithanikarunasri2001@gmail.com</v>
      </c>
      <c r="O385" s="9" t="str">
        <f ca="1">IFERROR(__xludf.DUMMYFUNCTION("""COMPUTED_VALUE"""),"SEM-8")</f>
        <v>SEM-8</v>
      </c>
      <c r="P385" s="9"/>
      <c r="Q385" s="9"/>
      <c r="R385" s="9"/>
      <c r="S385" s="9"/>
      <c r="T385" s="9"/>
      <c r="U385" s="9"/>
      <c r="V385" s="9"/>
      <c r="W385" s="9"/>
      <c r="X385" s="9"/>
      <c r="Y385" s="9"/>
    </row>
    <row r="386" spans="1:25" ht="26.25" customHeight="1" x14ac:dyDescent="0.15">
      <c r="A386" s="9" t="str">
        <f ca="1">IFERROR(__xludf.DUMMYFUNCTION("""COMPUTED_VALUE"""),"KARUNA SRI PITHANI")</f>
        <v>KARUNA SRI PITHANI</v>
      </c>
      <c r="B386" s="9" t="str">
        <f ca="1">IFERROR(__xludf.DUMMYFUNCTION("""COMPUTED_VALUE"""),"18331A0572")</f>
        <v>18331A0572</v>
      </c>
      <c r="C386" s="78" t="str">
        <f ca="1">IFERROR(__xludf.DUMMYFUNCTION("""COMPUTED_VALUE"""),"Influencing People")</f>
        <v>Influencing People</v>
      </c>
      <c r="D386" s="9" t="str">
        <f ca="1">IFERROR(__xludf.DUMMYFUNCTION("""COMPUTED_VALUE"""),"coursera")</f>
        <v>coursera</v>
      </c>
      <c r="E386" s="9" t="str">
        <f ca="1">IFERROR(__xludf.DUMMYFUNCTION("""COMPUTED_VALUE"""),"1 month")</f>
        <v>1 month</v>
      </c>
      <c r="F386" s="79">
        <f ca="1">IFERROR(__xludf.DUMMYFUNCTION("""COMPUTED_VALUE"""),43988)</f>
        <v>43988</v>
      </c>
      <c r="G386" s="79">
        <f ca="1">IFERROR(__xludf.DUMMYFUNCTION("""COMPUTED_VALUE"""),44018)</f>
        <v>44018</v>
      </c>
      <c r="H386" s="72">
        <f ca="1">IFERROR(__xludf.DUMMYFUNCTION("""COMPUTED_VALUE"""),44016)</f>
        <v>44016</v>
      </c>
      <c r="I386" s="80">
        <f ca="1">IFERROR(__xludf.DUMMYFUNCTION("""COMPUTED_VALUE"""),100)</f>
        <v>100</v>
      </c>
      <c r="J386" s="9" t="str">
        <f ca="1">IFERROR(__xludf.DUMMYFUNCTION("""COMPUTED_VALUE"""),"Scott DeRue")</f>
        <v>Scott DeRue</v>
      </c>
      <c r="K386" s="73" t="str">
        <f ca="1">IFERROR(__xludf.DUMMYFUNCTION("""COMPUTED_VALUE"""),"https://drive.google.com/open?id=1lDoQoKhSD4BIbKrcvBDXhksloXGEnkvG")</f>
        <v>https://drive.google.com/open?id=1lDoQoKhSD4BIbKrcvBDXhksloXGEnkvG</v>
      </c>
      <c r="L386" s="9" t="str">
        <f ca="1">IFERROR(__xludf.DUMMYFUNCTION("""COMPUTED_VALUE"""),"2018-2022")</f>
        <v>2018-2022</v>
      </c>
      <c r="M386" s="9" t="str">
        <f ca="1">IFERROR(__xludf.DUMMYFUNCTION("""COMPUTED_VALUE"""),"S4: Student Certifications")</f>
        <v>S4: Student Certifications</v>
      </c>
      <c r="N386" s="9" t="str">
        <f ca="1">IFERROR(__xludf.DUMMYFUNCTION("""COMPUTED_VALUE"""),"pithanikarunasri2001@gmail.com")</f>
        <v>pithanikarunasri2001@gmail.com</v>
      </c>
      <c r="O386" s="9" t="str">
        <f ca="1">IFERROR(__xludf.DUMMYFUNCTION("""COMPUTED_VALUE"""),"SEM-8")</f>
        <v>SEM-8</v>
      </c>
      <c r="P386" s="9"/>
      <c r="Q386" s="9"/>
      <c r="R386" s="9"/>
      <c r="S386" s="9"/>
      <c r="T386" s="9"/>
      <c r="U386" s="9"/>
      <c r="V386" s="9"/>
      <c r="W386" s="9"/>
      <c r="X386" s="9"/>
      <c r="Y386" s="9"/>
    </row>
    <row r="387" spans="1:25" ht="26.25" customHeight="1" x14ac:dyDescent="0.15">
      <c r="A387" s="9" t="str">
        <f ca="1">IFERROR(__xludf.DUMMYFUNCTION("""COMPUTED_VALUE"""),"KARUNA SRI PITHANI")</f>
        <v>KARUNA SRI PITHANI</v>
      </c>
      <c r="B387" s="9" t="str">
        <f ca="1">IFERROR(__xludf.DUMMYFUNCTION("""COMPUTED_VALUE"""),"18331A0572")</f>
        <v>18331A0572</v>
      </c>
      <c r="C387" s="78" t="str">
        <f ca="1">IFERROR(__xludf.DUMMYFUNCTION("""COMPUTED_VALUE"""),"Anatomy: Musculoskeletal and Integumentary Systems")</f>
        <v>Anatomy: Musculoskeletal and Integumentary Systems</v>
      </c>
      <c r="D387" s="9" t="str">
        <f ca="1">IFERROR(__xludf.DUMMYFUNCTION("""COMPUTED_VALUE"""),"coursera")</f>
        <v>coursera</v>
      </c>
      <c r="E387" s="9" t="str">
        <f ca="1">IFERROR(__xludf.DUMMYFUNCTION("""COMPUTED_VALUE"""),"1 month")</f>
        <v>1 month</v>
      </c>
      <c r="F387" s="79">
        <f ca="1">IFERROR(__xludf.DUMMYFUNCTION("""COMPUTED_VALUE"""),43960)</f>
        <v>43960</v>
      </c>
      <c r="G387" s="79">
        <f ca="1">IFERROR(__xludf.DUMMYFUNCTION("""COMPUTED_VALUE"""),44011)</f>
        <v>44011</v>
      </c>
      <c r="H387" s="72">
        <f ca="1">IFERROR(__xludf.DUMMYFUNCTION("""COMPUTED_VALUE"""),44006)</f>
        <v>44006</v>
      </c>
      <c r="I387" s="80">
        <f ca="1">IFERROR(__xludf.DUMMYFUNCTION("""COMPUTED_VALUE"""),100)</f>
        <v>100</v>
      </c>
      <c r="J387" s="9" t="str">
        <f ca="1">IFERROR(__xludf.DUMMYFUNCTION("""COMPUTED_VALUE"""),"Kathleen Alsup")</f>
        <v>Kathleen Alsup</v>
      </c>
      <c r="K387" s="73" t="str">
        <f ca="1">IFERROR(__xludf.DUMMYFUNCTION("""COMPUTED_VALUE"""),"https://drive.google.com/open?id=1idI9O8jYBlqxO8yVanfpu18hvzSMfcj_")</f>
        <v>https://drive.google.com/open?id=1idI9O8jYBlqxO8yVanfpu18hvzSMfcj_</v>
      </c>
      <c r="L387" s="9" t="str">
        <f ca="1">IFERROR(__xludf.DUMMYFUNCTION("""COMPUTED_VALUE"""),"2018-2022")</f>
        <v>2018-2022</v>
      </c>
      <c r="M387" s="9" t="str">
        <f ca="1">IFERROR(__xludf.DUMMYFUNCTION("""COMPUTED_VALUE"""),"S4: Student Certifications")</f>
        <v>S4: Student Certifications</v>
      </c>
      <c r="N387" s="9" t="str">
        <f ca="1">IFERROR(__xludf.DUMMYFUNCTION("""COMPUTED_VALUE"""),"pithanikarunasri2001@gmail.com")</f>
        <v>pithanikarunasri2001@gmail.com</v>
      </c>
      <c r="O387" s="9" t="str">
        <f ca="1">IFERROR(__xludf.DUMMYFUNCTION("""COMPUTED_VALUE"""),"SEM-8")</f>
        <v>SEM-8</v>
      </c>
      <c r="P387" s="9"/>
      <c r="Q387" s="9"/>
      <c r="R387" s="9"/>
      <c r="S387" s="9"/>
      <c r="T387" s="9"/>
      <c r="U387" s="9"/>
      <c r="V387" s="9"/>
      <c r="W387" s="9"/>
      <c r="X387" s="9"/>
      <c r="Y387" s="9"/>
    </row>
    <row r="388" spans="1:25" ht="26.25" customHeight="1" x14ac:dyDescent="0.15">
      <c r="A388" s="9" t="str">
        <f ca="1">IFERROR(__xludf.DUMMYFUNCTION("""COMPUTED_VALUE"""),"KARUNA SRI PITHANI")</f>
        <v>KARUNA SRI PITHANI</v>
      </c>
      <c r="B388" s="9" t="str">
        <f ca="1">IFERROR(__xludf.DUMMYFUNCTION("""COMPUTED_VALUE"""),"18331A0572")</f>
        <v>18331A0572</v>
      </c>
      <c r="C388" s="78" t="str">
        <f ca="1">IFERROR(__xludf.DUMMYFUNCTION("""COMPUTED_VALUE"""),"AI For Everyone")</f>
        <v>AI For Everyone</v>
      </c>
      <c r="D388" s="9" t="str">
        <f ca="1">IFERROR(__xludf.DUMMYFUNCTION("""COMPUTED_VALUE"""),"coursera")</f>
        <v>coursera</v>
      </c>
      <c r="E388" s="9" t="str">
        <f ca="1">IFERROR(__xludf.DUMMYFUNCTION("""COMPUTED_VALUE"""),"1 month")</f>
        <v>1 month</v>
      </c>
      <c r="F388" s="79">
        <f ca="1">IFERROR(__xludf.DUMMYFUNCTION("""COMPUTED_VALUE"""),43925)</f>
        <v>43925</v>
      </c>
      <c r="G388" s="79">
        <f ca="1">IFERROR(__xludf.DUMMYFUNCTION("""COMPUTED_VALUE"""),43968)</f>
        <v>43968</v>
      </c>
      <c r="H388" s="72">
        <f ca="1">IFERROR(__xludf.DUMMYFUNCTION("""COMPUTED_VALUE"""),43960)</f>
        <v>43960</v>
      </c>
      <c r="I388" s="80">
        <f ca="1">IFERROR(__xludf.DUMMYFUNCTION("""COMPUTED_VALUE"""),100)</f>
        <v>100</v>
      </c>
      <c r="J388" s="9" t="str">
        <f ca="1">IFERROR(__xludf.DUMMYFUNCTION("""COMPUTED_VALUE"""),"Adjunct Professor Andrew Ng")</f>
        <v>Adjunct Professor Andrew Ng</v>
      </c>
      <c r="K388" s="73" t="str">
        <f ca="1">IFERROR(__xludf.DUMMYFUNCTION("""COMPUTED_VALUE"""),"https://drive.google.com/open?id=1YXipXLsc-4Z-v_4cuaF6acWtj_t6PegX")</f>
        <v>https://drive.google.com/open?id=1YXipXLsc-4Z-v_4cuaF6acWtj_t6PegX</v>
      </c>
      <c r="L388" s="9" t="str">
        <f ca="1">IFERROR(__xludf.DUMMYFUNCTION("""COMPUTED_VALUE"""),"2018-2022")</f>
        <v>2018-2022</v>
      </c>
      <c r="M388" s="9" t="str">
        <f ca="1">IFERROR(__xludf.DUMMYFUNCTION("""COMPUTED_VALUE"""),"S4: Student Certifications")</f>
        <v>S4: Student Certifications</v>
      </c>
      <c r="N388" s="9" t="str">
        <f ca="1">IFERROR(__xludf.DUMMYFUNCTION("""COMPUTED_VALUE"""),"pithanikarunasri2001@gmail.com")</f>
        <v>pithanikarunasri2001@gmail.com</v>
      </c>
      <c r="O388" s="9" t="str">
        <f ca="1">IFERROR(__xludf.DUMMYFUNCTION("""COMPUTED_VALUE"""),"SEM-8")</f>
        <v>SEM-8</v>
      </c>
      <c r="P388" s="9"/>
      <c r="Q388" s="9"/>
      <c r="R388" s="9"/>
      <c r="S388" s="9"/>
      <c r="T388" s="9"/>
      <c r="U388" s="9"/>
      <c r="V388" s="9"/>
      <c r="W388" s="9"/>
      <c r="X388" s="9"/>
      <c r="Y388" s="9"/>
    </row>
    <row r="389" spans="1:25" ht="26.25" customHeight="1" x14ac:dyDescent="0.15">
      <c r="A389" s="9" t="str">
        <f ca="1">IFERROR(__xludf.DUMMYFUNCTION("""COMPUTED_VALUE"""),"KARUNA SRI PITHANI")</f>
        <v>KARUNA SRI PITHANI</v>
      </c>
      <c r="B389" s="9" t="str">
        <f ca="1">IFERROR(__xludf.DUMMYFUNCTION("""COMPUTED_VALUE"""),"18331A0572")</f>
        <v>18331A0572</v>
      </c>
      <c r="C389" s="78" t="str">
        <f ca="1">IFERROR(__xludf.DUMMYFUNCTION("""COMPUTED_VALUE"""),"The Women Rock-IT Program")</f>
        <v>The Women Rock-IT Program</v>
      </c>
      <c r="D389" s="9" t="str">
        <f ca="1">IFERROR(__xludf.DUMMYFUNCTION("""COMPUTED_VALUE"""),"Cisco Networking Academy")</f>
        <v>Cisco Networking Academy</v>
      </c>
      <c r="E389" s="9" t="str">
        <f ca="1">IFERROR(__xludf.DUMMYFUNCTION("""COMPUTED_VALUE"""),"1 hr")</f>
        <v>1 hr</v>
      </c>
      <c r="F389" s="79">
        <f ca="1">IFERROR(__xludf.DUMMYFUNCTION("""COMPUTED_VALUE"""),44469)</f>
        <v>44469</v>
      </c>
      <c r="G389" s="79">
        <f ca="1">IFERROR(__xludf.DUMMYFUNCTION("""COMPUTED_VALUE"""),44469)</f>
        <v>44469</v>
      </c>
      <c r="H389" s="72">
        <f ca="1">IFERROR(__xludf.DUMMYFUNCTION("""COMPUTED_VALUE"""),44469)</f>
        <v>44469</v>
      </c>
      <c r="I389" s="80">
        <f ca="1">IFERROR(__xludf.DUMMYFUNCTION("""COMPUTED_VALUE"""),100)</f>
        <v>100</v>
      </c>
      <c r="J389" s="9" t="str">
        <f ca="1">IFERROR(__xludf.DUMMYFUNCTION("""COMPUTED_VALUE"""),"Emma Reid")</f>
        <v>Emma Reid</v>
      </c>
      <c r="K389" s="73" t="str">
        <f ca="1">IFERROR(__xludf.DUMMYFUNCTION("""COMPUTED_VALUE"""),"https://drive.google.com/open?id=12vI9Z20YOFsMeRIFDcYp1nDbnAFwzEYW")</f>
        <v>https://drive.google.com/open?id=12vI9Z20YOFsMeRIFDcYp1nDbnAFwzEYW</v>
      </c>
      <c r="L389" s="9" t="str">
        <f ca="1">IFERROR(__xludf.DUMMYFUNCTION("""COMPUTED_VALUE"""),"2018-2022")</f>
        <v>2018-2022</v>
      </c>
      <c r="M389" s="9" t="str">
        <f ca="1">IFERROR(__xludf.DUMMYFUNCTION("""COMPUTED_VALUE"""),"S4: Student Certifications")</f>
        <v>S4: Student Certifications</v>
      </c>
      <c r="N389" s="9" t="str">
        <f ca="1">IFERROR(__xludf.DUMMYFUNCTION("""COMPUTED_VALUE"""),"pithanikarunasri2001@gmail.com")</f>
        <v>pithanikarunasri2001@gmail.com</v>
      </c>
      <c r="O389" s="9" t="str">
        <f ca="1">IFERROR(__xludf.DUMMYFUNCTION("""COMPUTED_VALUE"""),"SEM-8")</f>
        <v>SEM-8</v>
      </c>
      <c r="P389" s="9"/>
      <c r="Q389" s="9"/>
      <c r="R389" s="9"/>
      <c r="S389" s="9"/>
      <c r="T389" s="9"/>
      <c r="U389" s="9"/>
      <c r="V389" s="9"/>
      <c r="W389" s="9"/>
      <c r="X389" s="9"/>
      <c r="Y389" s="9"/>
    </row>
    <row r="390" spans="1:25" ht="26.25" customHeight="1" x14ac:dyDescent="0.15">
      <c r="A390" s="9" t="str">
        <f ca="1">IFERROR(__xludf.DUMMYFUNCTION("""COMPUTED_VALUE"""),"KARUNA SRI PITHANI")</f>
        <v>KARUNA SRI PITHANI</v>
      </c>
      <c r="B390" s="9" t="str">
        <f ca="1">IFERROR(__xludf.DUMMYFUNCTION("""COMPUTED_VALUE"""),"18331A0572")</f>
        <v>18331A0572</v>
      </c>
      <c r="C390" s="78" t="str">
        <f ca="1">IFERROR(__xludf.DUMMYFUNCTION("""COMPUTED_VALUE"""),"Red Hat System Administration I (RH124)")</f>
        <v>Red Hat System Administration I (RH124)</v>
      </c>
      <c r="D390" s="9" t="str">
        <f ca="1">IFERROR(__xludf.DUMMYFUNCTION("""COMPUTED_VALUE"""),"Red Hat Academy")</f>
        <v>Red Hat Academy</v>
      </c>
      <c r="E390" s="9" t="str">
        <f ca="1">IFERROR(__xludf.DUMMYFUNCTION("""COMPUTED_VALUE"""),"1 month")</f>
        <v>1 month</v>
      </c>
      <c r="F390" s="79">
        <f ca="1">IFERROR(__xludf.DUMMYFUNCTION("""COMPUTED_VALUE"""),44629)</f>
        <v>44629</v>
      </c>
      <c r="G390" s="79">
        <f ca="1">IFERROR(__xludf.DUMMYFUNCTION("""COMPUTED_VALUE"""),44658)</f>
        <v>44658</v>
      </c>
      <c r="H390" s="72">
        <f ca="1">IFERROR(__xludf.DUMMYFUNCTION("""COMPUTED_VALUE"""),44657)</f>
        <v>44657</v>
      </c>
      <c r="I390" s="80">
        <f ca="1">IFERROR(__xludf.DUMMYFUNCTION("""COMPUTED_VALUE"""),100)</f>
        <v>100</v>
      </c>
      <c r="J390" s="9" t="str">
        <f ca="1">IFERROR(__xludf.DUMMYFUNCTION("""COMPUTED_VALUE"""),"K.V. Subba Raju")</f>
        <v>K.V. Subba Raju</v>
      </c>
      <c r="K390" s="73" t="str">
        <f ca="1">IFERROR(__xludf.DUMMYFUNCTION("""COMPUTED_VALUE"""),"https://drive.google.com/open?id=1uYuYXkdEWryncIHec1p4qelhklqO9KIq")</f>
        <v>https://drive.google.com/open?id=1uYuYXkdEWryncIHec1p4qelhklqO9KIq</v>
      </c>
      <c r="L390" s="9" t="str">
        <f ca="1">IFERROR(__xludf.DUMMYFUNCTION("""COMPUTED_VALUE"""),"2018-2022")</f>
        <v>2018-2022</v>
      </c>
      <c r="M390" s="9" t="str">
        <f ca="1">IFERROR(__xludf.DUMMYFUNCTION("""COMPUTED_VALUE"""),"S4: Student Certifications")</f>
        <v>S4: Student Certifications</v>
      </c>
      <c r="N390" s="9" t="str">
        <f ca="1">IFERROR(__xludf.DUMMYFUNCTION("""COMPUTED_VALUE"""),"pithanikarunasri2001@gmail.com")</f>
        <v>pithanikarunasri2001@gmail.com</v>
      </c>
      <c r="O390" s="9" t="str">
        <f ca="1">IFERROR(__xludf.DUMMYFUNCTION("""COMPUTED_VALUE"""),"SEM-8")</f>
        <v>SEM-8</v>
      </c>
      <c r="P390" s="9"/>
      <c r="Q390" s="9"/>
      <c r="R390" s="9"/>
      <c r="S390" s="9"/>
      <c r="T390" s="9"/>
      <c r="U390" s="9"/>
      <c r="V390" s="9"/>
      <c r="W390" s="9"/>
      <c r="X390" s="9"/>
      <c r="Y390" s="9"/>
    </row>
    <row r="391" spans="1:25" ht="26.25" customHeight="1" x14ac:dyDescent="0.15">
      <c r="A391" s="9" t="str">
        <f ca="1">IFERROR(__xludf.DUMMYFUNCTION("""COMPUTED_VALUE"""),"KARUNA SRI PITHANI")</f>
        <v>KARUNA SRI PITHANI</v>
      </c>
      <c r="B391" s="9" t="str">
        <f ca="1">IFERROR(__xludf.DUMMYFUNCTION("""COMPUTED_VALUE"""),"18331A0572")</f>
        <v>18331A0572</v>
      </c>
      <c r="C391" s="78" t="str">
        <f ca="1">IFERROR(__xludf.DUMMYFUNCTION("""COMPUTED_VALUE"""),"IP Awareness/Training program")</f>
        <v>IP Awareness/Training program</v>
      </c>
      <c r="D391" s="9" t="str">
        <f ca="1">IFERROR(__xludf.DUMMYFUNCTION("""COMPUTED_VALUE"""),"National Intellectual Property Awareness Mission")</f>
        <v>National Intellectual Property Awareness Mission</v>
      </c>
      <c r="E391" s="9" t="str">
        <f ca="1">IFERROR(__xludf.DUMMYFUNCTION("""COMPUTED_VALUE"""),"1hr")</f>
        <v>1hr</v>
      </c>
      <c r="F391" s="79">
        <f ca="1">IFERROR(__xludf.DUMMYFUNCTION("""COMPUTED_VALUE"""),44572)</f>
        <v>44572</v>
      </c>
      <c r="G391" s="79">
        <f ca="1">IFERROR(__xludf.DUMMYFUNCTION("""COMPUTED_VALUE"""),44572)</f>
        <v>44572</v>
      </c>
      <c r="H391" s="72">
        <f ca="1">IFERROR(__xludf.DUMMYFUNCTION("""COMPUTED_VALUE"""),44572)</f>
        <v>44572</v>
      </c>
      <c r="I391" s="80">
        <f ca="1">IFERROR(__xludf.DUMMYFUNCTION("""COMPUTED_VALUE"""),100)</f>
        <v>100</v>
      </c>
      <c r="J391" s="9" t="str">
        <f ca="1">IFERROR(__xludf.DUMMYFUNCTION("""COMPUTED_VALUE"""),"Kalyan Chakravarthi")</f>
        <v>Kalyan Chakravarthi</v>
      </c>
      <c r="K391" s="73" t="str">
        <f ca="1">IFERROR(__xludf.DUMMYFUNCTION("""COMPUTED_VALUE"""),"https://drive.google.com/open?id=1WKQ6Zat4I6cv91_KTvrVBOEV6xr2MpY5")</f>
        <v>https://drive.google.com/open?id=1WKQ6Zat4I6cv91_KTvrVBOEV6xr2MpY5</v>
      </c>
      <c r="L391" s="9" t="str">
        <f ca="1">IFERROR(__xludf.DUMMYFUNCTION("""COMPUTED_VALUE"""),"2018-2022")</f>
        <v>2018-2022</v>
      </c>
      <c r="M391" s="9" t="str">
        <f ca="1">IFERROR(__xludf.DUMMYFUNCTION("""COMPUTED_VALUE"""),"S4: Student Certifications")</f>
        <v>S4: Student Certifications</v>
      </c>
      <c r="N391" s="9" t="str">
        <f ca="1">IFERROR(__xludf.DUMMYFUNCTION("""COMPUTED_VALUE"""),"pithanikarunasri2001@gmail.com")</f>
        <v>pithanikarunasri2001@gmail.com</v>
      </c>
      <c r="O391" s="9" t="str">
        <f ca="1">IFERROR(__xludf.DUMMYFUNCTION("""COMPUTED_VALUE"""),"SEM-8")</f>
        <v>SEM-8</v>
      </c>
      <c r="P391" s="9"/>
      <c r="Q391" s="9"/>
      <c r="R391" s="9"/>
      <c r="S391" s="9"/>
      <c r="T391" s="9"/>
      <c r="U391" s="9"/>
      <c r="V391" s="9"/>
      <c r="W391" s="9"/>
      <c r="X391" s="9"/>
      <c r="Y391" s="9"/>
    </row>
    <row r="392" spans="1:25" ht="26.25" customHeight="1" x14ac:dyDescent="0.15">
      <c r="A392" s="9" t="str">
        <f ca="1">IFERROR(__xludf.DUMMYFUNCTION("""COMPUTED_VALUE"""),"Kasi Suresh")</f>
        <v>Kasi Suresh</v>
      </c>
      <c r="B392" s="9" t="str">
        <f ca="1">IFERROR(__xludf.DUMMYFUNCTION("""COMPUTED_VALUE"""),"18331A0573")</f>
        <v>18331A0573</v>
      </c>
      <c r="C392" s="78" t="str">
        <f ca="1">IFERROR(__xludf.DUMMYFUNCTION("""COMPUTED_VALUE"""),"Crash course on python")</f>
        <v>Crash course on python</v>
      </c>
      <c r="D392" s="9" t="str">
        <f ca="1">IFERROR(__xludf.DUMMYFUNCTION("""COMPUTED_VALUE"""),"Coursera")</f>
        <v>Coursera</v>
      </c>
      <c r="E392" s="9" t="str">
        <f ca="1">IFERROR(__xludf.DUMMYFUNCTION("""COMPUTED_VALUE"""),"2 months")</f>
        <v>2 months</v>
      </c>
      <c r="F392" s="79">
        <f ca="1">IFERROR(__xludf.DUMMYFUNCTION("""COMPUTED_VALUE"""),44228)</f>
        <v>44228</v>
      </c>
      <c r="G392" s="79">
        <f ca="1">IFERROR(__xludf.DUMMYFUNCTION("""COMPUTED_VALUE"""),44286)</f>
        <v>44286</v>
      </c>
      <c r="H392" s="72">
        <f ca="1">IFERROR(__xludf.DUMMYFUNCTION("""COMPUTED_VALUE"""),44651)</f>
        <v>44651</v>
      </c>
      <c r="I392" s="80">
        <f ca="1">IFERROR(__xludf.DUMMYFUNCTION("""COMPUTED_VALUE"""),90)</f>
        <v>90</v>
      </c>
      <c r="J392" s="9" t="str">
        <f ca="1">IFERROR(__xludf.DUMMYFUNCTION("""COMPUTED_VALUE"""),"None")</f>
        <v>None</v>
      </c>
      <c r="K392" s="73" t="str">
        <f ca="1">IFERROR(__xludf.DUMMYFUNCTION("""COMPUTED_VALUE"""),"https://drive.google.com/open?id=1LlmpZ_qnGbwpVaiBXux7TglB4Rh5Ters")</f>
        <v>https://drive.google.com/open?id=1LlmpZ_qnGbwpVaiBXux7TglB4Rh5Ters</v>
      </c>
      <c r="L392" s="9" t="str">
        <f ca="1">IFERROR(__xludf.DUMMYFUNCTION("""COMPUTED_VALUE"""),"2018-2022")</f>
        <v>2018-2022</v>
      </c>
      <c r="M392" s="9" t="str">
        <f ca="1">IFERROR(__xludf.DUMMYFUNCTION("""COMPUTED_VALUE"""),"S4: Student Certifications")</f>
        <v>S4: Student Certifications</v>
      </c>
      <c r="N392" s="9" t="str">
        <f ca="1">IFERROR(__xludf.DUMMYFUNCTION("""COMPUTED_VALUE"""),"sureshkasi06@gmail.com")</f>
        <v>sureshkasi06@gmail.com</v>
      </c>
      <c r="O392" s="9" t="str">
        <f ca="1">IFERROR(__xludf.DUMMYFUNCTION("""COMPUTED_VALUE"""),"SEM-8")</f>
        <v>SEM-8</v>
      </c>
      <c r="P392" s="9"/>
      <c r="Q392" s="9"/>
      <c r="R392" s="9"/>
      <c r="S392" s="9"/>
      <c r="T392" s="9"/>
      <c r="U392" s="9"/>
      <c r="V392" s="9"/>
      <c r="W392" s="9"/>
      <c r="X392" s="9"/>
      <c r="Y392" s="9"/>
    </row>
    <row r="393" spans="1:25" ht="26.25" customHeight="1" x14ac:dyDescent="0.15">
      <c r="A393" s="9" t="str">
        <f ca="1">IFERROR(__xludf.DUMMYFUNCTION("""COMPUTED_VALUE"""),"Kasi Suresh")</f>
        <v>Kasi Suresh</v>
      </c>
      <c r="B393" s="9" t="str">
        <f ca="1">IFERROR(__xludf.DUMMYFUNCTION("""COMPUTED_VALUE"""),"18331A0573")</f>
        <v>18331A0573</v>
      </c>
      <c r="C393" s="78" t="str">
        <f ca="1">IFERROR(__xludf.DUMMYFUNCTION("""COMPUTED_VALUE"""),"Cisco Cybersecurity essentials")</f>
        <v>Cisco Cybersecurity essentials</v>
      </c>
      <c r="D393" s="9" t="str">
        <f ca="1">IFERROR(__xludf.DUMMYFUNCTION("""COMPUTED_VALUE"""),"Cisco")</f>
        <v>Cisco</v>
      </c>
      <c r="E393" s="9" t="str">
        <f ca="1">IFERROR(__xludf.DUMMYFUNCTION("""COMPUTED_VALUE"""),"2months")</f>
        <v>2months</v>
      </c>
      <c r="F393" s="79">
        <f ca="1">IFERROR(__xludf.DUMMYFUNCTION("""COMPUTED_VALUE"""),43565)</f>
        <v>43565</v>
      </c>
      <c r="G393" s="79">
        <f ca="1">IFERROR(__xludf.DUMMYFUNCTION("""COMPUTED_VALUE"""),43630)</f>
        <v>43630</v>
      </c>
      <c r="H393" s="72">
        <f ca="1">IFERROR(__xludf.DUMMYFUNCTION("""COMPUTED_VALUE"""),43665)</f>
        <v>43665</v>
      </c>
      <c r="I393" s="80">
        <f ca="1">IFERROR(__xludf.DUMMYFUNCTION("""COMPUTED_VALUE"""),90)</f>
        <v>90</v>
      </c>
      <c r="J393" s="9" t="str">
        <f ca="1">IFERROR(__xludf.DUMMYFUNCTION("""COMPUTED_VALUE"""),"KV SUBBARAJU")</f>
        <v>KV SUBBARAJU</v>
      </c>
      <c r="K393" s="73" t="str">
        <f ca="1">IFERROR(__xludf.DUMMYFUNCTION("""COMPUTED_VALUE"""),"https://drive.google.com/open?id=1snsrBX1UnEHDW1ZYLbuttCJHV_PROQ0g")</f>
        <v>https://drive.google.com/open?id=1snsrBX1UnEHDW1ZYLbuttCJHV_PROQ0g</v>
      </c>
      <c r="L393" s="9" t="str">
        <f ca="1">IFERROR(__xludf.DUMMYFUNCTION("""COMPUTED_VALUE"""),"2018-2022")</f>
        <v>2018-2022</v>
      </c>
      <c r="M393" s="9" t="str">
        <f ca="1">IFERROR(__xludf.DUMMYFUNCTION("""COMPUTED_VALUE"""),"S4: Student Certifications")</f>
        <v>S4: Student Certifications</v>
      </c>
      <c r="N393" s="9" t="str">
        <f ca="1">IFERROR(__xludf.DUMMYFUNCTION("""COMPUTED_VALUE"""),"sureshkasi06@gmail.com")</f>
        <v>sureshkasi06@gmail.com</v>
      </c>
      <c r="O393" s="9" t="str">
        <f ca="1">IFERROR(__xludf.DUMMYFUNCTION("""COMPUTED_VALUE"""),"SEM-8")</f>
        <v>SEM-8</v>
      </c>
      <c r="P393" s="9"/>
      <c r="Q393" s="9"/>
      <c r="R393" s="9"/>
      <c r="S393" s="9"/>
      <c r="T393" s="9"/>
      <c r="U393" s="9"/>
      <c r="V393" s="9"/>
      <c r="W393" s="9"/>
      <c r="X393" s="9"/>
      <c r="Y393" s="9"/>
    </row>
    <row r="394" spans="1:25" ht="26.25" customHeight="1" x14ac:dyDescent="0.15">
      <c r="A394" s="9" t="str">
        <f ca="1">IFERROR(__xludf.DUMMYFUNCTION("""COMPUTED_VALUE"""),"Naveen Kumar Penta")</f>
        <v>Naveen Kumar Penta</v>
      </c>
      <c r="B394" s="9" t="str">
        <f ca="1">IFERROR(__xludf.DUMMYFUNCTION("""COMPUTED_VALUE"""),"18331A05B7")</f>
        <v>18331A05B7</v>
      </c>
      <c r="C394" s="78" t="str">
        <f ca="1">IFERROR(__xludf.DUMMYFUNCTION("""COMPUTED_VALUE"""),"Introduction to programming in C")</f>
        <v>Introduction to programming in C</v>
      </c>
      <c r="D394" s="9" t="str">
        <f ca="1">IFERROR(__xludf.DUMMYFUNCTION("""COMPUTED_VALUE"""),"Nptel online certification")</f>
        <v>Nptel online certification</v>
      </c>
      <c r="E394" s="9" t="str">
        <f ca="1">IFERROR(__xludf.DUMMYFUNCTION("""COMPUTED_VALUE"""),"8 weeks")</f>
        <v>8 weeks</v>
      </c>
      <c r="F394" s="79">
        <f ca="1">IFERROR(__xludf.DUMMYFUNCTION("""COMPUTED_VALUE"""),43292)</f>
        <v>43292</v>
      </c>
      <c r="G394" s="79">
        <f ca="1">IFERROR(__xludf.DUMMYFUNCTION("""COMPUTED_VALUE"""),43350)</f>
        <v>43350</v>
      </c>
      <c r="H394" s="72">
        <f ca="1">IFERROR(__xludf.DUMMYFUNCTION("""COMPUTED_VALUE"""),43391)</f>
        <v>43391</v>
      </c>
      <c r="I394" s="80">
        <f ca="1">IFERROR(__xludf.DUMMYFUNCTION("""COMPUTED_VALUE"""),0.7)</f>
        <v>0.7</v>
      </c>
      <c r="J394" s="9" t="str">
        <f ca="1">IFERROR(__xludf.DUMMYFUNCTION("""COMPUTED_VALUE"""),"Subbaraju")</f>
        <v>Subbaraju</v>
      </c>
      <c r="K394" s="73" t="str">
        <f ca="1">IFERROR(__xludf.DUMMYFUNCTION("""COMPUTED_VALUE"""),"https://drive.google.com/open?id=1UtdWvpvtlF3ujQ68A99h3BMwzhOk8LTf")</f>
        <v>https://drive.google.com/open?id=1UtdWvpvtlF3ujQ68A99h3BMwzhOk8LTf</v>
      </c>
      <c r="L394" s="9" t="str">
        <f ca="1">IFERROR(__xludf.DUMMYFUNCTION("""COMPUTED_VALUE"""),"2018-2022")</f>
        <v>2018-2022</v>
      </c>
      <c r="M394" s="9" t="str">
        <f ca="1">IFERROR(__xludf.DUMMYFUNCTION("""COMPUTED_VALUE"""),"S4: Student Certifications")</f>
        <v>S4: Student Certifications</v>
      </c>
      <c r="N394" s="9" t="str">
        <f ca="1">IFERROR(__xludf.DUMMYFUNCTION("""COMPUTED_VALUE"""),"naveenkumarpenta15@gmail.com")</f>
        <v>naveenkumarpenta15@gmail.com</v>
      </c>
      <c r="O394" s="9" t="str">
        <f ca="1">IFERROR(__xludf.DUMMYFUNCTION("""COMPUTED_VALUE"""),"SEM-1")</f>
        <v>SEM-1</v>
      </c>
      <c r="P394" s="9"/>
      <c r="Q394" s="9"/>
      <c r="R394" s="9"/>
      <c r="S394" s="9"/>
      <c r="T394" s="9"/>
      <c r="U394" s="9"/>
      <c r="V394" s="9"/>
      <c r="W394" s="9"/>
      <c r="X394" s="9"/>
      <c r="Y394" s="9"/>
    </row>
    <row r="395" spans="1:25" ht="26.25" customHeight="1" x14ac:dyDescent="0.15">
      <c r="A395" s="9" t="str">
        <f ca="1">IFERROR(__xludf.DUMMYFUNCTION("""COMPUTED_VALUE"""),"Naveen Kumar Penta")</f>
        <v>Naveen Kumar Penta</v>
      </c>
      <c r="B395" s="9" t="str">
        <f ca="1">IFERROR(__xludf.DUMMYFUNCTION("""COMPUTED_VALUE"""),"18331A05B7")</f>
        <v>18331A05B7</v>
      </c>
      <c r="C395" s="78" t="str">
        <f ca="1">IFERROR(__xludf.DUMMYFUNCTION("""COMPUTED_VALUE"""),"Programming essentials in C")</f>
        <v>Programming essentials in C</v>
      </c>
      <c r="D395" s="9" t="str">
        <f ca="1">IFERROR(__xludf.DUMMYFUNCTION("""COMPUTED_VALUE"""),"Cisco, CLA")</f>
        <v>Cisco, CLA</v>
      </c>
      <c r="E395" s="9" t="str">
        <f ca="1">IFERROR(__xludf.DUMMYFUNCTION("""COMPUTED_VALUE"""),"12weeks")</f>
        <v>12weeks</v>
      </c>
      <c r="F395" s="79">
        <f ca="1">IFERROR(__xludf.DUMMYFUNCTION("""COMPUTED_VALUE"""),43526)</f>
        <v>43526</v>
      </c>
      <c r="G395" s="79">
        <f ca="1">IFERROR(__xludf.DUMMYFUNCTION("""COMPUTED_VALUE"""),43634)</f>
        <v>43634</v>
      </c>
      <c r="H395" s="72">
        <f ca="1">IFERROR(__xludf.DUMMYFUNCTION("""COMPUTED_VALUE"""),43655)</f>
        <v>43655</v>
      </c>
      <c r="I395" s="80"/>
      <c r="J395" s="9" t="str">
        <f ca="1">IFERROR(__xludf.DUMMYFUNCTION("""COMPUTED_VALUE"""),"Subbaraju k v")</f>
        <v>Subbaraju k v</v>
      </c>
      <c r="K395" s="73" t="str">
        <f ca="1">IFERROR(__xludf.DUMMYFUNCTION("""COMPUTED_VALUE"""),"https://drive.google.com/open?id=1Gwih3gqGq6Q54ZAYZdM5T7GpIxCh4skf")</f>
        <v>https://drive.google.com/open?id=1Gwih3gqGq6Q54ZAYZdM5T7GpIxCh4skf</v>
      </c>
      <c r="L395" s="9" t="str">
        <f ca="1">IFERROR(__xludf.DUMMYFUNCTION("""COMPUTED_VALUE"""),"2018-2022")</f>
        <v>2018-2022</v>
      </c>
      <c r="M395" s="9" t="str">
        <f ca="1">IFERROR(__xludf.DUMMYFUNCTION("""COMPUTED_VALUE"""),"S4: Student Certifications")</f>
        <v>S4: Student Certifications</v>
      </c>
      <c r="N395" s="9" t="str">
        <f ca="1">IFERROR(__xludf.DUMMYFUNCTION("""COMPUTED_VALUE"""),"naveenkumarpenta15@gmail.com")</f>
        <v>naveenkumarpenta15@gmail.com</v>
      </c>
      <c r="O395" s="9" t="str">
        <f ca="1">IFERROR(__xludf.DUMMYFUNCTION("""COMPUTED_VALUE"""),"SEM-3")</f>
        <v>SEM-3</v>
      </c>
      <c r="P395" s="9"/>
      <c r="Q395" s="9"/>
      <c r="R395" s="9"/>
      <c r="S395" s="9"/>
      <c r="T395" s="9"/>
      <c r="U395" s="9"/>
      <c r="V395" s="9"/>
      <c r="W395" s="9"/>
      <c r="X395" s="9"/>
      <c r="Y395" s="9"/>
    </row>
    <row r="396" spans="1:25" ht="26.25" customHeight="1" x14ac:dyDescent="0.15">
      <c r="A396" s="9" t="str">
        <f ca="1">IFERROR(__xludf.DUMMYFUNCTION("""COMPUTED_VALUE"""),"Naveen Kumar Penta")</f>
        <v>Naveen Kumar Penta</v>
      </c>
      <c r="B396" s="9" t="str">
        <f ca="1">IFERROR(__xludf.DUMMYFUNCTION("""COMPUTED_VALUE"""),"18331A05B7")</f>
        <v>18331A05B7</v>
      </c>
      <c r="C396" s="78" t="str">
        <f ca="1">IFERROR(__xludf.DUMMYFUNCTION("""COMPUTED_VALUE"""),"Cyber security essentials")</f>
        <v>Cyber security essentials</v>
      </c>
      <c r="D396" s="9" t="str">
        <f ca="1">IFERROR(__xludf.DUMMYFUNCTION("""COMPUTED_VALUE"""),"Cisco netacad")</f>
        <v>Cisco netacad</v>
      </c>
      <c r="E396" s="9" t="str">
        <f ca="1">IFERROR(__xludf.DUMMYFUNCTION("""COMPUTED_VALUE"""),"12weeks")</f>
        <v>12weeks</v>
      </c>
      <c r="F396" s="79">
        <f ca="1">IFERROR(__xludf.DUMMYFUNCTION("""COMPUTED_VALUE"""),43529)</f>
        <v>43529</v>
      </c>
      <c r="G396" s="79">
        <f ca="1">IFERROR(__xludf.DUMMYFUNCTION("""COMPUTED_VALUE"""),43627)</f>
        <v>43627</v>
      </c>
      <c r="H396" s="72">
        <f ca="1">IFERROR(__xludf.DUMMYFUNCTION("""COMPUTED_VALUE"""),43672)</f>
        <v>43672</v>
      </c>
      <c r="I396" s="80"/>
      <c r="J396" s="9" t="str">
        <f ca="1">IFERROR(__xludf.DUMMYFUNCTION("""COMPUTED_VALUE"""),"Subbaraju K V")</f>
        <v>Subbaraju K V</v>
      </c>
      <c r="K396" s="73" t="str">
        <f ca="1">IFERROR(__xludf.DUMMYFUNCTION("""COMPUTED_VALUE"""),"https://drive.google.com/open?id=18LI4k02AlcJkQR7kYxO2sU6TvLjZRnR2")</f>
        <v>https://drive.google.com/open?id=18LI4k02AlcJkQR7kYxO2sU6TvLjZRnR2</v>
      </c>
      <c r="L396" s="9" t="str">
        <f ca="1">IFERROR(__xludf.DUMMYFUNCTION("""COMPUTED_VALUE"""),"2018-2022")</f>
        <v>2018-2022</v>
      </c>
      <c r="M396" s="9" t="str">
        <f ca="1">IFERROR(__xludf.DUMMYFUNCTION("""COMPUTED_VALUE"""),"S4: Student Certifications")</f>
        <v>S4: Student Certifications</v>
      </c>
      <c r="N396" s="9" t="str">
        <f ca="1">IFERROR(__xludf.DUMMYFUNCTION("""COMPUTED_VALUE"""),"naveenkumarpenta15@gmail.com")</f>
        <v>naveenkumarpenta15@gmail.com</v>
      </c>
      <c r="O396" s="9" t="str">
        <f ca="1">IFERROR(__xludf.DUMMYFUNCTION("""COMPUTED_VALUE"""),"SEM-3")</f>
        <v>SEM-3</v>
      </c>
      <c r="P396" s="9"/>
      <c r="Q396" s="9"/>
      <c r="R396" s="9"/>
      <c r="S396" s="9"/>
      <c r="T396" s="9"/>
      <c r="U396" s="9"/>
      <c r="V396" s="9"/>
      <c r="W396" s="9"/>
      <c r="X396" s="9"/>
      <c r="Y396" s="9"/>
    </row>
    <row r="397" spans="1:25" ht="26.25" customHeight="1" x14ac:dyDescent="0.15">
      <c r="A397" s="9" t="str">
        <f ca="1">IFERROR(__xludf.DUMMYFUNCTION("""COMPUTED_VALUE"""),"Naveen Kumar Penta")</f>
        <v>Naveen Kumar Penta</v>
      </c>
      <c r="B397" s="9" t="str">
        <f ca="1">IFERROR(__xludf.DUMMYFUNCTION("""COMPUTED_VALUE"""),"18331A05B7")</f>
        <v>18331A05B7</v>
      </c>
      <c r="C397" s="78" t="str">
        <f ca="1">IFERROR(__xludf.DUMMYFUNCTION("""COMPUTED_VALUE"""),"Programming essentials in python")</f>
        <v>Programming essentials in python</v>
      </c>
      <c r="D397" s="9" t="str">
        <f ca="1">IFERROR(__xludf.DUMMYFUNCTION("""COMPUTED_VALUE"""),"Cisco Netacad")</f>
        <v>Cisco Netacad</v>
      </c>
      <c r="E397" s="9" t="str">
        <f ca="1">IFERROR(__xludf.DUMMYFUNCTION("""COMPUTED_VALUE"""),"10 weeks")</f>
        <v>10 weeks</v>
      </c>
      <c r="F397" s="79">
        <f ca="1">IFERROR(__xludf.DUMMYFUNCTION("""COMPUTED_VALUE"""),44259)</f>
        <v>44259</v>
      </c>
      <c r="G397" s="79">
        <f ca="1">IFERROR(__xludf.DUMMYFUNCTION("""COMPUTED_VALUE"""),44332)</f>
        <v>44332</v>
      </c>
      <c r="H397" s="72">
        <f ca="1">IFERROR(__xludf.DUMMYFUNCTION("""COMPUTED_VALUE"""),43655)</f>
        <v>43655</v>
      </c>
      <c r="I397" s="80"/>
      <c r="J397" s="9" t="str">
        <f ca="1">IFERROR(__xludf.DUMMYFUNCTION("""COMPUTED_VALUE"""),"Subbaraju K V")</f>
        <v>Subbaraju K V</v>
      </c>
      <c r="K397" s="73" t="str">
        <f ca="1">IFERROR(__xludf.DUMMYFUNCTION("""COMPUTED_VALUE"""),"https://drive.google.com/open?id=1TIANKWZqybsJ4s54dnDKxsWmd6fSGmzv")</f>
        <v>https://drive.google.com/open?id=1TIANKWZqybsJ4s54dnDKxsWmd6fSGmzv</v>
      </c>
      <c r="L397" s="9" t="str">
        <f ca="1">IFERROR(__xludf.DUMMYFUNCTION("""COMPUTED_VALUE"""),"2018-2022")</f>
        <v>2018-2022</v>
      </c>
      <c r="M397" s="9" t="str">
        <f ca="1">IFERROR(__xludf.DUMMYFUNCTION("""COMPUTED_VALUE"""),"S4: Student Certifications")</f>
        <v>S4: Student Certifications</v>
      </c>
      <c r="N397" s="9" t="str">
        <f ca="1">IFERROR(__xludf.DUMMYFUNCTION("""COMPUTED_VALUE"""),"naveenkumarpenta15@gmail.com")</f>
        <v>naveenkumarpenta15@gmail.com</v>
      </c>
      <c r="O397" s="9" t="str">
        <f ca="1">IFERROR(__xludf.DUMMYFUNCTION("""COMPUTED_VALUE"""),"SEM-6")</f>
        <v>SEM-6</v>
      </c>
      <c r="P397" s="9"/>
      <c r="Q397" s="9"/>
      <c r="R397" s="9"/>
      <c r="S397" s="9"/>
      <c r="T397" s="9"/>
      <c r="U397" s="9"/>
      <c r="V397" s="9"/>
      <c r="W397" s="9"/>
      <c r="X397" s="9"/>
      <c r="Y397" s="9"/>
    </row>
    <row r="398" spans="1:25" ht="26.25" customHeight="1" x14ac:dyDescent="0.15">
      <c r="A398" s="9" t="str">
        <f ca="1">IFERROR(__xludf.DUMMYFUNCTION("""COMPUTED_VALUE"""),"chandra sekhar naidu")</f>
        <v>chandra sekhar naidu</v>
      </c>
      <c r="B398" s="9" t="str">
        <f ca="1">IFERROR(__xludf.DUMMYFUNCTION("""COMPUTED_VALUE"""),"20331A05A8")</f>
        <v>20331A05A8</v>
      </c>
      <c r="C398" s="78" t="str">
        <f ca="1">IFERROR(__xludf.DUMMYFUNCTION("""COMPUTED_VALUE"""),"C programming")</f>
        <v>C programming</v>
      </c>
      <c r="D398" s="9" t="str">
        <f ca="1">IFERROR(__xludf.DUMMYFUNCTION("""COMPUTED_VALUE"""),"coursera")</f>
        <v>coursera</v>
      </c>
      <c r="E398" s="9" t="str">
        <f ca="1">IFERROR(__xludf.DUMMYFUNCTION("""COMPUTED_VALUE"""),"3 months")</f>
        <v>3 months</v>
      </c>
      <c r="F398" s="79">
        <f ca="1">IFERROR(__xludf.DUMMYFUNCTION("""COMPUTED_VALUE"""),44532)</f>
        <v>44532</v>
      </c>
      <c r="G398" s="79">
        <f ca="1">IFERROR(__xludf.DUMMYFUNCTION("""COMPUTED_VALUE"""),44229)</f>
        <v>44229</v>
      </c>
      <c r="H398" s="72">
        <f ca="1">IFERROR(__xludf.DUMMYFUNCTION("""COMPUTED_VALUE"""),44228)</f>
        <v>44228</v>
      </c>
      <c r="I398" s="80"/>
      <c r="J398" s="9" t="str">
        <f ca="1">IFERROR(__xludf.DUMMYFUNCTION("""COMPUTED_VALUE"""),"Professor Ira Pohl, PhD,")</f>
        <v>Professor Ira Pohl, PhD,</v>
      </c>
      <c r="K398" s="73" t="str">
        <f ca="1">IFERROR(__xludf.DUMMYFUNCTION("""COMPUTED_VALUE"""),"https://drive.google.com/open?id=19J4nmDFGt6M9WCEJQNAyedpsrJrnPnSO")</f>
        <v>https://drive.google.com/open?id=19J4nmDFGt6M9WCEJQNAyedpsrJrnPnSO</v>
      </c>
      <c r="L398" s="9" t="str">
        <f ca="1">IFERROR(__xludf.DUMMYFUNCTION("""COMPUTED_VALUE"""),"2020-2024")</f>
        <v>2020-2024</v>
      </c>
      <c r="M398" s="9" t="str">
        <f ca="1">IFERROR(__xludf.DUMMYFUNCTION("""COMPUTED_VALUE"""),"S4: Student Certifications")</f>
        <v>S4: Student Certifications</v>
      </c>
      <c r="N398" s="9" t="str">
        <f ca="1">IFERROR(__xludf.DUMMYFUNCTION("""COMPUTED_VALUE"""),"naiduchandrasekhar23@gmail.com")</f>
        <v>naiduchandrasekhar23@gmail.com</v>
      </c>
      <c r="O398" s="9" t="str">
        <f ca="1">IFERROR(__xludf.DUMMYFUNCTION("""COMPUTED_VALUE"""),"SEM-4")</f>
        <v>SEM-4</v>
      </c>
      <c r="P398" s="9"/>
      <c r="Q398" s="9"/>
      <c r="R398" s="9"/>
      <c r="S398" s="9"/>
      <c r="T398" s="9"/>
      <c r="U398" s="9"/>
      <c r="V398" s="9"/>
      <c r="W398" s="9"/>
      <c r="X398" s="9"/>
      <c r="Y398" s="9"/>
    </row>
    <row r="399" spans="1:25" ht="26.25" customHeight="1" x14ac:dyDescent="0.15">
      <c r="A399" s="9" t="str">
        <f ca="1">IFERROR(__xludf.DUMMYFUNCTION("""COMPUTED_VALUE"""),"Savant Venkata Sai Mullapudi")</f>
        <v>Savant Venkata Sai Mullapudi</v>
      </c>
      <c r="B399" s="9" t="str">
        <f ca="1">IFERROR(__xludf.DUMMYFUNCTION("""COMPUTED_VALUE"""),"18331A05G7")</f>
        <v>18331A05G7</v>
      </c>
      <c r="C399" s="78" t="str">
        <f ca="1">IFERROR(__xludf.DUMMYFUNCTION("""COMPUTED_VALUE"""),"AWS CLOUD FOUNDATIONS")</f>
        <v>AWS CLOUD FOUNDATIONS</v>
      </c>
      <c r="D399" s="9" t="str">
        <f ca="1">IFERROR(__xludf.DUMMYFUNCTION("""COMPUTED_VALUE"""),"AICTE")</f>
        <v>AICTE</v>
      </c>
      <c r="E399" s="9" t="str">
        <f ca="1">IFERROR(__xludf.DUMMYFUNCTION("""COMPUTED_VALUE"""),"2 months")</f>
        <v>2 months</v>
      </c>
      <c r="F399" s="79">
        <f ca="1">IFERROR(__xludf.DUMMYFUNCTION("""COMPUTED_VALUE"""),44510)</f>
        <v>44510</v>
      </c>
      <c r="G399" s="79">
        <f ca="1">IFERROR(__xludf.DUMMYFUNCTION("""COMPUTED_VALUE"""),44571)</f>
        <v>44571</v>
      </c>
      <c r="H399" s="72">
        <f ca="1">IFERROR(__xludf.DUMMYFUNCTION("""COMPUTED_VALUE"""),44571)</f>
        <v>44571</v>
      </c>
      <c r="I399" s="80"/>
      <c r="J399" s="9" t="str">
        <f ca="1">IFERROR(__xludf.DUMMYFUNCTION("""COMPUTED_VALUE"""),"Mr. Ravi Kiran Varma")</f>
        <v>Mr. Ravi Kiran Varma</v>
      </c>
      <c r="K399" s="73" t="str">
        <f ca="1">IFERROR(__xludf.DUMMYFUNCTION("""COMPUTED_VALUE"""),"https://drive.google.com/open?id=1ag8xXp9J_hg2avLex4CCudLV_lqvxbz9")</f>
        <v>https://drive.google.com/open?id=1ag8xXp9J_hg2avLex4CCudLV_lqvxbz9</v>
      </c>
      <c r="L399" s="9" t="str">
        <f ca="1">IFERROR(__xludf.DUMMYFUNCTION("""COMPUTED_VALUE"""),"2018-2022")</f>
        <v>2018-2022</v>
      </c>
      <c r="M399" s="9" t="str">
        <f ca="1">IFERROR(__xludf.DUMMYFUNCTION("""COMPUTED_VALUE"""),"S4: Student Certifications")</f>
        <v>S4: Student Certifications</v>
      </c>
      <c r="N399" s="9" t="str">
        <f ca="1">IFERROR(__xludf.DUMMYFUNCTION("""COMPUTED_VALUE"""),"savant.mullapudi@gmail.com")</f>
        <v>savant.mullapudi@gmail.com</v>
      </c>
      <c r="O399" s="9" t="str">
        <f ca="1">IFERROR(__xludf.DUMMYFUNCTION("""COMPUTED_VALUE"""),"SEM-8")</f>
        <v>SEM-8</v>
      </c>
      <c r="P399" s="9"/>
      <c r="Q399" s="9"/>
      <c r="R399" s="9"/>
      <c r="S399" s="9"/>
      <c r="T399" s="9"/>
      <c r="U399" s="9"/>
      <c r="V399" s="9"/>
      <c r="W399" s="9"/>
      <c r="X399" s="9"/>
      <c r="Y399" s="9"/>
    </row>
    <row r="400" spans="1:25" ht="26.25" customHeight="1" x14ac:dyDescent="0.15">
      <c r="A400" s="9" t="str">
        <f ca="1">IFERROR(__xludf.DUMMYFUNCTION("""COMPUTED_VALUE"""),"Savant Venkata Sai Mullapudi")</f>
        <v>Savant Venkata Sai Mullapudi</v>
      </c>
      <c r="B400" s="9" t="str">
        <f ca="1">IFERROR(__xludf.DUMMYFUNCTION("""COMPUTED_VALUE"""),"18331A05G7")</f>
        <v>18331A05G7</v>
      </c>
      <c r="C400" s="78" t="str">
        <f ca="1">IFERROR(__xludf.DUMMYFUNCTION("""COMPUTED_VALUE"""),"Cisco Certifications")</f>
        <v>Cisco Certifications</v>
      </c>
      <c r="D400" s="9" t="str">
        <f ca="1">IFERROR(__xludf.DUMMYFUNCTION("""COMPUTED_VALUE"""),"Cisco Networking Academy")</f>
        <v>Cisco Networking Academy</v>
      </c>
      <c r="E400" s="9" t="str">
        <f ca="1">IFERROR(__xludf.DUMMYFUNCTION("""COMPUTED_VALUE"""),"1 month")</f>
        <v>1 month</v>
      </c>
      <c r="F400" s="79">
        <f ca="1">IFERROR(__xludf.DUMMYFUNCTION("""COMPUTED_VALUE"""),44075)</f>
        <v>44075</v>
      </c>
      <c r="G400" s="79">
        <f ca="1">IFERROR(__xludf.DUMMYFUNCTION("""COMPUTED_VALUE"""),44105)</f>
        <v>44105</v>
      </c>
      <c r="H400" s="72">
        <f ca="1">IFERROR(__xludf.DUMMYFUNCTION("""COMPUTED_VALUE"""),44107)</f>
        <v>44107</v>
      </c>
      <c r="I400" s="80">
        <f ca="1">IFERROR(__xludf.DUMMYFUNCTION("""COMPUTED_VALUE"""),0.85)</f>
        <v>0.85</v>
      </c>
      <c r="J400" s="9" t="str">
        <f ca="1">IFERROR(__xludf.DUMMYFUNCTION("""COMPUTED_VALUE"""),"Mr. Ravi Kiran Varma")</f>
        <v>Mr. Ravi Kiran Varma</v>
      </c>
      <c r="K400" s="73" t="str">
        <f ca="1">IFERROR(__xludf.DUMMYFUNCTION("""COMPUTED_VALUE"""),"https://drive.google.com/open?id=1Ajs9l4X8WbxrWo2002eOfyCA9CGdMv9p")</f>
        <v>https://drive.google.com/open?id=1Ajs9l4X8WbxrWo2002eOfyCA9CGdMv9p</v>
      </c>
      <c r="L400" s="9" t="str">
        <f ca="1">IFERROR(__xludf.DUMMYFUNCTION("""COMPUTED_VALUE"""),"2018-2022")</f>
        <v>2018-2022</v>
      </c>
      <c r="M400" s="9" t="str">
        <f ca="1">IFERROR(__xludf.DUMMYFUNCTION("""COMPUTED_VALUE"""),"S4: Student Certifications")</f>
        <v>S4: Student Certifications</v>
      </c>
      <c r="N400" s="9" t="str">
        <f ca="1">IFERROR(__xludf.DUMMYFUNCTION("""COMPUTED_VALUE"""),"savant.mullapudi@gmail.com")</f>
        <v>savant.mullapudi@gmail.com</v>
      </c>
      <c r="O400" s="9" t="str">
        <f ca="1">IFERROR(__xludf.DUMMYFUNCTION("""COMPUTED_VALUE"""),"SEM-8")</f>
        <v>SEM-8</v>
      </c>
      <c r="P400" s="9"/>
      <c r="Q400" s="9"/>
      <c r="R400" s="9"/>
      <c r="S400" s="9"/>
      <c r="T400" s="9"/>
      <c r="U400" s="9"/>
      <c r="V400" s="9"/>
      <c r="W400" s="9"/>
      <c r="X400" s="9"/>
      <c r="Y400" s="9"/>
    </row>
    <row r="401" spans="1:25" ht="26.25" customHeight="1" x14ac:dyDescent="0.15">
      <c r="A401" s="9" t="str">
        <f ca="1">IFERROR(__xludf.DUMMYFUNCTION("""COMPUTED_VALUE"""),"Savant Venkata Sai Mullapudi")</f>
        <v>Savant Venkata Sai Mullapudi</v>
      </c>
      <c r="B401" s="9" t="str">
        <f ca="1">IFERROR(__xludf.DUMMYFUNCTION("""COMPUTED_VALUE"""),"18331A05G7")</f>
        <v>18331A05G7</v>
      </c>
      <c r="C401" s="78" t="str">
        <f ca="1">IFERROR(__xludf.DUMMYFUNCTION("""COMPUTED_VALUE"""),"Cybersecurity course")</f>
        <v>Cybersecurity course</v>
      </c>
      <c r="D401" s="9" t="str">
        <f ca="1">IFERROR(__xludf.DUMMYFUNCTION("""COMPUTED_VALUE"""),"Palo Alto Acdemy")</f>
        <v>Palo Alto Acdemy</v>
      </c>
      <c r="E401" s="9" t="str">
        <f ca="1">IFERROR(__xludf.DUMMYFUNCTION("""COMPUTED_VALUE"""),"2 months")</f>
        <v>2 months</v>
      </c>
      <c r="F401" s="79">
        <f ca="1">IFERROR(__xludf.DUMMYFUNCTION("""COMPUTED_VALUE"""),44418)</f>
        <v>44418</v>
      </c>
      <c r="G401" s="79">
        <f ca="1">IFERROR(__xludf.DUMMYFUNCTION("""COMPUTED_VALUE"""),44479)</f>
        <v>44479</v>
      </c>
      <c r="H401" s="72">
        <f ca="1">IFERROR(__xludf.DUMMYFUNCTION("""COMPUTED_VALUE"""),44479)</f>
        <v>44479</v>
      </c>
      <c r="I401" s="80">
        <f ca="1">IFERROR(__xludf.DUMMYFUNCTION("""COMPUTED_VALUE"""),0.9)</f>
        <v>0.9</v>
      </c>
      <c r="J401" s="9" t="str">
        <f ca="1">IFERROR(__xludf.DUMMYFUNCTION("""COMPUTED_VALUE"""),"Mr. Ravi Kiran Varma")</f>
        <v>Mr. Ravi Kiran Varma</v>
      </c>
      <c r="K401" s="73" t="str">
        <f ca="1">IFERROR(__xludf.DUMMYFUNCTION("""COMPUTED_VALUE"""),"https://drive.google.com/open?id=1I6lz0VHdmJ63xafnDKePv1Nz0ganYjql")</f>
        <v>https://drive.google.com/open?id=1I6lz0VHdmJ63xafnDKePv1Nz0ganYjql</v>
      </c>
      <c r="L401" s="9" t="str">
        <f ca="1">IFERROR(__xludf.DUMMYFUNCTION("""COMPUTED_VALUE"""),"2018-2022")</f>
        <v>2018-2022</v>
      </c>
      <c r="M401" s="9" t="str">
        <f ca="1">IFERROR(__xludf.DUMMYFUNCTION("""COMPUTED_VALUE"""),"S4: Student Certifications")</f>
        <v>S4: Student Certifications</v>
      </c>
      <c r="N401" s="9" t="str">
        <f ca="1">IFERROR(__xludf.DUMMYFUNCTION("""COMPUTED_VALUE"""),"savant.mullapudi@gmail.com")</f>
        <v>savant.mullapudi@gmail.com</v>
      </c>
      <c r="O401" s="9" t="str">
        <f ca="1">IFERROR(__xludf.DUMMYFUNCTION("""COMPUTED_VALUE"""),"SEM-8")</f>
        <v>SEM-8</v>
      </c>
      <c r="P401" s="9"/>
      <c r="Q401" s="9"/>
      <c r="R401" s="9"/>
      <c r="S401" s="9"/>
      <c r="T401" s="9"/>
      <c r="U401" s="9"/>
      <c r="V401" s="9"/>
      <c r="W401" s="9"/>
      <c r="X401" s="9"/>
      <c r="Y401" s="9"/>
    </row>
    <row r="402" spans="1:25" ht="26.25" customHeight="1" x14ac:dyDescent="0.15">
      <c r="A402" s="9" t="str">
        <f ca="1">IFERROR(__xludf.DUMMYFUNCTION("""COMPUTED_VALUE"""),"Kasi Suresh")</f>
        <v>Kasi Suresh</v>
      </c>
      <c r="B402" s="9" t="str">
        <f ca="1">IFERROR(__xludf.DUMMYFUNCTION("""COMPUTED_VALUE"""),"18331A0573")</f>
        <v>18331A0573</v>
      </c>
      <c r="C402" s="78" t="str">
        <f ca="1">IFERROR(__xludf.DUMMYFUNCTION("""COMPUTED_VALUE"""),"Programming essentials on Python")</f>
        <v>Programming essentials on Python</v>
      </c>
      <c r="D402" s="9" t="str">
        <f ca="1">IFERROR(__xludf.DUMMYFUNCTION("""COMPUTED_VALUE"""),"Cisco")</f>
        <v>Cisco</v>
      </c>
      <c r="E402" s="9" t="str">
        <f ca="1">IFERROR(__xludf.DUMMYFUNCTION("""COMPUTED_VALUE"""),"3 months")</f>
        <v>3 months</v>
      </c>
      <c r="F402" s="79">
        <f ca="1">IFERROR(__xludf.DUMMYFUNCTION("""COMPUTED_VALUE"""),44245)</f>
        <v>44245</v>
      </c>
      <c r="G402" s="79">
        <f ca="1">IFERROR(__xludf.DUMMYFUNCTION("""COMPUTED_VALUE"""),44334)</f>
        <v>44334</v>
      </c>
      <c r="H402" s="72">
        <f ca="1">IFERROR(__xludf.DUMMYFUNCTION("""COMPUTED_VALUE"""),44356)</f>
        <v>44356</v>
      </c>
      <c r="I402" s="80">
        <f ca="1">IFERROR(__xludf.DUMMYFUNCTION("""COMPUTED_VALUE"""),92)</f>
        <v>92</v>
      </c>
      <c r="J402" s="9" t="str">
        <f ca="1">IFERROR(__xludf.DUMMYFUNCTION("""COMPUTED_VALUE"""),"None")</f>
        <v>None</v>
      </c>
      <c r="K402" s="73" t="str">
        <f ca="1">IFERROR(__xludf.DUMMYFUNCTION("""COMPUTED_VALUE"""),"https://drive.google.com/open?id=16oKlg_rKMdoqmLF-Q6oHHqpa3u5Ey7al")</f>
        <v>https://drive.google.com/open?id=16oKlg_rKMdoqmLF-Q6oHHqpa3u5Ey7al</v>
      </c>
      <c r="L402" s="9" t="str">
        <f ca="1">IFERROR(__xludf.DUMMYFUNCTION("""COMPUTED_VALUE"""),"2018-2022")</f>
        <v>2018-2022</v>
      </c>
      <c r="M402" s="9" t="str">
        <f ca="1">IFERROR(__xludf.DUMMYFUNCTION("""COMPUTED_VALUE"""),"S4: Student Certifications")</f>
        <v>S4: Student Certifications</v>
      </c>
      <c r="N402" s="9" t="str">
        <f ca="1">IFERROR(__xludf.DUMMYFUNCTION("""COMPUTED_VALUE"""),"sureshkasi06@gmail.com")</f>
        <v>sureshkasi06@gmail.com</v>
      </c>
      <c r="O402" s="9" t="str">
        <f ca="1">IFERROR(__xludf.DUMMYFUNCTION("""COMPUTED_VALUE"""),"SEM-8")</f>
        <v>SEM-8</v>
      </c>
      <c r="P402" s="9"/>
      <c r="Q402" s="9"/>
      <c r="R402" s="9"/>
      <c r="S402" s="9"/>
      <c r="T402" s="9"/>
      <c r="U402" s="9"/>
      <c r="V402" s="9"/>
      <c r="W402" s="9"/>
      <c r="X402" s="9"/>
      <c r="Y402" s="9"/>
    </row>
    <row r="403" spans="1:25" ht="26.25" customHeight="1" x14ac:dyDescent="0.15">
      <c r="A403" s="9" t="str">
        <f ca="1">IFERROR(__xludf.DUMMYFUNCTION("""COMPUTED_VALUE"""),"VADAPALLI  HASITHA   ")</f>
        <v xml:space="preserve">VADAPALLI  HASITHA   </v>
      </c>
      <c r="B403" s="9" t="str">
        <f ca="1">IFERROR(__xludf.DUMMYFUNCTION("""COMPUTED_VALUE"""),"18331A05G2")</f>
        <v>18331A05G2</v>
      </c>
      <c r="C403" s="78" t="str">
        <f ca="1">IFERROR(__xludf.DUMMYFUNCTION("""COMPUTED_VALUE"""),"AWS Academy Cloud Foundations")</f>
        <v>AWS Academy Cloud Foundations</v>
      </c>
      <c r="D403" s="9" t="str">
        <f ca="1">IFERROR(__xludf.DUMMYFUNCTION("""COMPUTED_VALUE"""),"AWS Academy")</f>
        <v>AWS Academy</v>
      </c>
      <c r="E403" s="9" t="str">
        <f ca="1">IFERROR(__xludf.DUMMYFUNCTION("""COMPUTED_VALUE"""),"1 month")</f>
        <v>1 month</v>
      </c>
      <c r="F403" s="79">
        <f ca="1">IFERROR(__xludf.DUMMYFUNCTION("""COMPUTED_VALUE"""),44512)</f>
        <v>44512</v>
      </c>
      <c r="G403" s="79">
        <f ca="1">IFERROR(__xludf.DUMMYFUNCTION("""COMPUTED_VALUE"""),44542)</f>
        <v>44542</v>
      </c>
      <c r="H403" s="72">
        <f ca="1">IFERROR(__xludf.DUMMYFUNCTION("""COMPUTED_VALUE"""),44542)</f>
        <v>44542</v>
      </c>
      <c r="I403" s="80">
        <f ca="1">IFERROR(__xludf.DUMMYFUNCTION("""COMPUTED_VALUE"""),100)</f>
        <v>100</v>
      </c>
      <c r="J403" s="9" t="str">
        <f ca="1">IFERROR(__xludf.DUMMYFUNCTION("""COMPUTED_VALUE"""),"Ravi Kiran Varma Penmatsa")</f>
        <v>Ravi Kiran Varma Penmatsa</v>
      </c>
      <c r="K403" s="73" t="str">
        <f ca="1">IFERROR(__xludf.DUMMYFUNCTION("""COMPUTED_VALUE"""),"https://drive.google.com/open?id=1iddx6GiyzoGylhxCDI-E-V5ifL8jy-ki")</f>
        <v>https://drive.google.com/open?id=1iddx6GiyzoGylhxCDI-E-V5ifL8jy-ki</v>
      </c>
      <c r="L403" s="9" t="str">
        <f ca="1">IFERROR(__xludf.DUMMYFUNCTION("""COMPUTED_VALUE"""),"2018-2022")</f>
        <v>2018-2022</v>
      </c>
      <c r="M403" s="9" t="str">
        <f ca="1">IFERROR(__xludf.DUMMYFUNCTION("""COMPUTED_VALUE"""),"S4: Student Certifications")</f>
        <v>S4: Student Certifications</v>
      </c>
      <c r="N403" s="9" t="str">
        <f ca="1">IFERROR(__xludf.DUMMYFUNCTION("""COMPUTED_VALUE"""),"hasithavarma1234@gmail.com")</f>
        <v>hasithavarma1234@gmail.com</v>
      </c>
      <c r="O403" s="9" t="str">
        <f ca="1">IFERROR(__xludf.DUMMYFUNCTION("""COMPUTED_VALUE"""),"SEM-4")</f>
        <v>SEM-4</v>
      </c>
      <c r="P403" s="9"/>
      <c r="Q403" s="9"/>
      <c r="R403" s="9"/>
      <c r="S403" s="9"/>
      <c r="T403" s="9"/>
      <c r="U403" s="9"/>
      <c r="V403" s="9"/>
      <c r="W403" s="9"/>
      <c r="X403" s="9"/>
      <c r="Y403" s="9"/>
    </row>
    <row r="404" spans="1:25" ht="26.25" customHeight="1" x14ac:dyDescent="0.15">
      <c r="A404" s="9" t="str">
        <f ca="1">IFERROR(__xludf.DUMMYFUNCTION("""COMPUTED_VALUE"""),"Vadapalli Hasitha")</f>
        <v>Vadapalli Hasitha</v>
      </c>
      <c r="B404" s="9" t="str">
        <f ca="1">IFERROR(__xludf.DUMMYFUNCTION("""COMPUTED_VALUE"""),"18331A05G2")</f>
        <v>18331A05G2</v>
      </c>
      <c r="C404" s="78" t="str">
        <f ca="1">IFERROR(__xludf.DUMMYFUNCTION("""COMPUTED_VALUE""")," AWS Academy Cloud Foundations")</f>
        <v xml:space="preserve"> AWS Academy Cloud Foundations</v>
      </c>
      <c r="D404" s="9" t="str">
        <f ca="1">IFERROR(__xludf.DUMMYFUNCTION("""COMPUTED_VALUE""")," AWS Academy ")</f>
        <v xml:space="preserve"> AWS Academy </v>
      </c>
      <c r="E404" s="9" t="str">
        <f ca="1">IFERROR(__xludf.DUMMYFUNCTION("""COMPUTED_VALUE"""),"1 month")</f>
        <v>1 month</v>
      </c>
      <c r="F404" s="79">
        <f ca="1">IFERROR(__xludf.DUMMYFUNCTION("""COMPUTED_VALUE"""),44512)</f>
        <v>44512</v>
      </c>
      <c r="G404" s="79">
        <f ca="1">IFERROR(__xludf.DUMMYFUNCTION("""COMPUTED_VALUE"""),44542)</f>
        <v>44542</v>
      </c>
      <c r="H404" s="72">
        <f ca="1">IFERROR(__xludf.DUMMYFUNCTION("""COMPUTED_VALUE"""),44542)</f>
        <v>44542</v>
      </c>
      <c r="I404" s="80">
        <f ca="1">IFERROR(__xludf.DUMMYFUNCTION("""COMPUTED_VALUE"""),100)</f>
        <v>100</v>
      </c>
      <c r="J404" s="9" t="str">
        <f ca="1">IFERROR(__xludf.DUMMYFUNCTION("""COMPUTED_VALUE"""),"Ravi Kiran Varma Penmatsa")</f>
        <v>Ravi Kiran Varma Penmatsa</v>
      </c>
      <c r="K404" s="73" t="str">
        <f ca="1">IFERROR(__xludf.DUMMYFUNCTION("""COMPUTED_VALUE"""),"https://drive.google.com/open?id=1fjnwkCATs7XldWAR7MZNuQUb05pDdhNb")</f>
        <v>https://drive.google.com/open?id=1fjnwkCATs7XldWAR7MZNuQUb05pDdhNb</v>
      </c>
      <c r="L404" s="9" t="str">
        <f ca="1">IFERROR(__xludf.DUMMYFUNCTION("""COMPUTED_VALUE"""),"2018-2022")</f>
        <v>2018-2022</v>
      </c>
      <c r="M404" s="9" t="str">
        <f ca="1">IFERROR(__xludf.DUMMYFUNCTION("""COMPUTED_VALUE"""),"S4: Student Certifications")</f>
        <v>S4: Student Certifications</v>
      </c>
      <c r="N404" s="9" t="str">
        <f ca="1">IFERROR(__xludf.DUMMYFUNCTION("""COMPUTED_VALUE"""),"hasithavarma1234@gmail.com")</f>
        <v>hasithavarma1234@gmail.com</v>
      </c>
      <c r="O404" s="9" t="str">
        <f ca="1">IFERROR(__xludf.DUMMYFUNCTION("""COMPUTED_VALUE"""),"SEM-7")</f>
        <v>SEM-7</v>
      </c>
      <c r="P404" s="9"/>
      <c r="Q404" s="9"/>
      <c r="R404" s="9"/>
      <c r="S404" s="9"/>
      <c r="T404" s="9"/>
      <c r="U404" s="9"/>
      <c r="V404" s="9"/>
      <c r="W404" s="9"/>
      <c r="X404" s="9"/>
      <c r="Y404" s="9"/>
    </row>
    <row r="405" spans="1:25" ht="26.25" customHeight="1" x14ac:dyDescent="0.15">
      <c r="A405" s="9" t="str">
        <f ca="1">IFERROR(__xludf.DUMMYFUNCTION("""COMPUTED_VALUE"""),"Vadapalli Hasitha")</f>
        <v>Vadapalli Hasitha</v>
      </c>
      <c r="B405" s="9" t="str">
        <f ca="1">IFERROR(__xludf.DUMMYFUNCTION("""COMPUTED_VALUE"""),"18331A05G2")</f>
        <v>18331A05G2</v>
      </c>
      <c r="C405" s="78" t="str">
        <f ca="1">IFERROR(__xludf.DUMMYFUNCTION("""COMPUTED_VALUE"""),"AI For Everyone")</f>
        <v>AI For Everyone</v>
      </c>
      <c r="D405" s="9" t="str">
        <f ca="1">IFERROR(__xludf.DUMMYFUNCTION("""COMPUTED_VALUE"""),"coursera")</f>
        <v>coursera</v>
      </c>
      <c r="E405" s="9" t="str">
        <f ca="1">IFERROR(__xludf.DUMMYFUNCTION("""COMPUTED_VALUE"""),"30 Days")</f>
        <v>30 Days</v>
      </c>
      <c r="F405" s="79">
        <f ca="1">IFERROR(__xludf.DUMMYFUNCTION("""COMPUTED_VALUE"""),43921)</f>
        <v>43921</v>
      </c>
      <c r="G405" s="79">
        <f ca="1">IFERROR(__xludf.DUMMYFUNCTION("""COMPUTED_VALUE"""),43951)</f>
        <v>43951</v>
      </c>
      <c r="H405" s="72">
        <f ca="1">IFERROR(__xludf.DUMMYFUNCTION("""COMPUTED_VALUE"""),43951)</f>
        <v>43951</v>
      </c>
      <c r="I405" s="80">
        <f ca="1">IFERROR(__xludf.DUMMYFUNCTION("""COMPUTED_VALUE"""),920)</f>
        <v>920</v>
      </c>
      <c r="J405" s="9" t="str">
        <f ca="1">IFERROR(__xludf.DUMMYFUNCTION("""COMPUTED_VALUE"""),"online")</f>
        <v>online</v>
      </c>
      <c r="K405" s="73" t="str">
        <f ca="1">IFERROR(__xludf.DUMMYFUNCTION("""COMPUTED_VALUE"""),"https://drive.google.com/open?id=1mn0SSjIJN5TMndifLbcIyvt7Gn7ZzLDt")</f>
        <v>https://drive.google.com/open?id=1mn0SSjIJN5TMndifLbcIyvt7Gn7ZzLDt</v>
      </c>
      <c r="L405" s="9" t="str">
        <f ca="1">IFERROR(__xludf.DUMMYFUNCTION("""COMPUTED_VALUE"""),"2018-2022")</f>
        <v>2018-2022</v>
      </c>
      <c r="M405" s="9" t="str">
        <f ca="1">IFERROR(__xludf.DUMMYFUNCTION("""COMPUTED_VALUE"""),"S4: Student Certifications")</f>
        <v>S4: Student Certifications</v>
      </c>
      <c r="N405" s="9" t="str">
        <f ca="1">IFERROR(__xludf.DUMMYFUNCTION("""COMPUTED_VALUE"""),"hasithavarma1234@gmail.com")</f>
        <v>hasithavarma1234@gmail.com</v>
      </c>
      <c r="O405" s="9" t="str">
        <f ca="1">IFERROR(__xludf.DUMMYFUNCTION("""COMPUTED_VALUE"""),"SEM-4")</f>
        <v>SEM-4</v>
      </c>
      <c r="P405" s="9"/>
      <c r="Q405" s="9"/>
      <c r="R405" s="9"/>
      <c r="S405" s="9"/>
      <c r="T405" s="9"/>
      <c r="U405" s="9"/>
      <c r="V405" s="9"/>
      <c r="W405" s="9"/>
      <c r="X405" s="9"/>
      <c r="Y405" s="9"/>
    </row>
    <row r="406" spans="1:25" ht="26.25" customHeight="1" x14ac:dyDescent="0.15">
      <c r="A406" s="9" t="str">
        <f ca="1">IFERROR(__xludf.DUMMYFUNCTION("""COMPUTED_VALUE"""),"Vadapalli Hasitha")</f>
        <v>Vadapalli Hasitha</v>
      </c>
      <c r="B406" s="9" t="str">
        <f ca="1">IFERROR(__xludf.DUMMYFUNCTION("""COMPUTED_VALUE"""),"18331A05G2")</f>
        <v>18331A05G2</v>
      </c>
      <c r="C406" s="78" t="str">
        <f ca="1">IFERROR(__xludf.DUMMYFUNCTION("""COMPUTED_VALUE"""),"AI WORKSHOP")</f>
        <v>AI WORKSHOP</v>
      </c>
      <c r="D406" s="9" t="str">
        <f ca="1">IFERROR(__xludf.DUMMYFUNCTION("""COMPUTED_VALUE"""),"Kyrion Technologies at IIT Hyderabad")</f>
        <v>Kyrion Technologies at IIT Hyderabad</v>
      </c>
      <c r="E406" s="9" t="str">
        <f ca="1">IFERROR(__xludf.DUMMYFUNCTION("""COMPUTED_VALUE"""),"2 Days")</f>
        <v>2 Days</v>
      </c>
      <c r="F406" s="79">
        <f ca="1">IFERROR(__xludf.DUMMYFUNCTION("""COMPUTED_VALUE"""),43694)</f>
        <v>43694</v>
      </c>
      <c r="G406" s="79">
        <f ca="1">IFERROR(__xludf.DUMMYFUNCTION("""COMPUTED_VALUE"""),43695)</f>
        <v>43695</v>
      </c>
      <c r="H406" s="72">
        <f ca="1">IFERROR(__xludf.DUMMYFUNCTION("""COMPUTED_VALUE"""),43695)</f>
        <v>43695</v>
      </c>
      <c r="I406" s="80"/>
      <c r="J406" s="9" t="str">
        <f ca="1">IFERROR(__xludf.DUMMYFUNCTION("""COMPUTED_VALUE"""),"NIL")</f>
        <v>NIL</v>
      </c>
      <c r="K406" s="73" t="str">
        <f ca="1">IFERROR(__xludf.DUMMYFUNCTION("""COMPUTED_VALUE"""),"https://drive.google.com/open?id=1oGd0TgPMSs2_aUaC7MhhXkTdYXkrrSp8")</f>
        <v>https://drive.google.com/open?id=1oGd0TgPMSs2_aUaC7MhhXkTdYXkrrSp8</v>
      </c>
      <c r="L406" s="9" t="str">
        <f ca="1">IFERROR(__xludf.DUMMYFUNCTION("""COMPUTED_VALUE"""),"2018-2022")</f>
        <v>2018-2022</v>
      </c>
      <c r="M406" s="9" t="str">
        <f ca="1">IFERROR(__xludf.DUMMYFUNCTION("""COMPUTED_VALUE"""),"S4: Student Certifications")</f>
        <v>S4: Student Certifications</v>
      </c>
      <c r="N406" s="9" t="str">
        <f ca="1">IFERROR(__xludf.DUMMYFUNCTION("""COMPUTED_VALUE"""),"hasithavarma1234@gmail.com")</f>
        <v>hasithavarma1234@gmail.com</v>
      </c>
      <c r="O406" s="9" t="str">
        <f ca="1">IFERROR(__xludf.DUMMYFUNCTION("""COMPUTED_VALUE"""),"SEM-3")</f>
        <v>SEM-3</v>
      </c>
      <c r="P406" s="9"/>
      <c r="Q406" s="9"/>
      <c r="R406" s="9"/>
      <c r="S406" s="9"/>
      <c r="T406" s="9"/>
      <c r="U406" s="9"/>
      <c r="V406" s="9"/>
      <c r="W406" s="9"/>
      <c r="X406" s="9"/>
      <c r="Y406" s="9"/>
    </row>
    <row r="407" spans="1:25" ht="26.25" customHeight="1" x14ac:dyDescent="0.15">
      <c r="A407" s="9" t="str">
        <f ca="1">IFERROR(__xludf.DUMMYFUNCTION("""COMPUTED_VALUE"""),"Vadapalli Hasitha")</f>
        <v>Vadapalli Hasitha</v>
      </c>
      <c r="B407" s="9" t="str">
        <f ca="1">IFERROR(__xludf.DUMMYFUNCTION("""COMPUTED_VALUE"""),"18331A05G2")</f>
        <v>18331A05G2</v>
      </c>
      <c r="C407" s="78" t="str">
        <f ca="1">IFERROR(__xludf.DUMMYFUNCTION("""COMPUTED_VALUE"""),"Math Quiz")</f>
        <v>Math Quiz</v>
      </c>
      <c r="D407" s="9" t="str">
        <f ca="1">IFERROR(__xludf.DUMMYFUNCTION("""COMPUTED_VALUE"""),"K.RAMAKRISHNAN college of technology")</f>
        <v>K.RAMAKRISHNAN college of technology</v>
      </c>
      <c r="E407" s="9" t="str">
        <f ca="1">IFERROR(__xludf.DUMMYFUNCTION("""COMPUTED_VALUE"""),"1 day")</f>
        <v>1 day</v>
      </c>
      <c r="F407" s="79">
        <f ca="1">IFERROR(__xludf.DUMMYFUNCTION("""COMPUTED_VALUE"""),43976)</f>
        <v>43976</v>
      </c>
      <c r="G407" s="79">
        <f ca="1">IFERROR(__xludf.DUMMYFUNCTION("""COMPUTED_VALUE"""),43976)</f>
        <v>43976</v>
      </c>
      <c r="H407" s="72">
        <f ca="1">IFERROR(__xludf.DUMMYFUNCTION("""COMPUTED_VALUE"""),43976)</f>
        <v>43976</v>
      </c>
      <c r="I407" s="80">
        <f ca="1">IFERROR(__xludf.DUMMYFUNCTION("""COMPUTED_VALUE"""),1)</f>
        <v>1</v>
      </c>
      <c r="J407" s="9" t="str">
        <f ca="1">IFERROR(__xludf.DUMMYFUNCTION("""COMPUTED_VALUE"""),"NIL")</f>
        <v>NIL</v>
      </c>
      <c r="K407" s="73" t="str">
        <f ca="1">IFERROR(__xludf.DUMMYFUNCTION("""COMPUTED_VALUE"""),"https://drive.google.com/open?id=107KWl7vHy4JvgbFp97Q2TqLetMA7I7ZT")</f>
        <v>https://drive.google.com/open?id=107KWl7vHy4JvgbFp97Q2TqLetMA7I7ZT</v>
      </c>
      <c r="L407" s="9" t="str">
        <f ca="1">IFERROR(__xludf.DUMMYFUNCTION("""COMPUTED_VALUE"""),"2018-2022")</f>
        <v>2018-2022</v>
      </c>
      <c r="M407" s="9" t="str">
        <f ca="1">IFERROR(__xludf.DUMMYFUNCTION("""COMPUTED_VALUE"""),"S4: Student Certifications")</f>
        <v>S4: Student Certifications</v>
      </c>
      <c r="N407" s="9" t="str">
        <f ca="1">IFERROR(__xludf.DUMMYFUNCTION("""COMPUTED_VALUE"""),"hasithavarma1234@gmail.com")</f>
        <v>hasithavarma1234@gmail.com</v>
      </c>
      <c r="O407" s="9" t="str">
        <f ca="1">IFERROR(__xludf.DUMMYFUNCTION("""COMPUTED_VALUE"""),"SEM-4")</f>
        <v>SEM-4</v>
      </c>
      <c r="P407" s="9"/>
      <c r="Q407" s="9"/>
      <c r="R407" s="9"/>
      <c r="S407" s="9"/>
      <c r="T407" s="9"/>
      <c r="U407" s="9"/>
      <c r="V407" s="9"/>
      <c r="W407" s="9"/>
      <c r="X407" s="9"/>
      <c r="Y407" s="9"/>
    </row>
    <row r="408" spans="1:25" ht="26.25" customHeight="1" x14ac:dyDescent="0.15">
      <c r="A408" s="9" t="str">
        <f ca="1">IFERROR(__xludf.DUMMYFUNCTION("""COMPUTED_VALUE"""),"Vadapalli Hasitha")</f>
        <v>Vadapalli Hasitha</v>
      </c>
      <c r="B408" s="9" t="str">
        <f ca="1">IFERROR(__xludf.DUMMYFUNCTION("""COMPUTED_VALUE"""),"18331A05G2")</f>
        <v>18331A05G2</v>
      </c>
      <c r="C408" s="78" t="str">
        <f ca="1">IFERROR(__xludf.DUMMYFUNCTION("""COMPUTED_VALUE"""),"Python progmming Quiz")</f>
        <v>Python progmming Quiz</v>
      </c>
      <c r="D408" s="9" t="str">
        <f ca="1">IFERROR(__xludf.DUMMYFUNCTION("""COMPUTED_VALUE"""),"Siddhartha Institute of Engineering &amp; Technology")</f>
        <v>Siddhartha Institute of Engineering &amp; Technology</v>
      </c>
      <c r="E408" s="9" t="str">
        <f ca="1">IFERROR(__xludf.DUMMYFUNCTION("""COMPUTED_VALUE"""),"1Day")</f>
        <v>1Day</v>
      </c>
      <c r="F408" s="79">
        <f ca="1">IFERROR(__xludf.DUMMYFUNCTION("""COMPUTED_VALUE"""),43896)</f>
        <v>43896</v>
      </c>
      <c r="G408" s="79">
        <f ca="1">IFERROR(__xludf.DUMMYFUNCTION("""COMPUTED_VALUE"""),43896)</f>
        <v>43896</v>
      </c>
      <c r="H408" s="72">
        <f ca="1">IFERROR(__xludf.DUMMYFUNCTION("""COMPUTED_VALUE"""),43896)</f>
        <v>43896</v>
      </c>
      <c r="I408" s="80">
        <f ca="1">IFERROR(__xludf.DUMMYFUNCTION("""COMPUTED_VALUE"""),0.95)</f>
        <v>0.95</v>
      </c>
      <c r="J408" s="9" t="str">
        <f ca="1">IFERROR(__xludf.DUMMYFUNCTION("""COMPUTED_VALUE"""),"NIL")</f>
        <v>NIL</v>
      </c>
      <c r="K408" s="73" t="str">
        <f ca="1">IFERROR(__xludf.DUMMYFUNCTION("""COMPUTED_VALUE"""),"https://drive.google.com/open?id=1erC_GJzEFzMEUrIt7RCB1gE5rOo1vD_9")</f>
        <v>https://drive.google.com/open?id=1erC_GJzEFzMEUrIt7RCB1gE5rOo1vD_9</v>
      </c>
      <c r="L408" s="9" t="str">
        <f ca="1">IFERROR(__xludf.DUMMYFUNCTION("""COMPUTED_VALUE"""),"2018-2022")</f>
        <v>2018-2022</v>
      </c>
      <c r="M408" s="9" t="str">
        <f ca="1">IFERROR(__xludf.DUMMYFUNCTION("""COMPUTED_VALUE"""),"S4: Student Certifications")</f>
        <v>S4: Student Certifications</v>
      </c>
      <c r="N408" s="9" t="str">
        <f ca="1">IFERROR(__xludf.DUMMYFUNCTION("""COMPUTED_VALUE"""),"hasithavarma1234@gmail.com")</f>
        <v>hasithavarma1234@gmail.com</v>
      </c>
      <c r="O408" s="9" t="str">
        <f ca="1">IFERROR(__xludf.DUMMYFUNCTION("""COMPUTED_VALUE"""),"SEM-4")</f>
        <v>SEM-4</v>
      </c>
      <c r="P408" s="9"/>
      <c r="Q408" s="9"/>
      <c r="R408" s="9"/>
      <c r="S408" s="9"/>
      <c r="T408" s="9"/>
      <c r="U408" s="9"/>
      <c r="V408" s="9"/>
      <c r="W408" s="9"/>
      <c r="X408" s="9"/>
      <c r="Y408" s="9"/>
    </row>
    <row r="409" spans="1:25" ht="26.25" customHeight="1" x14ac:dyDescent="0.15">
      <c r="A409" s="9" t="str">
        <f ca="1">IFERROR(__xludf.DUMMYFUNCTION("""COMPUTED_VALUE"""),"Vadapalli Hasitha")</f>
        <v>Vadapalli Hasitha</v>
      </c>
      <c r="B409" s="9" t="str">
        <f ca="1">IFERROR(__xludf.DUMMYFUNCTION("""COMPUTED_VALUE"""),"18331A05G2")</f>
        <v>18331A05G2</v>
      </c>
      <c r="C409" s="78" t="str">
        <f ca="1">IFERROR(__xludf.DUMMYFUNCTION("""COMPUTED_VALUE"""),"SQL QUIZ")</f>
        <v>SQL QUIZ</v>
      </c>
      <c r="D409" s="9" t="str">
        <f ca="1">IFERROR(__xludf.DUMMYFUNCTION("""COMPUTED_VALUE"""),"Vignan's Institute of Engineering for Women")</f>
        <v>Vignan's Institute of Engineering for Women</v>
      </c>
      <c r="E409" s="9" t="str">
        <f ca="1">IFERROR(__xludf.DUMMYFUNCTION("""COMPUTED_VALUE"""),"1 Day")</f>
        <v>1 Day</v>
      </c>
      <c r="F409" s="79">
        <f ca="1">IFERROR(__xludf.DUMMYFUNCTION("""COMPUTED_VALUE"""),43979)</f>
        <v>43979</v>
      </c>
      <c r="G409" s="79">
        <f ca="1">IFERROR(__xludf.DUMMYFUNCTION("""COMPUTED_VALUE"""),44709)</f>
        <v>44709</v>
      </c>
      <c r="H409" s="72">
        <f ca="1">IFERROR(__xludf.DUMMYFUNCTION("""COMPUTED_VALUE"""),43979)</f>
        <v>43979</v>
      </c>
      <c r="I409" s="80">
        <f ca="1">IFERROR(__xludf.DUMMYFUNCTION("""COMPUTED_VALUE"""),0.92)</f>
        <v>0.92</v>
      </c>
      <c r="J409" s="9" t="str">
        <f ca="1">IFERROR(__xludf.DUMMYFUNCTION("""COMPUTED_VALUE"""),"NIL")</f>
        <v>NIL</v>
      </c>
      <c r="K409" s="73" t="str">
        <f ca="1">IFERROR(__xludf.DUMMYFUNCTION("""COMPUTED_VALUE"""),"https://drive.google.com/open?id=1hK2pBkdTZDKlPOmiNsZBHAE_l9PK0ReV")</f>
        <v>https://drive.google.com/open?id=1hK2pBkdTZDKlPOmiNsZBHAE_l9PK0ReV</v>
      </c>
      <c r="L409" s="9" t="str">
        <f ca="1">IFERROR(__xludf.DUMMYFUNCTION("""COMPUTED_VALUE"""),"2018-2022")</f>
        <v>2018-2022</v>
      </c>
      <c r="M409" s="9" t="str">
        <f ca="1">IFERROR(__xludf.DUMMYFUNCTION("""COMPUTED_VALUE"""),"S4: Student Certifications")</f>
        <v>S4: Student Certifications</v>
      </c>
      <c r="N409" s="9" t="str">
        <f ca="1">IFERROR(__xludf.DUMMYFUNCTION("""COMPUTED_VALUE"""),"hasithavarma1234@gmail.com")</f>
        <v>hasithavarma1234@gmail.com</v>
      </c>
      <c r="O409" s="9" t="str">
        <f ca="1">IFERROR(__xludf.DUMMYFUNCTION("""COMPUTED_VALUE"""),"SEM-4")</f>
        <v>SEM-4</v>
      </c>
      <c r="P409" s="9"/>
      <c r="Q409" s="9"/>
      <c r="R409" s="9"/>
      <c r="S409" s="9"/>
      <c r="T409" s="9"/>
      <c r="U409" s="9"/>
      <c r="V409" s="9"/>
      <c r="W409" s="9"/>
      <c r="X409" s="9"/>
      <c r="Y409" s="9"/>
    </row>
    <row r="410" spans="1:25" ht="26.25" customHeight="1" x14ac:dyDescent="0.15">
      <c r="A410" s="9" t="str">
        <f ca="1">IFERROR(__xludf.DUMMYFUNCTION("""COMPUTED_VALUE"""),"Vadapalli Hasitha")</f>
        <v>Vadapalli Hasitha</v>
      </c>
      <c r="B410" s="9" t="str">
        <f ca="1">IFERROR(__xludf.DUMMYFUNCTION("""COMPUTED_VALUE"""),"18331A05G2")</f>
        <v>18331A05G2</v>
      </c>
      <c r="C410" s="78" t="str">
        <f ca="1">IFERROR(__xludf.DUMMYFUNCTION("""COMPUTED_VALUE"""),"Cybersecurity Essentials")</f>
        <v>Cybersecurity Essentials</v>
      </c>
      <c r="D410" s="9" t="str">
        <f ca="1">IFERROR(__xludf.DUMMYFUNCTION("""COMPUTED_VALUE"""),"cisco")</f>
        <v>cisco</v>
      </c>
      <c r="E410" s="9" t="str">
        <f ca="1">IFERROR(__xludf.DUMMYFUNCTION("""COMPUTED_VALUE"""),"2 months")</f>
        <v>2 months</v>
      </c>
      <c r="F410" s="79">
        <f ca="1">IFERROR(__xludf.DUMMYFUNCTION("""COMPUTED_VALUE"""),43587)</f>
        <v>43587</v>
      </c>
      <c r="G410" s="79">
        <f ca="1">IFERROR(__xludf.DUMMYFUNCTION("""COMPUTED_VALUE"""),43664)</f>
        <v>43664</v>
      </c>
      <c r="H410" s="72">
        <f ca="1">IFERROR(__xludf.DUMMYFUNCTION("""COMPUTED_VALUE"""),43676)</f>
        <v>43676</v>
      </c>
      <c r="I410" s="80">
        <f ca="1">IFERROR(__xludf.DUMMYFUNCTION("""COMPUTED_VALUE"""),0.89)</f>
        <v>0.89</v>
      </c>
      <c r="J410" s="9" t="str">
        <f ca="1">IFERROR(__xludf.DUMMYFUNCTION("""COMPUTED_VALUE"""),"5/2/2019")</f>
        <v>5/2/2019</v>
      </c>
      <c r="K410" s="73" t="str">
        <f ca="1">IFERROR(__xludf.DUMMYFUNCTION("""COMPUTED_VALUE"""),"https://drive.google.com/open?id=1UH29DWZ7mNJAc3hFq7J6-52l9vH-o75V")</f>
        <v>https://drive.google.com/open?id=1UH29DWZ7mNJAc3hFq7J6-52l9vH-o75V</v>
      </c>
      <c r="L410" s="9" t="str">
        <f ca="1">IFERROR(__xludf.DUMMYFUNCTION("""COMPUTED_VALUE"""),"2018-2022")</f>
        <v>2018-2022</v>
      </c>
      <c r="M410" s="9" t="str">
        <f ca="1">IFERROR(__xludf.DUMMYFUNCTION("""COMPUTED_VALUE"""),"S4: Student Certifications")</f>
        <v>S4: Student Certifications</v>
      </c>
      <c r="N410" s="9" t="str">
        <f ca="1">IFERROR(__xludf.DUMMYFUNCTION("""COMPUTED_VALUE"""),"hasithavarma1234@gmail.com")</f>
        <v>hasithavarma1234@gmail.com</v>
      </c>
      <c r="O410" s="9" t="str">
        <f ca="1">IFERROR(__xludf.DUMMYFUNCTION("""COMPUTED_VALUE"""),"SEM-2")</f>
        <v>SEM-2</v>
      </c>
      <c r="P410" s="9"/>
      <c r="Q410" s="9"/>
      <c r="R410" s="9"/>
      <c r="S410" s="9"/>
      <c r="T410" s="9"/>
      <c r="U410" s="9"/>
      <c r="V410" s="9"/>
      <c r="W410" s="9"/>
      <c r="X410" s="9"/>
      <c r="Y410" s="9"/>
    </row>
    <row r="411" spans="1:25" ht="26.25" customHeight="1" x14ac:dyDescent="0.15">
      <c r="A411" s="9" t="str">
        <f ca="1">IFERROR(__xludf.DUMMYFUNCTION("""COMPUTED_VALUE"""),"Vadapalli  Hasitha")</f>
        <v>Vadapalli  Hasitha</v>
      </c>
      <c r="B411" s="9" t="str">
        <f ca="1">IFERROR(__xludf.DUMMYFUNCTION("""COMPUTED_VALUE"""),"18331A05G2")</f>
        <v>18331A05G2</v>
      </c>
      <c r="C411" s="78" t="str">
        <f ca="1">IFERROR(__xludf.DUMMYFUNCTION("""COMPUTED_VALUE"""),"Programming Essentials in C")</f>
        <v>Programming Essentials in C</v>
      </c>
      <c r="D411" s="9" t="str">
        <f ca="1">IFERROR(__xludf.DUMMYFUNCTION("""COMPUTED_VALUE"""),"CISCO")</f>
        <v>CISCO</v>
      </c>
      <c r="E411" s="9" t="str">
        <f ca="1">IFERROR(__xludf.DUMMYFUNCTION("""COMPUTED_VALUE"""),"4 months")</f>
        <v>4 months</v>
      </c>
      <c r="F411" s="79">
        <f ca="1">IFERROR(__xludf.DUMMYFUNCTION("""COMPUTED_VALUE"""),43472)</f>
        <v>43472</v>
      </c>
      <c r="G411" s="79">
        <f ca="1">IFERROR(__xludf.DUMMYFUNCTION("""COMPUTED_VALUE"""),43563)</f>
        <v>43563</v>
      </c>
      <c r="H411" s="72">
        <f ca="1">IFERROR(__xludf.DUMMYFUNCTION("""COMPUTED_VALUE"""),43567)</f>
        <v>43567</v>
      </c>
      <c r="I411" s="80">
        <f ca="1">IFERROR(__xludf.DUMMYFUNCTION("""COMPUTED_VALUE"""),90)</f>
        <v>90</v>
      </c>
      <c r="J411" s="9" t="str">
        <f ca="1">IFERROR(__xludf.DUMMYFUNCTION("""COMPUTED_VALUE"""),"DR. P. Ravi Kiran Varma")</f>
        <v>DR. P. Ravi Kiran Varma</v>
      </c>
      <c r="K411" s="73" t="str">
        <f ca="1">IFERROR(__xludf.DUMMYFUNCTION("""COMPUTED_VALUE"""),"https://drive.google.com/open?id=1gwt9YnCs_Mw_5hdc2VLXTf3wKncfuc6Q")</f>
        <v>https://drive.google.com/open?id=1gwt9YnCs_Mw_5hdc2VLXTf3wKncfuc6Q</v>
      </c>
      <c r="L411" s="9" t="str">
        <f ca="1">IFERROR(__xludf.DUMMYFUNCTION("""COMPUTED_VALUE"""),"2018-2022")</f>
        <v>2018-2022</v>
      </c>
      <c r="M411" s="9" t="str">
        <f ca="1">IFERROR(__xludf.DUMMYFUNCTION("""COMPUTED_VALUE"""),"S4: Student Certifications")</f>
        <v>S4: Student Certifications</v>
      </c>
      <c r="N411" s="9" t="str">
        <f ca="1">IFERROR(__xludf.DUMMYFUNCTION("""COMPUTED_VALUE"""),"hasithavarma1234@gmail.com")</f>
        <v>hasithavarma1234@gmail.com</v>
      </c>
      <c r="O411" s="9" t="str">
        <f ca="1">IFERROR(__xludf.DUMMYFUNCTION("""COMPUTED_VALUE"""),"SEM-2")</f>
        <v>SEM-2</v>
      </c>
      <c r="P411" s="9"/>
      <c r="Q411" s="9"/>
      <c r="R411" s="9"/>
      <c r="S411" s="9"/>
      <c r="T411" s="9"/>
      <c r="U411" s="9"/>
      <c r="V411" s="9"/>
      <c r="W411" s="9"/>
      <c r="X411" s="9"/>
      <c r="Y411" s="9"/>
    </row>
    <row r="412" spans="1:25" ht="26.25" customHeight="1" x14ac:dyDescent="0.15">
      <c r="A412" s="9" t="str">
        <f ca="1">IFERROR(__xludf.DUMMYFUNCTION("""COMPUTED_VALUE"""),"Hari Ramakrishna Turpati")</f>
        <v>Hari Ramakrishna Turpati</v>
      </c>
      <c r="B412" s="9" t="str">
        <f ca="1">IFERROR(__xludf.DUMMYFUNCTION("""COMPUTED_VALUE"""),"18331A05F9")</f>
        <v>18331A05F9</v>
      </c>
      <c r="C412" s="78" t="str">
        <f ca="1">IFERROR(__xludf.DUMMYFUNCTION("""COMPUTED_VALUE"""),"C")</f>
        <v>C</v>
      </c>
      <c r="D412" s="9" t="str">
        <f ca="1">IFERROR(__xludf.DUMMYFUNCTION("""COMPUTED_VALUE"""),"Netacad")</f>
        <v>Netacad</v>
      </c>
      <c r="E412" s="9" t="str">
        <f ca="1">IFERROR(__xludf.DUMMYFUNCTION("""COMPUTED_VALUE"""),"1 month")</f>
        <v>1 month</v>
      </c>
      <c r="F412" s="79">
        <f ca="1">IFERROR(__xludf.DUMMYFUNCTION("""COMPUTED_VALUE"""),43554)</f>
        <v>43554</v>
      </c>
      <c r="G412" s="79">
        <f ca="1">IFERROR(__xludf.DUMMYFUNCTION("""COMPUTED_VALUE"""),43585)</f>
        <v>43585</v>
      </c>
      <c r="H412" s="72">
        <f ca="1">IFERROR(__xludf.DUMMYFUNCTION("""COMPUTED_VALUE"""),43584)</f>
        <v>43584</v>
      </c>
      <c r="I412" s="80">
        <f ca="1">IFERROR(__xludf.DUMMYFUNCTION("""COMPUTED_VALUE"""),96)</f>
        <v>96</v>
      </c>
      <c r="J412" s="9" t="str">
        <f ca="1">IFERROR(__xludf.DUMMYFUNCTION("""COMPUTED_VALUE"""),"Dr. Ravi Kiran Varma")</f>
        <v>Dr. Ravi Kiran Varma</v>
      </c>
      <c r="K412" s="73" t="str">
        <f ca="1">IFERROR(__xludf.DUMMYFUNCTION("""COMPUTED_VALUE"""),"https://drive.google.com/open?id=1MaIstHqnDkNHBOsPBnH7PCPqV-V-vA3u")</f>
        <v>https://drive.google.com/open?id=1MaIstHqnDkNHBOsPBnH7PCPqV-V-vA3u</v>
      </c>
      <c r="L412" s="9" t="str">
        <f ca="1">IFERROR(__xludf.DUMMYFUNCTION("""COMPUTED_VALUE"""),"2018-2022")</f>
        <v>2018-2022</v>
      </c>
      <c r="M412" s="9" t="str">
        <f ca="1">IFERROR(__xludf.DUMMYFUNCTION("""COMPUTED_VALUE"""),"S4: Student Certifications")</f>
        <v>S4: Student Certifications</v>
      </c>
      <c r="N412" s="9" t="str">
        <f ca="1">IFERROR(__xludf.DUMMYFUNCTION("""COMPUTED_VALUE"""),"thriramakrishna95@gmail.com")</f>
        <v>thriramakrishna95@gmail.com</v>
      </c>
      <c r="O412" s="9" t="str">
        <f ca="1">IFERROR(__xludf.DUMMYFUNCTION("""COMPUTED_VALUE"""),"SEM-8")</f>
        <v>SEM-8</v>
      </c>
      <c r="P412" s="9"/>
      <c r="Q412" s="9"/>
      <c r="R412" s="9"/>
      <c r="S412" s="9"/>
      <c r="T412" s="9"/>
      <c r="U412" s="9"/>
      <c r="V412" s="9"/>
      <c r="W412" s="9"/>
      <c r="X412" s="9"/>
      <c r="Y412" s="9"/>
    </row>
    <row r="413" spans="1:25" ht="26.25" customHeight="1" x14ac:dyDescent="0.15">
      <c r="A413" s="9" t="str">
        <f ca="1">IFERROR(__xludf.DUMMYFUNCTION("""COMPUTED_VALUE"""),"Hari Ramakrishna Turpati")</f>
        <v>Hari Ramakrishna Turpati</v>
      </c>
      <c r="B413" s="9" t="str">
        <f ca="1">IFERROR(__xludf.DUMMYFUNCTION("""COMPUTED_VALUE"""),"18331A05F9")</f>
        <v>18331A05F9</v>
      </c>
      <c r="C413" s="78" t="str">
        <f ca="1">IFERROR(__xludf.DUMMYFUNCTION("""COMPUTED_VALUE"""),"Introduction to packet tracer")</f>
        <v>Introduction to packet tracer</v>
      </c>
      <c r="D413" s="9" t="str">
        <f ca="1">IFERROR(__xludf.DUMMYFUNCTION("""COMPUTED_VALUE"""),"Netacad")</f>
        <v>Netacad</v>
      </c>
      <c r="E413" s="9" t="str">
        <f ca="1">IFERROR(__xludf.DUMMYFUNCTION("""COMPUTED_VALUE"""),"1 month")</f>
        <v>1 month</v>
      </c>
      <c r="F413" s="79">
        <f ca="1">IFERROR(__xludf.DUMMYFUNCTION("""COMPUTED_VALUE"""),44312)</f>
        <v>44312</v>
      </c>
      <c r="G413" s="79">
        <f ca="1">IFERROR(__xludf.DUMMYFUNCTION("""COMPUTED_VALUE"""),44312)</f>
        <v>44312</v>
      </c>
      <c r="H413" s="72">
        <f ca="1">IFERROR(__xludf.DUMMYFUNCTION("""COMPUTED_VALUE"""),44311)</f>
        <v>44311</v>
      </c>
      <c r="I413" s="80">
        <f ca="1">IFERROR(__xludf.DUMMYFUNCTION("""COMPUTED_VALUE"""),91)</f>
        <v>91</v>
      </c>
      <c r="J413" s="9" t="str">
        <f ca="1">IFERROR(__xludf.DUMMYFUNCTION("""COMPUTED_VALUE"""),"Dr.Ravi kiran varma")</f>
        <v>Dr.Ravi kiran varma</v>
      </c>
      <c r="K413" s="73" t="str">
        <f ca="1">IFERROR(__xludf.DUMMYFUNCTION("""COMPUTED_VALUE"""),"https://drive.google.com/open?id=1kCej-tFd2U_21HOqTq7dkkunOSUkz9PY")</f>
        <v>https://drive.google.com/open?id=1kCej-tFd2U_21HOqTq7dkkunOSUkz9PY</v>
      </c>
      <c r="L413" s="9" t="str">
        <f ca="1">IFERROR(__xludf.DUMMYFUNCTION("""COMPUTED_VALUE"""),"2018-2022")</f>
        <v>2018-2022</v>
      </c>
      <c r="M413" s="9" t="str">
        <f ca="1">IFERROR(__xludf.DUMMYFUNCTION("""COMPUTED_VALUE"""),"S4: Student Certifications")</f>
        <v>S4: Student Certifications</v>
      </c>
      <c r="N413" s="9" t="str">
        <f ca="1">IFERROR(__xludf.DUMMYFUNCTION("""COMPUTED_VALUE"""),"thriramakrishna95@gmail.com")</f>
        <v>thriramakrishna95@gmail.com</v>
      </c>
      <c r="O413" s="9" t="str">
        <f ca="1">IFERROR(__xludf.DUMMYFUNCTION("""COMPUTED_VALUE"""),"SEM-8")</f>
        <v>SEM-8</v>
      </c>
      <c r="P413" s="9"/>
      <c r="Q413" s="9"/>
      <c r="R413" s="9"/>
      <c r="S413" s="9"/>
      <c r="T413" s="9"/>
      <c r="U413" s="9"/>
      <c r="V413" s="9"/>
      <c r="W413" s="9"/>
      <c r="X413" s="9"/>
      <c r="Y413" s="9"/>
    </row>
    <row r="414" spans="1:25" ht="26.25" customHeight="1" x14ac:dyDescent="0.15">
      <c r="A414" s="9" t="str">
        <f ca="1">IFERROR(__xludf.DUMMYFUNCTION("""COMPUTED_VALUE"""),"Hari Ramakrishna Turpati")</f>
        <v>Hari Ramakrishna Turpati</v>
      </c>
      <c r="B414" s="9" t="str">
        <f ca="1">IFERROR(__xludf.DUMMYFUNCTION("""COMPUTED_VALUE"""),"18331A05F9")</f>
        <v>18331A05F9</v>
      </c>
      <c r="C414" s="78" t="str">
        <f ca="1">IFERROR(__xludf.DUMMYFUNCTION("""COMPUTED_VALUE"""),"Introduction to networks")</f>
        <v>Introduction to networks</v>
      </c>
      <c r="D414" s="9" t="str">
        <f ca="1">IFERROR(__xludf.DUMMYFUNCTION("""COMPUTED_VALUE"""),"Netacad")</f>
        <v>Netacad</v>
      </c>
      <c r="E414" s="9" t="str">
        <f ca="1">IFERROR(__xludf.DUMMYFUNCTION("""COMPUTED_VALUE"""),"1 month")</f>
        <v>1 month</v>
      </c>
      <c r="F414" s="79">
        <f ca="1">IFERROR(__xludf.DUMMYFUNCTION("""COMPUTED_VALUE"""),44348)</f>
        <v>44348</v>
      </c>
      <c r="G414" s="79">
        <f ca="1">IFERROR(__xludf.DUMMYFUNCTION("""COMPUTED_VALUE"""),44378)</f>
        <v>44378</v>
      </c>
      <c r="H414" s="72">
        <f ca="1">IFERROR(__xludf.DUMMYFUNCTION("""COMPUTED_VALUE"""),44377)</f>
        <v>44377</v>
      </c>
      <c r="I414" s="80">
        <f ca="1">IFERROR(__xludf.DUMMYFUNCTION("""COMPUTED_VALUE"""),93)</f>
        <v>93</v>
      </c>
      <c r="J414" s="9" t="str">
        <f ca="1">IFERROR(__xludf.DUMMYFUNCTION("""COMPUTED_VALUE"""),"Dr.Ravi kiran varma")</f>
        <v>Dr.Ravi kiran varma</v>
      </c>
      <c r="K414" s="73" t="str">
        <f ca="1">IFERROR(__xludf.DUMMYFUNCTION("""COMPUTED_VALUE"""),"https://drive.google.com/open?id=12D6tVmvoLlsK_hHZi7DYhiLtuyKu3-k3")</f>
        <v>https://drive.google.com/open?id=12D6tVmvoLlsK_hHZi7DYhiLtuyKu3-k3</v>
      </c>
      <c r="L414" s="9" t="str">
        <f ca="1">IFERROR(__xludf.DUMMYFUNCTION("""COMPUTED_VALUE"""),"2018-2022")</f>
        <v>2018-2022</v>
      </c>
      <c r="M414" s="9" t="str">
        <f ca="1">IFERROR(__xludf.DUMMYFUNCTION("""COMPUTED_VALUE"""),"S4: Student Certifications")</f>
        <v>S4: Student Certifications</v>
      </c>
      <c r="N414" s="9" t="str">
        <f ca="1">IFERROR(__xludf.DUMMYFUNCTION("""COMPUTED_VALUE"""),"thriramakrishna95@gmail.com")</f>
        <v>thriramakrishna95@gmail.com</v>
      </c>
      <c r="O414" s="9" t="str">
        <f ca="1">IFERROR(__xludf.DUMMYFUNCTION("""COMPUTED_VALUE"""),"SEM-8")</f>
        <v>SEM-8</v>
      </c>
      <c r="P414" s="9"/>
      <c r="Q414" s="9"/>
      <c r="R414" s="9"/>
      <c r="S414" s="9"/>
      <c r="T414" s="9"/>
      <c r="U414" s="9"/>
      <c r="V414" s="9"/>
      <c r="W414" s="9"/>
      <c r="X414" s="9"/>
      <c r="Y414" s="9"/>
    </row>
    <row r="415" spans="1:25" ht="26.25" customHeight="1" x14ac:dyDescent="0.15">
      <c r="A415" s="9" t="str">
        <f ca="1">IFERROR(__xludf.DUMMYFUNCTION("""COMPUTED_VALUE"""),"Hari Ramakrishna Turpati")</f>
        <v>Hari Ramakrishna Turpati</v>
      </c>
      <c r="B415" s="9" t="str">
        <f ca="1">IFERROR(__xludf.DUMMYFUNCTION("""COMPUTED_VALUE"""),"18331A05F9")</f>
        <v>18331A05F9</v>
      </c>
      <c r="C415" s="78" t="str">
        <f ca="1">IFERROR(__xludf.DUMMYFUNCTION("""COMPUTED_VALUE"""),"Switching Routing and wireless essentials")</f>
        <v>Switching Routing and wireless essentials</v>
      </c>
      <c r="D415" s="9" t="str">
        <f ca="1">IFERROR(__xludf.DUMMYFUNCTION("""COMPUTED_VALUE"""),"Netacad")</f>
        <v>Netacad</v>
      </c>
      <c r="E415" s="9" t="str">
        <f ca="1">IFERROR(__xludf.DUMMYFUNCTION("""COMPUTED_VALUE"""),"1 month")</f>
        <v>1 month</v>
      </c>
      <c r="F415" s="79">
        <f ca="1">IFERROR(__xludf.DUMMYFUNCTION("""COMPUTED_VALUE"""),44422)</f>
        <v>44422</v>
      </c>
      <c r="G415" s="79">
        <f ca="1">IFERROR(__xludf.DUMMYFUNCTION("""COMPUTED_VALUE"""),44453)</f>
        <v>44453</v>
      </c>
      <c r="H415" s="72">
        <f ca="1">IFERROR(__xludf.DUMMYFUNCTION("""COMPUTED_VALUE"""),44452)</f>
        <v>44452</v>
      </c>
      <c r="I415" s="80">
        <f ca="1">IFERROR(__xludf.DUMMYFUNCTION("""COMPUTED_VALUE"""),94)</f>
        <v>94</v>
      </c>
      <c r="J415" s="9" t="str">
        <f ca="1">IFERROR(__xludf.DUMMYFUNCTION("""COMPUTED_VALUE"""),"Dr.Ravi kiran varma")</f>
        <v>Dr.Ravi kiran varma</v>
      </c>
      <c r="K415" s="73" t="str">
        <f ca="1">IFERROR(__xludf.DUMMYFUNCTION("""COMPUTED_VALUE"""),"https://drive.google.com/open?id=1f4IbL3inliT5llRVq8Zb-tsbD5AxG-bz")</f>
        <v>https://drive.google.com/open?id=1f4IbL3inliT5llRVq8Zb-tsbD5AxG-bz</v>
      </c>
      <c r="L415" s="9" t="str">
        <f ca="1">IFERROR(__xludf.DUMMYFUNCTION("""COMPUTED_VALUE"""),"2018-2022")</f>
        <v>2018-2022</v>
      </c>
      <c r="M415" s="9" t="str">
        <f ca="1">IFERROR(__xludf.DUMMYFUNCTION("""COMPUTED_VALUE"""),"S4: Student Certifications")</f>
        <v>S4: Student Certifications</v>
      </c>
      <c r="N415" s="9" t="str">
        <f ca="1">IFERROR(__xludf.DUMMYFUNCTION("""COMPUTED_VALUE"""),"thriramakrishna95@gmail.com")</f>
        <v>thriramakrishna95@gmail.com</v>
      </c>
      <c r="O415" s="9" t="str">
        <f ca="1">IFERROR(__xludf.DUMMYFUNCTION("""COMPUTED_VALUE"""),"SEM-8")</f>
        <v>SEM-8</v>
      </c>
      <c r="P415" s="9"/>
      <c r="Q415" s="9"/>
      <c r="R415" s="9"/>
      <c r="S415" s="9"/>
      <c r="T415" s="9"/>
      <c r="U415" s="9"/>
      <c r="V415" s="9"/>
      <c r="W415" s="9"/>
      <c r="X415" s="9"/>
      <c r="Y415" s="9"/>
    </row>
    <row r="416" spans="1:25" ht="26.25" customHeight="1" x14ac:dyDescent="0.15">
      <c r="A416" s="9" t="str">
        <f ca="1">IFERROR(__xludf.DUMMYFUNCTION("""COMPUTED_VALUE"""),"Hari Ramakrishna Turpati")</f>
        <v>Hari Ramakrishna Turpati</v>
      </c>
      <c r="B416" s="9" t="str">
        <f ca="1">IFERROR(__xludf.DUMMYFUNCTION("""COMPUTED_VALUE"""),"18331A05F9")</f>
        <v>18331A05F9</v>
      </c>
      <c r="C416" s="78" t="str">
        <f ca="1">IFERROR(__xludf.DUMMYFUNCTION("""COMPUTED_VALUE"""),"Programming essentials in python")</f>
        <v>Programming essentials in python</v>
      </c>
      <c r="D416" s="9" t="str">
        <f ca="1">IFERROR(__xludf.DUMMYFUNCTION("""COMPUTED_VALUE"""),"Netacad")</f>
        <v>Netacad</v>
      </c>
      <c r="E416" s="9" t="str">
        <f ca="1">IFERROR(__xludf.DUMMYFUNCTION("""COMPUTED_VALUE"""),"1 month")</f>
        <v>1 month</v>
      </c>
      <c r="F416" s="79">
        <f ca="1">IFERROR(__xludf.DUMMYFUNCTION("""COMPUTED_VALUE"""),44355)</f>
        <v>44355</v>
      </c>
      <c r="G416" s="79">
        <f ca="1">IFERROR(__xludf.DUMMYFUNCTION("""COMPUTED_VALUE"""),44385)</f>
        <v>44385</v>
      </c>
      <c r="H416" s="72">
        <f ca="1">IFERROR(__xludf.DUMMYFUNCTION("""COMPUTED_VALUE"""),44384)</f>
        <v>44384</v>
      </c>
      <c r="I416" s="80">
        <f ca="1">IFERROR(__xludf.DUMMYFUNCTION("""COMPUTED_VALUE"""),95)</f>
        <v>95</v>
      </c>
      <c r="J416" s="9" t="str">
        <f ca="1">IFERROR(__xludf.DUMMYFUNCTION("""COMPUTED_VALUE"""),"Dr.Ravi kiran varma")</f>
        <v>Dr.Ravi kiran varma</v>
      </c>
      <c r="K416" s="73" t="str">
        <f ca="1">IFERROR(__xludf.DUMMYFUNCTION("""COMPUTED_VALUE"""),"https://drive.google.com/open?id=1sGwuj9VRKy0EKAY8yVgQ1Dcof6o5oKcu")</f>
        <v>https://drive.google.com/open?id=1sGwuj9VRKy0EKAY8yVgQ1Dcof6o5oKcu</v>
      </c>
      <c r="L416" s="9" t="str">
        <f ca="1">IFERROR(__xludf.DUMMYFUNCTION("""COMPUTED_VALUE"""),"2018-2022")</f>
        <v>2018-2022</v>
      </c>
      <c r="M416" s="9" t="str">
        <f ca="1">IFERROR(__xludf.DUMMYFUNCTION("""COMPUTED_VALUE"""),"S4: Student Certifications")</f>
        <v>S4: Student Certifications</v>
      </c>
      <c r="N416" s="9" t="str">
        <f ca="1">IFERROR(__xludf.DUMMYFUNCTION("""COMPUTED_VALUE"""),"thriramakrishna95@gmail.com")</f>
        <v>thriramakrishna95@gmail.com</v>
      </c>
      <c r="O416" s="9" t="str">
        <f ca="1">IFERROR(__xludf.DUMMYFUNCTION("""COMPUTED_VALUE"""),"SEM-8")</f>
        <v>SEM-8</v>
      </c>
      <c r="P416" s="9"/>
      <c r="Q416" s="9"/>
      <c r="R416" s="9"/>
      <c r="S416" s="9"/>
      <c r="T416" s="9"/>
      <c r="U416" s="9"/>
      <c r="V416" s="9"/>
      <c r="W416" s="9"/>
      <c r="X416" s="9"/>
      <c r="Y416" s="9"/>
    </row>
    <row r="417" spans="1:25" ht="26.25" customHeight="1" x14ac:dyDescent="0.15">
      <c r="A417" s="9" t="str">
        <f ca="1">IFERROR(__xludf.DUMMYFUNCTION("""COMPUTED_VALUE"""),"Hari Ramakrishna Turpati")</f>
        <v>Hari Ramakrishna Turpati</v>
      </c>
      <c r="B417" s="9" t="str">
        <f ca="1">IFERROR(__xludf.DUMMYFUNCTION("""COMPUTED_VALUE"""),"18331A05F9")</f>
        <v>18331A05F9</v>
      </c>
      <c r="C417" s="78" t="str">
        <f ca="1">IFERROR(__xludf.DUMMYFUNCTION("""COMPUTED_VALUE"""),"Cybersecurity essentials")</f>
        <v>Cybersecurity essentials</v>
      </c>
      <c r="D417" s="9" t="str">
        <f ca="1">IFERROR(__xludf.DUMMYFUNCTION("""COMPUTED_VALUE"""),"Netacad")</f>
        <v>Netacad</v>
      </c>
      <c r="E417" s="9" t="str">
        <f ca="1">IFERROR(__xludf.DUMMYFUNCTION("""COMPUTED_VALUE"""),"1 month")</f>
        <v>1 month</v>
      </c>
      <c r="F417" s="79">
        <f ca="1">IFERROR(__xludf.DUMMYFUNCTION("""COMPUTED_VALUE"""),43646)</f>
        <v>43646</v>
      </c>
      <c r="G417" s="79">
        <f ca="1">IFERROR(__xludf.DUMMYFUNCTION("""COMPUTED_VALUE"""),44407)</f>
        <v>44407</v>
      </c>
      <c r="H417" s="72">
        <f ca="1">IFERROR(__xludf.DUMMYFUNCTION("""COMPUTED_VALUE"""),44406)</f>
        <v>44406</v>
      </c>
      <c r="I417" s="80">
        <f ca="1">IFERROR(__xludf.DUMMYFUNCTION("""COMPUTED_VALUE"""),95)</f>
        <v>95</v>
      </c>
      <c r="J417" s="9" t="str">
        <f ca="1">IFERROR(__xludf.DUMMYFUNCTION("""COMPUTED_VALUE"""),"Dr. Ravi kiran varma")</f>
        <v>Dr. Ravi kiran varma</v>
      </c>
      <c r="K417" s="73" t="str">
        <f ca="1">IFERROR(__xludf.DUMMYFUNCTION("""COMPUTED_VALUE"""),"https://drive.google.com/open?id=1j1-oZeZS2g_ZOxn2CBPUDerYewVdGTrB")</f>
        <v>https://drive.google.com/open?id=1j1-oZeZS2g_ZOxn2CBPUDerYewVdGTrB</v>
      </c>
      <c r="L417" s="9" t="str">
        <f ca="1">IFERROR(__xludf.DUMMYFUNCTION("""COMPUTED_VALUE"""),"2018-2022")</f>
        <v>2018-2022</v>
      </c>
      <c r="M417" s="9" t="str">
        <f ca="1">IFERROR(__xludf.DUMMYFUNCTION("""COMPUTED_VALUE"""),"S4: Student Certifications")</f>
        <v>S4: Student Certifications</v>
      </c>
      <c r="N417" s="9" t="str">
        <f ca="1">IFERROR(__xludf.DUMMYFUNCTION("""COMPUTED_VALUE"""),"thriramakrishna95@gmail.com")</f>
        <v>thriramakrishna95@gmail.com</v>
      </c>
      <c r="O417" s="9" t="str">
        <f ca="1">IFERROR(__xludf.DUMMYFUNCTION("""COMPUTED_VALUE"""),"SEM-8")</f>
        <v>SEM-8</v>
      </c>
      <c r="P417" s="9"/>
      <c r="Q417" s="9"/>
      <c r="R417" s="9"/>
      <c r="S417" s="9"/>
      <c r="T417" s="9"/>
      <c r="U417" s="9"/>
      <c r="V417" s="9"/>
      <c r="W417" s="9"/>
      <c r="X417" s="9"/>
      <c r="Y417" s="9"/>
    </row>
    <row r="418" spans="1:25" ht="26.25" customHeight="1" x14ac:dyDescent="0.15">
      <c r="A418" s="9" t="str">
        <f ca="1">IFERROR(__xludf.DUMMYFUNCTION("""COMPUTED_VALUE"""),"Hari Ramakrishna Turpati")</f>
        <v>Hari Ramakrishna Turpati</v>
      </c>
      <c r="B418" s="9" t="str">
        <f ca="1">IFERROR(__xludf.DUMMYFUNCTION("""COMPUTED_VALUE"""),"18331A05F9")</f>
        <v>18331A05F9</v>
      </c>
      <c r="C418" s="78" t="str">
        <f ca="1">IFERROR(__xludf.DUMMYFUNCTION("""COMPUTED_VALUE"""),"Introduction to cyber security")</f>
        <v>Introduction to cyber security</v>
      </c>
      <c r="D418" s="9" t="str">
        <f ca="1">IFERROR(__xludf.DUMMYFUNCTION("""COMPUTED_VALUE"""),"Netacad")</f>
        <v>Netacad</v>
      </c>
      <c r="E418" s="9" t="str">
        <f ca="1">IFERROR(__xludf.DUMMYFUNCTION("""COMPUTED_VALUE"""),"1 month")</f>
        <v>1 month</v>
      </c>
      <c r="F418" s="79">
        <f ca="1">IFERROR(__xludf.DUMMYFUNCTION("""COMPUTED_VALUE"""),44316)</f>
        <v>44316</v>
      </c>
      <c r="G418" s="79">
        <f ca="1">IFERROR(__xludf.DUMMYFUNCTION("""COMPUTED_VALUE"""),44346)</f>
        <v>44346</v>
      </c>
      <c r="H418" s="72">
        <f ca="1">IFERROR(__xludf.DUMMYFUNCTION("""COMPUTED_VALUE"""),44345)</f>
        <v>44345</v>
      </c>
      <c r="I418" s="80">
        <f ca="1">IFERROR(__xludf.DUMMYFUNCTION("""COMPUTED_VALUE"""),93)</f>
        <v>93</v>
      </c>
      <c r="J418" s="9" t="str">
        <f ca="1">IFERROR(__xludf.DUMMYFUNCTION("""COMPUTED_VALUE"""),"Dr. Ravi kiran varma")</f>
        <v>Dr. Ravi kiran varma</v>
      </c>
      <c r="K418" s="73" t="str">
        <f ca="1">IFERROR(__xludf.DUMMYFUNCTION("""COMPUTED_VALUE"""),"https://drive.google.com/open?id=17YaiJ7jsRQYYiWUOAI1WTjDUII1YWA80")</f>
        <v>https://drive.google.com/open?id=17YaiJ7jsRQYYiWUOAI1WTjDUII1YWA80</v>
      </c>
      <c r="L418" s="9" t="str">
        <f ca="1">IFERROR(__xludf.DUMMYFUNCTION("""COMPUTED_VALUE"""),"2018-2022")</f>
        <v>2018-2022</v>
      </c>
      <c r="M418" s="9" t="str">
        <f ca="1">IFERROR(__xludf.DUMMYFUNCTION("""COMPUTED_VALUE"""),"S4: Student Certifications")</f>
        <v>S4: Student Certifications</v>
      </c>
      <c r="N418" s="9" t="str">
        <f ca="1">IFERROR(__xludf.DUMMYFUNCTION("""COMPUTED_VALUE"""),"thriramakrishna95@gmail.com")</f>
        <v>thriramakrishna95@gmail.com</v>
      </c>
      <c r="O418" s="9" t="str">
        <f ca="1">IFERROR(__xludf.DUMMYFUNCTION("""COMPUTED_VALUE"""),"SEM-8")</f>
        <v>SEM-8</v>
      </c>
      <c r="P418" s="9"/>
      <c r="Q418" s="9"/>
      <c r="R418" s="9"/>
      <c r="S418" s="9"/>
      <c r="T418" s="9"/>
      <c r="U418" s="9"/>
      <c r="V418" s="9"/>
      <c r="W418" s="9"/>
      <c r="X418" s="9"/>
      <c r="Y418" s="9"/>
    </row>
    <row r="419" spans="1:25" ht="26.25" customHeight="1" x14ac:dyDescent="0.15">
      <c r="A419" s="9" t="str">
        <f ca="1">IFERROR(__xludf.DUMMYFUNCTION("""COMPUTED_VALUE"""),"Hari Ramakrishna Turpati")</f>
        <v>Hari Ramakrishna Turpati</v>
      </c>
      <c r="B419" s="9" t="str">
        <f ca="1">IFERROR(__xludf.DUMMYFUNCTION("""COMPUTED_VALUE"""),"18331A05F9")</f>
        <v>18331A05F9</v>
      </c>
      <c r="C419" s="78" t="str">
        <f ca="1">IFERROR(__xludf.DUMMYFUNCTION("""COMPUTED_VALUE"""),"Cybersecurity foundation")</f>
        <v>Cybersecurity foundation</v>
      </c>
      <c r="D419" s="9" t="str">
        <f ca="1">IFERROR(__xludf.DUMMYFUNCTION("""COMPUTED_VALUE"""),"Palo alto networks")</f>
        <v>Palo alto networks</v>
      </c>
      <c r="E419" s="9" t="str">
        <f ca="1">IFERROR(__xludf.DUMMYFUNCTION("""COMPUTED_VALUE"""),"1 month")</f>
        <v>1 month</v>
      </c>
      <c r="F419" s="79">
        <f ca="1">IFERROR(__xludf.DUMMYFUNCTION("""COMPUTED_VALUE"""),44371)</f>
        <v>44371</v>
      </c>
      <c r="G419" s="79">
        <f ca="1">IFERROR(__xludf.DUMMYFUNCTION("""COMPUTED_VALUE"""),44401)</f>
        <v>44401</v>
      </c>
      <c r="H419" s="72">
        <f ca="1">IFERROR(__xludf.DUMMYFUNCTION("""COMPUTED_VALUE"""),44400)</f>
        <v>44400</v>
      </c>
      <c r="I419" s="80">
        <f ca="1">IFERROR(__xludf.DUMMYFUNCTION("""COMPUTED_VALUE"""),92)</f>
        <v>92</v>
      </c>
      <c r="J419" s="9" t="str">
        <f ca="1">IFERROR(__xludf.DUMMYFUNCTION("""COMPUTED_VALUE"""),"Dr. Ravi kiran varma")</f>
        <v>Dr. Ravi kiran varma</v>
      </c>
      <c r="K419" s="73" t="str">
        <f ca="1">IFERROR(__xludf.DUMMYFUNCTION("""COMPUTED_VALUE"""),"https://drive.google.com/open?id=1TUx6HI9v0Krubux7DA1wOgRCNkWizT7H")</f>
        <v>https://drive.google.com/open?id=1TUx6HI9v0Krubux7DA1wOgRCNkWizT7H</v>
      </c>
      <c r="L419" s="9" t="str">
        <f ca="1">IFERROR(__xludf.DUMMYFUNCTION("""COMPUTED_VALUE"""),"2018-2022")</f>
        <v>2018-2022</v>
      </c>
      <c r="M419" s="9" t="str">
        <f ca="1">IFERROR(__xludf.DUMMYFUNCTION("""COMPUTED_VALUE"""),"S4: Student Certifications")</f>
        <v>S4: Student Certifications</v>
      </c>
      <c r="N419" s="9" t="str">
        <f ca="1">IFERROR(__xludf.DUMMYFUNCTION("""COMPUTED_VALUE"""),"thriramakrishna95@gmail.com")</f>
        <v>thriramakrishna95@gmail.com</v>
      </c>
      <c r="O419" s="9" t="str">
        <f ca="1">IFERROR(__xludf.DUMMYFUNCTION("""COMPUTED_VALUE"""),"SEM-8")</f>
        <v>SEM-8</v>
      </c>
      <c r="P419" s="9"/>
      <c r="Q419" s="9"/>
      <c r="R419" s="9"/>
      <c r="S419" s="9"/>
      <c r="T419" s="9"/>
      <c r="U419" s="9"/>
      <c r="V419" s="9"/>
      <c r="W419" s="9"/>
      <c r="X419" s="9"/>
      <c r="Y419" s="9"/>
    </row>
    <row r="420" spans="1:25" ht="26.25" customHeight="1" x14ac:dyDescent="0.15">
      <c r="A420" s="9" t="str">
        <f ca="1">IFERROR(__xludf.DUMMYFUNCTION("""COMPUTED_VALUE"""),"Hari Ramakrishna Turpati")</f>
        <v>Hari Ramakrishna Turpati</v>
      </c>
      <c r="B420" s="9" t="str">
        <f ca="1">IFERROR(__xludf.DUMMYFUNCTION("""COMPUTED_VALUE"""),"18331A05F9")</f>
        <v>18331A05F9</v>
      </c>
      <c r="C420" s="78" t="str">
        <f ca="1">IFERROR(__xludf.DUMMYFUNCTION("""COMPUTED_VALUE"""),"AWS certified Solutions architect- associate")</f>
        <v>AWS certified Solutions architect- associate</v>
      </c>
      <c r="D420" s="9" t="str">
        <f ca="1">IFERROR(__xludf.DUMMYFUNCTION("""COMPUTED_VALUE"""),"Amazon Web Services")</f>
        <v>Amazon Web Services</v>
      </c>
      <c r="E420" s="9" t="str">
        <f ca="1">IFERROR(__xludf.DUMMYFUNCTION("""COMPUTED_VALUE"""),"1 month")</f>
        <v>1 month</v>
      </c>
      <c r="F420" s="79">
        <f ca="1">IFERROR(__xludf.DUMMYFUNCTION("""COMPUTED_VALUE"""),44095)</f>
        <v>44095</v>
      </c>
      <c r="G420" s="79">
        <f ca="1">IFERROR(__xludf.DUMMYFUNCTION("""COMPUTED_VALUE"""),44125)</f>
        <v>44125</v>
      </c>
      <c r="H420" s="72">
        <f ca="1">IFERROR(__xludf.DUMMYFUNCTION("""COMPUTED_VALUE"""),44123)</f>
        <v>44123</v>
      </c>
      <c r="I420" s="80">
        <f ca="1">IFERROR(__xludf.DUMMYFUNCTION("""COMPUTED_VALUE"""),85)</f>
        <v>85</v>
      </c>
      <c r="J420" s="9" t="str">
        <f ca="1">IFERROR(__xludf.DUMMYFUNCTION("""COMPUTED_VALUE"""),"Amazon Organisation exam")</f>
        <v>Amazon Organisation exam</v>
      </c>
      <c r="K420" s="73" t="str">
        <f ca="1">IFERROR(__xludf.DUMMYFUNCTION("""COMPUTED_VALUE"""),"https://drive.google.com/open?id=1Oon8p6ylgk_W4ZWn769axktQh7m85hqJ")</f>
        <v>https://drive.google.com/open?id=1Oon8p6ylgk_W4ZWn769axktQh7m85hqJ</v>
      </c>
      <c r="L420" s="9" t="str">
        <f ca="1">IFERROR(__xludf.DUMMYFUNCTION("""COMPUTED_VALUE"""),"2018-2022")</f>
        <v>2018-2022</v>
      </c>
      <c r="M420" s="9" t="str">
        <f ca="1">IFERROR(__xludf.DUMMYFUNCTION("""COMPUTED_VALUE"""),"S4: Student Certifications")</f>
        <v>S4: Student Certifications</v>
      </c>
      <c r="N420" s="9" t="str">
        <f ca="1">IFERROR(__xludf.DUMMYFUNCTION("""COMPUTED_VALUE"""),"thriramakrishna95@gmail.com")</f>
        <v>thriramakrishna95@gmail.com</v>
      </c>
      <c r="O420" s="9" t="str">
        <f ca="1">IFERROR(__xludf.DUMMYFUNCTION("""COMPUTED_VALUE"""),"SEM-8")</f>
        <v>SEM-8</v>
      </c>
      <c r="P420" s="9"/>
      <c r="Q420" s="9"/>
      <c r="R420" s="9"/>
      <c r="S420" s="9"/>
      <c r="T420" s="9"/>
      <c r="U420" s="9"/>
      <c r="V420" s="9"/>
      <c r="W420" s="9"/>
      <c r="X420" s="9"/>
      <c r="Y420" s="9"/>
    </row>
    <row r="421" spans="1:25" ht="26.25" customHeight="1" x14ac:dyDescent="0.15">
      <c r="A421" s="9" t="str">
        <f ca="1">IFERROR(__xludf.DUMMYFUNCTION("""COMPUTED_VALUE"""),"Sravani Sreepada")</f>
        <v>Sravani Sreepada</v>
      </c>
      <c r="B421" s="9" t="str">
        <f ca="1">IFERROR(__xludf.DUMMYFUNCTION("""COMPUTED_VALUE"""),"19331A05G1")</f>
        <v>19331A05G1</v>
      </c>
      <c r="C421" s="78" t="str">
        <f ca="1">IFERROR(__xludf.DUMMYFUNCTION("""COMPUTED_VALUE"""),"Programming for Everybody (Getting Started with Python)")</f>
        <v>Programming for Everybody (Getting Started with Python)</v>
      </c>
      <c r="D421" s="9" t="str">
        <f ca="1">IFERROR(__xludf.DUMMYFUNCTION("""COMPUTED_VALUE"""),"University of Michigan")</f>
        <v>University of Michigan</v>
      </c>
      <c r="E421" s="9" t="str">
        <f ca="1">IFERROR(__xludf.DUMMYFUNCTION("""COMPUTED_VALUE"""),"7 weeks")</f>
        <v>7 weeks</v>
      </c>
      <c r="F421" s="79">
        <f ca="1">IFERROR(__xludf.DUMMYFUNCTION("""COMPUTED_VALUE"""),43895)</f>
        <v>43895</v>
      </c>
      <c r="G421" s="79">
        <f ca="1">IFERROR(__xludf.DUMMYFUNCTION("""COMPUTED_VALUE"""),44676)</f>
        <v>44676</v>
      </c>
      <c r="H421" s="72">
        <f ca="1">IFERROR(__xludf.DUMMYFUNCTION("""COMPUTED_VALUE"""),44676)</f>
        <v>44676</v>
      </c>
      <c r="I421" s="80">
        <f ca="1">IFERROR(__xludf.DUMMYFUNCTION("""COMPUTED_VALUE"""),0.9908)</f>
        <v>0.99080000000000001</v>
      </c>
      <c r="J421" s="9" t="str">
        <f ca="1">IFERROR(__xludf.DUMMYFUNCTION("""COMPUTED_VALUE""")," Charles Russell Severance")</f>
        <v xml:space="preserve"> Charles Russell Severance</v>
      </c>
      <c r="K421" s="73" t="str">
        <f ca="1">IFERROR(__xludf.DUMMYFUNCTION("""COMPUTED_VALUE"""),"https://drive.google.com/open?id=1a5C1fy7ElXVeE8z6o5zy1tZ2Ook-dC0p")</f>
        <v>https://drive.google.com/open?id=1a5C1fy7ElXVeE8z6o5zy1tZ2Ook-dC0p</v>
      </c>
      <c r="L421" s="9" t="str">
        <f ca="1">IFERROR(__xludf.DUMMYFUNCTION("""COMPUTED_VALUE"""),"2019-2023")</f>
        <v>2019-2023</v>
      </c>
      <c r="M421" s="9" t="str">
        <f ca="1">IFERROR(__xludf.DUMMYFUNCTION("""COMPUTED_VALUE"""),"S4: Student Certifications")</f>
        <v>S4: Student Certifications</v>
      </c>
      <c r="N421" s="9" t="str">
        <f ca="1">IFERROR(__xludf.DUMMYFUNCTION("""COMPUTED_VALUE"""),"sreepadasravani@gmail.com")</f>
        <v>sreepadasravani@gmail.com</v>
      </c>
      <c r="O421" s="9" t="str">
        <f ca="1">IFERROR(__xludf.DUMMYFUNCTION("""COMPUTED_VALUE"""),"SEM-6")</f>
        <v>SEM-6</v>
      </c>
      <c r="P421" s="9"/>
      <c r="Q421" s="9"/>
      <c r="R421" s="9"/>
      <c r="S421" s="9"/>
      <c r="T421" s="9"/>
      <c r="U421" s="9"/>
      <c r="V421" s="9"/>
      <c r="W421" s="9"/>
      <c r="X421" s="9"/>
      <c r="Y421" s="9"/>
    </row>
    <row r="422" spans="1:25" ht="26.25" customHeight="1" x14ac:dyDescent="0.15">
      <c r="A422" s="9" t="str">
        <f ca="1">IFERROR(__xludf.DUMMYFUNCTION("""COMPUTED_VALUE"""),"yarusha lavanya")</f>
        <v>yarusha lavanya</v>
      </c>
      <c r="B422" s="9" t="str">
        <f ca="1">IFERROR(__xludf.DUMMYFUNCTION("""COMPUTED_VALUE"""),"18331A05E4")</f>
        <v>18331A05E4</v>
      </c>
      <c r="C422" s="78" t="str">
        <f ca="1">IFERROR(__xludf.DUMMYFUNCTION("""COMPUTED_VALUE"""),"deep learning")</f>
        <v>deep learning</v>
      </c>
      <c r="D422" s="9" t="str">
        <f ca="1">IFERROR(__xludf.DUMMYFUNCTION("""COMPUTED_VALUE"""),"coursera")</f>
        <v>coursera</v>
      </c>
      <c r="E422" s="9" t="str">
        <f ca="1">IFERROR(__xludf.DUMMYFUNCTION("""COMPUTED_VALUE"""),"2 months")</f>
        <v>2 months</v>
      </c>
      <c r="F422" s="79">
        <f ca="1">IFERROR(__xludf.DUMMYFUNCTION("""COMPUTED_VALUE"""),43553)</f>
        <v>43553</v>
      </c>
      <c r="G422" s="79">
        <f ca="1">IFERROR(__xludf.DUMMYFUNCTION("""COMPUTED_VALUE"""),43610)</f>
        <v>43610</v>
      </c>
      <c r="H422" s="72">
        <f ca="1">IFERROR(__xludf.DUMMYFUNCTION("""COMPUTED_VALUE"""),43614)</f>
        <v>43614</v>
      </c>
      <c r="I422" s="80">
        <f ca="1">IFERROR(__xludf.DUMMYFUNCTION("""COMPUTED_VALUE"""),100)</f>
        <v>100</v>
      </c>
      <c r="J422" s="9" t="str">
        <f ca="1">IFERROR(__xludf.DUMMYFUNCTION("""COMPUTED_VALUE"""),"online")</f>
        <v>online</v>
      </c>
      <c r="K422" s="73" t="str">
        <f ca="1">IFERROR(__xludf.DUMMYFUNCTION("""COMPUTED_VALUE"""),"https://drive.google.com/open?id=1ZZA504_CZJJomGE-VQrhHmlKo50Jlrb8")</f>
        <v>https://drive.google.com/open?id=1ZZA504_CZJJomGE-VQrhHmlKo50Jlrb8</v>
      </c>
      <c r="L422" s="9" t="str">
        <f ca="1">IFERROR(__xludf.DUMMYFUNCTION("""COMPUTED_VALUE"""),"2018-2022")</f>
        <v>2018-2022</v>
      </c>
      <c r="M422" s="9" t="str">
        <f ca="1">IFERROR(__xludf.DUMMYFUNCTION("""COMPUTED_VALUE"""),"S4: Student Certifications")</f>
        <v>S4: Student Certifications</v>
      </c>
      <c r="N422" s="9" t="str">
        <f ca="1">IFERROR(__xludf.DUMMYFUNCTION("""COMPUTED_VALUE"""),"lavanyayarusha25@gmail.com")</f>
        <v>lavanyayarusha25@gmail.com</v>
      </c>
      <c r="O422" s="9" t="str">
        <f ca="1">IFERROR(__xludf.DUMMYFUNCTION("""COMPUTED_VALUE"""),"SEM-8")</f>
        <v>SEM-8</v>
      </c>
      <c r="P422" s="9"/>
      <c r="Q422" s="9"/>
      <c r="R422" s="9"/>
      <c r="S422" s="9"/>
      <c r="T422" s="9"/>
      <c r="U422" s="9"/>
      <c r="V422" s="9"/>
      <c r="W422" s="9"/>
      <c r="X422" s="9"/>
      <c r="Y422" s="9"/>
    </row>
    <row r="423" spans="1:25" ht="26.25" customHeight="1" x14ac:dyDescent="0.15">
      <c r="A423" s="9" t="str">
        <f ca="1">IFERROR(__xludf.DUMMYFUNCTION("""COMPUTED_VALUE"""),"Sai Yogesh Bhasuru")</f>
        <v>Sai Yogesh Bhasuru</v>
      </c>
      <c r="B423" s="9" t="str">
        <f ca="1">IFERROR(__xludf.DUMMYFUNCTION("""COMPUTED_VALUE"""),"18331A05D4")</f>
        <v>18331A05D4</v>
      </c>
      <c r="C423" s="78" t="str">
        <f ca="1">IFERROR(__xludf.DUMMYFUNCTION("""COMPUTED_VALUE"""),"CYBER SECURITY")</f>
        <v>CYBER SECURITY</v>
      </c>
      <c r="D423" s="9" t="str">
        <f ca="1">IFERROR(__xludf.DUMMYFUNCTION("""COMPUTED_VALUE"""),"PALO ALTO NETWORKS CYBERSECURITY ACADEMY")</f>
        <v>PALO ALTO NETWORKS CYBERSECURITY ACADEMY</v>
      </c>
      <c r="E423" s="9" t="str">
        <f ca="1">IFERROR(__xludf.DUMMYFUNCTION("""COMPUTED_VALUE"""),"30 days")</f>
        <v>30 days</v>
      </c>
      <c r="F423" s="79">
        <f ca="1">IFERROR(__xludf.DUMMYFUNCTION("""COMPUTED_VALUE"""),44373)</f>
        <v>44373</v>
      </c>
      <c r="G423" s="79">
        <f ca="1">IFERROR(__xludf.DUMMYFUNCTION("""COMPUTED_VALUE"""),44403)</f>
        <v>44403</v>
      </c>
      <c r="H423" s="72">
        <f ca="1">IFERROR(__xludf.DUMMYFUNCTION("""COMPUTED_VALUE"""),44403)</f>
        <v>44403</v>
      </c>
      <c r="I423" s="80">
        <f ca="1">IFERROR(__xludf.DUMMYFUNCTION("""COMPUTED_VALUE"""),0.95)</f>
        <v>0.95</v>
      </c>
      <c r="J423" s="9" t="str">
        <f ca="1">IFERROR(__xludf.DUMMYFUNCTION("""COMPUTED_VALUE"""),"Dr. P. Ravi Kiran Varma")</f>
        <v>Dr. P. Ravi Kiran Varma</v>
      </c>
      <c r="K423" s="73" t="str">
        <f ca="1">IFERROR(__xludf.DUMMYFUNCTION("""COMPUTED_VALUE"""),"https://drive.google.com/open?id=1ySydhHPSGF509jC_hYDhMEh1dGCh1YnY")</f>
        <v>https://drive.google.com/open?id=1ySydhHPSGF509jC_hYDhMEh1dGCh1YnY</v>
      </c>
      <c r="L423" s="9" t="str">
        <f ca="1">IFERROR(__xludf.DUMMYFUNCTION("""COMPUTED_VALUE"""),"2018-2022")</f>
        <v>2018-2022</v>
      </c>
      <c r="M423" s="9" t="str">
        <f ca="1">IFERROR(__xludf.DUMMYFUNCTION("""COMPUTED_VALUE"""),"S4: Student Certifications")</f>
        <v>S4: Student Certifications</v>
      </c>
      <c r="N423" s="9" t="str">
        <f ca="1">IFERROR(__xludf.DUMMYFUNCTION("""COMPUTED_VALUE"""),"saiyogeshbhasuru16@gmail.com")</f>
        <v>saiyogeshbhasuru16@gmail.com</v>
      </c>
      <c r="O423" s="9" t="str">
        <f ca="1">IFERROR(__xludf.DUMMYFUNCTION("""COMPUTED_VALUE"""),"SEM-8")</f>
        <v>SEM-8</v>
      </c>
      <c r="P423" s="9"/>
      <c r="Q423" s="9"/>
      <c r="R423" s="9"/>
      <c r="S423" s="9"/>
      <c r="T423" s="9"/>
      <c r="U423" s="9"/>
      <c r="V423" s="9"/>
      <c r="W423" s="9"/>
      <c r="X423" s="9"/>
      <c r="Y423" s="9"/>
    </row>
    <row r="424" spans="1:25" ht="26.25" customHeight="1" x14ac:dyDescent="0.15">
      <c r="A424" s="9" t="str">
        <f ca="1">IFERROR(__xludf.DUMMYFUNCTION("""COMPUTED_VALUE"""),"yarusha lavanya")</f>
        <v>yarusha lavanya</v>
      </c>
      <c r="B424" s="9" t="str">
        <f ca="1">IFERROR(__xludf.DUMMYFUNCTION("""COMPUTED_VALUE"""),"18331A05E4")</f>
        <v>18331A05E4</v>
      </c>
      <c r="C424" s="78" t="str">
        <f ca="1">IFERROR(__xludf.DUMMYFUNCTION("""COMPUTED_VALUE"""),"cyberattacks")</f>
        <v>cyberattacks</v>
      </c>
      <c r="D424" s="9" t="str">
        <f ca="1">IFERROR(__xludf.DUMMYFUNCTION("""COMPUTED_VALUE"""),"coursera")</f>
        <v>coursera</v>
      </c>
      <c r="E424" s="9" t="str">
        <f ca="1">IFERROR(__xludf.DUMMYFUNCTION("""COMPUTED_VALUE"""),"2 months")</f>
        <v>2 months</v>
      </c>
      <c r="F424" s="79">
        <f ca="1">IFERROR(__xludf.DUMMYFUNCTION("""COMPUTED_VALUE"""),43915)</f>
        <v>43915</v>
      </c>
      <c r="G424" s="79">
        <f ca="1">IFERROR(__xludf.DUMMYFUNCTION("""COMPUTED_VALUE"""),43976)</f>
        <v>43976</v>
      </c>
      <c r="H424" s="72">
        <f ca="1">IFERROR(__xludf.DUMMYFUNCTION("""COMPUTED_VALUE"""),43980)</f>
        <v>43980</v>
      </c>
      <c r="I424" s="80">
        <f ca="1">IFERROR(__xludf.DUMMYFUNCTION("""COMPUTED_VALUE"""),100)</f>
        <v>100</v>
      </c>
      <c r="J424" s="9" t="str">
        <f ca="1">IFERROR(__xludf.DUMMYFUNCTION("""COMPUTED_VALUE"""),"online")</f>
        <v>online</v>
      </c>
      <c r="K424" s="73" t="str">
        <f ca="1">IFERROR(__xludf.DUMMYFUNCTION("""COMPUTED_VALUE"""),"https://drive.google.com/open?id=1m4BTv5Etd4b2TIO038QhUJcszrtjqWra")</f>
        <v>https://drive.google.com/open?id=1m4BTv5Etd4b2TIO038QhUJcszrtjqWra</v>
      </c>
      <c r="L424" s="9" t="str">
        <f ca="1">IFERROR(__xludf.DUMMYFUNCTION("""COMPUTED_VALUE"""),"2018-2022")</f>
        <v>2018-2022</v>
      </c>
      <c r="M424" s="9" t="str">
        <f ca="1">IFERROR(__xludf.DUMMYFUNCTION("""COMPUTED_VALUE"""),"S4: Student Certifications")</f>
        <v>S4: Student Certifications</v>
      </c>
      <c r="N424" s="9" t="str">
        <f ca="1">IFERROR(__xludf.DUMMYFUNCTION("""COMPUTED_VALUE"""),"lavanyayarusha25@gmail.com")</f>
        <v>lavanyayarusha25@gmail.com</v>
      </c>
      <c r="O424" s="9" t="str">
        <f ca="1">IFERROR(__xludf.DUMMYFUNCTION("""COMPUTED_VALUE"""),"SEM-4")</f>
        <v>SEM-4</v>
      </c>
      <c r="P424" s="9"/>
      <c r="Q424" s="9"/>
      <c r="R424" s="9"/>
      <c r="S424" s="9"/>
      <c r="T424" s="9"/>
      <c r="U424" s="9"/>
      <c r="V424" s="9"/>
      <c r="W424" s="9"/>
      <c r="X424" s="9"/>
      <c r="Y424" s="9"/>
    </row>
    <row r="425" spans="1:25" ht="26.25" customHeight="1" x14ac:dyDescent="0.15">
      <c r="A425" s="9" t="str">
        <f ca="1">IFERROR(__xludf.DUMMYFUNCTION("""COMPUTED_VALUE"""),"Mandadi Bharathi naga sri sai prathyusha ")</f>
        <v xml:space="preserve">Mandadi Bharathi naga sri sai prathyusha </v>
      </c>
      <c r="B425" s="9" t="str">
        <f ca="1">IFERROR(__xludf.DUMMYFUNCTION("""COMPUTED_VALUE"""),"18331A0593")</f>
        <v>18331A0593</v>
      </c>
      <c r="C425" s="78" t="str">
        <f ca="1">IFERROR(__xludf.DUMMYFUNCTION("""COMPUTED_VALUE"""),"Html course")</f>
        <v>Html course</v>
      </c>
      <c r="D425" s="9" t="str">
        <f ca="1">IFERROR(__xludf.DUMMYFUNCTION("""COMPUTED_VALUE"""),"Sololearn")</f>
        <v>Sololearn</v>
      </c>
      <c r="E425" s="9" t="str">
        <f ca="1">IFERROR(__xludf.DUMMYFUNCTION("""COMPUTED_VALUE"""),"1")</f>
        <v>1</v>
      </c>
      <c r="F425" s="79">
        <f ca="1">IFERROR(__xludf.DUMMYFUNCTION("""COMPUTED_VALUE"""),43345)</f>
        <v>43345</v>
      </c>
      <c r="G425" s="79">
        <f ca="1">IFERROR(__xludf.DUMMYFUNCTION("""COMPUTED_VALUE"""),43372)</f>
        <v>43372</v>
      </c>
      <c r="H425" s="72">
        <f ca="1">IFERROR(__xludf.DUMMYFUNCTION("""COMPUTED_VALUE"""),43373)</f>
        <v>43373</v>
      </c>
      <c r="I425" s="80">
        <f ca="1">IFERROR(__xludf.DUMMYFUNCTION("""COMPUTED_VALUE"""),0)</f>
        <v>0</v>
      </c>
      <c r="J425" s="9" t="str">
        <f ca="1">IFERROR(__xludf.DUMMYFUNCTION("""COMPUTED_VALUE"""),".")</f>
        <v>.</v>
      </c>
      <c r="K425" s="73" t="str">
        <f ca="1">IFERROR(__xludf.DUMMYFUNCTION("""COMPUTED_VALUE"""),"https://drive.google.com/open?id=19GI5qFSQHScSiFk4Ywd1RnR0wG0_hQVG")</f>
        <v>https://drive.google.com/open?id=19GI5qFSQHScSiFk4Ywd1RnR0wG0_hQVG</v>
      </c>
      <c r="L425" s="9" t="str">
        <f ca="1">IFERROR(__xludf.DUMMYFUNCTION("""COMPUTED_VALUE"""),"2018-2022")</f>
        <v>2018-2022</v>
      </c>
      <c r="M425" s="9" t="str">
        <f ca="1">IFERROR(__xludf.DUMMYFUNCTION("""COMPUTED_VALUE"""),"S4: Student Certifications")</f>
        <v>S4: Student Certifications</v>
      </c>
      <c r="N425" s="9" t="str">
        <f ca="1">IFERROR(__xludf.DUMMYFUNCTION("""COMPUTED_VALUE"""),"mandadi.prathyusha@gmail.com")</f>
        <v>mandadi.prathyusha@gmail.com</v>
      </c>
      <c r="O425" s="9" t="str">
        <f ca="1">IFERROR(__xludf.DUMMYFUNCTION("""COMPUTED_VALUE"""),"SEM-8")</f>
        <v>SEM-8</v>
      </c>
      <c r="P425" s="9"/>
      <c r="Q425" s="9"/>
      <c r="R425" s="9"/>
      <c r="S425" s="9"/>
      <c r="T425" s="9"/>
      <c r="U425" s="9"/>
      <c r="V425" s="9"/>
      <c r="W425" s="9"/>
      <c r="X425" s="9"/>
      <c r="Y425" s="9"/>
    </row>
    <row r="426" spans="1:25" ht="26.25" customHeight="1" x14ac:dyDescent="0.15">
      <c r="A426" s="9" t="str">
        <f ca="1">IFERROR(__xludf.DUMMYFUNCTION("""COMPUTED_VALUE"""),"yarusha lavanya")</f>
        <v>yarusha lavanya</v>
      </c>
      <c r="B426" s="9" t="str">
        <f ca="1">IFERROR(__xludf.DUMMYFUNCTION("""COMPUTED_VALUE"""),"18331A05E4")</f>
        <v>18331A05E4</v>
      </c>
      <c r="C426" s="78" t="str">
        <f ca="1">IFERROR(__xludf.DUMMYFUNCTION("""COMPUTED_VALUE"""),"c")</f>
        <v>c</v>
      </c>
      <c r="D426" s="9" t="str">
        <f ca="1">IFERROR(__xludf.DUMMYFUNCTION("""COMPUTED_VALUE"""),"cisco")</f>
        <v>cisco</v>
      </c>
      <c r="E426" s="9" t="str">
        <f ca="1">IFERROR(__xludf.DUMMYFUNCTION("""COMPUTED_VALUE"""),"4 months")</f>
        <v>4 months</v>
      </c>
      <c r="F426" s="79">
        <f ca="1">IFERROR(__xludf.DUMMYFUNCTION("""COMPUTED_VALUE"""),43647)</f>
        <v>43647</v>
      </c>
      <c r="G426" s="79">
        <f ca="1">IFERROR(__xludf.DUMMYFUNCTION("""COMPUTED_VALUE"""),43681)</f>
        <v>43681</v>
      </c>
      <c r="H426" s="72">
        <f ca="1">IFERROR(__xludf.DUMMYFUNCTION("""COMPUTED_VALUE"""),43803)</f>
        <v>43803</v>
      </c>
      <c r="I426" s="80">
        <f ca="1">IFERROR(__xludf.DUMMYFUNCTION("""COMPUTED_VALUE"""),90)</f>
        <v>90</v>
      </c>
      <c r="J426" s="9" t="str">
        <f ca="1">IFERROR(__xludf.DUMMYFUNCTION("""COMPUTED_VALUE"""),"DR.P.RAVI KIRAN VARMA")</f>
        <v>DR.P.RAVI KIRAN VARMA</v>
      </c>
      <c r="K426" s="73" t="str">
        <f ca="1">IFERROR(__xludf.DUMMYFUNCTION("""COMPUTED_VALUE"""),"https://drive.google.com/open?id=1a3rZb27uIXa2apvbeh2nvyIEJUoZY8CP")</f>
        <v>https://drive.google.com/open?id=1a3rZb27uIXa2apvbeh2nvyIEJUoZY8CP</v>
      </c>
      <c r="L426" s="9" t="str">
        <f ca="1">IFERROR(__xludf.DUMMYFUNCTION("""COMPUTED_VALUE"""),"2018-2022")</f>
        <v>2018-2022</v>
      </c>
      <c r="M426" s="9" t="str">
        <f ca="1">IFERROR(__xludf.DUMMYFUNCTION("""COMPUTED_VALUE"""),"S4: Student Certifications")</f>
        <v>S4: Student Certifications</v>
      </c>
      <c r="N426" s="9" t="str">
        <f ca="1">IFERROR(__xludf.DUMMYFUNCTION("""COMPUTED_VALUE"""),"lavanyayarusha25@gmail.com")</f>
        <v>lavanyayarusha25@gmail.com</v>
      </c>
      <c r="O426" s="9" t="str">
        <f ca="1">IFERROR(__xludf.DUMMYFUNCTION("""COMPUTED_VALUE"""),"SEM-2")</f>
        <v>SEM-2</v>
      </c>
      <c r="P426" s="9"/>
      <c r="Q426" s="9"/>
      <c r="R426" s="9"/>
      <c r="S426" s="9"/>
      <c r="T426" s="9"/>
      <c r="U426" s="9"/>
      <c r="V426" s="9"/>
      <c r="W426" s="9"/>
      <c r="X426" s="9"/>
      <c r="Y426" s="9"/>
    </row>
    <row r="427" spans="1:25" ht="26.25" customHeight="1" x14ac:dyDescent="0.15">
      <c r="A427" s="9" t="str">
        <f ca="1">IFERROR(__xludf.DUMMYFUNCTION("""COMPUTED_VALUE"""),"yarusha lavanya")</f>
        <v>yarusha lavanya</v>
      </c>
      <c r="B427" s="9" t="str">
        <f ca="1">IFERROR(__xludf.DUMMYFUNCTION("""COMPUTED_VALUE"""),"18331A05E4")</f>
        <v>18331A05E4</v>
      </c>
      <c r="C427" s="78" t="str">
        <f ca="1">IFERROR(__xludf.DUMMYFUNCTION("""COMPUTED_VALUE"""),"cyber security")</f>
        <v>cyber security</v>
      </c>
      <c r="D427" s="9" t="str">
        <f ca="1">IFERROR(__xludf.DUMMYFUNCTION("""COMPUTED_VALUE"""),"cisco")</f>
        <v>cisco</v>
      </c>
      <c r="E427" s="9" t="str">
        <f ca="1">IFERROR(__xludf.DUMMYFUNCTION("""COMPUTED_VALUE"""),"4 months")</f>
        <v>4 months</v>
      </c>
      <c r="F427" s="79">
        <f ca="1">IFERROR(__xludf.DUMMYFUNCTION("""COMPUTED_VALUE"""),43501)</f>
        <v>43501</v>
      </c>
      <c r="G427" s="79">
        <f ca="1">IFERROR(__xludf.DUMMYFUNCTION("""COMPUTED_VALUE"""),43603)</f>
        <v>43603</v>
      </c>
      <c r="H427" s="72">
        <f ca="1">IFERROR(__xludf.DUMMYFUNCTION("""COMPUTED_VALUE"""),43623)</f>
        <v>43623</v>
      </c>
      <c r="I427" s="80">
        <f ca="1">IFERROR(__xludf.DUMMYFUNCTION("""COMPUTED_VALUE"""),89)</f>
        <v>89</v>
      </c>
      <c r="J427" s="9" t="str">
        <f ca="1">IFERROR(__xludf.DUMMYFUNCTION("""COMPUTED_VALUE"""),"DR.P.RAVI KIRAN VARMA")</f>
        <v>DR.P.RAVI KIRAN VARMA</v>
      </c>
      <c r="K427" s="73" t="str">
        <f ca="1">IFERROR(__xludf.DUMMYFUNCTION("""COMPUTED_VALUE"""),"https://drive.google.com/open?id=1RbHsvYG8Vr-xXkN-ACZybU3Su2tqODs8")</f>
        <v>https://drive.google.com/open?id=1RbHsvYG8Vr-xXkN-ACZybU3Su2tqODs8</v>
      </c>
      <c r="L427" s="9" t="str">
        <f ca="1">IFERROR(__xludf.DUMMYFUNCTION("""COMPUTED_VALUE"""),"2018-2022")</f>
        <v>2018-2022</v>
      </c>
      <c r="M427" s="9" t="str">
        <f ca="1">IFERROR(__xludf.DUMMYFUNCTION("""COMPUTED_VALUE"""),"S4: Student Certifications")</f>
        <v>S4: Student Certifications</v>
      </c>
      <c r="N427" s="9" t="str">
        <f ca="1">IFERROR(__xludf.DUMMYFUNCTION("""COMPUTED_VALUE"""),"lavanyayarusha25@gmail.com")</f>
        <v>lavanyayarusha25@gmail.com</v>
      </c>
      <c r="O427" s="9" t="str">
        <f ca="1">IFERROR(__xludf.DUMMYFUNCTION("""COMPUTED_VALUE"""),"SEM-2")</f>
        <v>SEM-2</v>
      </c>
      <c r="P427" s="9"/>
      <c r="Q427" s="9"/>
      <c r="R427" s="9"/>
      <c r="S427" s="9"/>
      <c r="T427" s="9"/>
      <c r="U427" s="9"/>
      <c r="V427" s="9"/>
      <c r="W427" s="9"/>
      <c r="X427" s="9"/>
      <c r="Y427" s="9"/>
    </row>
    <row r="428" spans="1:25" ht="26.25" customHeight="1" x14ac:dyDescent="0.15">
      <c r="A428" s="9" t="str">
        <f ca="1">IFERROR(__xludf.DUMMYFUNCTION("""COMPUTED_VALUE"""),"Sai Yogesh Bhasuru")</f>
        <v>Sai Yogesh Bhasuru</v>
      </c>
      <c r="B428" s="9" t="str">
        <f ca="1">IFERROR(__xludf.DUMMYFUNCTION("""COMPUTED_VALUE"""),"18331A05D4")</f>
        <v>18331A05D4</v>
      </c>
      <c r="C428" s="78" t="str">
        <f ca="1">IFERROR(__xludf.DUMMYFUNCTION("""COMPUTED_VALUE"""),"Introduction to networks")</f>
        <v>Introduction to networks</v>
      </c>
      <c r="D428" s="9" t="str">
        <f ca="1">IFERROR(__xludf.DUMMYFUNCTION("""COMPUTED_VALUE"""),"Cisco")</f>
        <v>Cisco</v>
      </c>
      <c r="E428" s="9" t="str">
        <f ca="1">IFERROR(__xludf.DUMMYFUNCTION("""COMPUTED_VALUE"""),"1 month")</f>
        <v>1 month</v>
      </c>
      <c r="F428" s="79">
        <f ca="1">IFERROR(__xludf.DUMMYFUNCTION("""COMPUTED_VALUE"""),43933)</f>
        <v>43933</v>
      </c>
      <c r="G428" s="79">
        <f ca="1">IFERROR(__xludf.DUMMYFUNCTION("""COMPUTED_VALUE"""),43963)</f>
        <v>43963</v>
      </c>
      <c r="H428" s="72">
        <f ca="1">IFERROR(__xludf.DUMMYFUNCTION("""COMPUTED_VALUE"""),43965)</f>
        <v>43965</v>
      </c>
      <c r="I428" s="80">
        <f ca="1">IFERROR(__xludf.DUMMYFUNCTION("""COMPUTED_VALUE"""),92)</f>
        <v>92</v>
      </c>
      <c r="J428" s="9" t="str">
        <f ca="1">IFERROR(__xludf.DUMMYFUNCTION("""COMPUTED_VALUE"""),"Dr P.Ravi Kiran varma ")</f>
        <v xml:space="preserve">Dr P.Ravi Kiran varma </v>
      </c>
      <c r="K428" s="73" t="str">
        <f ca="1">IFERROR(__xludf.DUMMYFUNCTION("""COMPUTED_VALUE"""),"https://drive.google.com/open?id=133E3GUGhxSo-el8Nj3fbCzJgfrKNEtyF")</f>
        <v>https://drive.google.com/open?id=133E3GUGhxSo-el8Nj3fbCzJgfrKNEtyF</v>
      </c>
      <c r="L428" s="9" t="str">
        <f ca="1">IFERROR(__xludf.DUMMYFUNCTION("""COMPUTED_VALUE"""),"2018-2022")</f>
        <v>2018-2022</v>
      </c>
      <c r="M428" s="9" t="str">
        <f ca="1">IFERROR(__xludf.DUMMYFUNCTION("""COMPUTED_VALUE"""),"S4: Student Certifications")</f>
        <v>S4: Student Certifications</v>
      </c>
      <c r="N428" s="9" t="str">
        <f ca="1">IFERROR(__xludf.DUMMYFUNCTION("""COMPUTED_VALUE"""),"saiyogeshbhasuru16@gmail.com")</f>
        <v>saiyogeshbhasuru16@gmail.com</v>
      </c>
      <c r="O428" s="9" t="str">
        <f ca="1">IFERROR(__xludf.DUMMYFUNCTION("""COMPUTED_VALUE"""),"SEM-5")</f>
        <v>SEM-5</v>
      </c>
      <c r="P428" s="9"/>
      <c r="Q428" s="9"/>
      <c r="R428" s="9"/>
      <c r="S428" s="9"/>
      <c r="T428" s="9"/>
      <c r="U428" s="9"/>
      <c r="V428" s="9"/>
      <c r="W428" s="9"/>
      <c r="X428" s="9"/>
      <c r="Y428" s="9"/>
    </row>
    <row r="429" spans="1:25" ht="26.25" customHeight="1" x14ac:dyDescent="0.15">
      <c r="A429" s="9" t="str">
        <f ca="1">IFERROR(__xludf.DUMMYFUNCTION("""COMPUTED_VALUE"""),"Sai Yogesh Bhasuru ")</f>
        <v xml:space="preserve">Sai Yogesh Bhasuru </v>
      </c>
      <c r="B429" s="9" t="str">
        <f ca="1">IFERROR(__xludf.DUMMYFUNCTION("""COMPUTED_VALUE"""),"18331A05D4")</f>
        <v>18331A05D4</v>
      </c>
      <c r="C429" s="78" t="str">
        <f ca="1">IFERROR(__xludf.DUMMYFUNCTION("""COMPUTED_VALUE"""),"Programming essentials in c++")</f>
        <v>Programming essentials in c++</v>
      </c>
      <c r="D429" s="9" t="str">
        <f ca="1">IFERROR(__xludf.DUMMYFUNCTION("""COMPUTED_VALUE"""),"Cisco")</f>
        <v>Cisco</v>
      </c>
      <c r="E429" s="9" t="str">
        <f ca="1">IFERROR(__xludf.DUMMYFUNCTION("""COMPUTED_VALUE"""),"1 month")</f>
        <v>1 month</v>
      </c>
      <c r="F429" s="79">
        <f ca="1">IFERROR(__xludf.DUMMYFUNCTION("""COMPUTED_VALUE"""),43847)</f>
        <v>43847</v>
      </c>
      <c r="G429" s="79">
        <f ca="1">IFERROR(__xludf.DUMMYFUNCTION("""COMPUTED_VALUE"""),43907)</f>
        <v>43907</v>
      </c>
      <c r="H429" s="72">
        <f ca="1">IFERROR(__xludf.DUMMYFUNCTION("""COMPUTED_VALUE"""),43879)</f>
        <v>43879</v>
      </c>
      <c r="I429" s="80">
        <f ca="1">IFERROR(__xludf.DUMMYFUNCTION("""COMPUTED_VALUE"""),94)</f>
        <v>94</v>
      </c>
      <c r="J429" s="9" t="str">
        <f ca="1">IFERROR(__xludf.DUMMYFUNCTION("""COMPUTED_VALUE"""),"Dr P.Ravi Kiran varma ")</f>
        <v xml:space="preserve">Dr P.Ravi Kiran varma </v>
      </c>
      <c r="K429" s="73" t="str">
        <f ca="1">IFERROR(__xludf.DUMMYFUNCTION("""COMPUTED_VALUE"""),"https://drive.google.com/open?id=18tx_x8oqHtl_mYiqbPjDtWxVUocIfhOG")</f>
        <v>https://drive.google.com/open?id=18tx_x8oqHtl_mYiqbPjDtWxVUocIfhOG</v>
      </c>
      <c r="L429" s="9" t="str">
        <f ca="1">IFERROR(__xludf.DUMMYFUNCTION("""COMPUTED_VALUE"""),"2018-2022")</f>
        <v>2018-2022</v>
      </c>
      <c r="M429" s="9" t="str">
        <f ca="1">IFERROR(__xludf.DUMMYFUNCTION("""COMPUTED_VALUE"""),"S4: Student Certifications")</f>
        <v>S4: Student Certifications</v>
      </c>
      <c r="N429" s="9" t="str">
        <f ca="1">IFERROR(__xludf.DUMMYFUNCTION("""COMPUTED_VALUE"""),"saiyogeshbhasuru16@gmail.com")</f>
        <v>saiyogeshbhasuru16@gmail.com</v>
      </c>
      <c r="O429" s="9" t="str">
        <f ca="1">IFERROR(__xludf.DUMMYFUNCTION("""COMPUTED_VALUE"""),"SEM-4")</f>
        <v>SEM-4</v>
      </c>
      <c r="P429" s="9"/>
      <c r="Q429" s="9"/>
      <c r="R429" s="9"/>
      <c r="S429" s="9"/>
      <c r="T429" s="9"/>
      <c r="U429" s="9"/>
      <c r="V429" s="9"/>
      <c r="W429" s="9"/>
      <c r="X429" s="9"/>
      <c r="Y429" s="9"/>
    </row>
    <row r="430" spans="1:25" ht="26.25" customHeight="1" x14ac:dyDescent="0.15">
      <c r="A430" s="9" t="str">
        <f ca="1">IFERROR(__xludf.DUMMYFUNCTION("""COMPUTED_VALUE"""),"Sai Yogesh Bhasuru ")</f>
        <v xml:space="preserve">Sai Yogesh Bhasuru </v>
      </c>
      <c r="B430" s="9" t="str">
        <f ca="1">IFERROR(__xludf.DUMMYFUNCTION("""COMPUTED_VALUE"""),"18331A05D4")</f>
        <v>18331A05D4</v>
      </c>
      <c r="C430" s="78" t="str">
        <f ca="1">IFERROR(__xludf.DUMMYFUNCTION("""COMPUTED_VALUE"""),"Cybersecurity essentials")</f>
        <v>Cybersecurity essentials</v>
      </c>
      <c r="D430" s="9" t="str">
        <f ca="1">IFERROR(__xludf.DUMMYFUNCTION("""COMPUTED_VALUE"""),"Cisco")</f>
        <v>Cisco</v>
      </c>
      <c r="E430" s="9" t="str">
        <f ca="1">IFERROR(__xludf.DUMMYFUNCTION("""COMPUTED_VALUE"""),"1 month")</f>
        <v>1 month</v>
      </c>
      <c r="F430" s="79">
        <f ca="1">IFERROR(__xludf.DUMMYFUNCTION("""COMPUTED_VALUE"""),43645)</f>
        <v>43645</v>
      </c>
      <c r="G430" s="79">
        <f ca="1">IFERROR(__xludf.DUMMYFUNCTION("""COMPUTED_VALUE"""),43675)</f>
        <v>43675</v>
      </c>
      <c r="H430" s="72">
        <f ca="1">IFERROR(__xludf.DUMMYFUNCTION("""COMPUTED_VALUE"""),43676)</f>
        <v>43676</v>
      </c>
      <c r="I430" s="80">
        <f ca="1">IFERROR(__xludf.DUMMYFUNCTION("""COMPUTED_VALUE"""),93)</f>
        <v>93</v>
      </c>
      <c r="J430" s="9" t="str">
        <f ca="1">IFERROR(__xludf.DUMMYFUNCTION("""COMPUTED_VALUE"""),"Dr.P.Ravi Kiran varma")</f>
        <v>Dr.P.Ravi Kiran varma</v>
      </c>
      <c r="K430" s="73" t="str">
        <f ca="1">IFERROR(__xludf.DUMMYFUNCTION("""COMPUTED_VALUE"""),"https://drive.google.com/open?id=17IHN36wQEF50A9mml5qyjIR9WamldUwy")</f>
        <v>https://drive.google.com/open?id=17IHN36wQEF50A9mml5qyjIR9WamldUwy</v>
      </c>
      <c r="L430" s="9" t="str">
        <f ca="1">IFERROR(__xludf.DUMMYFUNCTION("""COMPUTED_VALUE"""),"2018-2022")</f>
        <v>2018-2022</v>
      </c>
      <c r="M430" s="9" t="str">
        <f ca="1">IFERROR(__xludf.DUMMYFUNCTION("""COMPUTED_VALUE"""),"S4: Student Certifications")</f>
        <v>S4: Student Certifications</v>
      </c>
      <c r="N430" s="9" t="str">
        <f ca="1">IFERROR(__xludf.DUMMYFUNCTION("""COMPUTED_VALUE"""),"saiyogeshbhasuru16@gmail.com")</f>
        <v>saiyogeshbhasuru16@gmail.com</v>
      </c>
      <c r="O430" s="9" t="str">
        <f ca="1">IFERROR(__xludf.DUMMYFUNCTION("""COMPUTED_VALUE"""),"SEM-3")</f>
        <v>SEM-3</v>
      </c>
      <c r="P430" s="9"/>
      <c r="Q430" s="9"/>
      <c r="R430" s="9"/>
      <c r="S430" s="9"/>
      <c r="T430" s="9"/>
      <c r="U430" s="9"/>
      <c r="V430" s="9"/>
      <c r="W430" s="9"/>
      <c r="X430" s="9"/>
      <c r="Y430" s="9"/>
    </row>
    <row r="431" spans="1:25" ht="26.25" customHeight="1" x14ac:dyDescent="0.15">
      <c r="A431" s="9" t="str">
        <f ca="1">IFERROR(__xludf.DUMMYFUNCTION("""COMPUTED_VALUE"""),"Sai Yogesh Bhasuru")</f>
        <v>Sai Yogesh Bhasuru</v>
      </c>
      <c r="B431" s="9" t="str">
        <f ca="1">IFERROR(__xludf.DUMMYFUNCTION("""COMPUTED_VALUE"""),"18331A05D4")</f>
        <v>18331A05D4</v>
      </c>
      <c r="C431" s="78" t="str">
        <f ca="1">IFERROR(__xludf.DUMMYFUNCTION("""COMPUTED_VALUE"""),"AWS CLOUD ARCHITECT")</f>
        <v>AWS CLOUD ARCHITECT</v>
      </c>
      <c r="D431" s="9" t="str">
        <f ca="1">IFERROR(__xludf.DUMMYFUNCTION("""COMPUTED_VALUE"""),"AWS ACADEMY")</f>
        <v>AWS ACADEMY</v>
      </c>
      <c r="E431" s="9" t="str">
        <f ca="1">IFERROR(__xludf.DUMMYFUNCTION("""COMPUTED_VALUE"""),"40 HOURS")</f>
        <v>40 HOURS</v>
      </c>
      <c r="F431" s="79">
        <f ca="1">IFERROR(__xludf.DUMMYFUNCTION("""COMPUTED_VALUE"""),44540)</f>
        <v>44540</v>
      </c>
      <c r="G431" s="79">
        <f ca="1">IFERROR(__xludf.DUMMYFUNCTION("""COMPUTED_VALUE"""),44566)</f>
        <v>44566</v>
      </c>
      <c r="H431" s="72">
        <f ca="1">IFERROR(__xludf.DUMMYFUNCTION("""COMPUTED_VALUE"""),44658)</f>
        <v>44658</v>
      </c>
      <c r="I431" s="80">
        <f ca="1">IFERROR(__xludf.DUMMYFUNCTION("""COMPUTED_VALUE"""),95)</f>
        <v>95</v>
      </c>
      <c r="J431" s="9" t="str">
        <f ca="1">IFERROR(__xludf.DUMMYFUNCTION("""COMPUTED_VALUE"""),"Dr. P. Ravi Kiran Varma")</f>
        <v>Dr. P. Ravi Kiran Varma</v>
      </c>
      <c r="K431" s="73" t="str">
        <f ca="1">IFERROR(__xludf.DUMMYFUNCTION("""COMPUTED_VALUE"""),"https://drive.google.com/open?id=1_gG2F-FhMtSVQC3MCZ-ZTi5aDHgRVFQw")</f>
        <v>https://drive.google.com/open?id=1_gG2F-FhMtSVQC3MCZ-ZTi5aDHgRVFQw</v>
      </c>
      <c r="L431" s="9" t="str">
        <f ca="1">IFERROR(__xludf.DUMMYFUNCTION("""COMPUTED_VALUE"""),"2018-2022")</f>
        <v>2018-2022</v>
      </c>
      <c r="M431" s="9" t="str">
        <f ca="1">IFERROR(__xludf.DUMMYFUNCTION("""COMPUTED_VALUE"""),"S4: Student Certifications")</f>
        <v>S4: Student Certifications</v>
      </c>
      <c r="N431" s="9" t="str">
        <f ca="1">IFERROR(__xludf.DUMMYFUNCTION("""COMPUTED_VALUE"""),"saiyogeshbhasuru16@gmail.com")</f>
        <v>saiyogeshbhasuru16@gmail.com</v>
      </c>
      <c r="O431" s="9" t="str">
        <f ca="1">IFERROR(__xludf.DUMMYFUNCTION("""COMPUTED_VALUE"""),"SEM-8")</f>
        <v>SEM-8</v>
      </c>
      <c r="P431" s="9"/>
      <c r="Q431" s="9"/>
      <c r="R431" s="9"/>
      <c r="S431" s="9"/>
      <c r="T431" s="9"/>
      <c r="U431" s="9"/>
      <c r="V431" s="9"/>
      <c r="W431" s="9"/>
      <c r="X431" s="9"/>
      <c r="Y431" s="9"/>
    </row>
    <row r="432" spans="1:25" ht="26.25" customHeight="1" x14ac:dyDescent="0.15">
      <c r="A432" s="9" t="str">
        <f ca="1">IFERROR(__xludf.DUMMYFUNCTION("""COMPUTED_VALUE"""),"Sai Yogesh Bhasuru ")</f>
        <v xml:space="preserve">Sai Yogesh Bhasuru </v>
      </c>
      <c r="B432" s="9" t="str">
        <f ca="1">IFERROR(__xludf.DUMMYFUNCTION("""COMPUTED_VALUE"""),"18331A05D4")</f>
        <v>18331A05D4</v>
      </c>
      <c r="C432" s="78" t="str">
        <f ca="1">IFERROR(__xludf.DUMMYFUNCTION("""COMPUTED_VALUE"""),"Programming essentials in c ")</f>
        <v xml:space="preserve">Programming essentials in c </v>
      </c>
      <c r="D432" s="9" t="str">
        <f ca="1">IFERROR(__xludf.DUMMYFUNCTION("""COMPUTED_VALUE"""),"Cisco ")</f>
        <v xml:space="preserve">Cisco </v>
      </c>
      <c r="E432" s="9" t="str">
        <f ca="1">IFERROR(__xludf.DUMMYFUNCTION("""COMPUTED_VALUE"""),"1 month")</f>
        <v>1 month</v>
      </c>
      <c r="F432" s="79">
        <f ca="1">IFERROR(__xludf.DUMMYFUNCTION("""COMPUTED_VALUE"""),43586)</f>
        <v>43586</v>
      </c>
      <c r="G432" s="79">
        <f ca="1">IFERROR(__xludf.DUMMYFUNCTION("""COMPUTED_VALUE"""),43617)</f>
        <v>43617</v>
      </c>
      <c r="H432" s="72">
        <f ca="1">IFERROR(__xludf.DUMMYFUNCTION("""COMPUTED_VALUE"""),43618)</f>
        <v>43618</v>
      </c>
      <c r="I432" s="80">
        <f ca="1">IFERROR(__xludf.DUMMYFUNCTION("""COMPUTED_VALUE"""),95)</f>
        <v>95</v>
      </c>
      <c r="J432" s="9" t="str">
        <f ca="1">IFERROR(__xludf.DUMMYFUNCTION("""COMPUTED_VALUE"""),"Dr.P.Ravi Kiran varma ")</f>
        <v xml:space="preserve">Dr.P.Ravi Kiran varma </v>
      </c>
      <c r="K432" s="73" t="str">
        <f ca="1">IFERROR(__xludf.DUMMYFUNCTION("""COMPUTED_VALUE"""),"https://drive.google.com/open?id=1QMfaNPYetS7O2Ru9r_pgzrbBQQ9dHwz0")</f>
        <v>https://drive.google.com/open?id=1QMfaNPYetS7O2Ru9r_pgzrbBQQ9dHwz0</v>
      </c>
      <c r="L432" s="9" t="str">
        <f ca="1">IFERROR(__xludf.DUMMYFUNCTION("""COMPUTED_VALUE"""),"2018-2022")</f>
        <v>2018-2022</v>
      </c>
      <c r="M432" s="9" t="str">
        <f ca="1">IFERROR(__xludf.DUMMYFUNCTION("""COMPUTED_VALUE"""),"S4: Student Certifications")</f>
        <v>S4: Student Certifications</v>
      </c>
      <c r="N432" s="9" t="str">
        <f ca="1">IFERROR(__xludf.DUMMYFUNCTION("""COMPUTED_VALUE"""),"saiyogeshbhasuru16@gmail.com")</f>
        <v>saiyogeshbhasuru16@gmail.com</v>
      </c>
      <c r="O432" s="9" t="str">
        <f ca="1">IFERROR(__xludf.DUMMYFUNCTION("""COMPUTED_VALUE"""),"SEM-3")</f>
        <v>SEM-3</v>
      </c>
      <c r="P432" s="9"/>
      <c r="Q432" s="9"/>
      <c r="R432" s="9"/>
      <c r="S432" s="9"/>
      <c r="T432" s="9"/>
      <c r="U432" s="9"/>
      <c r="V432" s="9"/>
      <c r="W432" s="9"/>
      <c r="X432" s="9"/>
      <c r="Y432" s="9"/>
    </row>
    <row r="433" spans="1:25" ht="26.25" customHeight="1" x14ac:dyDescent="0.15">
      <c r="A433" s="9" t="str">
        <f ca="1">IFERROR(__xludf.DUMMYFUNCTION("""COMPUTED_VALUE"""),"Sai Yogesh Bhasuru")</f>
        <v>Sai Yogesh Bhasuru</v>
      </c>
      <c r="B433" s="9" t="str">
        <f ca="1">IFERROR(__xludf.DUMMYFUNCTION("""COMPUTED_VALUE"""),"18331A05D4")</f>
        <v>18331A05D4</v>
      </c>
      <c r="C433" s="78" t="str">
        <f ca="1">IFERROR(__xludf.DUMMYFUNCTION("""COMPUTED_VALUE"""),"AWS CLOUD FOUNDATIONS")</f>
        <v>AWS CLOUD FOUNDATIONS</v>
      </c>
      <c r="D433" s="9" t="str">
        <f ca="1">IFERROR(__xludf.DUMMYFUNCTION("""COMPUTED_VALUE"""),"AWS ACADEMY")</f>
        <v>AWS ACADEMY</v>
      </c>
      <c r="E433" s="9" t="str">
        <f ca="1">IFERROR(__xludf.DUMMYFUNCTION("""COMPUTED_VALUE"""),"20 HOURS")</f>
        <v>20 HOURS</v>
      </c>
      <c r="F433" s="79">
        <f ca="1">IFERROR(__xludf.DUMMYFUNCTION("""COMPUTED_VALUE"""),44511)</f>
        <v>44511</v>
      </c>
      <c r="G433" s="79">
        <f ca="1">IFERROR(__xludf.DUMMYFUNCTION("""COMPUTED_VALUE"""),44538)</f>
        <v>44538</v>
      </c>
      <c r="H433" s="72">
        <f ca="1">IFERROR(__xludf.DUMMYFUNCTION("""COMPUTED_VALUE"""),44542)</f>
        <v>44542</v>
      </c>
      <c r="I433" s="80">
        <f ca="1">IFERROR(__xludf.DUMMYFUNCTION("""COMPUTED_VALUE"""),96)</f>
        <v>96</v>
      </c>
      <c r="J433" s="9" t="str">
        <f ca="1">IFERROR(__xludf.DUMMYFUNCTION("""COMPUTED_VALUE"""),"Dr. P. Ravi Kiran Varma")</f>
        <v>Dr. P. Ravi Kiran Varma</v>
      </c>
      <c r="K433" s="73" t="str">
        <f ca="1">IFERROR(__xludf.DUMMYFUNCTION("""COMPUTED_VALUE"""),"https://drive.google.com/open?id=1_y6iGGdoyvfMVY7JXc1BYWAP6GB_1jpL")</f>
        <v>https://drive.google.com/open?id=1_y6iGGdoyvfMVY7JXc1BYWAP6GB_1jpL</v>
      </c>
      <c r="L433" s="9" t="str">
        <f ca="1">IFERROR(__xludf.DUMMYFUNCTION("""COMPUTED_VALUE"""),"2018-2022")</f>
        <v>2018-2022</v>
      </c>
      <c r="M433" s="9" t="str">
        <f ca="1">IFERROR(__xludf.DUMMYFUNCTION("""COMPUTED_VALUE"""),"S4: Student Certifications")</f>
        <v>S4: Student Certifications</v>
      </c>
      <c r="N433" s="9" t="str">
        <f ca="1">IFERROR(__xludf.DUMMYFUNCTION("""COMPUTED_VALUE"""),"saiyogeshbhasuru16@gmail.com")</f>
        <v>saiyogeshbhasuru16@gmail.com</v>
      </c>
      <c r="O433" s="9" t="str">
        <f ca="1">IFERROR(__xludf.DUMMYFUNCTION("""COMPUTED_VALUE"""),"SEM-8")</f>
        <v>SEM-8</v>
      </c>
      <c r="P433" s="9"/>
      <c r="Q433" s="9"/>
      <c r="R433" s="9"/>
      <c r="S433" s="9"/>
      <c r="T433" s="9"/>
      <c r="U433" s="9"/>
      <c r="V433" s="9"/>
      <c r="W433" s="9"/>
      <c r="X433" s="9"/>
      <c r="Y433" s="9"/>
    </row>
    <row r="434" spans="1:25" ht="26.25" customHeight="1" x14ac:dyDescent="0.15">
      <c r="A434" s="9" t="str">
        <f ca="1">IFERROR(__xludf.DUMMYFUNCTION("""COMPUTED_VALUE"""),"Sai Yogesh Bhasuru ")</f>
        <v xml:space="preserve">Sai Yogesh Bhasuru </v>
      </c>
      <c r="B434" s="9" t="str">
        <f ca="1">IFERROR(__xludf.DUMMYFUNCTION("""COMPUTED_VALUE"""),"18331A05D4")</f>
        <v>18331A05D4</v>
      </c>
      <c r="C434" s="78" t="str">
        <f ca="1">IFERROR(__xludf.DUMMYFUNCTION("""COMPUTED_VALUE"""),"Introduction to cyber security ")</f>
        <v xml:space="preserve">Introduction to cyber security </v>
      </c>
      <c r="D434" s="9" t="str">
        <f ca="1">IFERROR(__xludf.DUMMYFUNCTION("""COMPUTED_VALUE"""),"Cisco")</f>
        <v>Cisco</v>
      </c>
      <c r="E434" s="9" t="str">
        <f ca="1">IFERROR(__xludf.DUMMYFUNCTION("""COMPUTED_VALUE"""),"1 month")</f>
        <v>1 month</v>
      </c>
      <c r="F434" s="79">
        <f ca="1">IFERROR(__xludf.DUMMYFUNCTION("""COMPUTED_VALUE"""),44337)</f>
        <v>44337</v>
      </c>
      <c r="G434" s="79">
        <f ca="1">IFERROR(__xludf.DUMMYFUNCTION("""COMPUTED_VALUE"""),44368)</f>
        <v>44368</v>
      </c>
      <c r="H434" s="72">
        <f ca="1">IFERROR(__xludf.DUMMYFUNCTION("""COMPUTED_VALUE"""),44369)</f>
        <v>44369</v>
      </c>
      <c r="I434" s="80">
        <f ca="1">IFERROR(__xludf.DUMMYFUNCTION("""COMPUTED_VALUE"""),95)</f>
        <v>95</v>
      </c>
      <c r="J434" s="9" t="str">
        <f ca="1">IFERROR(__xludf.DUMMYFUNCTION("""COMPUTED_VALUE"""),"Dr.P.Ravi Kiran varma ")</f>
        <v xml:space="preserve">Dr.P.Ravi Kiran varma </v>
      </c>
      <c r="K434" s="73" t="str">
        <f ca="1">IFERROR(__xludf.DUMMYFUNCTION("""COMPUTED_VALUE"""),"https://drive.google.com/open?id=1akSfmutBOQ2wbe7JeqQbyvifchGO0q9a")</f>
        <v>https://drive.google.com/open?id=1akSfmutBOQ2wbe7JeqQbyvifchGO0q9a</v>
      </c>
      <c r="L434" s="9" t="str">
        <f ca="1">IFERROR(__xludf.DUMMYFUNCTION("""COMPUTED_VALUE"""),"2018-2022")</f>
        <v>2018-2022</v>
      </c>
      <c r="M434" s="9" t="str">
        <f ca="1">IFERROR(__xludf.DUMMYFUNCTION("""COMPUTED_VALUE"""),"S4: Student Certifications")</f>
        <v>S4: Student Certifications</v>
      </c>
      <c r="N434" s="9" t="str">
        <f ca="1">IFERROR(__xludf.DUMMYFUNCTION("""COMPUTED_VALUE"""),"saiyogeshbhasuru16@gmail.com")</f>
        <v>saiyogeshbhasuru16@gmail.com</v>
      </c>
      <c r="O434" s="9" t="str">
        <f ca="1">IFERROR(__xludf.DUMMYFUNCTION("""COMPUTED_VALUE"""),"SEM-6")</f>
        <v>SEM-6</v>
      </c>
      <c r="P434" s="9"/>
      <c r="Q434" s="9"/>
      <c r="R434" s="9"/>
      <c r="S434" s="9"/>
      <c r="T434" s="9"/>
      <c r="U434" s="9"/>
      <c r="V434" s="9"/>
      <c r="W434" s="9"/>
      <c r="X434" s="9"/>
      <c r="Y434" s="9"/>
    </row>
    <row r="435" spans="1:25" ht="26.25" customHeight="1" x14ac:dyDescent="0.15">
      <c r="A435" s="9" t="str">
        <f ca="1">IFERROR(__xludf.DUMMYFUNCTION("""COMPUTED_VALUE"""),"Sai Yogesh Bhasuru ")</f>
        <v xml:space="preserve">Sai Yogesh Bhasuru </v>
      </c>
      <c r="B435" s="9" t="str">
        <f ca="1">IFERROR(__xludf.DUMMYFUNCTION("""COMPUTED_VALUE"""),"18331A05D4")</f>
        <v>18331A05D4</v>
      </c>
      <c r="C435" s="78" t="str">
        <f ca="1">IFERROR(__xludf.DUMMYFUNCTION("""COMPUTED_VALUE"""),"Introduction to packet tracer ")</f>
        <v xml:space="preserve">Introduction to packet tracer </v>
      </c>
      <c r="D435" s="9" t="str">
        <f ca="1">IFERROR(__xludf.DUMMYFUNCTION("""COMPUTED_VALUE"""),"Cisco ")</f>
        <v xml:space="preserve">Cisco </v>
      </c>
      <c r="E435" s="9" t="str">
        <f ca="1">IFERROR(__xludf.DUMMYFUNCTION("""COMPUTED_VALUE"""),"1 month")</f>
        <v>1 month</v>
      </c>
      <c r="F435" s="79">
        <f ca="1">IFERROR(__xludf.DUMMYFUNCTION("""COMPUTED_VALUE"""),44303)</f>
        <v>44303</v>
      </c>
      <c r="G435" s="79">
        <f ca="1">IFERROR(__xludf.DUMMYFUNCTION("""COMPUTED_VALUE"""),44333)</f>
        <v>44333</v>
      </c>
      <c r="H435" s="72">
        <f ca="1">IFERROR(__xludf.DUMMYFUNCTION("""COMPUTED_VALUE"""),44334)</f>
        <v>44334</v>
      </c>
      <c r="I435" s="80">
        <f ca="1">IFERROR(__xludf.DUMMYFUNCTION("""COMPUTED_VALUE"""),96)</f>
        <v>96</v>
      </c>
      <c r="J435" s="9" t="str">
        <f ca="1">IFERROR(__xludf.DUMMYFUNCTION("""COMPUTED_VALUE"""),"Dr.P Ravi Kiran varma ")</f>
        <v xml:space="preserve">Dr.P Ravi Kiran varma </v>
      </c>
      <c r="K435" s="73" t="str">
        <f ca="1">IFERROR(__xludf.DUMMYFUNCTION("""COMPUTED_VALUE"""),"https://drive.google.com/open?id=1tu1ObCtNEgwaW1ESur34JpG0BxnEKJ4o")</f>
        <v>https://drive.google.com/open?id=1tu1ObCtNEgwaW1ESur34JpG0BxnEKJ4o</v>
      </c>
      <c r="L435" s="9" t="str">
        <f ca="1">IFERROR(__xludf.DUMMYFUNCTION("""COMPUTED_VALUE"""),"2018-2022")</f>
        <v>2018-2022</v>
      </c>
      <c r="M435" s="9" t="str">
        <f ca="1">IFERROR(__xludf.DUMMYFUNCTION("""COMPUTED_VALUE"""),"S4: Student Certifications")</f>
        <v>S4: Student Certifications</v>
      </c>
      <c r="N435" s="9" t="str">
        <f ca="1">IFERROR(__xludf.DUMMYFUNCTION("""COMPUTED_VALUE"""),"saiyogeshbhasuru16@gmail.com")</f>
        <v>saiyogeshbhasuru16@gmail.com</v>
      </c>
      <c r="O435" s="9" t="str">
        <f ca="1">IFERROR(__xludf.DUMMYFUNCTION("""COMPUTED_VALUE"""),"SEM-6")</f>
        <v>SEM-6</v>
      </c>
      <c r="P435" s="9"/>
      <c r="Q435" s="9"/>
      <c r="R435" s="9"/>
      <c r="S435" s="9"/>
      <c r="T435" s="9"/>
      <c r="U435" s="9"/>
      <c r="V435" s="9"/>
      <c r="W435" s="9"/>
      <c r="X435" s="9"/>
      <c r="Y435" s="9"/>
    </row>
    <row r="436" spans="1:25" ht="26.25" customHeight="1" x14ac:dyDescent="0.15">
      <c r="A436" s="9" t="str">
        <f ca="1">IFERROR(__xludf.DUMMYFUNCTION("""COMPUTED_VALUE"""),"Sai Yogesh Bhasuru ")</f>
        <v xml:space="preserve">Sai Yogesh Bhasuru </v>
      </c>
      <c r="B436" s="9" t="str">
        <f ca="1">IFERROR(__xludf.DUMMYFUNCTION("""COMPUTED_VALUE"""),"18331A05D4")</f>
        <v>18331A05D4</v>
      </c>
      <c r="C436" s="78" t="str">
        <f ca="1">IFERROR(__xludf.DUMMYFUNCTION("""COMPUTED_VALUE"""),"Iot fundementals : connecting things ")</f>
        <v xml:space="preserve">Iot fundementals : connecting things </v>
      </c>
      <c r="D436" s="9" t="str">
        <f ca="1">IFERROR(__xludf.DUMMYFUNCTION("""COMPUTED_VALUE"""),"Cisco")</f>
        <v>Cisco</v>
      </c>
      <c r="E436" s="9" t="str">
        <f ca="1">IFERROR(__xludf.DUMMYFUNCTION("""COMPUTED_VALUE"""),"1 month ")</f>
        <v xml:space="preserve">1 month </v>
      </c>
      <c r="F436" s="79">
        <f ca="1">IFERROR(__xludf.DUMMYFUNCTION("""COMPUTED_VALUE"""),44186)</f>
        <v>44186</v>
      </c>
      <c r="G436" s="79">
        <f ca="1">IFERROR(__xludf.DUMMYFUNCTION("""COMPUTED_VALUE"""),44217)</f>
        <v>44217</v>
      </c>
      <c r="H436" s="72">
        <f ca="1">IFERROR(__xludf.DUMMYFUNCTION("""COMPUTED_VALUE"""),44218)</f>
        <v>44218</v>
      </c>
      <c r="I436" s="80">
        <f ca="1">IFERROR(__xludf.DUMMYFUNCTION("""COMPUTED_VALUE"""),96)</f>
        <v>96</v>
      </c>
      <c r="J436" s="9" t="str">
        <f ca="1">IFERROR(__xludf.DUMMYFUNCTION("""COMPUTED_VALUE"""),"Dr.P.Ravi Kiran varma ")</f>
        <v xml:space="preserve">Dr.P.Ravi Kiran varma </v>
      </c>
      <c r="K436" s="73" t="str">
        <f ca="1">IFERROR(__xludf.DUMMYFUNCTION("""COMPUTED_VALUE"""),"https://drive.google.com/open?id=1s2j7xWnBz1z6TvxUo2Crr6p7f5ZN-w9u")</f>
        <v>https://drive.google.com/open?id=1s2j7xWnBz1z6TvxUo2Crr6p7f5ZN-w9u</v>
      </c>
      <c r="L436" s="9" t="str">
        <f ca="1">IFERROR(__xludf.DUMMYFUNCTION("""COMPUTED_VALUE"""),"2018-2022")</f>
        <v>2018-2022</v>
      </c>
      <c r="M436" s="9" t="str">
        <f ca="1">IFERROR(__xludf.DUMMYFUNCTION("""COMPUTED_VALUE"""),"S4: Student Certifications")</f>
        <v>S4: Student Certifications</v>
      </c>
      <c r="N436" s="9" t="str">
        <f ca="1">IFERROR(__xludf.DUMMYFUNCTION("""COMPUTED_VALUE"""),"saiyogeshbhasuru16@gmail.com")</f>
        <v>saiyogeshbhasuru16@gmail.com</v>
      </c>
      <c r="O436" s="9" t="str">
        <f ca="1">IFERROR(__xludf.DUMMYFUNCTION("""COMPUTED_VALUE"""),"SEM-6")</f>
        <v>SEM-6</v>
      </c>
      <c r="P436" s="9"/>
      <c r="Q436" s="9"/>
      <c r="R436" s="9"/>
      <c r="S436" s="9"/>
      <c r="T436" s="9"/>
      <c r="U436" s="9"/>
      <c r="V436" s="9"/>
      <c r="W436" s="9"/>
      <c r="X436" s="9"/>
      <c r="Y436" s="9"/>
    </row>
    <row r="437" spans="1:25" ht="26.25" customHeight="1" x14ac:dyDescent="0.15">
      <c r="A437" s="9" t="str">
        <f ca="1">IFERROR(__xludf.DUMMYFUNCTION("""COMPUTED_VALUE"""),"Sai Yogesh Bhasuru ")</f>
        <v xml:space="preserve">Sai Yogesh Bhasuru </v>
      </c>
      <c r="B437" s="9" t="str">
        <f ca="1">IFERROR(__xludf.DUMMYFUNCTION("""COMPUTED_VALUE"""),"18331A05D4")</f>
        <v>18331A05D4</v>
      </c>
      <c r="C437" s="78" t="str">
        <f ca="1">IFERROR(__xludf.DUMMYFUNCTION("""COMPUTED_VALUE"""),"Switching routing and wireless essentials ")</f>
        <v xml:space="preserve">Switching routing and wireless essentials </v>
      </c>
      <c r="D437" s="9" t="str">
        <f ca="1">IFERROR(__xludf.DUMMYFUNCTION("""COMPUTED_VALUE"""),"Cisco ")</f>
        <v xml:space="preserve">Cisco </v>
      </c>
      <c r="E437" s="9" t="str">
        <f ca="1">IFERROR(__xludf.DUMMYFUNCTION("""COMPUTED_VALUE"""),"4 weeks")</f>
        <v>4 weeks</v>
      </c>
      <c r="F437" s="79">
        <f ca="1">IFERROR(__xludf.DUMMYFUNCTION("""COMPUTED_VALUE"""),43957)</f>
        <v>43957</v>
      </c>
      <c r="G437" s="79">
        <f ca="1">IFERROR(__xludf.DUMMYFUNCTION("""COMPUTED_VALUE"""),43988)</f>
        <v>43988</v>
      </c>
      <c r="H437" s="72">
        <f ca="1">IFERROR(__xludf.DUMMYFUNCTION("""COMPUTED_VALUE"""),43989)</f>
        <v>43989</v>
      </c>
      <c r="I437" s="80">
        <f ca="1">IFERROR(__xludf.DUMMYFUNCTION("""COMPUTED_VALUE"""),92)</f>
        <v>92</v>
      </c>
      <c r="J437" s="9" t="str">
        <f ca="1">IFERROR(__xludf.DUMMYFUNCTION("""COMPUTED_VALUE"""),"Dr.P.Ravi Kiran varma ")</f>
        <v xml:space="preserve">Dr.P.Ravi Kiran varma </v>
      </c>
      <c r="K437" s="73" t="str">
        <f ca="1">IFERROR(__xludf.DUMMYFUNCTION("""COMPUTED_VALUE"""),"https://drive.google.com/open?id=1ozV6zBev14iz3yyNal7hj2QhlxhgFLV6")</f>
        <v>https://drive.google.com/open?id=1ozV6zBev14iz3yyNal7hj2QhlxhgFLV6</v>
      </c>
      <c r="L437" s="9" t="str">
        <f ca="1">IFERROR(__xludf.DUMMYFUNCTION("""COMPUTED_VALUE"""),"2018-2022")</f>
        <v>2018-2022</v>
      </c>
      <c r="M437" s="9" t="str">
        <f ca="1">IFERROR(__xludf.DUMMYFUNCTION("""COMPUTED_VALUE"""),"S4: Student Certifications")</f>
        <v>S4: Student Certifications</v>
      </c>
      <c r="N437" s="9" t="str">
        <f ca="1">IFERROR(__xludf.DUMMYFUNCTION("""COMPUTED_VALUE"""),"saiyogeshbhasuru16@gmail.com")</f>
        <v>saiyogeshbhasuru16@gmail.com</v>
      </c>
      <c r="O437" s="9" t="str">
        <f ca="1">IFERROR(__xludf.DUMMYFUNCTION("""COMPUTED_VALUE"""),"SEM-5")</f>
        <v>SEM-5</v>
      </c>
      <c r="P437" s="9"/>
      <c r="Q437" s="9"/>
      <c r="R437" s="9"/>
      <c r="S437" s="9"/>
      <c r="T437" s="9"/>
      <c r="U437" s="9"/>
      <c r="V437" s="9"/>
      <c r="W437" s="9"/>
      <c r="X437" s="9"/>
      <c r="Y437" s="9"/>
    </row>
    <row r="438" spans="1:25" ht="26.25" customHeight="1" x14ac:dyDescent="0.15">
      <c r="A438" s="9" t="str">
        <f ca="1">IFERROR(__xludf.DUMMYFUNCTION("""COMPUTED_VALUE"""),"Sai Yogesh Bhasuru ")</f>
        <v xml:space="preserve">Sai Yogesh Bhasuru </v>
      </c>
      <c r="B438" s="9" t="str">
        <f ca="1">IFERROR(__xludf.DUMMYFUNCTION("""COMPUTED_VALUE"""),"18331A05D4")</f>
        <v>18331A05D4</v>
      </c>
      <c r="C438" s="78" t="str">
        <f ca="1">IFERROR(__xludf.DUMMYFUNCTION("""COMPUTED_VALUE"""),"Enterprise networking security and automation ")</f>
        <v xml:space="preserve">Enterprise networking security and automation </v>
      </c>
      <c r="D438" s="9" t="str">
        <f ca="1">IFERROR(__xludf.DUMMYFUNCTION("""COMPUTED_VALUE"""),"Cisco ")</f>
        <v xml:space="preserve">Cisco </v>
      </c>
      <c r="E438" s="9" t="str">
        <f ca="1">IFERROR(__xludf.DUMMYFUNCTION("""COMPUTED_VALUE"""),"4 weeks")</f>
        <v>4 weeks</v>
      </c>
      <c r="F438" s="79">
        <f ca="1">IFERROR(__xludf.DUMMYFUNCTION("""COMPUTED_VALUE"""),43989)</f>
        <v>43989</v>
      </c>
      <c r="G438" s="79">
        <f ca="1">IFERROR(__xludf.DUMMYFUNCTION("""COMPUTED_VALUE"""),44019)</f>
        <v>44019</v>
      </c>
      <c r="H438" s="72">
        <f ca="1">IFERROR(__xludf.DUMMYFUNCTION("""COMPUTED_VALUE"""),44020)</f>
        <v>44020</v>
      </c>
      <c r="I438" s="80">
        <f ca="1">IFERROR(__xludf.DUMMYFUNCTION("""COMPUTED_VALUE"""),95)</f>
        <v>95</v>
      </c>
      <c r="J438" s="9" t="str">
        <f ca="1">IFERROR(__xludf.DUMMYFUNCTION("""COMPUTED_VALUE"""),"Dr.P.Ravi Kiran varma")</f>
        <v>Dr.P.Ravi Kiran varma</v>
      </c>
      <c r="K438" s="73" t="str">
        <f ca="1">IFERROR(__xludf.DUMMYFUNCTION("""COMPUTED_VALUE"""),"https://drive.google.com/open?id=1WPfUXhW8cLHgHZxkW5IogO5j-ks-Ep7U")</f>
        <v>https://drive.google.com/open?id=1WPfUXhW8cLHgHZxkW5IogO5j-ks-Ep7U</v>
      </c>
      <c r="L438" s="9" t="str">
        <f ca="1">IFERROR(__xludf.DUMMYFUNCTION("""COMPUTED_VALUE"""),"2018-2022")</f>
        <v>2018-2022</v>
      </c>
      <c r="M438" s="9" t="str">
        <f ca="1">IFERROR(__xludf.DUMMYFUNCTION("""COMPUTED_VALUE"""),"S4: Student Certifications")</f>
        <v>S4: Student Certifications</v>
      </c>
      <c r="N438" s="9" t="str">
        <f ca="1">IFERROR(__xludf.DUMMYFUNCTION("""COMPUTED_VALUE"""),"saiyogeshbhasuru16@gmail.com")</f>
        <v>saiyogeshbhasuru16@gmail.com</v>
      </c>
      <c r="O438" s="9" t="str">
        <f ca="1">IFERROR(__xludf.DUMMYFUNCTION("""COMPUTED_VALUE"""),"SEM-5")</f>
        <v>SEM-5</v>
      </c>
      <c r="P438" s="9"/>
      <c r="Q438" s="9"/>
      <c r="R438" s="9"/>
      <c r="S438" s="9"/>
      <c r="T438" s="9"/>
      <c r="U438" s="9"/>
      <c r="V438" s="9"/>
      <c r="W438" s="9"/>
      <c r="X438" s="9"/>
      <c r="Y438" s="9"/>
    </row>
    <row r="439" spans="1:25" ht="26.25" customHeight="1" x14ac:dyDescent="0.15">
      <c r="A439" s="9" t="str">
        <f ca="1">IFERROR(__xludf.DUMMYFUNCTION("""COMPUTED_VALUE"""),"sruthi")</f>
        <v>sruthi</v>
      </c>
      <c r="B439" s="9" t="str">
        <f ca="1">IFERROR(__xludf.DUMMYFUNCTION("""COMPUTED_VALUE"""),"18331A05C5")</f>
        <v>18331A05C5</v>
      </c>
      <c r="C439" s="78" t="str">
        <f ca="1">IFERROR(__xludf.DUMMYFUNCTION("""COMPUTED_VALUE"""),"python programming")</f>
        <v>python programming</v>
      </c>
      <c r="D439" s="9" t="str">
        <f ca="1">IFERROR(__xludf.DUMMYFUNCTION("""COMPUTED_VALUE"""),"cisco")</f>
        <v>cisco</v>
      </c>
      <c r="E439" s="9" t="str">
        <f ca="1">IFERROR(__xludf.DUMMYFUNCTION("""COMPUTED_VALUE"""),"3months")</f>
        <v>3months</v>
      </c>
      <c r="F439" s="79">
        <f ca="1">IFERROR(__xludf.DUMMYFUNCTION("""COMPUTED_VALUE"""),43835)</f>
        <v>43835</v>
      </c>
      <c r="G439" s="79">
        <f ca="1">IFERROR(__xludf.DUMMYFUNCTION("""COMPUTED_VALUE"""),43895)</f>
        <v>43895</v>
      </c>
      <c r="H439" s="72">
        <f ca="1">IFERROR(__xludf.DUMMYFUNCTION("""COMPUTED_VALUE"""),43920)</f>
        <v>43920</v>
      </c>
      <c r="I439" s="80">
        <f ca="1">IFERROR(__xludf.DUMMYFUNCTION("""COMPUTED_VALUE"""),0.9)</f>
        <v>0.9</v>
      </c>
      <c r="J439" s="9" t="str">
        <f ca="1">IFERROR(__xludf.DUMMYFUNCTION("""COMPUTED_VALUE"""),"DR.P.RAVI KIRAN VARMA")</f>
        <v>DR.P.RAVI KIRAN VARMA</v>
      </c>
      <c r="K439" s="73" t="str">
        <f ca="1">IFERROR(__xludf.DUMMYFUNCTION("""COMPUTED_VALUE"""),"https://drive.google.com/open?id=1InkIWNhqHwMI_EK22-4sYbdW-AcASCU3")</f>
        <v>https://drive.google.com/open?id=1InkIWNhqHwMI_EK22-4sYbdW-AcASCU3</v>
      </c>
      <c r="L439" s="9" t="str">
        <f ca="1">IFERROR(__xludf.DUMMYFUNCTION("""COMPUTED_VALUE"""),"2018-2022")</f>
        <v>2018-2022</v>
      </c>
      <c r="M439" s="9" t="str">
        <f ca="1">IFERROR(__xludf.DUMMYFUNCTION("""COMPUTED_VALUE"""),"S4: Student Certifications")</f>
        <v>S4: Student Certifications</v>
      </c>
      <c r="N439" s="9" t="str">
        <f ca="1">IFERROR(__xludf.DUMMYFUNCTION("""COMPUTED_VALUE"""),"sruthirokalla369@gmail.com")</f>
        <v>sruthirokalla369@gmail.com</v>
      </c>
      <c r="O439" s="9" t="str">
        <f ca="1">IFERROR(__xludf.DUMMYFUNCTION("""COMPUTED_VALUE"""),"SEM-8")</f>
        <v>SEM-8</v>
      </c>
      <c r="P439" s="9"/>
      <c r="Q439" s="9"/>
      <c r="R439" s="9"/>
      <c r="S439" s="9"/>
      <c r="T439" s="9"/>
      <c r="U439" s="9"/>
      <c r="V439" s="9"/>
      <c r="W439" s="9"/>
      <c r="X439" s="9"/>
      <c r="Y439" s="9"/>
    </row>
    <row r="440" spans="1:25" ht="26.25" customHeight="1" x14ac:dyDescent="0.15">
      <c r="A440" s="9" t="str">
        <f ca="1">IFERROR(__xludf.DUMMYFUNCTION("""COMPUTED_VALUE"""),"Sruthi")</f>
        <v>Sruthi</v>
      </c>
      <c r="B440" s="9" t="str">
        <f ca="1">IFERROR(__xludf.DUMMYFUNCTION("""COMPUTED_VALUE"""),"18331A05C5")</f>
        <v>18331A05C5</v>
      </c>
      <c r="C440" s="78" t="str">
        <f ca="1">IFERROR(__xludf.DUMMYFUNCTION("""COMPUTED_VALUE"""),"Cybersecurity Essentials")</f>
        <v>Cybersecurity Essentials</v>
      </c>
      <c r="D440" s="9" t="str">
        <f ca="1">IFERROR(__xludf.DUMMYFUNCTION("""COMPUTED_VALUE"""),"Cisco")</f>
        <v>Cisco</v>
      </c>
      <c r="E440" s="9" t="str">
        <f ca="1">IFERROR(__xludf.DUMMYFUNCTION("""COMPUTED_VALUE"""),"3months")</f>
        <v>3months</v>
      </c>
      <c r="F440" s="79">
        <f ca="1">IFERROR(__xludf.DUMMYFUNCTION("""COMPUTED_VALUE"""),43590)</f>
        <v>43590</v>
      </c>
      <c r="G440" s="79">
        <f ca="1">IFERROR(__xludf.DUMMYFUNCTION("""COMPUTED_VALUE"""),43651)</f>
        <v>43651</v>
      </c>
      <c r="H440" s="72">
        <f ca="1">IFERROR(__xludf.DUMMYFUNCTION("""COMPUTED_VALUE"""),43666)</f>
        <v>43666</v>
      </c>
      <c r="I440" s="80">
        <f ca="1">IFERROR(__xludf.DUMMYFUNCTION("""COMPUTED_VALUE"""),0.9)</f>
        <v>0.9</v>
      </c>
      <c r="J440" s="9" t="str">
        <f ca="1">IFERROR(__xludf.DUMMYFUNCTION("""COMPUTED_VALUE"""),"Dr.P.Ravi kiran varma")</f>
        <v>Dr.P.Ravi kiran varma</v>
      </c>
      <c r="K440" s="73" t="str">
        <f ca="1">IFERROR(__xludf.DUMMYFUNCTION("""COMPUTED_VALUE"""),"https://drive.google.com/open?id=1f_6RyJdXXACjMWev8ca0hIqydzsrtWcs")</f>
        <v>https://drive.google.com/open?id=1f_6RyJdXXACjMWev8ca0hIqydzsrtWcs</v>
      </c>
      <c r="L440" s="9" t="str">
        <f ca="1">IFERROR(__xludf.DUMMYFUNCTION("""COMPUTED_VALUE"""),"2018-2022")</f>
        <v>2018-2022</v>
      </c>
      <c r="M440" s="9" t="str">
        <f ca="1">IFERROR(__xludf.DUMMYFUNCTION("""COMPUTED_VALUE"""),"S4: Student Certifications")</f>
        <v>S4: Student Certifications</v>
      </c>
      <c r="N440" s="9" t="str">
        <f ca="1">IFERROR(__xludf.DUMMYFUNCTION("""COMPUTED_VALUE"""),"sruthirokalla369@gmail.com")</f>
        <v>sruthirokalla369@gmail.com</v>
      </c>
      <c r="O440" s="9" t="str">
        <f ca="1">IFERROR(__xludf.DUMMYFUNCTION("""COMPUTED_VALUE"""),"SEM-8")</f>
        <v>SEM-8</v>
      </c>
      <c r="P440" s="9"/>
      <c r="Q440" s="9"/>
      <c r="R440" s="9"/>
      <c r="S440" s="9"/>
      <c r="T440" s="9"/>
      <c r="U440" s="9"/>
      <c r="V440" s="9"/>
      <c r="W440" s="9"/>
      <c r="X440" s="9"/>
      <c r="Y440" s="9"/>
    </row>
    <row r="441" spans="1:25" ht="26.25" customHeight="1" x14ac:dyDescent="0.15">
      <c r="A441" s="9" t="str">
        <f ca="1">IFERROR(__xludf.DUMMYFUNCTION("""COMPUTED_VALUE"""),"sruthi")</f>
        <v>sruthi</v>
      </c>
      <c r="B441" s="9" t="str">
        <f ca="1">IFERROR(__xludf.DUMMYFUNCTION("""COMPUTED_VALUE"""),"18331A05C5")</f>
        <v>18331A05C5</v>
      </c>
      <c r="C441" s="78" t="str">
        <f ca="1">IFERROR(__xludf.DUMMYFUNCTION("""COMPUTED_VALUE"""),"Introduction to networks")</f>
        <v>Introduction to networks</v>
      </c>
      <c r="D441" s="9" t="str">
        <f ca="1">IFERROR(__xludf.DUMMYFUNCTION("""COMPUTED_VALUE"""),"Cisco")</f>
        <v>Cisco</v>
      </c>
      <c r="E441" s="9" t="str">
        <f ca="1">IFERROR(__xludf.DUMMYFUNCTION("""COMPUTED_VALUE"""),"1month")</f>
        <v>1month</v>
      </c>
      <c r="F441" s="79">
        <f ca="1">IFERROR(__xludf.DUMMYFUNCTION("""COMPUTED_VALUE"""),43933)</f>
        <v>43933</v>
      </c>
      <c r="G441" s="79">
        <f ca="1">IFERROR(__xludf.DUMMYFUNCTION("""COMPUTED_VALUE"""),43963)</f>
        <v>43963</v>
      </c>
      <c r="H441" s="72">
        <f ca="1">IFERROR(__xludf.DUMMYFUNCTION("""COMPUTED_VALUE"""),43965)</f>
        <v>43965</v>
      </c>
      <c r="I441" s="80">
        <f ca="1">IFERROR(__xludf.DUMMYFUNCTION("""COMPUTED_VALUE"""),90)</f>
        <v>90</v>
      </c>
      <c r="J441" s="9" t="str">
        <f ca="1">IFERROR(__xludf.DUMMYFUNCTION("""COMPUTED_VALUE"""),"DR.P.Ravi kiran varma")</f>
        <v>DR.P.Ravi kiran varma</v>
      </c>
      <c r="K441" s="73" t="str">
        <f ca="1">IFERROR(__xludf.DUMMYFUNCTION("""COMPUTED_VALUE"""),"https://drive.google.com/open?id=12XH5RrfL2FOuXr7u4fG9Rx1Bs1pYuF3w")</f>
        <v>https://drive.google.com/open?id=12XH5RrfL2FOuXr7u4fG9Rx1Bs1pYuF3w</v>
      </c>
      <c r="L441" s="9" t="str">
        <f ca="1">IFERROR(__xludf.DUMMYFUNCTION("""COMPUTED_VALUE"""),"2018-2022")</f>
        <v>2018-2022</v>
      </c>
      <c r="M441" s="9" t="str">
        <f ca="1">IFERROR(__xludf.DUMMYFUNCTION("""COMPUTED_VALUE"""),"S4: Student Certifications")</f>
        <v>S4: Student Certifications</v>
      </c>
      <c r="N441" s="9" t="str">
        <f ca="1">IFERROR(__xludf.DUMMYFUNCTION("""COMPUTED_VALUE"""),"sruthirokalla369@gmail.com")</f>
        <v>sruthirokalla369@gmail.com</v>
      </c>
      <c r="O441" s="9" t="str">
        <f ca="1">IFERROR(__xludf.DUMMYFUNCTION("""COMPUTED_VALUE"""),"SEM-8")</f>
        <v>SEM-8</v>
      </c>
      <c r="P441" s="9"/>
      <c r="Q441" s="9"/>
      <c r="R441" s="9"/>
      <c r="S441" s="9"/>
      <c r="T441" s="9"/>
      <c r="U441" s="9"/>
      <c r="V441" s="9"/>
      <c r="W441" s="9"/>
      <c r="X441" s="9"/>
      <c r="Y441" s="9"/>
    </row>
    <row r="442" spans="1:25" ht="26.25" customHeight="1" x14ac:dyDescent="0.15">
      <c r="A442" s="9" t="str">
        <f ca="1">IFERROR(__xludf.DUMMYFUNCTION("""COMPUTED_VALUE"""),"sruthi")</f>
        <v>sruthi</v>
      </c>
      <c r="B442" s="9" t="str">
        <f ca="1">IFERROR(__xludf.DUMMYFUNCTION("""COMPUTED_VALUE"""),"18331A05C5")</f>
        <v>18331A05C5</v>
      </c>
      <c r="C442" s="78" t="str">
        <f ca="1">IFERROR(__xludf.DUMMYFUNCTION("""COMPUTED_VALUE"""),"switching routing and wireless essentials")</f>
        <v>switching routing and wireless essentials</v>
      </c>
      <c r="D442" s="9" t="str">
        <f ca="1">IFERROR(__xludf.DUMMYFUNCTION("""COMPUTED_VALUE"""),"Cisco")</f>
        <v>Cisco</v>
      </c>
      <c r="E442" s="9" t="str">
        <f ca="1">IFERROR(__xludf.DUMMYFUNCTION("""COMPUTED_VALUE"""),"1month")</f>
        <v>1month</v>
      </c>
      <c r="F442" s="79">
        <f ca="1">IFERROR(__xludf.DUMMYFUNCTION("""COMPUTED_VALUE"""),43957)</f>
        <v>43957</v>
      </c>
      <c r="G442" s="79">
        <f ca="1">IFERROR(__xludf.DUMMYFUNCTION("""COMPUTED_VALUE"""),43988)</f>
        <v>43988</v>
      </c>
      <c r="H442" s="72">
        <f ca="1">IFERROR(__xludf.DUMMYFUNCTION("""COMPUTED_VALUE"""),43989)</f>
        <v>43989</v>
      </c>
      <c r="I442" s="80">
        <f ca="1">IFERROR(__xludf.DUMMYFUNCTION("""COMPUTED_VALUE"""),90)</f>
        <v>90</v>
      </c>
      <c r="J442" s="9" t="str">
        <f ca="1">IFERROR(__xludf.DUMMYFUNCTION("""COMPUTED_VALUE"""),"DR.P.Ravi kiran varma")</f>
        <v>DR.P.Ravi kiran varma</v>
      </c>
      <c r="K442" s="73" t="str">
        <f ca="1">IFERROR(__xludf.DUMMYFUNCTION("""COMPUTED_VALUE"""),"https://drive.google.com/open?id=1u7wm-N97PPXgI3ost1CrXrVe66wKvBsJ")</f>
        <v>https://drive.google.com/open?id=1u7wm-N97PPXgI3ost1CrXrVe66wKvBsJ</v>
      </c>
      <c r="L442" s="9" t="str">
        <f ca="1">IFERROR(__xludf.DUMMYFUNCTION("""COMPUTED_VALUE"""),"2018-2022")</f>
        <v>2018-2022</v>
      </c>
      <c r="M442" s="9" t="str">
        <f ca="1">IFERROR(__xludf.DUMMYFUNCTION("""COMPUTED_VALUE"""),"S4: Student Certifications")</f>
        <v>S4: Student Certifications</v>
      </c>
      <c r="N442" s="9" t="str">
        <f ca="1">IFERROR(__xludf.DUMMYFUNCTION("""COMPUTED_VALUE"""),"sruthirokalla369@gmail.com")</f>
        <v>sruthirokalla369@gmail.com</v>
      </c>
      <c r="O442" s="9" t="str">
        <f ca="1">IFERROR(__xludf.DUMMYFUNCTION("""COMPUTED_VALUE"""),"SEM-8")</f>
        <v>SEM-8</v>
      </c>
      <c r="P442" s="9"/>
      <c r="Q442" s="9"/>
      <c r="R442" s="9"/>
      <c r="S442" s="9"/>
      <c r="T442" s="9"/>
      <c r="U442" s="9"/>
      <c r="V442" s="9"/>
      <c r="W442" s="9"/>
      <c r="X442" s="9"/>
      <c r="Y442" s="9"/>
    </row>
    <row r="443" spans="1:25" ht="26.25" customHeight="1" x14ac:dyDescent="0.15">
      <c r="A443" s="9" t="str">
        <f ca="1">IFERROR(__xludf.DUMMYFUNCTION("""COMPUTED_VALUE"""),"Sai Yogesh Bhasuru ")</f>
        <v xml:space="preserve">Sai Yogesh Bhasuru </v>
      </c>
      <c r="B443" s="9" t="str">
        <f ca="1">IFERROR(__xludf.DUMMYFUNCTION("""COMPUTED_VALUE"""),"18331A05D4")</f>
        <v>18331A05D4</v>
      </c>
      <c r="C443" s="78" t="str">
        <f ca="1">IFERROR(__xludf.DUMMYFUNCTION("""COMPUTED_VALUE"""),"Programming essentials in python")</f>
        <v>Programming essentials in python</v>
      </c>
      <c r="D443" s="9" t="str">
        <f ca="1">IFERROR(__xludf.DUMMYFUNCTION("""COMPUTED_VALUE"""),"Cisco ")</f>
        <v xml:space="preserve">Cisco </v>
      </c>
      <c r="E443" s="9" t="str">
        <f ca="1">IFERROR(__xludf.DUMMYFUNCTION("""COMPUTED_VALUE"""),"1 month")</f>
        <v>1 month</v>
      </c>
      <c r="F443" s="79">
        <f ca="1">IFERROR(__xludf.DUMMYFUNCTION("""COMPUTED_VALUE"""),44348)</f>
        <v>44348</v>
      </c>
      <c r="G443" s="79">
        <f ca="1">IFERROR(__xludf.DUMMYFUNCTION("""COMPUTED_VALUE"""),44378)</f>
        <v>44378</v>
      </c>
      <c r="H443" s="72">
        <f ca="1">IFERROR(__xludf.DUMMYFUNCTION("""COMPUTED_VALUE"""),44379)</f>
        <v>44379</v>
      </c>
      <c r="I443" s="80">
        <f ca="1">IFERROR(__xludf.DUMMYFUNCTION("""COMPUTED_VALUE"""),96)</f>
        <v>96</v>
      </c>
      <c r="J443" s="9" t="str">
        <f ca="1">IFERROR(__xludf.DUMMYFUNCTION("""COMPUTED_VALUE"""),"Dr.P.Ravi Kiran varma ")</f>
        <v xml:space="preserve">Dr.P.Ravi Kiran varma </v>
      </c>
      <c r="K443" s="73" t="str">
        <f ca="1">IFERROR(__xludf.DUMMYFUNCTION("""COMPUTED_VALUE"""),"https://drive.google.com/open?id=12zEjCujEAx38R7Mcz3Q5dj-Y8ZmURofK")</f>
        <v>https://drive.google.com/open?id=12zEjCujEAx38R7Mcz3Q5dj-Y8ZmURofK</v>
      </c>
      <c r="L443" s="9" t="str">
        <f ca="1">IFERROR(__xludf.DUMMYFUNCTION("""COMPUTED_VALUE"""),"2018-2022")</f>
        <v>2018-2022</v>
      </c>
      <c r="M443" s="9" t="str">
        <f ca="1">IFERROR(__xludf.DUMMYFUNCTION("""COMPUTED_VALUE"""),"S4: Student Certifications")</f>
        <v>S4: Student Certifications</v>
      </c>
      <c r="N443" s="9" t="str">
        <f ca="1">IFERROR(__xludf.DUMMYFUNCTION("""COMPUTED_VALUE"""),"saiyogeshbhasuru16@gmail.com")</f>
        <v>saiyogeshbhasuru16@gmail.com</v>
      </c>
      <c r="O443" s="9" t="str">
        <f ca="1">IFERROR(__xludf.DUMMYFUNCTION("""COMPUTED_VALUE"""),"SEM-6")</f>
        <v>SEM-6</v>
      </c>
      <c r="P443" s="9"/>
      <c r="Q443" s="9"/>
      <c r="R443" s="9"/>
      <c r="S443" s="9"/>
      <c r="T443" s="9"/>
      <c r="U443" s="9"/>
      <c r="V443" s="9"/>
      <c r="W443" s="9"/>
      <c r="X443" s="9"/>
      <c r="Y443" s="9"/>
    </row>
    <row r="444" spans="1:25" ht="26.25" customHeight="1" x14ac:dyDescent="0.15">
      <c r="A444" s="9" t="str">
        <f ca="1">IFERROR(__xludf.DUMMYFUNCTION("""COMPUTED_VALUE"""),"sruthi")</f>
        <v>sruthi</v>
      </c>
      <c r="B444" s="9" t="str">
        <f ca="1">IFERROR(__xludf.DUMMYFUNCTION("""COMPUTED_VALUE"""),"18331A05C5")</f>
        <v>18331A05C5</v>
      </c>
      <c r="C444" s="78" t="str">
        <f ca="1">IFERROR(__xludf.DUMMYFUNCTION("""COMPUTED_VALUE"""),"Enterprise Networking, Security, and Automation")</f>
        <v>Enterprise Networking, Security, and Automation</v>
      </c>
      <c r="D444" s="9" t="str">
        <f ca="1">IFERROR(__xludf.DUMMYFUNCTION("""COMPUTED_VALUE"""),"Cisco")</f>
        <v>Cisco</v>
      </c>
      <c r="E444" s="9" t="str">
        <f ca="1">IFERROR(__xludf.DUMMYFUNCTION("""COMPUTED_VALUE"""),"1month")</f>
        <v>1month</v>
      </c>
      <c r="F444" s="79">
        <f ca="1">IFERROR(__xludf.DUMMYFUNCTION("""COMPUTED_VALUE"""),-619994)</f>
        <v>-619994</v>
      </c>
      <c r="G444" s="79">
        <f ca="1">IFERROR(__xludf.DUMMYFUNCTION("""COMPUTED_VALUE"""),44019)</f>
        <v>44019</v>
      </c>
      <c r="H444" s="72">
        <f ca="1">IFERROR(__xludf.DUMMYFUNCTION("""COMPUTED_VALUE"""),44020)</f>
        <v>44020</v>
      </c>
      <c r="I444" s="80">
        <f ca="1">IFERROR(__xludf.DUMMYFUNCTION("""COMPUTED_VALUE"""),90)</f>
        <v>90</v>
      </c>
      <c r="J444" s="9" t="str">
        <f ca="1">IFERROR(__xludf.DUMMYFUNCTION("""COMPUTED_VALUE"""),"DR.P.Ravi kiran varma")</f>
        <v>DR.P.Ravi kiran varma</v>
      </c>
      <c r="K444" s="73" t="str">
        <f ca="1">IFERROR(__xludf.DUMMYFUNCTION("""COMPUTED_VALUE"""),"https://drive.google.com/open?id=1qmWYkZ9uNISCKdJ2kUyd6rPe1yQQrs8m")</f>
        <v>https://drive.google.com/open?id=1qmWYkZ9uNISCKdJ2kUyd6rPe1yQQrs8m</v>
      </c>
      <c r="L444" s="9" t="str">
        <f ca="1">IFERROR(__xludf.DUMMYFUNCTION("""COMPUTED_VALUE"""),"2018-2022")</f>
        <v>2018-2022</v>
      </c>
      <c r="M444" s="9" t="str">
        <f ca="1">IFERROR(__xludf.DUMMYFUNCTION("""COMPUTED_VALUE"""),"S4: Student Certifications")</f>
        <v>S4: Student Certifications</v>
      </c>
      <c r="N444" s="9" t="str">
        <f ca="1">IFERROR(__xludf.DUMMYFUNCTION("""COMPUTED_VALUE"""),"sruthirokalla369@gmail.com")</f>
        <v>sruthirokalla369@gmail.com</v>
      </c>
      <c r="O444" s="9" t="str">
        <f ca="1">IFERROR(__xludf.DUMMYFUNCTION("""COMPUTED_VALUE"""),"SEM-8")</f>
        <v>SEM-8</v>
      </c>
      <c r="P444" s="9"/>
      <c r="Q444" s="9"/>
      <c r="R444" s="9"/>
      <c r="S444" s="9"/>
      <c r="T444" s="9"/>
      <c r="U444" s="9"/>
      <c r="V444" s="9"/>
      <c r="W444" s="9"/>
      <c r="X444" s="9"/>
      <c r="Y444" s="9"/>
    </row>
    <row r="445" spans="1:25" ht="26.25" customHeight="1" x14ac:dyDescent="0.15">
      <c r="A445" s="9" t="str">
        <f ca="1">IFERROR(__xludf.DUMMYFUNCTION("""COMPUTED_VALUE"""),"Sai Yogesh Bhasuru ")</f>
        <v xml:space="preserve">Sai Yogesh Bhasuru </v>
      </c>
      <c r="B445" s="9" t="str">
        <f ca="1">IFERROR(__xludf.DUMMYFUNCTION("""COMPUTED_VALUE"""),"18331A05D4")</f>
        <v>18331A05D4</v>
      </c>
      <c r="C445" s="78" t="str">
        <f ca="1">IFERROR(__xludf.DUMMYFUNCTION("""COMPUTED_VALUE"""),"Linux essentials ")</f>
        <v xml:space="preserve">Linux essentials </v>
      </c>
      <c r="D445" s="9" t="str">
        <f ca="1">IFERROR(__xludf.DUMMYFUNCTION("""COMPUTED_VALUE"""),"Cisco")</f>
        <v>Cisco</v>
      </c>
      <c r="E445" s="9" t="str">
        <f ca="1">IFERROR(__xludf.DUMMYFUNCTION("""COMPUTED_VALUE"""),"4 weeks")</f>
        <v>4 weeks</v>
      </c>
      <c r="F445" s="79">
        <f ca="1">IFERROR(__xludf.DUMMYFUNCTION("""COMPUTED_VALUE"""),43931)</f>
        <v>43931</v>
      </c>
      <c r="G445" s="79">
        <f ca="1">IFERROR(__xludf.DUMMYFUNCTION("""COMPUTED_VALUE"""),43961)</f>
        <v>43961</v>
      </c>
      <c r="H445" s="72">
        <f ca="1">IFERROR(__xludf.DUMMYFUNCTION("""COMPUTED_VALUE"""),44327)</f>
        <v>44327</v>
      </c>
      <c r="I445" s="80">
        <f ca="1">IFERROR(__xludf.DUMMYFUNCTION("""COMPUTED_VALUE"""),95)</f>
        <v>95</v>
      </c>
      <c r="J445" s="9" t="str">
        <f ca="1">IFERROR(__xludf.DUMMYFUNCTION("""COMPUTED_VALUE"""),"Dr.P.Ravi Kiran varma")</f>
        <v>Dr.P.Ravi Kiran varma</v>
      </c>
      <c r="K445" s="73" t="str">
        <f ca="1">IFERROR(__xludf.DUMMYFUNCTION("""COMPUTED_VALUE"""),"https://drive.google.com/open?id=1pWjhSz02aRPeh3Gu2nw87YrCPDMuAnNn")</f>
        <v>https://drive.google.com/open?id=1pWjhSz02aRPeh3Gu2nw87YrCPDMuAnNn</v>
      </c>
      <c r="L445" s="9" t="str">
        <f ca="1">IFERROR(__xludf.DUMMYFUNCTION("""COMPUTED_VALUE"""),"2018-2022")</f>
        <v>2018-2022</v>
      </c>
      <c r="M445" s="9" t="str">
        <f ca="1">IFERROR(__xludf.DUMMYFUNCTION("""COMPUTED_VALUE"""),"S4: Student Certifications")</f>
        <v>S4: Student Certifications</v>
      </c>
      <c r="N445" s="9" t="str">
        <f ca="1">IFERROR(__xludf.DUMMYFUNCTION("""COMPUTED_VALUE"""),"saiyogeshbhasuru16@gmail.com")</f>
        <v>saiyogeshbhasuru16@gmail.com</v>
      </c>
      <c r="O445" s="9" t="str">
        <f ca="1">IFERROR(__xludf.DUMMYFUNCTION("""COMPUTED_VALUE"""),"SEM-5")</f>
        <v>SEM-5</v>
      </c>
      <c r="P445" s="9"/>
      <c r="Q445" s="9"/>
      <c r="R445" s="9"/>
      <c r="S445" s="9"/>
      <c r="T445" s="9"/>
      <c r="U445" s="9"/>
      <c r="V445" s="9"/>
      <c r="W445" s="9"/>
      <c r="X445" s="9"/>
      <c r="Y445" s="9"/>
    </row>
    <row r="446" spans="1:25" ht="26.25" customHeight="1" x14ac:dyDescent="0.15">
      <c r="A446" s="9" t="str">
        <f ca="1">IFERROR(__xludf.DUMMYFUNCTION("""COMPUTED_VALUE"""),"sruthi")</f>
        <v>sruthi</v>
      </c>
      <c r="B446" s="9" t="str">
        <f ca="1">IFERROR(__xludf.DUMMYFUNCTION("""COMPUTED_VALUE"""),"18331A05C5")</f>
        <v>18331A05C5</v>
      </c>
      <c r="C446" s="78" t="str">
        <f ca="1">IFERROR(__xludf.DUMMYFUNCTION("""COMPUTED_VALUE"""),"Introduction to Cybersecurity")</f>
        <v>Introduction to Cybersecurity</v>
      </c>
      <c r="D446" s="9" t="str">
        <f ca="1">IFERROR(__xludf.DUMMYFUNCTION("""COMPUTED_VALUE"""),"Cisco")</f>
        <v>Cisco</v>
      </c>
      <c r="E446" s="9" t="str">
        <f ca="1">IFERROR(__xludf.DUMMYFUNCTION("""COMPUTED_VALUE"""),"1month")</f>
        <v>1month</v>
      </c>
      <c r="F446" s="79">
        <f ca="1">IFERROR(__xludf.DUMMYFUNCTION("""COMPUTED_VALUE"""),44328)</f>
        <v>44328</v>
      </c>
      <c r="G446" s="79">
        <f ca="1">IFERROR(__xludf.DUMMYFUNCTION("""COMPUTED_VALUE"""),44330)</f>
        <v>44330</v>
      </c>
      <c r="H446" s="72">
        <f ca="1">IFERROR(__xludf.DUMMYFUNCTION("""COMPUTED_VALUE"""),44331)</f>
        <v>44331</v>
      </c>
      <c r="I446" s="80">
        <f ca="1">IFERROR(__xludf.DUMMYFUNCTION("""COMPUTED_VALUE"""),90)</f>
        <v>90</v>
      </c>
      <c r="J446" s="9" t="str">
        <f ca="1">IFERROR(__xludf.DUMMYFUNCTION("""COMPUTED_VALUE"""),"DR.P.Ravi kiran varma")</f>
        <v>DR.P.Ravi kiran varma</v>
      </c>
      <c r="K446" s="73" t="str">
        <f ca="1">IFERROR(__xludf.DUMMYFUNCTION("""COMPUTED_VALUE"""),"https://drive.google.com/open?id=1rUsvBUcqTc4pCRFgLI6clp8DLaNqSU2s")</f>
        <v>https://drive.google.com/open?id=1rUsvBUcqTc4pCRFgLI6clp8DLaNqSU2s</v>
      </c>
      <c r="L446" s="9" t="str">
        <f ca="1">IFERROR(__xludf.DUMMYFUNCTION("""COMPUTED_VALUE"""),"2018-2022")</f>
        <v>2018-2022</v>
      </c>
      <c r="M446" s="9" t="str">
        <f ca="1">IFERROR(__xludf.DUMMYFUNCTION("""COMPUTED_VALUE"""),"S4: Student Certifications")</f>
        <v>S4: Student Certifications</v>
      </c>
      <c r="N446" s="9" t="str">
        <f ca="1">IFERROR(__xludf.DUMMYFUNCTION("""COMPUTED_VALUE"""),"sruthirokalla369@gmail.com")</f>
        <v>sruthirokalla369@gmail.com</v>
      </c>
      <c r="O446" s="9" t="str">
        <f ca="1">IFERROR(__xludf.DUMMYFUNCTION("""COMPUTED_VALUE"""),"SEM-8")</f>
        <v>SEM-8</v>
      </c>
      <c r="P446" s="9"/>
      <c r="Q446" s="9"/>
      <c r="R446" s="9"/>
      <c r="S446" s="9"/>
      <c r="T446" s="9"/>
      <c r="U446" s="9"/>
      <c r="V446" s="9"/>
      <c r="W446" s="9"/>
      <c r="X446" s="9"/>
      <c r="Y446" s="9"/>
    </row>
    <row r="447" spans="1:25" ht="26.25" customHeight="1" x14ac:dyDescent="0.15">
      <c r="A447" s="9" t="str">
        <f ca="1">IFERROR(__xludf.DUMMYFUNCTION("""COMPUTED_VALUE"""),"sruthi")</f>
        <v>sruthi</v>
      </c>
      <c r="B447" s="9" t="str">
        <f ca="1">IFERROR(__xludf.DUMMYFUNCTION("""COMPUTED_VALUE"""),"18331A05C5")</f>
        <v>18331A05C5</v>
      </c>
      <c r="C447" s="78" t="str">
        <f ca="1">IFERROR(__xludf.DUMMYFUNCTION("""COMPUTED_VALUE"""),"Introduction to Packet Tracer")</f>
        <v>Introduction to Packet Tracer</v>
      </c>
      <c r="D447" s="9" t="str">
        <f ca="1">IFERROR(__xludf.DUMMYFUNCTION("""COMPUTED_VALUE"""),"Cisco")</f>
        <v>Cisco</v>
      </c>
      <c r="E447" s="9" t="str">
        <f ca="1">IFERROR(__xludf.DUMMYFUNCTION("""COMPUTED_VALUE"""),"1month")</f>
        <v>1month</v>
      </c>
      <c r="F447" s="79">
        <f ca="1">IFERROR(__xludf.DUMMYFUNCTION("""COMPUTED_VALUE"""),44383)</f>
        <v>44383</v>
      </c>
      <c r="G447" s="79">
        <f ca="1">IFERROR(__xludf.DUMMYFUNCTION("""COMPUTED_VALUE"""),44384)</f>
        <v>44384</v>
      </c>
      <c r="H447" s="72">
        <f ca="1">IFERROR(__xludf.DUMMYFUNCTION("""COMPUTED_VALUE"""),44387)</f>
        <v>44387</v>
      </c>
      <c r="I447" s="80">
        <f ca="1">IFERROR(__xludf.DUMMYFUNCTION("""COMPUTED_VALUE"""),90)</f>
        <v>90</v>
      </c>
      <c r="J447" s="9" t="str">
        <f ca="1">IFERROR(__xludf.DUMMYFUNCTION("""COMPUTED_VALUE"""),"DR.P.Ravi kiran varma")</f>
        <v>DR.P.Ravi kiran varma</v>
      </c>
      <c r="K447" s="73" t="str">
        <f ca="1">IFERROR(__xludf.DUMMYFUNCTION("""COMPUTED_VALUE"""),"https://drive.google.com/open?id=1zNDTOJTa-loY2JzE0YC6MTK-athBsanK")</f>
        <v>https://drive.google.com/open?id=1zNDTOJTa-loY2JzE0YC6MTK-athBsanK</v>
      </c>
      <c r="L447" s="9" t="str">
        <f ca="1">IFERROR(__xludf.DUMMYFUNCTION("""COMPUTED_VALUE"""),"2018-2022")</f>
        <v>2018-2022</v>
      </c>
      <c r="M447" s="9" t="str">
        <f ca="1">IFERROR(__xludf.DUMMYFUNCTION("""COMPUTED_VALUE"""),"S4: Student Certifications")</f>
        <v>S4: Student Certifications</v>
      </c>
      <c r="N447" s="9" t="str">
        <f ca="1">IFERROR(__xludf.DUMMYFUNCTION("""COMPUTED_VALUE"""),"sruthirokalla369@gmail.com")</f>
        <v>sruthirokalla369@gmail.com</v>
      </c>
      <c r="O447" s="9" t="str">
        <f ca="1">IFERROR(__xludf.DUMMYFUNCTION("""COMPUTED_VALUE"""),"SEM-8")</f>
        <v>SEM-8</v>
      </c>
      <c r="P447" s="9"/>
      <c r="Q447" s="9"/>
      <c r="R447" s="9"/>
      <c r="S447" s="9"/>
      <c r="T447" s="9"/>
      <c r="U447" s="9"/>
      <c r="V447" s="9"/>
      <c r="W447" s="9"/>
      <c r="X447" s="9"/>
      <c r="Y447" s="9"/>
    </row>
    <row r="448" spans="1:25" ht="26.25" customHeight="1" x14ac:dyDescent="0.15">
      <c r="A448" s="9" t="str">
        <f ca="1">IFERROR(__xludf.DUMMYFUNCTION("""COMPUTED_VALUE"""),"sruthi")</f>
        <v>sruthi</v>
      </c>
      <c r="B448" s="9" t="str">
        <f ca="1">IFERROR(__xludf.DUMMYFUNCTION("""COMPUTED_VALUE"""),"18331A05C5")</f>
        <v>18331A05C5</v>
      </c>
      <c r="C448" s="78" t="str">
        <f ca="1">IFERROR(__xludf.DUMMYFUNCTION("""COMPUTED_VALUE"""),"Programming Essentials in C++")</f>
        <v>Programming Essentials in C++</v>
      </c>
      <c r="D448" s="9" t="str">
        <f ca="1">IFERROR(__xludf.DUMMYFUNCTION("""COMPUTED_VALUE"""),"Cisco")</f>
        <v>Cisco</v>
      </c>
      <c r="E448" s="9" t="str">
        <f ca="1">IFERROR(__xludf.DUMMYFUNCTION("""COMPUTED_VALUE"""),"3months")</f>
        <v>3months</v>
      </c>
      <c r="F448" s="79">
        <f ca="1">IFERROR(__xludf.DUMMYFUNCTION("""COMPUTED_VALUE"""),43988)</f>
        <v>43988</v>
      </c>
      <c r="G448" s="79">
        <f ca="1">IFERROR(__xludf.DUMMYFUNCTION("""COMPUTED_VALUE"""),44050)</f>
        <v>44050</v>
      </c>
      <c r="H448" s="72">
        <f ca="1">IFERROR(__xludf.DUMMYFUNCTION("""COMPUTED_VALUE"""),44054)</f>
        <v>44054</v>
      </c>
      <c r="I448" s="80">
        <f ca="1">IFERROR(__xludf.DUMMYFUNCTION("""COMPUTED_VALUE"""),90)</f>
        <v>90</v>
      </c>
      <c r="J448" s="9" t="str">
        <f ca="1">IFERROR(__xludf.DUMMYFUNCTION("""COMPUTED_VALUE"""),"DR.P.Ravi kiran varma")</f>
        <v>DR.P.Ravi kiran varma</v>
      </c>
      <c r="K448" s="73" t="str">
        <f ca="1">IFERROR(__xludf.DUMMYFUNCTION("""COMPUTED_VALUE"""),"https://drive.google.com/open?id=1EJO0XC5P_pLAqOf-2Q8rbY0TxHWpxzxX")</f>
        <v>https://drive.google.com/open?id=1EJO0XC5P_pLAqOf-2Q8rbY0TxHWpxzxX</v>
      </c>
      <c r="L448" s="9" t="str">
        <f ca="1">IFERROR(__xludf.DUMMYFUNCTION("""COMPUTED_VALUE"""),"2018-2022")</f>
        <v>2018-2022</v>
      </c>
      <c r="M448" s="9" t="str">
        <f ca="1">IFERROR(__xludf.DUMMYFUNCTION("""COMPUTED_VALUE"""),"S4: Student Certifications")</f>
        <v>S4: Student Certifications</v>
      </c>
      <c r="N448" s="9" t="str">
        <f ca="1">IFERROR(__xludf.DUMMYFUNCTION("""COMPUTED_VALUE"""),"sruthirokalla369@gmail.com")</f>
        <v>sruthirokalla369@gmail.com</v>
      </c>
      <c r="O448" s="9" t="str">
        <f ca="1">IFERROR(__xludf.DUMMYFUNCTION("""COMPUTED_VALUE"""),"SEM-8")</f>
        <v>SEM-8</v>
      </c>
      <c r="P448" s="9"/>
      <c r="Q448" s="9"/>
      <c r="R448" s="9"/>
      <c r="S448" s="9"/>
      <c r="T448" s="9"/>
      <c r="U448" s="9"/>
      <c r="V448" s="9"/>
      <c r="W448" s="9"/>
      <c r="X448" s="9"/>
      <c r="Y448" s="9"/>
    </row>
    <row r="449" spans="1:25" ht="26.25" customHeight="1" x14ac:dyDescent="0.15">
      <c r="A449" s="9" t="str">
        <f ca="1">IFERROR(__xludf.DUMMYFUNCTION("""COMPUTED_VALUE"""),"Venkata Surya Pranay Mamidipalli ")</f>
        <v xml:space="preserve">Venkata Surya Pranay Mamidipalli </v>
      </c>
      <c r="B449" s="9" t="str">
        <f ca="1">IFERROR(__xludf.DUMMYFUNCTION("""COMPUTED_VALUE"""),"20331A05A5 ")</f>
        <v xml:space="preserve">20331A05A5 </v>
      </c>
      <c r="C449" s="78" t="str">
        <f ca="1">IFERROR(__xludf.DUMMYFUNCTION("""COMPUTED_VALUE"""),"IT ESSENTIALS")</f>
        <v>IT ESSENTIALS</v>
      </c>
      <c r="D449" s="9" t="str">
        <f ca="1">IFERROR(__xludf.DUMMYFUNCTION("""COMPUTED_VALUE"""),"CISCO")</f>
        <v>CISCO</v>
      </c>
      <c r="E449" s="9" t="str">
        <f ca="1">IFERROR(__xludf.DUMMYFUNCTION("""COMPUTED_VALUE"""),"10 weeks")</f>
        <v>10 weeks</v>
      </c>
      <c r="F449" s="79">
        <f ca="1">IFERROR(__xludf.DUMMYFUNCTION("""COMPUTED_VALUE"""),44695)</f>
        <v>44695</v>
      </c>
      <c r="G449" s="79">
        <f ca="1">IFERROR(__xludf.DUMMYFUNCTION("""COMPUTED_VALUE"""),44388)</f>
        <v>44388</v>
      </c>
      <c r="H449" s="72">
        <f ca="1">IFERROR(__xludf.DUMMYFUNCTION("""COMPUTED_VALUE"""),44388)</f>
        <v>44388</v>
      </c>
      <c r="I449" s="80">
        <f ca="1">IFERROR(__xludf.DUMMYFUNCTION("""COMPUTED_VALUE"""),0.94)</f>
        <v>0.94</v>
      </c>
      <c r="J449" s="9" t="str">
        <f ca="1">IFERROR(__xludf.DUMMYFUNCTION("""COMPUTED_VALUE"""),"K.V.SUBBARAJU")</f>
        <v>K.V.SUBBARAJU</v>
      </c>
      <c r="K449" s="73" t="str">
        <f ca="1">IFERROR(__xludf.DUMMYFUNCTION("""COMPUTED_VALUE"""),"https://drive.google.com/open?id=1QtbtvLWTBhNXZvDVypiun7FhSG7Wn0YN")</f>
        <v>https://drive.google.com/open?id=1QtbtvLWTBhNXZvDVypiun7FhSG7Wn0YN</v>
      </c>
      <c r="L449" s="9" t="str">
        <f ca="1">IFERROR(__xludf.DUMMYFUNCTION("""COMPUTED_VALUE"""),"2020-2024")</f>
        <v>2020-2024</v>
      </c>
      <c r="M449" s="9" t="str">
        <f ca="1">IFERROR(__xludf.DUMMYFUNCTION("""COMPUTED_VALUE"""),"S4: Student Certifications")</f>
        <v>S4: Student Certifications</v>
      </c>
      <c r="N449" s="9" t="str">
        <f ca="1">IFERROR(__xludf.DUMMYFUNCTION("""COMPUTED_VALUE"""),"suryapranaymamidipalli@gmail.com")</f>
        <v>suryapranaymamidipalli@gmail.com</v>
      </c>
      <c r="O449" s="9" t="str">
        <f ca="1">IFERROR(__xludf.DUMMYFUNCTION("""COMPUTED_VALUE"""),"SEM-4")</f>
        <v>SEM-4</v>
      </c>
      <c r="P449" s="9"/>
      <c r="Q449" s="9"/>
      <c r="R449" s="9"/>
      <c r="S449" s="9"/>
      <c r="T449" s="9"/>
      <c r="U449" s="9"/>
      <c r="V449" s="9"/>
      <c r="W449" s="9"/>
      <c r="X449" s="9"/>
      <c r="Y449" s="9"/>
    </row>
    <row r="450" spans="1:25" ht="26.25" customHeight="1" x14ac:dyDescent="0.15">
      <c r="A450" s="9" t="str">
        <f ca="1">IFERROR(__xludf.DUMMYFUNCTION("""COMPUTED_VALUE"""),"Venkata surya pranay Mamidipalli ")</f>
        <v xml:space="preserve">Venkata surya pranay Mamidipalli </v>
      </c>
      <c r="B450" s="9" t="str">
        <f ca="1">IFERROR(__xludf.DUMMYFUNCTION("""COMPUTED_VALUE"""),"20331A05A5 ")</f>
        <v xml:space="preserve">20331A05A5 </v>
      </c>
      <c r="C450" s="78" t="str">
        <f ca="1">IFERROR(__xludf.DUMMYFUNCTION("""COMPUTED_VALUE"""),"NDG LINUX ESSENTIALS")</f>
        <v>NDG LINUX ESSENTIALS</v>
      </c>
      <c r="D450" s="9" t="str">
        <f ca="1">IFERROR(__xludf.DUMMYFUNCTION("""COMPUTED_VALUE"""),"CISCO")</f>
        <v>CISCO</v>
      </c>
      <c r="E450" s="9" t="str">
        <f ca="1">IFERROR(__xludf.DUMMYFUNCTION("""COMPUTED_VALUE"""),"5 months")</f>
        <v>5 months</v>
      </c>
      <c r="F450" s="79">
        <f ca="1">IFERROR(__xludf.DUMMYFUNCTION("""COMPUTED_VALUE"""),44488)</f>
        <v>44488</v>
      </c>
      <c r="G450" s="79">
        <f ca="1">IFERROR(__xludf.DUMMYFUNCTION("""COMPUTED_VALUE"""),44651)</f>
        <v>44651</v>
      </c>
      <c r="H450" s="72">
        <f ca="1">IFERROR(__xludf.DUMMYFUNCTION("""COMPUTED_VALUE"""),44651)</f>
        <v>44651</v>
      </c>
      <c r="I450" s="80">
        <f ca="1">IFERROR(__xludf.DUMMYFUNCTION("""COMPUTED_VALUE"""),0.9)</f>
        <v>0.9</v>
      </c>
      <c r="J450" s="9" t="str">
        <f ca="1">IFERROR(__xludf.DUMMYFUNCTION("""COMPUTED_VALUE"""),"K.V.SUBBARAJU ")</f>
        <v xml:space="preserve">K.V.SUBBARAJU </v>
      </c>
      <c r="K450" s="73" t="str">
        <f ca="1">IFERROR(__xludf.DUMMYFUNCTION("""COMPUTED_VALUE"""),"https://drive.google.com/open?id=1MyCa2fivlqQ7bcs1S2McWuvIsY-7DS9G")</f>
        <v>https://drive.google.com/open?id=1MyCa2fivlqQ7bcs1S2McWuvIsY-7DS9G</v>
      </c>
      <c r="L450" s="9" t="str">
        <f ca="1">IFERROR(__xludf.DUMMYFUNCTION("""COMPUTED_VALUE"""),"2020-2024")</f>
        <v>2020-2024</v>
      </c>
      <c r="M450" s="9" t="str">
        <f ca="1">IFERROR(__xludf.DUMMYFUNCTION("""COMPUTED_VALUE"""),"S4: Student Certifications")</f>
        <v>S4: Student Certifications</v>
      </c>
      <c r="N450" s="9" t="str">
        <f ca="1">IFERROR(__xludf.DUMMYFUNCTION("""COMPUTED_VALUE"""),"suryapranaymamidipalli@gmail.com")</f>
        <v>suryapranaymamidipalli@gmail.com</v>
      </c>
      <c r="O450" s="9" t="str">
        <f ca="1">IFERROR(__xludf.DUMMYFUNCTION("""COMPUTED_VALUE"""),"SEM-4")</f>
        <v>SEM-4</v>
      </c>
      <c r="P450" s="9"/>
      <c r="Q450" s="9"/>
      <c r="R450" s="9"/>
      <c r="S450" s="9"/>
      <c r="T450" s="9"/>
      <c r="U450" s="9"/>
      <c r="V450" s="9"/>
      <c r="W450" s="9"/>
      <c r="X450" s="9"/>
      <c r="Y450" s="9"/>
    </row>
    <row r="451" spans="1:25" ht="26.25" customHeight="1" x14ac:dyDescent="0.15">
      <c r="A451" s="9" t="str">
        <f ca="1">IFERROR(__xludf.DUMMYFUNCTION("""COMPUTED_VALUE"""),"Mudili Kavya")</f>
        <v>Mudili Kavya</v>
      </c>
      <c r="B451" s="9" t="str">
        <f ca="1">IFERROR(__xludf.DUMMYFUNCTION("""COMPUTED_VALUE"""),"18331A05A1")</f>
        <v>18331A05A1</v>
      </c>
      <c r="C451" s="78" t="str">
        <f ca="1">IFERROR(__xludf.DUMMYFUNCTION("""COMPUTED_VALUE"""),"Machine Learning Using Python")</f>
        <v>Machine Learning Using Python</v>
      </c>
      <c r="D451" s="9" t="str">
        <f ca="1">IFERROR(__xludf.DUMMYFUNCTION("""COMPUTED_VALUE"""),"Andhra Pradesh State Skill Development Corporation(APSSDC)")</f>
        <v>Andhra Pradesh State Skill Development Corporation(APSSDC)</v>
      </c>
      <c r="E451" s="9" t="str">
        <f ca="1">IFERROR(__xludf.DUMMYFUNCTION("""COMPUTED_VALUE"""),"3 Weeks")</f>
        <v>3 Weeks</v>
      </c>
      <c r="F451" s="79">
        <f ca="1">IFERROR(__xludf.DUMMYFUNCTION("""COMPUTED_VALUE"""),44354)</f>
        <v>44354</v>
      </c>
      <c r="G451" s="79">
        <f ca="1">IFERROR(__xludf.DUMMYFUNCTION("""COMPUTED_VALUE"""),44738)</f>
        <v>44738</v>
      </c>
      <c r="H451" s="72">
        <f ca="1">IFERROR(__xludf.DUMMYFUNCTION("""COMPUTED_VALUE"""),44372)</f>
        <v>44372</v>
      </c>
      <c r="I451" s="80"/>
      <c r="J451" s="9" t="str">
        <f ca="1">IFERROR(__xludf.DUMMYFUNCTION("""COMPUTED_VALUE"""),"NA")</f>
        <v>NA</v>
      </c>
      <c r="K451" s="73" t="str">
        <f ca="1">IFERROR(__xludf.DUMMYFUNCTION("""COMPUTED_VALUE"""),"https://drive.google.com/open?id=1oaGjs8hJ2R12P4G98dW9kU2e-yGO4_xl")</f>
        <v>https://drive.google.com/open?id=1oaGjs8hJ2R12P4G98dW9kU2e-yGO4_xl</v>
      </c>
      <c r="L451" s="9" t="str">
        <f ca="1">IFERROR(__xludf.DUMMYFUNCTION("""COMPUTED_VALUE"""),"2018-2022")</f>
        <v>2018-2022</v>
      </c>
      <c r="M451" s="9" t="str">
        <f ca="1">IFERROR(__xludf.DUMMYFUNCTION("""COMPUTED_VALUE"""),"S4: Student Certifications")</f>
        <v>S4: Student Certifications</v>
      </c>
      <c r="N451" s="9" t="str">
        <f ca="1">IFERROR(__xludf.DUMMYFUNCTION("""COMPUTED_VALUE"""),"kavyamudili2001@gmail.com")</f>
        <v>kavyamudili2001@gmail.com</v>
      </c>
      <c r="O451" s="9" t="str">
        <f ca="1">IFERROR(__xludf.DUMMYFUNCTION("""COMPUTED_VALUE"""),"SEM-8")</f>
        <v>SEM-8</v>
      </c>
      <c r="P451" s="9"/>
      <c r="Q451" s="9"/>
      <c r="R451" s="9"/>
      <c r="S451" s="9"/>
      <c r="T451" s="9"/>
      <c r="U451" s="9"/>
      <c r="V451" s="9"/>
      <c r="W451" s="9"/>
      <c r="X451" s="9"/>
      <c r="Y451" s="9"/>
    </row>
    <row r="452" spans="1:25" ht="26.25" customHeight="1" x14ac:dyDescent="0.15">
      <c r="A452" s="9" t="str">
        <f ca="1">IFERROR(__xludf.DUMMYFUNCTION("""COMPUTED_VALUE"""),"Kavya Mudili")</f>
        <v>Kavya Mudili</v>
      </c>
      <c r="B452" s="9" t="str">
        <f ca="1">IFERROR(__xludf.DUMMYFUNCTION("""COMPUTED_VALUE"""),"18331A05A1")</f>
        <v>18331A05A1</v>
      </c>
      <c r="C452" s="78" t="str">
        <f ca="1">IFERROR(__xludf.DUMMYFUNCTION("""COMPUTED_VALUE"""),"Cyber Security  Essentials")</f>
        <v>Cyber Security  Essentials</v>
      </c>
      <c r="D452" s="9" t="str">
        <f ca="1">IFERROR(__xludf.DUMMYFUNCTION("""COMPUTED_VALUE"""),"Cisco")</f>
        <v>Cisco</v>
      </c>
      <c r="E452" s="9" t="str">
        <f ca="1">IFERROR(__xludf.DUMMYFUNCTION("""COMPUTED_VALUE"""),"12 weeks")</f>
        <v>12 weeks</v>
      </c>
      <c r="F452" s="79">
        <f ca="1">IFERROR(__xludf.DUMMYFUNCTION("""COMPUTED_VALUE"""),44677)</f>
        <v>44677</v>
      </c>
      <c r="G452" s="79">
        <f ca="1">IFERROR(__xludf.DUMMYFUNCTION("""COMPUTED_VALUE"""),43672)</f>
        <v>43672</v>
      </c>
      <c r="H452" s="72">
        <f ca="1">IFERROR(__xludf.DUMMYFUNCTION("""COMPUTED_VALUE"""),43672)</f>
        <v>43672</v>
      </c>
      <c r="I452" s="80"/>
      <c r="J452" s="9" t="str">
        <f ca="1">IFERROR(__xludf.DUMMYFUNCTION("""COMPUTED_VALUE"""),"DR. RAVI KIRAN VARMA PENMATSA")</f>
        <v>DR. RAVI KIRAN VARMA PENMATSA</v>
      </c>
      <c r="K452" s="73" t="str">
        <f ca="1">IFERROR(__xludf.DUMMYFUNCTION("""COMPUTED_VALUE"""),"https://drive.google.com/open?id=1Wawjw-L04QCVpBY0em0_Y1SQLmOVcqrO")</f>
        <v>https://drive.google.com/open?id=1Wawjw-L04QCVpBY0em0_Y1SQLmOVcqrO</v>
      </c>
      <c r="L452" s="9" t="str">
        <f ca="1">IFERROR(__xludf.DUMMYFUNCTION("""COMPUTED_VALUE"""),"2018-2022")</f>
        <v>2018-2022</v>
      </c>
      <c r="M452" s="9" t="str">
        <f ca="1">IFERROR(__xludf.DUMMYFUNCTION("""COMPUTED_VALUE"""),"S4: Student Certifications")</f>
        <v>S4: Student Certifications</v>
      </c>
      <c r="N452" s="9" t="str">
        <f ca="1">IFERROR(__xludf.DUMMYFUNCTION("""COMPUTED_VALUE"""),"kavyamudili2001@gmail.com")</f>
        <v>kavyamudili2001@gmail.com</v>
      </c>
      <c r="O452" s="9" t="str">
        <f ca="1">IFERROR(__xludf.DUMMYFUNCTION("""COMPUTED_VALUE"""),"SEM-8")</f>
        <v>SEM-8</v>
      </c>
      <c r="P452" s="9"/>
      <c r="Q452" s="9"/>
      <c r="R452" s="9"/>
      <c r="S452" s="9"/>
      <c r="T452" s="9"/>
      <c r="U452" s="9"/>
      <c r="V452" s="9"/>
      <c r="W452" s="9"/>
      <c r="X452" s="9"/>
      <c r="Y452" s="9"/>
    </row>
    <row r="453" spans="1:25" ht="26.25" customHeight="1" x14ac:dyDescent="0.15">
      <c r="A453" s="9" t="str">
        <f ca="1">IFERROR(__xludf.DUMMYFUNCTION("""COMPUTED_VALUE"""),"DEVARAJU")</f>
        <v>DEVARAJU</v>
      </c>
      <c r="B453" s="9" t="str">
        <f ca="1">IFERROR(__xludf.DUMMYFUNCTION("""COMPUTED_VALUE"""),"20331A0592")</f>
        <v>20331A0592</v>
      </c>
      <c r="C453" s="78" t="str">
        <f ca="1">IFERROR(__xludf.DUMMYFUNCTION("""COMPUTED_VALUE"""),"NDG Linux Essentials")</f>
        <v>NDG Linux Essentials</v>
      </c>
      <c r="D453" s="9" t="str">
        <f ca="1">IFERROR(__xludf.DUMMYFUNCTION("""COMPUTED_VALUE"""),"Cisco")</f>
        <v>Cisco</v>
      </c>
      <c r="E453" s="9" t="str">
        <f ca="1">IFERROR(__xludf.DUMMYFUNCTION("""COMPUTED_VALUE"""),"10 weeks")</f>
        <v>10 weeks</v>
      </c>
      <c r="F453" s="79">
        <f ca="1">IFERROR(__xludf.DUMMYFUNCTION("""COMPUTED_VALUE"""),44481)</f>
        <v>44481</v>
      </c>
      <c r="G453" s="79">
        <f ca="1">IFERROR(__xludf.DUMMYFUNCTION("""COMPUTED_VALUE"""),44573)</f>
        <v>44573</v>
      </c>
      <c r="H453" s="72">
        <f ca="1">IFERROR(__xludf.DUMMYFUNCTION("""COMPUTED_VALUE"""),44573)</f>
        <v>44573</v>
      </c>
      <c r="I453" s="80">
        <f ca="1">IFERROR(__xludf.DUMMYFUNCTION("""COMPUTED_VALUE"""),0.9)</f>
        <v>0.9</v>
      </c>
      <c r="J453" s="9" t="str">
        <f ca="1">IFERROR(__xludf.DUMMYFUNCTION("""COMPUTED_VALUE"""),"K .V .SubbaRaju")</f>
        <v>K .V .SubbaRaju</v>
      </c>
      <c r="K453" s="73" t="str">
        <f ca="1">IFERROR(__xludf.DUMMYFUNCTION("""COMPUTED_VALUE"""),"https://drive.google.com/open?id=1Z1JVlWAsHNb0NSCqusVw79G3BCC4Y88H")</f>
        <v>https://drive.google.com/open?id=1Z1JVlWAsHNb0NSCqusVw79G3BCC4Y88H</v>
      </c>
      <c r="L453" s="9" t="str">
        <f ca="1">IFERROR(__xludf.DUMMYFUNCTION("""COMPUTED_VALUE"""),"2020-2024")</f>
        <v>2020-2024</v>
      </c>
      <c r="M453" s="9" t="str">
        <f ca="1">IFERROR(__xludf.DUMMYFUNCTION("""COMPUTED_VALUE"""),"S4: Student Certifications")</f>
        <v>S4: Student Certifications</v>
      </c>
      <c r="N453" s="9" t="str">
        <f ca="1">IFERROR(__xludf.DUMMYFUNCTION("""COMPUTED_VALUE"""),"devaraj20112002@gmail.com")</f>
        <v>devaraj20112002@gmail.com</v>
      </c>
      <c r="O453" s="9" t="str">
        <f ca="1">IFERROR(__xludf.DUMMYFUNCTION("""COMPUTED_VALUE"""),"SEM-4")</f>
        <v>SEM-4</v>
      </c>
      <c r="P453" s="9"/>
      <c r="Q453" s="9"/>
      <c r="R453" s="9"/>
      <c r="S453" s="9"/>
      <c r="T453" s="9"/>
      <c r="U453" s="9"/>
      <c r="V453" s="9"/>
      <c r="W453" s="9"/>
      <c r="X453" s="9"/>
      <c r="Y453" s="9"/>
    </row>
    <row r="454" spans="1:25" ht="26.25" customHeight="1" x14ac:dyDescent="0.15">
      <c r="A454" s="9" t="str">
        <f ca="1">IFERROR(__xludf.DUMMYFUNCTION("""COMPUTED_VALUE"""),"Imandi swathi")</f>
        <v>Imandi swathi</v>
      </c>
      <c r="B454" s="9" t="str">
        <f ca="1">IFERROR(__xludf.DUMMYFUNCTION("""COMPUTED_VALUE"""),"20331A0572")</f>
        <v>20331A0572</v>
      </c>
      <c r="C454" s="78" t="str">
        <f ca="1">IFERROR(__xludf.DUMMYFUNCTION("""COMPUTED_VALUE"""),"NDG Linux")</f>
        <v>NDG Linux</v>
      </c>
      <c r="D454" s="9" t="str">
        <f ca="1">IFERROR(__xludf.DUMMYFUNCTION("""COMPUTED_VALUE"""),"Cisco")</f>
        <v>Cisco</v>
      </c>
      <c r="E454" s="9" t="str">
        <f ca="1">IFERROR(__xludf.DUMMYFUNCTION("""COMPUTED_VALUE"""),"10 weeks")</f>
        <v>10 weeks</v>
      </c>
      <c r="F454" s="79">
        <f ca="1">IFERROR(__xludf.DUMMYFUNCTION("""COMPUTED_VALUE"""),44481)</f>
        <v>44481</v>
      </c>
      <c r="G454" s="79">
        <f ca="1">IFERROR(__xludf.DUMMYFUNCTION("""COMPUTED_VALUE"""),44573)</f>
        <v>44573</v>
      </c>
      <c r="H454" s="72">
        <f ca="1">IFERROR(__xludf.DUMMYFUNCTION("""COMPUTED_VALUE"""),44573)</f>
        <v>44573</v>
      </c>
      <c r="I454" s="80">
        <f ca="1">IFERROR(__xludf.DUMMYFUNCTION("""COMPUTED_VALUE"""),0.9)</f>
        <v>0.9</v>
      </c>
      <c r="J454" s="9" t="str">
        <f ca="1">IFERROR(__xludf.DUMMYFUNCTION("""COMPUTED_VALUE"""),"K V subbaraju")</f>
        <v>K V subbaraju</v>
      </c>
      <c r="K454" s="73" t="str">
        <f ca="1">IFERROR(__xludf.DUMMYFUNCTION("""COMPUTED_VALUE"""),"https://drive.google.com/open?id=1cqxllut2Fduqdqm6ZeBOazCpG_Pq87iB")</f>
        <v>https://drive.google.com/open?id=1cqxllut2Fduqdqm6ZeBOazCpG_Pq87iB</v>
      </c>
      <c r="L454" s="9" t="str">
        <f ca="1">IFERROR(__xludf.DUMMYFUNCTION("""COMPUTED_VALUE"""),"2020-2024")</f>
        <v>2020-2024</v>
      </c>
      <c r="M454" s="9" t="str">
        <f ca="1">IFERROR(__xludf.DUMMYFUNCTION("""COMPUTED_VALUE"""),"S4: Student Certifications")</f>
        <v>S4: Student Certifications</v>
      </c>
      <c r="N454" s="9" t="str">
        <f ca="1">IFERROR(__xludf.DUMMYFUNCTION("""COMPUTED_VALUE"""),"imandiswathi821@gmail.com")</f>
        <v>imandiswathi821@gmail.com</v>
      </c>
      <c r="O454" s="9" t="str">
        <f ca="1">IFERROR(__xludf.DUMMYFUNCTION("""COMPUTED_VALUE"""),"SEM-2")</f>
        <v>SEM-2</v>
      </c>
      <c r="P454" s="9"/>
      <c r="Q454" s="9"/>
      <c r="R454" s="9"/>
      <c r="S454" s="9"/>
      <c r="T454" s="9"/>
      <c r="U454" s="9"/>
      <c r="V454" s="9"/>
      <c r="W454" s="9"/>
      <c r="X454" s="9"/>
      <c r="Y454" s="9"/>
    </row>
    <row r="455" spans="1:25" ht="26.25" customHeight="1" x14ac:dyDescent="0.15">
      <c r="A455" s="9" t="str">
        <f ca="1">IFERROR(__xludf.DUMMYFUNCTION("""COMPUTED_VALUE"""),"Jami Harshini")</f>
        <v>Jami Harshini</v>
      </c>
      <c r="B455" s="9" t="str">
        <f ca="1">IFERROR(__xludf.DUMMYFUNCTION("""COMPUTED_VALUE"""),"18331A0560")</f>
        <v>18331A0560</v>
      </c>
      <c r="C455" s="78" t="str">
        <f ca="1">IFERROR(__xludf.DUMMYFUNCTION("""COMPUTED_VALUE"""),"Web design for web developers")</f>
        <v>Web design for web developers</v>
      </c>
      <c r="D455" s="9" t="str">
        <f ca="1">IFERROR(__xludf.DUMMYFUNCTION("""COMPUTED_VALUE"""),"Udemy")</f>
        <v>Udemy</v>
      </c>
      <c r="E455" s="9" t="str">
        <f ca="1">IFERROR(__xludf.DUMMYFUNCTION("""COMPUTED_VALUE"""),"3 hours")</f>
        <v>3 hours</v>
      </c>
      <c r="F455" s="79">
        <f ca="1">IFERROR(__xludf.DUMMYFUNCTION("""COMPUTED_VALUE"""),43990)</f>
        <v>43990</v>
      </c>
      <c r="G455" s="79">
        <f ca="1">IFERROR(__xludf.DUMMYFUNCTION("""COMPUTED_VALUE"""),44001)</f>
        <v>44001</v>
      </c>
      <c r="H455" s="72">
        <f ca="1">IFERROR(__xludf.DUMMYFUNCTION("""COMPUTED_VALUE"""),44668)</f>
        <v>44668</v>
      </c>
      <c r="I455" s="80">
        <f ca="1">IFERROR(__xludf.DUMMYFUNCTION("""COMPUTED_VALUE"""),94)</f>
        <v>94</v>
      </c>
      <c r="J455" s="9" t="str">
        <f ca="1">IFERROR(__xludf.DUMMYFUNCTION("""COMPUTED_VALUE"""),"Jonas Schmedtmann")</f>
        <v>Jonas Schmedtmann</v>
      </c>
      <c r="K455" s="73" t="str">
        <f ca="1">IFERROR(__xludf.DUMMYFUNCTION("""COMPUTED_VALUE"""),"https://drive.google.com/open?id=1sDjV3n0ZaZV91dbGI3HkFjaboiqhhNg-")</f>
        <v>https://drive.google.com/open?id=1sDjV3n0ZaZV91dbGI3HkFjaboiqhhNg-</v>
      </c>
      <c r="L455" s="9" t="str">
        <f ca="1">IFERROR(__xludf.DUMMYFUNCTION("""COMPUTED_VALUE"""),"2018-2022")</f>
        <v>2018-2022</v>
      </c>
      <c r="M455" s="9" t="str">
        <f ca="1">IFERROR(__xludf.DUMMYFUNCTION("""COMPUTED_VALUE"""),"S4: Student Certifications")</f>
        <v>S4: Student Certifications</v>
      </c>
      <c r="N455" s="9" t="str">
        <f ca="1">IFERROR(__xludf.DUMMYFUNCTION("""COMPUTED_VALUE"""),"jamiharshini123@gmail.com")</f>
        <v>jamiharshini123@gmail.com</v>
      </c>
      <c r="O455" s="9" t="str">
        <f ca="1">IFERROR(__xludf.DUMMYFUNCTION("""COMPUTED_VALUE"""),"SEM-8")</f>
        <v>SEM-8</v>
      </c>
      <c r="P455" s="9"/>
      <c r="Q455" s="9"/>
      <c r="R455" s="9"/>
      <c r="S455" s="9"/>
      <c r="T455" s="9"/>
      <c r="U455" s="9"/>
      <c r="V455" s="9"/>
      <c r="W455" s="9"/>
      <c r="X455" s="9"/>
      <c r="Y455" s="9"/>
    </row>
    <row r="456" spans="1:25" ht="26.25" customHeight="1" x14ac:dyDescent="0.15">
      <c r="A456" s="9" t="str">
        <f ca="1">IFERROR(__xludf.DUMMYFUNCTION("""COMPUTED_VALUE"""),"Jami Harshini")</f>
        <v>Jami Harshini</v>
      </c>
      <c r="B456" s="9" t="str">
        <f ca="1">IFERROR(__xludf.DUMMYFUNCTION("""COMPUTED_VALUE"""),"18331A0560")</f>
        <v>18331A0560</v>
      </c>
      <c r="C456" s="78" t="str">
        <f ca="1">IFERROR(__xludf.DUMMYFUNCTION("""COMPUTED_VALUE"""),"Python Basics")</f>
        <v>Python Basics</v>
      </c>
      <c r="D456" s="9" t="str">
        <f ca="1">IFERROR(__xludf.DUMMYFUNCTION("""COMPUTED_VALUE"""),"Coursera")</f>
        <v>Coursera</v>
      </c>
      <c r="E456" s="9" t="str">
        <f ca="1">IFERROR(__xludf.DUMMYFUNCTION("""COMPUTED_VALUE"""),"5 hours")</f>
        <v>5 hours</v>
      </c>
      <c r="F456" s="79">
        <f ca="1">IFERROR(__xludf.DUMMYFUNCTION("""COMPUTED_VALUE"""),43966)</f>
        <v>43966</v>
      </c>
      <c r="G456" s="79">
        <f ca="1">IFERROR(__xludf.DUMMYFUNCTION("""COMPUTED_VALUE"""),43976)</f>
        <v>43976</v>
      </c>
      <c r="H456" s="72">
        <f ca="1">IFERROR(__xludf.DUMMYFUNCTION("""COMPUTED_VALUE"""),43974)</f>
        <v>43974</v>
      </c>
      <c r="I456" s="80">
        <f ca="1">IFERROR(__xludf.DUMMYFUNCTION("""COMPUTED_VALUE"""),96)</f>
        <v>96</v>
      </c>
      <c r="J456" s="9" t="str">
        <f ca="1">IFERROR(__xludf.DUMMYFUNCTION("""COMPUTED_VALUE"""),"Paul Resnick")</f>
        <v>Paul Resnick</v>
      </c>
      <c r="K456" s="73" t="str">
        <f ca="1">IFERROR(__xludf.DUMMYFUNCTION("""COMPUTED_VALUE"""),"https://drive.google.com/open?id=1OtVz7NJkJOxhAlctniZAXLM5rkioRXHd")</f>
        <v>https://drive.google.com/open?id=1OtVz7NJkJOxhAlctniZAXLM5rkioRXHd</v>
      </c>
      <c r="L456" s="9" t="str">
        <f ca="1">IFERROR(__xludf.DUMMYFUNCTION("""COMPUTED_VALUE"""),"2018-2022")</f>
        <v>2018-2022</v>
      </c>
      <c r="M456" s="9" t="str">
        <f ca="1">IFERROR(__xludf.DUMMYFUNCTION("""COMPUTED_VALUE"""),"S4: Student Certifications")</f>
        <v>S4: Student Certifications</v>
      </c>
      <c r="N456" s="9" t="str">
        <f ca="1">IFERROR(__xludf.DUMMYFUNCTION("""COMPUTED_VALUE"""),"jamiharshini123@gmail.com")</f>
        <v>jamiharshini123@gmail.com</v>
      </c>
      <c r="O456" s="9" t="str">
        <f ca="1">IFERROR(__xludf.DUMMYFUNCTION("""COMPUTED_VALUE"""),"SEM-8")</f>
        <v>SEM-8</v>
      </c>
      <c r="P456" s="9"/>
      <c r="Q456" s="9"/>
      <c r="R456" s="9"/>
      <c r="S456" s="9"/>
      <c r="T456" s="9"/>
      <c r="U456" s="9"/>
      <c r="V456" s="9"/>
      <c r="W456" s="9"/>
      <c r="X456" s="9"/>
      <c r="Y456" s="9"/>
    </row>
    <row r="457" spans="1:25" ht="26.25" customHeight="1" x14ac:dyDescent="0.15">
      <c r="A457" s="9" t="str">
        <f ca="1">IFERROR(__xludf.DUMMYFUNCTION("""COMPUTED_VALUE"""),"Kavya Mudili")</f>
        <v>Kavya Mudili</v>
      </c>
      <c r="B457" s="9" t="str">
        <f ca="1">IFERROR(__xludf.DUMMYFUNCTION("""COMPUTED_VALUE"""),"18331A05A1")</f>
        <v>18331A05A1</v>
      </c>
      <c r="C457" s="78" t="str">
        <f ca="1">IFERROR(__xludf.DUMMYFUNCTION("""COMPUTED_VALUE"""),"Programming Essentials in C")</f>
        <v>Programming Essentials in C</v>
      </c>
      <c r="D457" s="9" t="str">
        <f ca="1">IFERROR(__xludf.DUMMYFUNCTION("""COMPUTED_VALUE"""),"Cisco")</f>
        <v>Cisco</v>
      </c>
      <c r="E457" s="9" t="str">
        <f ca="1">IFERROR(__xludf.DUMMYFUNCTION("""COMPUTED_VALUE"""),"8 weeks")</f>
        <v>8 weeks</v>
      </c>
      <c r="F457" s="79">
        <f ca="1">IFERROR(__xludf.DUMMYFUNCTION("""COMPUTED_VALUE"""),43581)</f>
        <v>43581</v>
      </c>
      <c r="G457" s="79">
        <f ca="1">IFERROR(__xludf.DUMMYFUNCTION("""COMPUTED_VALUE"""),43672)</f>
        <v>43672</v>
      </c>
      <c r="H457" s="72">
        <f ca="1">IFERROR(__xludf.DUMMYFUNCTION("""COMPUTED_VALUE"""),43672)</f>
        <v>43672</v>
      </c>
      <c r="I457" s="80"/>
      <c r="J457" s="9" t="str">
        <f ca="1">IFERROR(__xludf.DUMMYFUNCTION("""COMPUTED_VALUE"""),"Subba Raju K ")</f>
        <v xml:space="preserve">Subba Raju K </v>
      </c>
      <c r="K457" s="73" t="str">
        <f ca="1">IFERROR(__xludf.DUMMYFUNCTION("""COMPUTED_VALUE"""),"https://drive.google.com/open?id=1l7eoNt7hRn6fxUZXYc909qxPbl4HUAbA")</f>
        <v>https://drive.google.com/open?id=1l7eoNt7hRn6fxUZXYc909qxPbl4HUAbA</v>
      </c>
      <c r="L457" s="9" t="str">
        <f ca="1">IFERROR(__xludf.DUMMYFUNCTION("""COMPUTED_VALUE"""),"2018-2022")</f>
        <v>2018-2022</v>
      </c>
      <c r="M457" s="9" t="str">
        <f ca="1">IFERROR(__xludf.DUMMYFUNCTION("""COMPUTED_VALUE"""),"S4: Student Certifications")</f>
        <v>S4: Student Certifications</v>
      </c>
      <c r="N457" s="9" t="str">
        <f ca="1">IFERROR(__xludf.DUMMYFUNCTION("""COMPUTED_VALUE"""),"kavyamudili2001@gmail.com")</f>
        <v>kavyamudili2001@gmail.com</v>
      </c>
      <c r="O457" s="9" t="str">
        <f ca="1">IFERROR(__xludf.DUMMYFUNCTION("""COMPUTED_VALUE"""),"SEM-8")</f>
        <v>SEM-8</v>
      </c>
      <c r="P457" s="9"/>
      <c r="Q457" s="9"/>
      <c r="R457" s="9"/>
      <c r="S457" s="9"/>
      <c r="T457" s="9"/>
      <c r="U457" s="9"/>
      <c r="V457" s="9"/>
      <c r="W457" s="9"/>
      <c r="X457" s="9"/>
      <c r="Y457" s="9"/>
    </row>
    <row r="458" spans="1:25" ht="26.25" customHeight="1" x14ac:dyDescent="0.15">
      <c r="A458" s="9" t="str">
        <f ca="1">IFERROR(__xludf.DUMMYFUNCTION("""COMPUTED_VALUE"""),"Jami Harshini")</f>
        <v>Jami Harshini</v>
      </c>
      <c r="B458" s="9" t="str">
        <f ca="1">IFERROR(__xludf.DUMMYFUNCTION("""COMPUTED_VALUE"""),"18331A0560")</f>
        <v>18331A0560</v>
      </c>
      <c r="C458" s="78" t="str">
        <f ca="1">IFERROR(__xludf.DUMMYFUNCTION("""COMPUTED_VALUE"""),"Cybersecurity Essentials")</f>
        <v>Cybersecurity Essentials</v>
      </c>
      <c r="D458" s="9" t="str">
        <f ca="1">IFERROR(__xludf.DUMMYFUNCTION("""COMPUTED_VALUE"""),"CISCO")</f>
        <v>CISCO</v>
      </c>
      <c r="E458" s="9" t="str">
        <f ca="1">IFERROR(__xludf.DUMMYFUNCTION("""COMPUTED_VALUE"""),"10 hours")</f>
        <v>10 hours</v>
      </c>
      <c r="F458" s="79">
        <f ca="1">IFERROR(__xludf.DUMMYFUNCTION("""COMPUTED_VALUE"""),43647)</f>
        <v>43647</v>
      </c>
      <c r="G458" s="79">
        <f ca="1">IFERROR(__xludf.DUMMYFUNCTION("""COMPUTED_VALUE"""),43677)</f>
        <v>43677</v>
      </c>
      <c r="H458" s="72">
        <f ca="1">IFERROR(__xludf.DUMMYFUNCTION("""COMPUTED_VALUE"""),43675)</f>
        <v>43675</v>
      </c>
      <c r="I458" s="80">
        <f ca="1">IFERROR(__xludf.DUMMYFUNCTION("""COMPUTED_VALUE"""),100)</f>
        <v>100</v>
      </c>
      <c r="J458" s="9" t="str">
        <f ca="1">IFERROR(__xludf.DUMMYFUNCTION("""COMPUTED_VALUE"""),"Dr.Ravi Kiran Varma")</f>
        <v>Dr.Ravi Kiran Varma</v>
      </c>
      <c r="K458" s="73" t="str">
        <f ca="1">IFERROR(__xludf.DUMMYFUNCTION("""COMPUTED_VALUE"""),"https://drive.google.com/open?id=1aq0xsrL_B-iQeN4e4rF3P7OQXUecsNFJ")</f>
        <v>https://drive.google.com/open?id=1aq0xsrL_B-iQeN4e4rF3P7OQXUecsNFJ</v>
      </c>
      <c r="L458" s="9" t="str">
        <f ca="1">IFERROR(__xludf.DUMMYFUNCTION("""COMPUTED_VALUE"""),"2018-2022")</f>
        <v>2018-2022</v>
      </c>
      <c r="M458" s="9" t="str">
        <f ca="1">IFERROR(__xludf.DUMMYFUNCTION("""COMPUTED_VALUE"""),"S4: Student Certifications")</f>
        <v>S4: Student Certifications</v>
      </c>
      <c r="N458" s="9" t="str">
        <f ca="1">IFERROR(__xludf.DUMMYFUNCTION("""COMPUTED_VALUE"""),"jamiharshini123@gmail.com")</f>
        <v>jamiharshini123@gmail.com</v>
      </c>
      <c r="O458" s="9" t="str">
        <f ca="1">IFERROR(__xludf.DUMMYFUNCTION("""COMPUTED_VALUE"""),"SEM-4")</f>
        <v>SEM-4</v>
      </c>
      <c r="P458" s="9"/>
      <c r="Q458" s="9"/>
      <c r="R458" s="9"/>
      <c r="S458" s="9"/>
      <c r="T458" s="9"/>
      <c r="U458" s="9"/>
      <c r="V458" s="9"/>
      <c r="W458" s="9"/>
      <c r="X458" s="9"/>
      <c r="Y458" s="9"/>
    </row>
    <row r="459" spans="1:25" ht="26.25" customHeight="1" x14ac:dyDescent="0.15">
      <c r="A459" s="9" t="str">
        <f ca="1">IFERROR(__xludf.DUMMYFUNCTION("""COMPUTED_VALUE"""),"Kavya Mudili")</f>
        <v>Kavya Mudili</v>
      </c>
      <c r="B459" s="9" t="str">
        <f ca="1">IFERROR(__xludf.DUMMYFUNCTION("""COMPUTED_VALUE"""),"18331A05A1")</f>
        <v>18331A05A1</v>
      </c>
      <c r="C459" s="78" t="str">
        <f ca="1">IFERROR(__xludf.DUMMYFUNCTION("""COMPUTED_VALUE"""),"IT Essentials")</f>
        <v>IT Essentials</v>
      </c>
      <c r="D459" s="9" t="str">
        <f ca="1">IFERROR(__xludf.DUMMYFUNCTION("""COMPUTED_VALUE"""),"Cisco")</f>
        <v>Cisco</v>
      </c>
      <c r="E459" s="9" t="str">
        <f ca="1">IFERROR(__xludf.DUMMYFUNCTION("""COMPUTED_VALUE"""),"4 months")</f>
        <v>4 months</v>
      </c>
      <c r="F459" s="79">
        <f ca="1">IFERROR(__xludf.DUMMYFUNCTION("""COMPUTED_VALUE"""),43633)</f>
        <v>43633</v>
      </c>
      <c r="G459" s="79">
        <f ca="1">IFERROR(__xludf.DUMMYFUNCTION("""COMPUTED_VALUE"""),43755)</f>
        <v>43755</v>
      </c>
      <c r="H459" s="72">
        <f ca="1">IFERROR(__xludf.DUMMYFUNCTION("""COMPUTED_VALUE"""),43755)</f>
        <v>43755</v>
      </c>
      <c r="I459" s="80"/>
      <c r="J459" s="9" t="str">
        <f ca="1">IFERROR(__xludf.DUMMYFUNCTION("""COMPUTED_VALUE"""),"Dr. Suvarna Kumar Gogula")</f>
        <v>Dr. Suvarna Kumar Gogula</v>
      </c>
      <c r="K459" s="73" t="str">
        <f ca="1">IFERROR(__xludf.DUMMYFUNCTION("""COMPUTED_VALUE"""),"https://drive.google.com/open?id=18j-pZ12BOZQwFqc_2u-9vRh6F7tBoz_M")</f>
        <v>https://drive.google.com/open?id=18j-pZ12BOZQwFqc_2u-9vRh6F7tBoz_M</v>
      </c>
      <c r="L459" s="9" t="str">
        <f ca="1">IFERROR(__xludf.DUMMYFUNCTION("""COMPUTED_VALUE"""),"2018-2022")</f>
        <v>2018-2022</v>
      </c>
      <c r="M459" s="9" t="str">
        <f ca="1">IFERROR(__xludf.DUMMYFUNCTION("""COMPUTED_VALUE"""),"S4: Student Certifications")</f>
        <v>S4: Student Certifications</v>
      </c>
      <c r="N459" s="9" t="str">
        <f ca="1">IFERROR(__xludf.DUMMYFUNCTION("""COMPUTED_VALUE"""),"kavyamudili2001@gmail.com")</f>
        <v>kavyamudili2001@gmail.com</v>
      </c>
      <c r="O459" s="9" t="str">
        <f ca="1">IFERROR(__xludf.DUMMYFUNCTION("""COMPUTED_VALUE"""),"SEM-8")</f>
        <v>SEM-8</v>
      </c>
      <c r="P459" s="9"/>
      <c r="Q459" s="9"/>
      <c r="R459" s="9"/>
      <c r="S459" s="9"/>
      <c r="T459" s="9"/>
      <c r="U459" s="9"/>
      <c r="V459" s="9"/>
      <c r="W459" s="9"/>
      <c r="X459" s="9"/>
      <c r="Y459" s="9"/>
    </row>
    <row r="460" spans="1:25" ht="26.25" customHeight="1" x14ac:dyDescent="0.15">
      <c r="A460" s="9" t="str">
        <f ca="1">IFERROR(__xludf.DUMMYFUNCTION("""COMPUTED_VALUE"""),"Kavya Mudili")</f>
        <v>Kavya Mudili</v>
      </c>
      <c r="B460" s="9" t="str">
        <f ca="1">IFERROR(__xludf.DUMMYFUNCTION("""COMPUTED_VALUE"""),"18331A05A1")</f>
        <v>18331A05A1</v>
      </c>
      <c r="C460" s="78" t="str">
        <f ca="1">IFERROR(__xludf.DUMMYFUNCTION("""COMPUTED_VALUE"""),"Linux Essentials")</f>
        <v>Linux Essentials</v>
      </c>
      <c r="D460" s="9" t="str">
        <f ca="1">IFERROR(__xludf.DUMMYFUNCTION("""COMPUTED_VALUE"""),"Cisco")</f>
        <v>Cisco</v>
      </c>
      <c r="E460" s="9" t="str">
        <f ca="1">IFERROR(__xludf.DUMMYFUNCTION("""COMPUTED_VALUE"""),"4 months")</f>
        <v>4 months</v>
      </c>
      <c r="F460" s="79">
        <f ca="1">IFERROR(__xludf.DUMMYFUNCTION("""COMPUTED_VALUE"""),43818)</f>
        <v>43818</v>
      </c>
      <c r="G460" s="79">
        <f ca="1">IFERROR(__xludf.DUMMYFUNCTION("""COMPUTED_VALUE"""),43940)</f>
        <v>43940</v>
      </c>
      <c r="H460" s="72">
        <f ca="1">IFERROR(__xludf.DUMMYFUNCTION("""COMPUTED_VALUE"""),43940)</f>
        <v>43940</v>
      </c>
      <c r="I460" s="80"/>
      <c r="J460" s="9" t="str">
        <f ca="1">IFERROR(__xludf.DUMMYFUNCTION("""COMPUTED_VALUE"""),"K.V.Subba Raju")</f>
        <v>K.V.Subba Raju</v>
      </c>
      <c r="K460" s="73" t="str">
        <f ca="1">IFERROR(__xludf.DUMMYFUNCTION("""COMPUTED_VALUE"""),"https://drive.google.com/open?id=12U8nlGkFFj4wHZie88BUI6ywlqI9YugT")</f>
        <v>https://drive.google.com/open?id=12U8nlGkFFj4wHZie88BUI6ywlqI9YugT</v>
      </c>
      <c r="L460" s="9" t="str">
        <f ca="1">IFERROR(__xludf.DUMMYFUNCTION("""COMPUTED_VALUE"""),"2018-2022")</f>
        <v>2018-2022</v>
      </c>
      <c r="M460" s="9" t="str">
        <f ca="1">IFERROR(__xludf.DUMMYFUNCTION("""COMPUTED_VALUE"""),"S4: Student Certifications")</f>
        <v>S4: Student Certifications</v>
      </c>
      <c r="N460" s="9" t="str">
        <f ca="1">IFERROR(__xludf.DUMMYFUNCTION("""COMPUTED_VALUE"""),"kavyamudili2001@gmail.com")</f>
        <v>kavyamudili2001@gmail.com</v>
      </c>
      <c r="O460" s="9" t="str">
        <f ca="1">IFERROR(__xludf.DUMMYFUNCTION("""COMPUTED_VALUE"""),"SEM-8")</f>
        <v>SEM-8</v>
      </c>
      <c r="P460" s="9"/>
      <c r="Q460" s="9"/>
      <c r="R460" s="9"/>
      <c r="S460" s="9"/>
      <c r="T460" s="9"/>
      <c r="U460" s="9"/>
      <c r="V460" s="9"/>
      <c r="W460" s="9"/>
      <c r="X460" s="9"/>
      <c r="Y460" s="9"/>
    </row>
    <row r="461" spans="1:25" ht="26.25" customHeight="1" x14ac:dyDescent="0.15">
      <c r="A461" s="9" t="str">
        <f ca="1">IFERROR(__xludf.DUMMYFUNCTION("""COMPUTED_VALUE"""),"Kavya Mudili")</f>
        <v>Kavya Mudili</v>
      </c>
      <c r="B461" s="9" t="str">
        <f ca="1">IFERROR(__xludf.DUMMYFUNCTION("""COMPUTED_VALUE"""),"18331A05A1")</f>
        <v>18331A05A1</v>
      </c>
      <c r="C461" s="78" t="str">
        <f ca="1">IFERROR(__xludf.DUMMYFUNCTION("""COMPUTED_VALUE"""),"Programming Essentials in Python")</f>
        <v>Programming Essentials in Python</v>
      </c>
      <c r="D461" s="9" t="str">
        <f ca="1">IFERROR(__xludf.DUMMYFUNCTION("""COMPUTED_VALUE"""),"cisco")</f>
        <v>cisco</v>
      </c>
      <c r="E461" s="9" t="str">
        <f ca="1">IFERROR(__xludf.DUMMYFUNCTION("""COMPUTED_VALUE"""),"4 weeks")</f>
        <v>4 weeks</v>
      </c>
      <c r="F461" s="79">
        <f ca="1">IFERROR(__xludf.DUMMYFUNCTION("""COMPUTED_VALUE"""),44353)</f>
        <v>44353</v>
      </c>
      <c r="G461" s="79">
        <f ca="1">IFERROR(__xludf.DUMMYFUNCTION("""COMPUTED_VALUE"""),44383)</f>
        <v>44383</v>
      </c>
      <c r="H461" s="72">
        <f ca="1">IFERROR(__xludf.DUMMYFUNCTION("""COMPUTED_VALUE"""),44383)</f>
        <v>44383</v>
      </c>
      <c r="I461" s="80"/>
      <c r="J461" s="9" t="str">
        <f ca="1">IFERROR(__xludf.DUMMYFUNCTION("""COMPUTED_VALUE"""),"K.V. Subba Raju")</f>
        <v>K.V. Subba Raju</v>
      </c>
      <c r="K461" s="73" t="str">
        <f ca="1">IFERROR(__xludf.DUMMYFUNCTION("""COMPUTED_VALUE"""),"https://drive.google.com/open?id=17NyakmZ6ZsZ83DGgRdjSksxJJRHvzLvv")</f>
        <v>https://drive.google.com/open?id=17NyakmZ6ZsZ83DGgRdjSksxJJRHvzLvv</v>
      </c>
      <c r="L461" s="9" t="str">
        <f ca="1">IFERROR(__xludf.DUMMYFUNCTION("""COMPUTED_VALUE"""),"2018-2022")</f>
        <v>2018-2022</v>
      </c>
      <c r="M461" s="9" t="str">
        <f ca="1">IFERROR(__xludf.DUMMYFUNCTION("""COMPUTED_VALUE"""),"S4: Student Certifications")</f>
        <v>S4: Student Certifications</v>
      </c>
      <c r="N461" s="9" t="str">
        <f ca="1">IFERROR(__xludf.DUMMYFUNCTION("""COMPUTED_VALUE"""),"kavyamudili2001@gmail.com")</f>
        <v>kavyamudili2001@gmail.com</v>
      </c>
      <c r="O461" s="9" t="str">
        <f ca="1">IFERROR(__xludf.DUMMYFUNCTION("""COMPUTED_VALUE"""),"SEM-8")</f>
        <v>SEM-8</v>
      </c>
      <c r="P461" s="9"/>
      <c r="Q461" s="9"/>
      <c r="R461" s="9"/>
      <c r="S461" s="9"/>
      <c r="T461" s="9"/>
      <c r="U461" s="9"/>
      <c r="V461" s="9"/>
      <c r="W461" s="9"/>
      <c r="X461" s="9"/>
      <c r="Y461" s="9"/>
    </row>
    <row r="462" spans="1:25" ht="26.25" customHeight="1" x14ac:dyDescent="0.15">
      <c r="A462" s="9" t="str">
        <f ca="1">IFERROR(__xludf.DUMMYFUNCTION("""COMPUTED_VALUE"""),"Jami Harshini")</f>
        <v>Jami Harshini</v>
      </c>
      <c r="B462" s="9" t="str">
        <f ca="1">IFERROR(__xludf.DUMMYFUNCTION("""COMPUTED_VALUE"""),"18331A0560")</f>
        <v>18331A0560</v>
      </c>
      <c r="C462" s="78" t="str">
        <f ca="1">IFERROR(__xludf.DUMMYFUNCTION("""COMPUTED_VALUE"""),"Neural Hack 2021 - season 5")</f>
        <v>Neural Hack 2021 - season 5</v>
      </c>
      <c r="D462" s="9" t="str">
        <f ca="1">IFERROR(__xludf.DUMMYFUNCTION("""COMPUTED_VALUE"""),"Virtusa")</f>
        <v>Virtusa</v>
      </c>
      <c r="E462" s="9" t="str">
        <f ca="1">IFERROR(__xludf.DUMMYFUNCTION("""COMPUTED_VALUE"""),"1 day")</f>
        <v>1 day</v>
      </c>
      <c r="F462" s="79">
        <f ca="1">IFERROR(__xludf.DUMMYFUNCTION("""COMPUTED_VALUE"""),44446)</f>
        <v>44446</v>
      </c>
      <c r="G462" s="79">
        <f ca="1">IFERROR(__xludf.DUMMYFUNCTION("""COMPUTED_VALUE"""),44446)</f>
        <v>44446</v>
      </c>
      <c r="H462" s="72">
        <f ca="1">IFERROR(__xludf.DUMMYFUNCTION("""COMPUTED_VALUE"""),44446)</f>
        <v>44446</v>
      </c>
      <c r="I462" s="80">
        <f ca="1">IFERROR(__xludf.DUMMYFUNCTION("""COMPUTED_VALUE"""),95)</f>
        <v>95</v>
      </c>
      <c r="J462" s="9" t="str">
        <f ca="1">IFERROR(__xludf.DUMMYFUNCTION("""COMPUTED_VALUE"""),"Murali Padmanabhan")</f>
        <v>Murali Padmanabhan</v>
      </c>
      <c r="K462" s="73" t="str">
        <f ca="1">IFERROR(__xludf.DUMMYFUNCTION("""COMPUTED_VALUE"""),"https://drive.google.com/open?id=1hPgl68HaJ-zzV1WqFQtYWNEhmfy5PCLs")</f>
        <v>https://drive.google.com/open?id=1hPgl68HaJ-zzV1WqFQtYWNEhmfy5PCLs</v>
      </c>
      <c r="L462" s="9" t="str">
        <f ca="1">IFERROR(__xludf.DUMMYFUNCTION("""COMPUTED_VALUE"""),"2018-2022")</f>
        <v>2018-2022</v>
      </c>
      <c r="M462" s="9" t="str">
        <f ca="1">IFERROR(__xludf.DUMMYFUNCTION("""COMPUTED_VALUE"""),"S4: Student Certifications")</f>
        <v>S4: Student Certifications</v>
      </c>
      <c r="N462" s="9" t="str">
        <f ca="1">IFERROR(__xludf.DUMMYFUNCTION("""COMPUTED_VALUE"""),"jamiharshini123@gmail.com")</f>
        <v>jamiharshini123@gmail.com</v>
      </c>
      <c r="O462" s="9" t="str">
        <f ca="1">IFERROR(__xludf.DUMMYFUNCTION("""COMPUTED_VALUE"""),"SEM-7")</f>
        <v>SEM-7</v>
      </c>
      <c r="P462" s="9"/>
      <c r="Q462" s="9"/>
      <c r="R462" s="9"/>
      <c r="S462" s="9"/>
      <c r="T462" s="9"/>
      <c r="U462" s="9"/>
      <c r="V462" s="9"/>
      <c r="W462" s="9"/>
      <c r="X462" s="9"/>
      <c r="Y462" s="9"/>
    </row>
    <row r="463" spans="1:25" ht="26.25" customHeight="1" x14ac:dyDescent="0.15">
      <c r="A463" s="9" t="str">
        <f ca="1">IFERROR(__xludf.DUMMYFUNCTION("""COMPUTED_VALUE"""),"Kavya Mudili")</f>
        <v>Kavya Mudili</v>
      </c>
      <c r="B463" s="9" t="str">
        <f ca="1">IFERROR(__xludf.DUMMYFUNCTION("""COMPUTED_VALUE"""),"18331A05A1")</f>
        <v>18331A05A1</v>
      </c>
      <c r="C463" s="78" t="str">
        <f ca="1">IFERROR(__xludf.DUMMYFUNCTION("""COMPUTED_VALUE"""),"c(intermediate)")</f>
        <v>c(intermediate)</v>
      </c>
      <c r="D463" s="9" t="str">
        <f ca="1">IFERROR(__xludf.DUMMYFUNCTION("""COMPUTED_VALUE"""),"Hackerrank")</f>
        <v>Hackerrank</v>
      </c>
      <c r="E463" s="9" t="str">
        <f ca="1">IFERROR(__xludf.DUMMYFUNCTION("""COMPUTED_VALUE"""),"4 weeks")</f>
        <v>4 weeks</v>
      </c>
      <c r="F463" s="79">
        <f ca="1">IFERROR(__xludf.DUMMYFUNCTION("""COMPUTED_VALUE"""),44089)</f>
        <v>44089</v>
      </c>
      <c r="G463" s="79">
        <f ca="1">IFERROR(__xludf.DUMMYFUNCTION("""COMPUTED_VALUE"""),44058)</f>
        <v>44058</v>
      </c>
      <c r="H463" s="72">
        <f ca="1">IFERROR(__xludf.DUMMYFUNCTION("""COMPUTED_VALUE"""),44089)</f>
        <v>44089</v>
      </c>
      <c r="I463" s="80"/>
      <c r="J463" s="9" t="str">
        <f ca="1">IFERROR(__xludf.DUMMYFUNCTION("""COMPUTED_VALUE"""),"NA")</f>
        <v>NA</v>
      </c>
      <c r="K463" s="73" t="str">
        <f ca="1">IFERROR(__xludf.DUMMYFUNCTION("""COMPUTED_VALUE"""),"https://drive.google.com/open?id=10QvYm-wuVcxAqSNrdtWB0ZlUg8veOEdU")</f>
        <v>https://drive.google.com/open?id=10QvYm-wuVcxAqSNrdtWB0ZlUg8veOEdU</v>
      </c>
      <c r="L463" s="9" t="str">
        <f ca="1">IFERROR(__xludf.DUMMYFUNCTION("""COMPUTED_VALUE"""),"2018-2022")</f>
        <v>2018-2022</v>
      </c>
      <c r="M463" s="9" t="str">
        <f ca="1">IFERROR(__xludf.DUMMYFUNCTION("""COMPUTED_VALUE"""),"S4: Student Certifications")</f>
        <v>S4: Student Certifications</v>
      </c>
      <c r="N463" s="9" t="str">
        <f ca="1">IFERROR(__xludf.DUMMYFUNCTION("""COMPUTED_VALUE"""),"kavyamudili2001@gmail.com")</f>
        <v>kavyamudili2001@gmail.com</v>
      </c>
      <c r="O463" s="9" t="str">
        <f ca="1">IFERROR(__xludf.DUMMYFUNCTION("""COMPUTED_VALUE"""),"SEM-8")</f>
        <v>SEM-8</v>
      </c>
      <c r="P463" s="9"/>
      <c r="Q463" s="9"/>
      <c r="R463" s="9"/>
      <c r="S463" s="9"/>
      <c r="T463" s="9"/>
      <c r="U463" s="9"/>
      <c r="V463" s="9"/>
      <c r="W463" s="9"/>
      <c r="X463" s="9"/>
      <c r="Y463" s="9"/>
    </row>
    <row r="464" spans="1:25" ht="26.25" customHeight="1" x14ac:dyDescent="0.15">
      <c r="A464" s="9" t="str">
        <f ca="1">IFERROR(__xludf.DUMMYFUNCTION("""COMPUTED_VALUE"""),"Kavya Mudili")</f>
        <v>Kavya Mudili</v>
      </c>
      <c r="B464" s="9" t="str">
        <f ca="1">IFERROR(__xludf.DUMMYFUNCTION("""COMPUTED_VALUE"""),"18331A05A1")</f>
        <v>18331A05A1</v>
      </c>
      <c r="C464" s="78" t="str">
        <f ca="1">IFERROR(__xludf.DUMMYFUNCTION("""COMPUTED_VALUE"""),"Capstone: Retrieving, Processing, and Visualizing Data with Python")</f>
        <v>Capstone: Retrieving, Processing, and Visualizing Data with Python</v>
      </c>
      <c r="D464" s="9" t="str">
        <f ca="1">IFERROR(__xludf.DUMMYFUNCTION("""COMPUTED_VALUE"""),"Coursera")</f>
        <v>Coursera</v>
      </c>
      <c r="E464" s="9" t="str">
        <f ca="1">IFERROR(__xludf.DUMMYFUNCTION("""COMPUTED_VALUE"""),"6 weeks")</f>
        <v>6 weeks</v>
      </c>
      <c r="F464" s="79">
        <f ca="1">IFERROR(__xludf.DUMMYFUNCTION("""COMPUTED_VALUE"""),43963)</f>
        <v>43963</v>
      </c>
      <c r="G464" s="79">
        <f ca="1">IFERROR(__xludf.DUMMYFUNCTION("""COMPUTED_VALUE"""),44014)</f>
        <v>44014</v>
      </c>
      <c r="H464" s="72">
        <f ca="1">IFERROR(__xludf.DUMMYFUNCTION("""COMPUTED_VALUE"""),44014)</f>
        <v>44014</v>
      </c>
      <c r="I464" s="80"/>
      <c r="J464" s="9" t="str">
        <f ca="1">IFERROR(__xludf.DUMMYFUNCTION("""COMPUTED_VALUE"""),"NA")</f>
        <v>NA</v>
      </c>
      <c r="K464" s="73" t="str">
        <f ca="1">IFERROR(__xludf.DUMMYFUNCTION("""COMPUTED_VALUE"""),"https://drive.google.com/open?id=136LdQUNtmF9QaTM1zTx2W11doFVWTOLE")</f>
        <v>https://drive.google.com/open?id=136LdQUNtmF9QaTM1zTx2W11doFVWTOLE</v>
      </c>
      <c r="L464" s="9" t="str">
        <f ca="1">IFERROR(__xludf.DUMMYFUNCTION("""COMPUTED_VALUE"""),"2018-2022")</f>
        <v>2018-2022</v>
      </c>
      <c r="M464" s="9" t="str">
        <f ca="1">IFERROR(__xludf.DUMMYFUNCTION("""COMPUTED_VALUE"""),"S4: Student Certifications")</f>
        <v>S4: Student Certifications</v>
      </c>
      <c r="N464" s="9" t="str">
        <f ca="1">IFERROR(__xludf.DUMMYFUNCTION("""COMPUTED_VALUE"""),"kavyamudili2001@gmail.com")</f>
        <v>kavyamudili2001@gmail.com</v>
      </c>
      <c r="O464" s="9" t="str">
        <f ca="1">IFERROR(__xludf.DUMMYFUNCTION("""COMPUTED_VALUE"""),"SEM-8")</f>
        <v>SEM-8</v>
      </c>
      <c r="P464" s="9"/>
      <c r="Q464" s="9"/>
      <c r="R464" s="9"/>
      <c r="S464" s="9"/>
      <c r="T464" s="9"/>
      <c r="U464" s="9"/>
      <c r="V464" s="9"/>
      <c r="W464" s="9"/>
      <c r="X464" s="9"/>
      <c r="Y464" s="9"/>
    </row>
    <row r="465" spans="1:25" ht="26.25" customHeight="1" x14ac:dyDescent="0.15">
      <c r="A465" s="9" t="str">
        <f ca="1">IFERROR(__xludf.DUMMYFUNCTION("""COMPUTED_VALUE"""),"Koyya Aswini")</f>
        <v>Koyya Aswini</v>
      </c>
      <c r="B465" s="9" t="str">
        <f ca="1">IFERROR(__xludf.DUMMYFUNCTION("""COMPUTED_VALUE"""),"20331A0593")</f>
        <v>20331A0593</v>
      </c>
      <c r="C465" s="78" t="str">
        <f ca="1">IFERROR(__xludf.DUMMYFUNCTION("""COMPUTED_VALUE"""),"NDG LINUX")</f>
        <v>NDG LINUX</v>
      </c>
      <c r="D465" s="9" t="str">
        <f ca="1">IFERROR(__xludf.DUMMYFUNCTION("""COMPUTED_VALUE"""),"Cisco")</f>
        <v>Cisco</v>
      </c>
      <c r="E465" s="9" t="str">
        <f ca="1">IFERROR(__xludf.DUMMYFUNCTION("""COMPUTED_VALUE"""),"10 weeks")</f>
        <v>10 weeks</v>
      </c>
      <c r="F465" s="79">
        <f ca="1">IFERROR(__xludf.DUMMYFUNCTION("""COMPUTED_VALUE"""),44481)</f>
        <v>44481</v>
      </c>
      <c r="G465" s="79">
        <f ca="1">IFERROR(__xludf.DUMMYFUNCTION("""COMPUTED_VALUE"""),44573)</f>
        <v>44573</v>
      </c>
      <c r="H465" s="72">
        <f ca="1">IFERROR(__xludf.DUMMYFUNCTION("""COMPUTED_VALUE"""),44573)</f>
        <v>44573</v>
      </c>
      <c r="I465" s="80">
        <f ca="1">IFERROR(__xludf.DUMMYFUNCTION("""COMPUTED_VALUE"""),0.85)</f>
        <v>0.85</v>
      </c>
      <c r="J465" s="9" t="str">
        <f ca="1">IFERROR(__xludf.DUMMYFUNCTION("""COMPUTED_VALUE"""),"K v subbaraju")</f>
        <v>K v subbaraju</v>
      </c>
      <c r="K465" s="73" t="str">
        <f ca="1">IFERROR(__xludf.DUMMYFUNCTION("""COMPUTED_VALUE"""),"https://drive.google.com/open?id=1kAHHiXHPPzDaVNvKd1i1qugvelPnBGd5")</f>
        <v>https://drive.google.com/open?id=1kAHHiXHPPzDaVNvKd1i1qugvelPnBGd5</v>
      </c>
      <c r="L465" s="9" t="str">
        <f ca="1">IFERROR(__xludf.DUMMYFUNCTION("""COMPUTED_VALUE"""),"2020-2024")</f>
        <v>2020-2024</v>
      </c>
      <c r="M465" s="9" t="str">
        <f ca="1">IFERROR(__xludf.DUMMYFUNCTION("""COMPUTED_VALUE"""),"S4: Student Certifications")</f>
        <v>S4: Student Certifications</v>
      </c>
      <c r="N465" s="9" t="str">
        <f ca="1">IFERROR(__xludf.DUMMYFUNCTION("""COMPUTED_VALUE"""),"kaswini206@gmail.com")</f>
        <v>kaswini206@gmail.com</v>
      </c>
      <c r="O465" s="9" t="str">
        <f ca="1">IFERROR(__xludf.DUMMYFUNCTION("""COMPUTED_VALUE"""),"SEM-3")</f>
        <v>SEM-3</v>
      </c>
      <c r="P465" s="9"/>
      <c r="Q465" s="9"/>
      <c r="R465" s="9"/>
      <c r="S465" s="9"/>
      <c r="T465" s="9"/>
      <c r="U465" s="9"/>
      <c r="V465" s="9"/>
      <c r="W465" s="9"/>
      <c r="X465" s="9"/>
      <c r="Y465" s="9"/>
    </row>
    <row r="466" spans="1:25" ht="26.25" customHeight="1" x14ac:dyDescent="0.15">
      <c r="A466" s="9" t="str">
        <f ca="1">IFERROR(__xludf.DUMMYFUNCTION("""COMPUTED_VALUE"""),"INDU KAMBAPU")</f>
        <v>INDU KAMBAPU</v>
      </c>
      <c r="B466" s="9" t="str">
        <f ca="1">IFERROR(__xludf.DUMMYFUNCTION("""COMPUTED_VALUE"""),"18331A0565")</f>
        <v>18331A0565</v>
      </c>
      <c r="C466" s="78" t="str">
        <f ca="1">IFERROR(__xludf.DUMMYFUNCTION("""COMPUTED_VALUE"""),"AWS")</f>
        <v>AWS</v>
      </c>
      <c r="D466" s="9" t="str">
        <f ca="1">IFERROR(__xludf.DUMMYFUNCTION("""COMPUTED_VALUE"""),"EDU SKILLS")</f>
        <v>EDU SKILLS</v>
      </c>
      <c r="E466" s="9" t="str">
        <f ca="1">IFERROR(__xludf.DUMMYFUNCTION("""COMPUTED_VALUE"""),"10 WEEKS")</f>
        <v>10 WEEKS</v>
      </c>
      <c r="F466" s="79">
        <f ca="1">IFERROR(__xludf.DUMMYFUNCTION("""COMPUTED_VALUE"""),44479)</f>
        <v>44479</v>
      </c>
      <c r="G466" s="79">
        <f ca="1">IFERROR(__xludf.DUMMYFUNCTION("""COMPUTED_VALUE"""),44540)</f>
        <v>44540</v>
      </c>
      <c r="H466" s="72">
        <f ca="1">IFERROR(__xludf.DUMMYFUNCTION("""COMPUTED_VALUE"""),44541)</f>
        <v>44541</v>
      </c>
      <c r="I466" s="80">
        <f ca="1">IFERROR(__xludf.DUMMYFUNCTION("""COMPUTED_VALUE"""),100)</f>
        <v>100</v>
      </c>
      <c r="J466" s="9" t="str">
        <f ca="1">IFERROR(__xludf.DUMMYFUNCTION("""COMPUTED_VALUE"""),"Dr. P.Ravi Kiran Varma")</f>
        <v>Dr. P.Ravi Kiran Varma</v>
      </c>
      <c r="K466" s="73" t="str">
        <f ca="1">IFERROR(__xludf.DUMMYFUNCTION("""COMPUTED_VALUE"""),"https://drive.google.com/open?id=1jwEjX1eg1cjLCJcQyUFV20AYaopM1Rj_")</f>
        <v>https://drive.google.com/open?id=1jwEjX1eg1cjLCJcQyUFV20AYaopM1Rj_</v>
      </c>
      <c r="L466" s="9" t="str">
        <f ca="1">IFERROR(__xludf.DUMMYFUNCTION("""COMPUTED_VALUE"""),"2018-2022")</f>
        <v>2018-2022</v>
      </c>
      <c r="M466" s="9" t="str">
        <f ca="1">IFERROR(__xludf.DUMMYFUNCTION("""COMPUTED_VALUE"""),"S4: Student Certifications")</f>
        <v>S4: Student Certifications</v>
      </c>
      <c r="N466" s="9" t="str">
        <f ca="1">IFERROR(__xludf.DUMMYFUNCTION("""COMPUTED_VALUE"""),"kambapuindu@gmail.com")</f>
        <v>kambapuindu@gmail.com</v>
      </c>
      <c r="O466" s="9" t="str">
        <f ca="1">IFERROR(__xludf.DUMMYFUNCTION("""COMPUTED_VALUE"""),"SEM-8")</f>
        <v>SEM-8</v>
      </c>
      <c r="P466" s="9"/>
      <c r="Q466" s="9"/>
      <c r="R466" s="9"/>
      <c r="S466" s="9"/>
      <c r="T466" s="9"/>
      <c r="U466" s="9"/>
      <c r="V466" s="9"/>
      <c r="W466" s="9"/>
      <c r="X466" s="9"/>
      <c r="Y466" s="9"/>
    </row>
    <row r="467" spans="1:25" ht="26.25" customHeight="1" x14ac:dyDescent="0.15">
      <c r="A467" s="9" t="str">
        <f ca="1">IFERROR(__xludf.DUMMYFUNCTION("""COMPUTED_VALUE"""),"TIRUMALARAJU VIJAYARAMA MOHITH VARMA")</f>
        <v>TIRUMALARAJU VIJAYARAMA MOHITH VARMA</v>
      </c>
      <c r="B467" s="9" t="str">
        <f ca="1">IFERROR(__xludf.DUMMYFUNCTION("""COMPUTED_VALUE"""),"18331A05F8")</f>
        <v>18331A05F8</v>
      </c>
      <c r="C467" s="78" t="str">
        <f ca="1">IFERROR(__xludf.DUMMYFUNCTION("""COMPUTED_VALUE"""),"C LANGUAGE")</f>
        <v>C LANGUAGE</v>
      </c>
      <c r="D467" s="9" t="str">
        <f ca="1">IFERROR(__xludf.DUMMYFUNCTION("""COMPUTED_VALUE"""),"CISCO")</f>
        <v>CISCO</v>
      </c>
      <c r="E467" s="9" t="str">
        <f ca="1">IFERROR(__xludf.DUMMYFUNCTION("""COMPUTED_VALUE"""),"90 DAYS")</f>
        <v>90 DAYS</v>
      </c>
      <c r="F467" s="79">
        <f ca="1">IFERROR(__xludf.DUMMYFUNCTION("""COMPUTED_VALUE"""),43466)</f>
        <v>43466</v>
      </c>
      <c r="G467" s="79">
        <f ca="1">IFERROR(__xludf.DUMMYFUNCTION("""COMPUTED_VALUE"""),43657)</f>
        <v>43657</v>
      </c>
      <c r="H467" s="72">
        <f ca="1">IFERROR(__xludf.DUMMYFUNCTION("""COMPUTED_VALUE"""),43675)</f>
        <v>43675</v>
      </c>
      <c r="I467" s="80"/>
      <c r="J467" s="9" t="str">
        <f ca="1">IFERROR(__xludf.DUMMYFUNCTION("""COMPUTED_VALUE"""),"DR. RAVI KIRAN VARMA PENMATSA")</f>
        <v>DR. RAVI KIRAN VARMA PENMATSA</v>
      </c>
      <c r="K467" s="73" t="str">
        <f ca="1">IFERROR(__xludf.DUMMYFUNCTION("""COMPUTED_VALUE"""),"https://drive.google.com/open?id=1UdFcBbraR4eMfq9v89NSg0Rw00m1jrLa")</f>
        <v>https://drive.google.com/open?id=1UdFcBbraR4eMfq9v89NSg0Rw00m1jrLa</v>
      </c>
      <c r="L467" s="9" t="str">
        <f ca="1">IFERROR(__xludf.DUMMYFUNCTION("""COMPUTED_VALUE"""),"2018-2022")</f>
        <v>2018-2022</v>
      </c>
      <c r="M467" s="9" t="str">
        <f ca="1">IFERROR(__xludf.DUMMYFUNCTION("""COMPUTED_VALUE"""),"S4: Student Certifications")</f>
        <v>S4: Student Certifications</v>
      </c>
      <c r="N467" s="9" t="str">
        <f ca="1">IFERROR(__xludf.DUMMYFUNCTION("""COMPUTED_VALUE"""),"vijayaramaraju1999@gmail.com")</f>
        <v>vijayaramaraju1999@gmail.com</v>
      </c>
      <c r="O467" s="9" t="str">
        <f ca="1">IFERROR(__xludf.DUMMYFUNCTION("""COMPUTED_VALUE"""),"SEM-8")</f>
        <v>SEM-8</v>
      </c>
      <c r="P467" s="9"/>
      <c r="Q467" s="9"/>
      <c r="R467" s="9"/>
      <c r="S467" s="9"/>
      <c r="T467" s="9"/>
      <c r="U467" s="9"/>
      <c r="V467" s="9"/>
      <c r="W467" s="9"/>
      <c r="X467" s="9"/>
      <c r="Y467" s="9"/>
    </row>
    <row r="468" spans="1:25" ht="26.25" customHeight="1" x14ac:dyDescent="0.15">
      <c r="A468" s="9" t="str">
        <f ca="1">IFERROR(__xludf.DUMMYFUNCTION("""COMPUTED_VALUE"""),"TIRUMALARAJU VIJAYARAMA MOHITH VARMA")</f>
        <v>TIRUMALARAJU VIJAYARAMA MOHITH VARMA</v>
      </c>
      <c r="B468" s="9" t="str">
        <f ca="1">IFERROR(__xludf.DUMMYFUNCTION("""COMPUTED_VALUE"""),"18331A05F8")</f>
        <v>18331A05F8</v>
      </c>
      <c r="C468" s="78" t="str">
        <f ca="1">IFERROR(__xludf.DUMMYFUNCTION("""COMPUTED_VALUE"""),"CYBERSECURITY  ESSENTIALS")</f>
        <v>CYBERSECURITY  ESSENTIALS</v>
      </c>
      <c r="D468" s="9" t="str">
        <f ca="1">IFERROR(__xludf.DUMMYFUNCTION("""COMPUTED_VALUE"""),"CISCO")</f>
        <v>CISCO</v>
      </c>
      <c r="E468" s="9" t="str">
        <f ca="1">IFERROR(__xludf.DUMMYFUNCTION("""COMPUTED_VALUE"""),"90 DAYS")</f>
        <v>90 DAYS</v>
      </c>
      <c r="F468" s="79">
        <f ca="1">IFERROR(__xludf.DUMMYFUNCTION("""COMPUTED_VALUE"""),43525)</f>
        <v>43525</v>
      </c>
      <c r="G468" s="79">
        <f ca="1">IFERROR(__xludf.DUMMYFUNCTION("""COMPUTED_VALUE"""),43646)</f>
        <v>43646</v>
      </c>
      <c r="H468" s="72">
        <f ca="1">IFERROR(__xludf.DUMMYFUNCTION("""COMPUTED_VALUE"""),43675)</f>
        <v>43675</v>
      </c>
      <c r="I468" s="80"/>
      <c r="J468" s="9" t="str">
        <f ca="1">IFERROR(__xludf.DUMMYFUNCTION("""COMPUTED_VALUE"""),"DR. RAVI KIRAN VARMA PENMATSA")</f>
        <v>DR. RAVI KIRAN VARMA PENMATSA</v>
      </c>
      <c r="K468" s="73" t="str">
        <f ca="1">IFERROR(__xludf.DUMMYFUNCTION("""COMPUTED_VALUE"""),"https://drive.google.com/open?id=1kB2dETgK9HrOxigXiDFEsWXGRNUPqNBB")</f>
        <v>https://drive.google.com/open?id=1kB2dETgK9HrOxigXiDFEsWXGRNUPqNBB</v>
      </c>
      <c r="L468" s="9" t="str">
        <f ca="1">IFERROR(__xludf.DUMMYFUNCTION("""COMPUTED_VALUE"""),"2018-2022")</f>
        <v>2018-2022</v>
      </c>
      <c r="M468" s="9" t="str">
        <f ca="1">IFERROR(__xludf.DUMMYFUNCTION("""COMPUTED_VALUE"""),"S4: Student Certifications")</f>
        <v>S4: Student Certifications</v>
      </c>
      <c r="N468" s="9" t="str">
        <f ca="1">IFERROR(__xludf.DUMMYFUNCTION("""COMPUTED_VALUE"""),"vijayaramaraju1999@gmail.com")</f>
        <v>vijayaramaraju1999@gmail.com</v>
      </c>
      <c r="O468" s="9" t="str">
        <f ca="1">IFERROR(__xludf.DUMMYFUNCTION("""COMPUTED_VALUE"""),"SEM-8")</f>
        <v>SEM-8</v>
      </c>
      <c r="P468" s="9"/>
      <c r="Q468" s="9"/>
      <c r="R468" s="9"/>
      <c r="S468" s="9"/>
      <c r="T468" s="9"/>
      <c r="U468" s="9"/>
      <c r="V468" s="9"/>
      <c r="W468" s="9"/>
      <c r="X468" s="9"/>
      <c r="Y468" s="9"/>
    </row>
    <row r="469" spans="1:25" ht="26.25" customHeight="1" x14ac:dyDescent="0.15">
      <c r="A469" s="9" t="str">
        <f ca="1">IFERROR(__xludf.DUMMYFUNCTION("""COMPUTED_VALUE"""),"INDU KAMBAPU")</f>
        <v>INDU KAMBAPU</v>
      </c>
      <c r="B469" s="9" t="str">
        <f ca="1">IFERROR(__xludf.DUMMYFUNCTION("""COMPUTED_VALUE"""),"18331A0565")</f>
        <v>18331A0565</v>
      </c>
      <c r="C469" s="78" t="str">
        <f ca="1">IFERROR(__xludf.DUMMYFUNCTION("""COMPUTED_VALUE"""),"CISCO ")</f>
        <v xml:space="preserve">CISCO </v>
      </c>
      <c r="D469" s="9" t="str">
        <f ca="1">IFERROR(__xludf.DUMMYFUNCTION("""COMPUTED_VALUE"""),"CISCO")</f>
        <v>CISCO</v>
      </c>
      <c r="E469" s="9" t="str">
        <f ca="1">IFERROR(__xludf.DUMMYFUNCTION("""COMPUTED_VALUE"""),"1 DAY")</f>
        <v>1 DAY</v>
      </c>
      <c r="F469" s="79">
        <f ca="1">IFERROR(__xludf.DUMMYFUNCTION("""COMPUTED_VALUE"""),44469)</f>
        <v>44469</v>
      </c>
      <c r="G469" s="79">
        <f ca="1">IFERROR(__xludf.DUMMYFUNCTION("""COMPUTED_VALUE"""),44469)</f>
        <v>44469</v>
      </c>
      <c r="H469" s="72">
        <f ca="1">IFERROR(__xludf.DUMMYFUNCTION("""COMPUTED_VALUE"""),44469)</f>
        <v>44469</v>
      </c>
      <c r="I469" s="80">
        <f ca="1">IFERROR(__xludf.DUMMYFUNCTION("""COMPUTED_VALUE"""),100)</f>
        <v>100</v>
      </c>
      <c r="J469" s="9" t="str">
        <f ca="1">IFERROR(__xludf.DUMMYFUNCTION("""COMPUTED_VALUE"""),"Dr. P.Ravi Kiran Varma")</f>
        <v>Dr. P.Ravi Kiran Varma</v>
      </c>
      <c r="K469" s="73" t="str">
        <f ca="1">IFERROR(__xludf.DUMMYFUNCTION("""COMPUTED_VALUE"""),"https://drive.google.com/open?id=16gk4EJQdxCN0zUM15j7dKfdYYeYJjiMQ")</f>
        <v>https://drive.google.com/open?id=16gk4EJQdxCN0zUM15j7dKfdYYeYJjiMQ</v>
      </c>
      <c r="L469" s="9" t="str">
        <f ca="1">IFERROR(__xludf.DUMMYFUNCTION("""COMPUTED_VALUE"""),"2018-2022")</f>
        <v>2018-2022</v>
      </c>
      <c r="M469" s="9" t="str">
        <f ca="1">IFERROR(__xludf.DUMMYFUNCTION("""COMPUTED_VALUE"""),"S4: Student Certifications")</f>
        <v>S4: Student Certifications</v>
      </c>
      <c r="N469" s="9" t="str">
        <f ca="1">IFERROR(__xludf.DUMMYFUNCTION("""COMPUTED_VALUE"""),"kambapuindu@gmail.com")</f>
        <v>kambapuindu@gmail.com</v>
      </c>
      <c r="O469" s="9" t="str">
        <f ca="1">IFERROR(__xludf.DUMMYFUNCTION("""COMPUTED_VALUE"""),"SEM-8")</f>
        <v>SEM-8</v>
      </c>
      <c r="P469" s="9"/>
      <c r="Q469" s="9"/>
      <c r="R469" s="9"/>
      <c r="S469" s="9"/>
      <c r="T469" s="9"/>
      <c r="U469" s="9"/>
      <c r="V469" s="9"/>
      <c r="W469" s="9"/>
      <c r="X469" s="9"/>
      <c r="Y469" s="9"/>
    </row>
    <row r="470" spans="1:25" ht="26.25" customHeight="1" x14ac:dyDescent="0.15">
      <c r="A470" s="9" t="str">
        <f ca="1">IFERROR(__xludf.DUMMYFUNCTION("""COMPUTED_VALUE"""),"TIRUMALARAJU VIJAYARAMA MOHITH VARMA")</f>
        <v>TIRUMALARAJU VIJAYARAMA MOHITH VARMA</v>
      </c>
      <c r="B470" s="9" t="str">
        <f ca="1">IFERROR(__xludf.DUMMYFUNCTION("""COMPUTED_VALUE"""),"18331A05F8")</f>
        <v>18331A05F8</v>
      </c>
      <c r="C470" s="78" t="str">
        <f ca="1">IFERROR(__xludf.DUMMYFUNCTION("""COMPUTED_VALUE"""),"CYBERSECURITY FOUNDATION")</f>
        <v>CYBERSECURITY FOUNDATION</v>
      </c>
      <c r="D470" s="9" t="str">
        <f ca="1">IFERROR(__xludf.DUMMYFUNCTION("""COMPUTED_VALUE"""),"PALO ALTO")</f>
        <v>PALO ALTO</v>
      </c>
      <c r="E470" s="9" t="str">
        <f ca="1">IFERROR(__xludf.DUMMYFUNCTION("""COMPUTED_VALUE"""),"90 DAYS")</f>
        <v>90 DAYS</v>
      </c>
      <c r="F470" s="79">
        <f ca="1">IFERROR(__xludf.DUMMYFUNCTION("""COMPUTED_VALUE"""),44256)</f>
        <v>44256</v>
      </c>
      <c r="G470" s="79">
        <f ca="1">IFERROR(__xludf.DUMMYFUNCTION("""COMPUTED_VALUE"""),44377)</f>
        <v>44377</v>
      </c>
      <c r="H470" s="72">
        <f ca="1">IFERROR(__xludf.DUMMYFUNCTION("""COMPUTED_VALUE"""),44402)</f>
        <v>44402</v>
      </c>
      <c r="I470" s="80"/>
      <c r="J470" s="9" t="str">
        <f ca="1">IFERROR(__xludf.DUMMYFUNCTION("""COMPUTED_VALUE"""),"DR. RAVI KIRAN VARMA PENMATSA")</f>
        <v>DR. RAVI KIRAN VARMA PENMATSA</v>
      </c>
      <c r="K470" s="73" t="str">
        <f ca="1">IFERROR(__xludf.DUMMYFUNCTION("""COMPUTED_VALUE"""),"https://drive.google.com/open?id=1Q_mxllZmRvTLTbcdP2WbjAIWSoLVVgED")</f>
        <v>https://drive.google.com/open?id=1Q_mxllZmRvTLTbcdP2WbjAIWSoLVVgED</v>
      </c>
      <c r="L470" s="9" t="str">
        <f ca="1">IFERROR(__xludf.DUMMYFUNCTION("""COMPUTED_VALUE"""),"2018-2022")</f>
        <v>2018-2022</v>
      </c>
      <c r="M470" s="9" t="str">
        <f ca="1">IFERROR(__xludf.DUMMYFUNCTION("""COMPUTED_VALUE"""),"S4: Student Certifications")</f>
        <v>S4: Student Certifications</v>
      </c>
      <c r="N470" s="9" t="str">
        <f ca="1">IFERROR(__xludf.DUMMYFUNCTION("""COMPUTED_VALUE"""),"vijayaramaraju1999@gmail.com")</f>
        <v>vijayaramaraju1999@gmail.com</v>
      </c>
      <c r="O470" s="9" t="str">
        <f ca="1">IFERROR(__xludf.DUMMYFUNCTION("""COMPUTED_VALUE"""),"SEM-8")</f>
        <v>SEM-8</v>
      </c>
      <c r="P470" s="9"/>
      <c r="Q470" s="9"/>
      <c r="R470" s="9"/>
      <c r="S470" s="9"/>
      <c r="T470" s="9"/>
      <c r="U470" s="9"/>
      <c r="V470" s="9"/>
      <c r="W470" s="9"/>
      <c r="X470" s="9"/>
      <c r="Y470" s="9"/>
    </row>
    <row r="471" spans="1:25" ht="26.25" customHeight="1" x14ac:dyDescent="0.15">
      <c r="A471" s="9" t="str">
        <f ca="1">IFERROR(__xludf.DUMMYFUNCTION("""COMPUTED_VALUE"""),"TIRUMALARAJU VIJAYARAMA MOHITH VARMA")</f>
        <v>TIRUMALARAJU VIJAYARAMA MOHITH VARMA</v>
      </c>
      <c r="B471" s="9" t="str">
        <f ca="1">IFERROR(__xludf.DUMMYFUNCTION("""COMPUTED_VALUE"""),"18331A05F8")</f>
        <v>18331A05F8</v>
      </c>
      <c r="C471" s="78" t="str">
        <f ca="1">IFERROR(__xludf.DUMMYFUNCTION("""COMPUTED_VALUE"""),"MICROSOFT AZURE ESSENTIALS")</f>
        <v>MICROSOFT AZURE ESSENTIALS</v>
      </c>
      <c r="D471" s="9" t="str">
        <f ca="1">IFERROR(__xludf.DUMMYFUNCTION("""COMPUTED_VALUE"""),"GREAT LEARNING")</f>
        <v>GREAT LEARNING</v>
      </c>
      <c r="E471" s="9" t="str">
        <f ca="1">IFERROR(__xludf.DUMMYFUNCTION("""COMPUTED_VALUE"""),"30 DAYS")</f>
        <v>30 DAYS</v>
      </c>
      <c r="F471" s="79">
        <f ca="1">IFERROR(__xludf.DUMMYFUNCTION("""COMPUTED_VALUE"""),44593)</f>
        <v>44593</v>
      </c>
      <c r="G471" s="79">
        <f ca="1">IFERROR(__xludf.DUMMYFUNCTION("""COMPUTED_VALUE"""),44622)</f>
        <v>44622</v>
      </c>
      <c r="H471" s="72">
        <f ca="1">IFERROR(__xludf.DUMMYFUNCTION("""COMPUTED_VALUE"""),44652)</f>
        <v>44652</v>
      </c>
      <c r="I471" s="80"/>
      <c r="J471" s="9" t="str">
        <f ca="1">IFERROR(__xludf.DUMMYFUNCTION("""COMPUTED_VALUE"""),"NA")</f>
        <v>NA</v>
      </c>
      <c r="K471" s="73" t="str">
        <f ca="1">IFERROR(__xludf.DUMMYFUNCTION("""COMPUTED_VALUE"""),"https://drive.google.com/open?id=1kUCKamDQvSydly64EJmnG0x75hW8ZcJl")</f>
        <v>https://drive.google.com/open?id=1kUCKamDQvSydly64EJmnG0x75hW8ZcJl</v>
      </c>
      <c r="L471" s="9" t="str">
        <f ca="1">IFERROR(__xludf.DUMMYFUNCTION("""COMPUTED_VALUE"""),"2018-2022")</f>
        <v>2018-2022</v>
      </c>
      <c r="M471" s="9" t="str">
        <f ca="1">IFERROR(__xludf.DUMMYFUNCTION("""COMPUTED_VALUE"""),"S4: Student Certifications")</f>
        <v>S4: Student Certifications</v>
      </c>
      <c r="N471" s="9" t="str">
        <f ca="1">IFERROR(__xludf.DUMMYFUNCTION("""COMPUTED_VALUE"""),"vijayaramaraju1999@gmail.com")</f>
        <v>vijayaramaraju1999@gmail.com</v>
      </c>
      <c r="O471" s="9" t="str">
        <f ca="1">IFERROR(__xludf.DUMMYFUNCTION("""COMPUTED_VALUE"""),"SEM-8")</f>
        <v>SEM-8</v>
      </c>
      <c r="P471" s="9"/>
      <c r="Q471" s="9"/>
      <c r="R471" s="9"/>
      <c r="S471" s="9"/>
      <c r="T471" s="9"/>
      <c r="U471" s="9"/>
      <c r="V471" s="9"/>
      <c r="W471" s="9"/>
      <c r="X471" s="9"/>
      <c r="Y471" s="9"/>
    </row>
    <row r="472" spans="1:25" ht="26.25" customHeight="1" x14ac:dyDescent="0.15">
      <c r="A472" s="9" t="str">
        <f ca="1">IFERROR(__xludf.DUMMYFUNCTION("""COMPUTED_VALUE"""),"TIRUMALARAJU VIJAYARAMA MOHITH VARMA")</f>
        <v>TIRUMALARAJU VIJAYARAMA MOHITH VARMA</v>
      </c>
      <c r="B472" s="9" t="str">
        <f ca="1">IFERROR(__xludf.DUMMYFUNCTION("""COMPUTED_VALUE"""),"18331A05F8")</f>
        <v>18331A05F8</v>
      </c>
      <c r="C472" s="78" t="str">
        <f ca="1">IFERROR(__xludf.DUMMYFUNCTION("""COMPUTED_VALUE"""),"PYTHON BASICS")</f>
        <v>PYTHON BASICS</v>
      </c>
      <c r="D472" s="9" t="str">
        <f ca="1">IFERROR(__xludf.DUMMYFUNCTION("""COMPUTED_VALUE"""),"GREAT LEARNING")</f>
        <v>GREAT LEARNING</v>
      </c>
      <c r="E472" s="9" t="str">
        <f ca="1">IFERROR(__xludf.DUMMYFUNCTION("""COMPUTED_VALUE"""),"30 DAYS")</f>
        <v>30 DAYS</v>
      </c>
      <c r="F472" s="79">
        <f ca="1">IFERROR(__xludf.DUMMYFUNCTION("""COMPUTED_VALUE"""),44562)</f>
        <v>44562</v>
      </c>
      <c r="G472" s="79">
        <f ca="1">IFERROR(__xludf.DUMMYFUNCTION("""COMPUTED_VALUE"""),44591)</f>
        <v>44591</v>
      </c>
      <c r="H472" s="72">
        <f ca="1">IFERROR(__xludf.DUMMYFUNCTION("""COMPUTED_VALUE"""),44653)</f>
        <v>44653</v>
      </c>
      <c r="I472" s="80"/>
      <c r="J472" s="9" t="str">
        <f ca="1">IFERROR(__xludf.DUMMYFUNCTION("""COMPUTED_VALUE"""),"NA")</f>
        <v>NA</v>
      </c>
      <c r="K472" s="73" t="str">
        <f ca="1">IFERROR(__xludf.DUMMYFUNCTION("""COMPUTED_VALUE"""),"https://drive.google.com/open?id=1gb03XodkHPhoZhmWCb4BYT9_AYiuwvXC")</f>
        <v>https://drive.google.com/open?id=1gb03XodkHPhoZhmWCb4BYT9_AYiuwvXC</v>
      </c>
      <c r="L472" s="9" t="str">
        <f ca="1">IFERROR(__xludf.DUMMYFUNCTION("""COMPUTED_VALUE"""),"2018-2022")</f>
        <v>2018-2022</v>
      </c>
      <c r="M472" s="9" t="str">
        <f ca="1">IFERROR(__xludf.DUMMYFUNCTION("""COMPUTED_VALUE"""),"S4: Student Certifications")</f>
        <v>S4: Student Certifications</v>
      </c>
      <c r="N472" s="9" t="str">
        <f ca="1">IFERROR(__xludf.DUMMYFUNCTION("""COMPUTED_VALUE"""),"vijayaramaraju1999@gmail.com")</f>
        <v>vijayaramaraju1999@gmail.com</v>
      </c>
      <c r="O472" s="9" t="str">
        <f ca="1">IFERROR(__xludf.DUMMYFUNCTION("""COMPUTED_VALUE"""),"SEM-8")</f>
        <v>SEM-8</v>
      </c>
      <c r="P472" s="9"/>
      <c r="Q472" s="9"/>
      <c r="R472" s="9"/>
      <c r="S472" s="9"/>
      <c r="T472" s="9"/>
      <c r="U472" s="9"/>
      <c r="V472" s="9"/>
      <c r="W472" s="9"/>
      <c r="X472" s="9"/>
      <c r="Y472" s="9"/>
    </row>
    <row r="473" spans="1:25" ht="26.25" customHeight="1" x14ac:dyDescent="0.15">
      <c r="A473" s="9" t="str">
        <f ca="1">IFERROR(__xludf.DUMMYFUNCTION("""COMPUTED_VALUE"""),"TIRUMALARAJU VIJAYARAMA MOHITH VARMA")</f>
        <v>TIRUMALARAJU VIJAYARAMA MOHITH VARMA</v>
      </c>
      <c r="B473" s="9" t="str">
        <f ca="1">IFERROR(__xludf.DUMMYFUNCTION("""COMPUTED_VALUE"""),"18331A05F8")</f>
        <v>18331A05F8</v>
      </c>
      <c r="C473" s="78" t="str">
        <f ca="1">IFERROR(__xludf.DUMMYFUNCTION("""COMPUTED_VALUE"""),"MANAGEMENT")</f>
        <v>MANAGEMENT</v>
      </c>
      <c r="D473" s="9" t="str">
        <f ca="1">IFERROR(__xludf.DUMMYFUNCTION("""COMPUTED_VALUE"""),"GREAT LEARNING")</f>
        <v>GREAT LEARNING</v>
      </c>
      <c r="E473" s="9" t="str">
        <f ca="1">IFERROR(__xludf.DUMMYFUNCTION("""COMPUTED_VALUE"""),"15 DAYS")</f>
        <v>15 DAYS</v>
      </c>
      <c r="F473" s="79">
        <f ca="1">IFERROR(__xludf.DUMMYFUNCTION("""COMPUTED_VALUE"""),43922)</f>
        <v>43922</v>
      </c>
      <c r="G473" s="79">
        <f ca="1">IFERROR(__xludf.DUMMYFUNCTION("""COMPUTED_VALUE"""),43936)</f>
        <v>43936</v>
      </c>
      <c r="H473" s="72">
        <f ca="1">IFERROR(__xludf.DUMMYFUNCTION("""COMPUTED_VALUE"""),44660)</f>
        <v>44660</v>
      </c>
      <c r="I473" s="80"/>
      <c r="J473" s="9" t="str">
        <f ca="1">IFERROR(__xludf.DUMMYFUNCTION("""COMPUTED_VALUE"""),"NA")</f>
        <v>NA</v>
      </c>
      <c r="K473" s="73" t="str">
        <f ca="1">IFERROR(__xludf.DUMMYFUNCTION("""COMPUTED_VALUE"""),"https://drive.google.com/open?id=16PngkmY2MrkDIn-g-e6sl8BNXl8J7Lpi")</f>
        <v>https://drive.google.com/open?id=16PngkmY2MrkDIn-g-e6sl8BNXl8J7Lpi</v>
      </c>
      <c r="L473" s="9" t="str">
        <f ca="1">IFERROR(__xludf.DUMMYFUNCTION("""COMPUTED_VALUE"""),"2018-2022")</f>
        <v>2018-2022</v>
      </c>
      <c r="M473" s="9" t="str">
        <f ca="1">IFERROR(__xludf.DUMMYFUNCTION("""COMPUTED_VALUE"""),"S4: Student Certifications")</f>
        <v>S4: Student Certifications</v>
      </c>
      <c r="N473" s="9" t="str">
        <f ca="1">IFERROR(__xludf.DUMMYFUNCTION("""COMPUTED_VALUE"""),"vijayaramaraju1999@gmail.com")</f>
        <v>vijayaramaraju1999@gmail.com</v>
      </c>
      <c r="O473" s="9" t="str">
        <f ca="1">IFERROR(__xludf.DUMMYFUNCTION("""COMPUTED_VALUE"""),"SEM-8")</f>
        <v>SEM-8</v>
      </c>
      <c r="P473" s="9"/>
      <c r="Q473" s="9"/>
      <c r="R473" s="9"/>
      <c r="S473" s="9"/>
      <c r="T473" s="9"/>
      <c r="U473" s="9"/>
      <c r="V473" s="9"/>
      <c r="W473" s="9"/>
      <c r="X473" s="9"/>
      <c r="Y473" s="9"/>
    </row>
    <row r="474" spans="1:25" ht="26.25" customHeight="1" x14ac:dyDescent="0.15">
      <c r="A474" s="9" t="str">
        <f ca="1">IFERROR(__xludf.DUMMYFUNCTION("""COMPUTED_VALUE"""),"TIRUMALARAJU VIJAYARAMA MOHITH VARMA")</f>
        <v>TIRUMALARAJU VIJAYARAMA MOHITH VARMA</v>
      </c>
      <c r="B474" s="9" t="str">
        <f ca="1">IFERROR(__xludf.DUMMYFUNCTION("""COMPUTED_VALUE"""),"18331A05F8")</f>
        <v>18331A05F8</v>
      </c>
      <c r="C474" s="78" t="str">
        <f ca="1">IFERROR(__xludf.DUMMYFUNCTION("""COMPUTED_VALUE"""),"ADVANCED EXCEL TUTORIAL")</f>
        <v>ADVANCED EXCEL TUTORIAL</v>
      </c>
      <c r="D474" s="9" t="str">
        <f ca="1">IFERROR(__xludf.DUMMYFUNCTION("""COMPUTED_VALUE"""),"ELEARNMARKETS")</f>
        <v>ELEARNMARKETS</v>
      </c>
      <c r="E474" s="9" t="str">
        <f ca="1">IFERROR(__xludf.DUMMYFUNCTION("""COMPUTED_VALUE"""),"60 DAYS")</f>
        <v>60 DAYS</v>
      </c>
      <c r="F474" s="79">
        <f ca="1">IFERROR(__xludf.DUMMYFUNCTION("""COMPUTED_VALUE"""),44593)</f>
        <v>44593</v>
      </c>
      <c r="G474" s="79">
        <f ca="1">IFERROR(__xludf.DUMMYFUNCTION("""COMPUTED_VALUE"""),44653)</f>
        <v>44653</v>
      </c>
      <c r="H474" s="72">
        <f ca="1">IFERROR(__xludf.DUMMYFUNCTION("""COMPUTED_VALUE"""),44654)</f>
        <v>44654</v>
      </c>
      <c r="I474" s="80"/>
      <c r="J474" s="9" t="str">
        <f ca="1">IFERROR(__xludf.DUMMYFUNCTION("""COMPUTED_VALUE"""),"NA")</f>
        <v>NA</v>
      </c>
      <c r="K474" s="73" t="str">
        <f ca="1">IFERROR(__xludf.DUMMYFUNCTION("""COMPUTED_VALUE"""),"https://drive.google.com/open?id=1qG4yKD0AhX79KjzGNKXGiMINRg-6-e_d")</f>
        <v>https://drive.google.com/open?id=1qG4yKD0AhX79KjzGNKXGiMINRg-6-e_d</v>
      </c>
      <c r="L474" s="9" t="str">
        <f ca="1">IFERROR(__xludf.DUMMYFUNCTION("""COMPUTED_VALUE"""),"2018-2022")</f>
        <v>2018-2022</v>
      </c>
      <c r="M474" s="9" t="str">
        <f ca="1">IFERROR(__xludf.DUMMYFUNCTION("""COMPUTED_VALUE"""),"S4: Student Certifications")</f>
        <v>S4: Student Certifications</v>
      </c>
      <c r="N474" s="9" t="str">
        <f ca="1">IFERROR(__xludf.DUMMYFUNCTION("""COMPUTED_VALUE"""),"vijayaramaraju1999@gmail.com")</f>
        <v>vijayaramaraju1999@gmail.com</v>
      </c>
      <c r="O474" s="9" t="str">
        <f ca="1">IFERROR(__xludf.DUMMYFUNCTION("""COMPUTED_VALUE"""),"SEM-8")</f>
        <v>SEM-8</v>
      </c>
      <c r="P474" s="9"/>
      <c r="Q474" s="9"/>
      <c r="R474" s="9"/>
      <c r="S474" s="9"/>
      <c r="T474" s="9"/>
      <c r="U474" s="9"/>
      <c r="V474" s="9"/>
      <c r="W474" s="9"/>
      <c r="X474" s="9"/>
      <c r="Y474" s="9"/>
    </row>
    <row r="475" spans="1:25" ht="26.25" customHeight="1" x14ac:dyDescent="0.15">
      <c r="A475" s="9" t="str">
        <f ca="1">IFERROR(__xludf.DUMMYFUNCTION("""COMPUTED_VALUE"""),"SAI VENKATA ROHIT NAIK BHUKYA")</f>
        <v>SAI VENKATA ROHIT NAIK BHUKYA</v>
      </c>
      <c r="B475" s="9" t="str">
        <f ca="1">IFERROR(__xludf.DUMMYFUNCTION("""COMPUTED_VALUE"""),"18331A05D3")</f>
        <v>18331A05D3</v>
      </c>
      <c r="C475" s="78" t="str">
        <f ca="1">IFERROR(__xludf.DUMMYFUNCTION("""COMPUTED_VALUE"""),"SQL")</f>
        <v>SQL</v>
      </c>
      <c r="D475" s="9" t="str">
        <f ca="1">IFERROR(__xludf.DUMMYFUNCTION("""COMPUTED_VALUE"""),"Coursera")</f>
        <v>Coursera</v>
      </c>
      <c r="E475" s="9" t="str">
        <f ca="1">IFERROR(__xludf.DUMMYFUNCTION("""COMPUTED_VALUE"""),"2 months ")</f>
        <v xml:space="preserve">2 months </v>
      </c>
      <c r="F475" s="79">
        <f ca="1">IFERROR(__xludf.DUMMYFUNCTION("""COMPUTED_VALUE"""),43983)</f>
        <v>43983</v>
      </c>
      <c r="G475" s="79">
        <f ca="1">IFERROR(__xludf.DUMMYFUNCTION("""COMPUTED_VALUE"""),44056)</f>
        <v>44056</v>
      </c>
      <c r="H475" s="72">
        <f ca="1">IFERROR(__xludf.DUMMYFUNCTION("""COMPUTED_VALUE"""),44053)</f>
        <v>44053</v>
      </c>
      <c r="I475" s="80">
        <f ca="1">IFERROR(__xludf.DUMMYFUNCTION("""COMPUTED_VALUE"""),100)</f>
        <v>100</v>
      </c>
      <c r="J475" s="9" t="str">
        <f ca="1">IFERROR(__xludf.DUMMYFUNCTION("""COMPUTED_VALUE"""),"Charles severance")</f>
        <v>Charles severance</v>
      </c>
      <c r="K475" s="73" t="str">
        <f ca="1">IFERROR(__xludf.DUMMYFUNCTION("""COMPUTED_VALUE"""),"https://drive.google.com/open?id=1K7re4F4sjorGSy4xdqaaQ9iR-eljFBmp")</f>
        <v>https://drive.google.com/open?id=1K7re4F4sjorGSy4xdqaaQ9iR-eljFBmp</v>
      </c>
      <c r="L475" s="9" t="str">
        <f ca="1">IFERROR(__xludf.DUMMYFUNCTION("""COMPUTED_VALUE"""),"2018-2022")</f>
        <v>2018-2022</v>
      </c>
      <c r="M475" s="9" t="str">
        <f ca="1">IFERROR(__xludf.DUMMYFUNCTION("""COMPUTED_VALUE"""),"S4: Student Certifications")</f>
        <v>S4: Student Certifications</v>
      </c>
      <c r="N475" s="9" t="str">
        <f ca="1">IFERROR(__xludf.DUMMYFUNCTION("""COMPUTED_VALUE"""),"rohitbhukya@gmail.com")</f>
        <v>rohitbhukya@gmail.com</v>
      </c>
      <c r="O475" s="9" t="str">
        <f ca="1">IFERROR(__xludf.DUMMYFUNCTION("""COMPUTED_VALUE"""),"SEM-8")</f>
        <v>SEM-8</v>
      </c>
      <c r="P475" s="9"/>
      <c r="Q475" s="9"/>
      <c r="R475" s="9"/>
      <c r="S475" s="9"/>
      <c r="T475" s="9"/>
      <c r="U475" s="9"/>
      <c r="V475" s="9"/>
      <c r="W475" s="9"/>
      <c r="X475" s="9"/>
      <c r="Y475" s="9"/>
    </row>
    <row r="476" spans="1:25" ht="26.25" customHeight="1" x14ac:dyDescent="0.15">
      <c r="A476" s="9" t="str">
        <f ca="1">IFERROR(__xludf.DUMMYFUNCTION("""COMPUTED_VALUE"""),"SAI VENKATA ROHIT NAIK BHUKYA")</f>
        <v>SAI VENKATA ROHIT NAIK BHUKYA</v>
      </c>
      <c r="B476" s="9" t="str">
        <f ca="1">IFERROR(__xludf.DUMMYFUNCTION("""COMPUTED_VALUE"""),"18331A05D3")</f>
        <v>18331A05D3</v>
      </c>
      <c r="C476" s="78" t="str">
        <f ca="1">IFERROR(__xludf.DUMMYFUNCTION("""COMPUTED_VALUE"""),"PHP ")</f>
        <v xml:space="preserve">PHP </v>
      </c>
      <c r="D476" s="9" t="str">
        <f ca="1">IFERROR(__xludf.DUMMYFUNCTION("""COMPUTED_VALUE"""),"Coursera")</f>
        <v>Coursera</v>
      </c>
      <c r="E476" s="9" t="str">
        <f ca="1">IFERROR(__xludf.DUMMYFUNCTION("""COMPUTED_VALUE"""),"2 months ")</f>
        <v xml:space="preserve">2 months </v>
      </c>
      <c r="F476" s="79">
        <f ca="1">IFERROR(__xludf.DUMMYFUNCTION("""COMPUTED_VALUE"""),43983)</f>
        <v>43983</v>
      </c>
      <c r="G476" s="79">
        <f ca="1">IFERROR(__xludf.DUMMYFUNCTION("""COMPUTED_VALUE"""),44051)</f>
        <v>44051</v>
      </c>
      <c r="H476" s="72">
        <f ca="1">IFERROR(__xludf.DUMMYFUNCTION("""COMPUTED_VALUE"""),44049)</f>
        <v>44049</v>
      </c>
      <c r="I476" s="80">
        <f ca="1">IFERROR(__xludf.DUMMYFUNCTION("""COMPUTED_VALUE"""),96)</f>
        <v>96</v>
      </c>
      <c r="J476" s="9" t="str">
        <f ca="1">IFERROR(__xludf.DUMMYFUNCTION("""COMPUTED_VALUE"""),"Charles severance")</f>
        <v>Charles severance</v>
      </c>
      <c r="K476" s="73" t="str">
        <f ca="1">IFERROR(__xludf.DUMMYFUNCTION("""COMPUTED_VALUE"""),"https://drive.google.com/open?id=1egre4J8ROMfoWUd7u6ooYPskcd26Yji0")</f>
        <v>https://drive.google.com/open?id=1egre4J8ROMfoWUd7u6ooYPskcd26Yji0</v>
      </c>
      <c r="L476" s="9" t="str">
        <f ca="1">IFERROR(__xludf.DUMMYFUNCTION("""COMPUTED_VALUE"""),"2018-2022")</f>
        <v>2018-2022</v>
      </c>
      <c r="M476" s="9" t="str">
        <f ca="1">IFERROR(__xludf.DUMMYFUNCTION("""COMPUTED_VALUE"""),"S4: Student Certifications")</f>
        <v>S4: Student Certifications</v>
      </c>
      <c r="N476" s="9" t="str">
        <f ca="1">IFERROR(__xludf.DUMMYFUNCTION("""COMPUTED_VALUE"""),"rohitbhukya@gmail.com")</f>
        <v>rohitbhukya@gmail.com</v>
      </c>
      <c r="O476" s="9" t="str">
        <f ca="1">IFERROR(__xludf.DUMMYFUNCTION("""COMPUTED_VALUE"""),"SEM-8")</f>
        <v>SEM-8</v>
      </c>
      <c r="P476" s="9"/>
      <c r="Q476" s="9"/>
      <c r="R476" s="9"/>
      <c r="S476" s="9"/>
      <c r="T476" s="9"/>
      <c r="U476" s="9"/>
      <c r="V476" s="9"/>
      <c r="W476" s="9"/>
      <c r="X476" s="9"/>
      <c r="Y476" s="9"/>
    </row>
    <row r="477" spans="1:25" ht="26.25" customHeight="1" x14ac:dyDescent="0.15">
      <c r="A477" s="9" t="str">
        <f ca="1">IFERROR(__xludf.DUMMYFUNCTION("""COMPUTED_VALUE"""),"SAI VENKATA ROHIT NAIK BHUKYA")</f>
        <v>SAI VENKATA ROHIT NAIK BHUKYA</v>
      </c>
      <c r="B477" s="9" t="str">
        <f ca="1">IFERROR(__xludf.DUMMYFUNCTION("""COMPUTED_VALUE"""),"18331A05D3")</f>
        <v>18331A05D3</v>
      </c>
      <c r="C477" s="78" t="str">
        <f ca="1">IFERROR(__xludf.DUMMYFUNCTION("""COMPUTED_VALUE"""),"CLA")</f>
        <v>CLA</v>
      </c>
      <c r="D477" s="9" t="str">
        <f ca="1">IFERROR(__xludf.DUMMYFUNCTION("""COMPUTED_VALUE"""),"Cisco")</f>
        <v>Cisco</v>
      </c>
      <c r="E477" s="9" t="str">
        <f ca="1">IFERROR(__xludf.DUMMYFUNCTION("""COMPUTED_VALUE"""),"3 months ")</f>
        <v xml:space="preserve">3 months </v>
      </c>
      <c r="F477" s="79">
        <f ca="1">IFERROR(__xludf.DUMMYFUNCTION("""COMPUTED_VALUE"""),43526)</f>
        <v>43526</v>
      </c>
      <c r="G477" s="79">
        <f ca="1">IFERROR(__xludf.DUMMYFUNCTION("""COMPUTED_VALUE"""),43618)</f>
        <v>43618</v>
      </c>
      <c r="H477" s="72">
        <f ca="1">IFERROR(__xludf.DUMMYFUNCTION("""COMPUTED_VALUE"""),43618)</f>
        <v>43618</v>
      </c>
      <c r="I477" s="80">
        <f ca="1">IFERROR(__xludf.DUMMYFUNCTION("""COMPUTED_VALUE"""),80)</f>
        <v>80</v>
      </c>
      <c r="J477" s="9" t="str">
        <f ca="1">IFERROR(__xludf.DUMMYFUNCTION("""COMPUTED_VALUE"""),"Dr.Ravi kiran varma")</f>
        <v>Dr.Ravi kiran varma</v>
      </c>
      <c r="K477" s="73" t="str">
        <f ca="1">IFERROR(__xludf.DUMMYFUNCTION("""COMPUTED_VALUE"""),"https://drive.google.com/open?id=1z5KkDpjCjsM7cmCqgb6ch6Zw6xDrHH7K")</f>
        <v>https://drive.google.com/open?id=1z5KkDpjCjsM7cmCqgb6ch6Zw6xDrHH7K</v>
      </c>
      <c r="L477" s="9" t="str">
        <f ca="1">IFERROR(__xludf.DUMMYFUNCTION("""COMPUTED_VALUE"""),"2018-2022")</f>
        <v>2018-2022</v>
      </c>
      <c r="M477" s="9" t="str">
        <f ca="1">IFERROR(__xludf.DUMMYFUNCTION("""COMPUTED_VALUE"""),"S4: Student Certifications")</f>
        <v>S4: Student Certifications</v>
      </c>
      <c r="N477" s="9" t="str">
        <f ca="1">IFERROR(__xludf.DUMMYFUNCTION("""COMPUTED_VALUE"""),"rohitbhukya@gmail.com")</f>
        <v>rohitbhukya@gmail.com</v>
      </c>
      <c r="O477" s="9" t="str">
        <f ca="1">IFERROR(__xludf.DUMMYFUNCTION("""COMPUTED_VALUE"""),"SEM-8")</f>
        <v>SEM-8</v>
      </c>
      <c r="P477" s="9"/>
      <c r="Q477" s="9"/>
      <c r="R477" s="9"/>
      <c r="S477" s="9"/>
      <c r="T477" s="9"/>
      <c r="U477" s="9"/>
      <c r="V477" s="9"/>
      <c r="W477" s="9"/>
      <c r="X477" s="9"/>
      <c r="Y477" s="9"/>
    </row>
    <row r="478" spans="1:25" ht="26.25" customHeight="1" x14ac:dyDescent="0.15">
      <c r="A478" s="9" t="str">
        <f ca="1">IFERROR(__xludf.DUMMYFUNCTION("""COMPUTED_VALUE"""),"SAI VENKATA ROHIT NAIK BHUKYA")</f>
        <v>SAI VENKATA ROHIT NAIK BHUKYA</v>
      </c>
      <c r="B478" s="9" t="str">
        <f ca="1">IFERROR(__xludf.DUMMYFUNCTION("""COMPUTED_VALUE"""),"18331A05D3")</f>
        <v>18331A05D3</v>
      </c>
      <c r="C478" s="78" t="str">
        <f ca="1">IFERROR(__xludf.DUMMYFUNCTION("""COMPUTED_VALUE"""),"Cybersecurity ")</f>
        <v xml:space="preserve">Cybersecurity </v>
      </c>
      <c r="D478" s="9" t="str">
        <f ca="1">IFERROR(__xludf.DUMMYFUNCTION("""COMPUTED_VALUE"""),"Cisco ")</f>
        <v xml:space="preserve">Cisco </v>
      </c>
      <c r="E478" s="9" t="str">
        <f ca="1">IFERROR(__xludf.DUMMYFUNCTION("""COMPUTED_VALUE"""),"2 months")</f>
        <v>2 months</v>
      </c>
      <c r="F478" s="79">
        <f ca="1">IFERROR(__xludf.DUMMYFUNCTION("""COMPUTED_VALUE"""),43614)</f>
        <v>43614</v>
      </c>
      <c r="G478" s="79">
        <f ca="1">IFERROR(__xludf.DUMMYFUNCTION("""COMPUTED_VALUE"""),43677)</f>
        <v>43677</v>
      </c>
      <c r="H478" s="72">
        <f ca="1">IFERROR(__xludf.DUMMYFUNCTION("""COMPUTED_VALUE"""),43646)</f>
        <v>43646</v>
      </c>
      <c r="I478" s="80">
        <f ca="1">IFERROR(__xludf.DUMMYFUNCTION("""COMPUTED_VALUE"""),80)</f>
        <v>80</v>
      </c>
      <c r="J478" s="9" t="str">
        <f ca="1">IFERROR(__xludf.DUMMYFUNCTION("""COMPUTED_VALUE"""),"Dr.Ravi kiran varma")</f>
        <v>Dr.Ravi kiran varma</v>
      </c>
      <c r="K478" s="73" t="str">
        <f ca="1">IFERROR(__xludf.DUMMYFUNCTION("""COMPUTED_VALUE"""),"https://drive.google.com/open?id=1v01EIsd16wQQu_jl1eRzigztb8ixsaaB")</f>
        <v>https://drive.google.com/open?id=1v01EIsd16wQQu_jl1eRzigztb8ixsaaB</v>
      </c>
      <c r="L478" s="9" t="str">
        <f ca="1">IFERROR(__xludf.DUMMYFUNCTION("""COMPUTED_VALUE"""),"2018-2022")</f>
        <v>2018-2022</v>
      </c>
      <c r="M478" s="9" t="str">
        <f ca="1">IFERROR(__xludf.DUMMYFUNCTION("""COMPUTED_VALUE"""),"S4: Student Certifications")</f>
        <v>S4: Student Certifications</v>
      </c>
      <c r="N478" s="9" t="str">
        <f ca="1">IFERROR(__xludf.DUMMYFUNCTION("""COMPUTED_VALUE"""),"rohitbhukya@gmail.com")</f>
        <v>rohitbhukya@gmail.com</v>
      </c>
      <c r="O478" s="9" t="str">
        <f ca="1">IFERROR(__xludf.DUMMYFUNCTION("""COMPUTED_VALUE"""),"SEM-8")</f>
        <v>SEM-8</v>
      </c>
      <c r="P478" s="9"/>
      <c r="Q478" s="9"/>
      <c r="R478" s="9"/>
      <c r="S478" s="9"/>
      <c r="T478" s="9"/>
      <c r="U478" s="9"/>
      <c r="V478" s="9"/>
      <c r="W478" s="9"/>
      <c r="X478" s="9"/>
      <c r="Y478" s="9"/>
    </row>
    <row r="479" spans="1:25" ht="26.25" customHeight="1" x14ac:dyDescent="0.15">
      <c r="A479" s="9" t="str">
        <f ca="1">IFERROR(__xludf.DUMMYFUNCTION("""COMPUTED_VALUE"""),"SAI VENKATA ROHIT NAIK BHUKYA")</f>
        <v>SAI VENKATA ROHIT NAIK BHUKYA</v>
      </c>
      <c r="B479" s="9" t="str">
        <f ca="1">IFERROR(__xludf.DUMMYFUNCTION("""COMPUTED_VALUE"""),"18331A05D3")</f>
        <v>18331A05D3</v>
      </c>
      <c r="C479" s="78" t="str">
        <f ca="1">IFERROR(__xludf.DUMMYFUNCTION("""COMPUTED_VALUE"""),"PCAP")</f>
        <v>PCAP</v>
      </c>
      <c r="D479" s="9" t="str">
        <f ca="1">IFERROR(__xludf.DUMMYFUNCTION("""COMPUTED_VALUE"""),"Cisco")</f>
        <v>Cisco</v>
      </c>
      <c r="E479" s="9" t="str">
        <f ca="1">IFERROR(__xludf.DUMMYFUNCTION("""COMPUTED_VALUE"""),"2 months ")</f>
        <v xml:space="preserve">2 months </v>
      </c>
      <c r="F479" s="79">
        <f ca="1">IFERROR(__xludf.DUMMYFUNCTION("""COMPUTED_VALUE"""),44318)</f>
        <v>44318</v>
      </c>
      <c r="G479" s="79">
        <f ca="1">IFERROR(__xludf.DUMMYFUNCTION("""COMPUTED_VALUE"""),44408)</f>
        <v>44408</v>
      </c>
      <c r="H479" s="72">
        <f ca="1">IFERROR(__xludf.DUMMYFUNCTION("""COMPUTED_VALUE"""),44408)</f>
        <v>44408</v>
      </c>
      <c r="I479" s="80">
        <f ca="1">IFERROR(__xludf.DUMMYFUNCTION("""COMPUTED_VALUE"""),90)</f>
        <v>90</v>
      </c>
      <c r="J479" s="9" t="str">
        <f ca="1">IFERROR(__xludf.DUMMYFUNCTION("""COMPUTED_VALUE"""),"Subba raju k v")</f>
        <v>Subba raju k v</v>
      </c>
      <c r="K479" s="73" t="str">
        <f ca="1">IFERROR(__xludf.DUMMYFUNCTION("""COMPUTED_VALUE"""),"https://drive.google.com/open?id=14M2s0Yb5IrkGYbOl1tHOF2UOlYrDb6lf")</f>
        <v>https://drive.google.com/open?id=14M2s0Yb5IrkGYbOl1tHOF2UOlYrDb6lf</v>
      </c>
      <c r="L479" s="9" t="str">
        <f ca="1">IFERROR(__xludf.DUMMYFUNCTION("""COMPUTED_VALUE"""),"2018-2022")</f>
        <v>2018-2022</v>
      </c>
      <c r="M479" s="9" t="str">
        <f ca="1">IFERROR(__xludf.DUMMYFUNCTION("""COMPUTED_VALUE"""),"S4: Student Certifications")</f>
        <v>S4: Student Certifications</v>
      </c>
      <c r="N479" s="9" t="str">
        <f ca="1">IFERROR(__xludf.DUMMYFUNCTION("""COMPUTED_VALUE"""),"rohitbhukya@gmail.com")</f>
        <v>rohitbhukya@gmail.com</v>
      </c>
      <c r="O479" s="9" t="str">
        <f ca="1">IFERROR(__xludf.DUMMYFUNCTION("""COMPUTED_VALUE"""),"SEM-8")</f>
        <v>SEM-8</v>
      </c>
      <c r="P479" s="9"/>
      <c r="Q479" s="9"/>
      <c r="R479" s="9"/>
      <c r="S479" s="9"/>
      <c r="T479" s="9"/>
      <c r="U479" s="9"/>
      <c r="V479" s="9"/>
      <c r="W479" s="9"/>
      <c r="X479" s="9"/>
      <c r="Y479" s="9"/>
    </row>
    <row r="480" spans="1:25" ht="26.25" customHeight="1" x14ac:dyDescent="0.15">
      <c r="A480" s="9" t="str">
        <f ca="1">IFERROR(__xludf.DUMMYFUNCTION("""COMPUTED_VALUE"""),"anushanalli18@gmail.com")</f>
        <v>anushanalli18@gmail.com</v>
      </c>
      <c r="B480" s="9" t="str">
        <f ca="1">IFERROR(__xludf.DUMMYFUNCTION("""COMPUTED_VALUE"""),"18331A05A7")</f>
        <v>18331A05A7</v>
      </c>
      <c r="C480" s="78" t="str">
        <f ca="1">IFERROR(__xludf.DUMMYFUNCTION("""COMPUTED_VALUE"""),"CLA: Programming Essentials in C")</f>
        <v>CLA: Programming Essentials in C</v>
      </c>
      <c r="D480" s="9" t="str">
        <f ca="1">IFERROR(__xludf.DUMMYFUNCTION("""COMPUTED_VALUE"""),"Cisco Networking Academy")</f>
        <v>Cisco Networking Academy</v>
      </c>
      <c r="E480" s="9" t="str">
        <f ca="1">IFERROR(__xludf.DUMMYFUNCTION("""COMPUTED_VALUE"""),"7 months")</f>
        <v>7 months</v>
      </c>
      <c r="F480" s="79">
        <f ca="1">IFERROR(__xludf.DUMMYFUNCTION("""COMPUTED_VALUE"""),43466)</f>
        <v>43466</v>
      </c>
      <c r="G480" s="79">
        <f ca="1">IFERROR(__xludf.DUMMYFUNCTION("""COMPUTED_VALUE"""),43654)</f>
        <v>43654</v>
      </c>
      <c r="H480" s="72">
        <f ca="1">IFERROR(__xludf.DUMMYFUNCTION("""COMPUTED_VALUE"""),43654)</f>
        <v>43654</v>
      </c>
      <c r="I480" s="80">
        <f ca="1">IFERROR(__xludf.DUMMYFUNCTION("""COMPUTED_VALUE"""),98)</f>
        <v>98</v>
      </c>
      <c r="J480" s="9" t="str">
        <f ca="1">IFERROR(__xludf.DUMMYFUNCTION("""COMPUTED_VALUE"""),"VAMSI KRISHNA MAHABHASHYAM")</f>
        <v>VAMSI KRISHNA MAHABHASHYAM</v>
      </c>
      <c r="K480" s="73" t="str">
        <f ca="1">IFERROR(__xludf.DUMMYFUNCTION("""COMPUTED_VALUE"""),"https://drive.google.com/open?id=1-2XRNFWqoYlC4fMcw_b0gR2AoUtJrEB5")</f>
        <v>https://drive.google.com/open?id=1-2XRNFWqoYlC4fMcw_b0gR2AoUtJrEB5</v>
      </c>
      <c r="L480" s="9" t="str">
        <f ca="1">IFERROR(__xludf.DUMMYFUNCTION("""COMPUTED_VALUE"""),"2018-2022")</f>
        <v>2018-2022</v>
      </c>
      <c r="M480" s="9" t="str">
        <f ca="1">IFERROR(__xludf.DUMMYFUNCTION("""COMPUTED_VALUE"""),"S4: Student Certifications")</f>
        <v>S4: Student Certifications</v>
      </c>
      <c r="N480" s="9" t="str">
        <f ca="1">IFERROR(__xludf.DUMMYFUNCTION("""COMPUTED_VALUE"""),"anushanalli18@gmail.com")</f>
        <v>anushanalli18@gmail.com</v>
      </c>
      <c r="O480" s="9" t="str">
        <f ca="1">IFERROR(__xludf.DUMMYFUNCTION("""COMPUTED_VALUE"""),"SEM-8")</f>
        <v>SEM-8</v>
      </c>
      <c r="P480" s="9"/>
      <c r="Q480" s="9"/>
      <c r="R480" s="9"/>
      <c r="S480" s="9"/>
      <c r="T480" s="9"/>
      <c r="U480" s="9"/>
      <c r="V480" s="9"/>
      <c r="W480" s="9"/>
      <c r="X480" s="9"/>
      <c r="Y480" s="9"/>
    </row>
    <row r="481" spans="1:25" ht="26.25" customHeight="1" x14ac:dyDescent="0.15">
      <c r="A481" s="9" t="str">
        <f ca="1">IFERROR(__xludf.DUMMYFUNCTION("""COMPUTED_VALUE"""),"Nalli Anusha")</f>
        <v>Nalli Anusha</v>
      </c>
      <c r="B481" s="9" t="str">
        <f ca="1">IFERROR(__xludf.DUMMYFUNCTION("""COMPUTED_VALUE"""),"18331A05A7")</f>
        <v>18331A05A7</v>
      </c>
      <c r="C481" s="78" t="str">
        <f ca="1">IFERROR(__xludf.DUMMYFUNCTION("""COMPUTED_VALUE"""),"Cybersecurity Essentials")</f>
        <v>Cybersecurity Essentials</v>
      </c>
      <c r="D481" s="9" t="str">
        <f ca="1">IFERROR(__xludf.DUMMYFUNCTION("""COMPUTED_VALUE"""),"Cisco Networking Academy")</f>
        <v>Cisco Networking Academy</v>
      </c>
      <c r="E481" s="9" t="str">
        <f ca="1">IFERROR(__xludf.DUMMYFUNCTION("""COMPUTED_VALUE"""),"1 month")</f>
        <v>1 month</v>
      </c>
      <c r="F481" s="79">
        <f ca="1">IFERROR(__xludf.DUMMYFUNCTION("""COMPUTED_VALUE"""),43668)</f>
        <v>43668</v>
      </c>
      <c r="G481" s="79">
        <f ca="1">IFERROR(__xludf.DUMMYFUNCTION("""COMPUTED_VALUE"""),43699)</f>
        <v>43699</v>
      </c>
      <c r="H481" s="72">
        <f ca="1">IFERROR(__xludf.DUMMYFUNCTION("""COMPUTED_VALUE"""),43672)</f>
        <v>43672</v>
      </c>
      <c r="I481" s="80">
        <f ca="1">IFERROR(__xludf.DUMMYFUNCTION("""COMPUTED_VALUE"""),100)</f>
        <v>100</v>
      </c>
      <c r="J481" s="9" t="str">
        <f ca="1">IFERROR(__xludf.DUMMYFUNCTION("""COMPUTED_VALUE"""),"Kalyana Chakravarthy Chilukuri")</f>
        <v>Kalyana Chakravarthy Chilukuri</v>
      </c>
      <c r="K481" s="73" t="str">
        <f ca="1">IFERROR(__xludf.DUMMYFUNCTION("""COMPUTED_VALUE"""),"https://drive.google.com/open?id=1-Kh2b0Mccdp5ibZVzDcX7rSa2CN-NJG8")</f>
        <v>https://drive.google.com/open?id=1-Kh2b0Mccdp5ibZVzDcX7rSa2CN-NJG8</v>
      </c>
      <c r="L481" s="9" t="str">
        <f ca="1">IFERROR(__xludf.DUMMYFUNCTION("""COMPUTED_VALUE"""),"2018-2022")</f>
        <v>2018-2022</v>
      </c>
      <c r="M481" s="9" t="str">
        <f ca="1">IFERROR(__xludf.DUMMYFUNCTION("""COMPUTED_VALUE"""),"S4: Student Certifications")</f>
        <v>S4: Student Certifications</v>
      </c>
      <c r="N481" s="9" t="str">
        <f ca="1">IFERROR(__xludf.DUMMYFUNCTION("""COMPUTED_VALUE"""),"anushanalli18@gmail.com")</f>
        <v>anushanalli18@gmail.com</v>
      </c>
      <c r="O481" s="9" t="str">
        <f ca="1">IFERROR(__xludf.DUMMYFUNCTION("""COMPUTED_VALUE"""),"SEM-8")</f>
        <v>SEM-8</v>
      </c>
      <c r="P481" s="9"/>
      <c r="Q481" s="9"/>
      <c r="R481" s="9"/>
      <c r="S481" s="9"/>
      <c r="T481" s="9"/>
      <c r="U481" s="9"/>
      <c r="V481" s="9"/>
      <c r="W481" s="9"/>
      <c r="X481" s="9"/>
      <c r="Y481" s="9"/>
    </row>
    <row r="482" spans="1:25" ht="26.25" customHeight="1" x14ac:dyDescent="0.15">
      <c r="A482" s="9" t="str">
        <f ca="1">IFERROR(__xludf.DUMMYFUNCTION("""COMPUTED_VALUE"""),"Hari Krishna Saripalli")</f>
        <v>Hari Krishna Saripalli</v>
      </c>
      <c r="B482" s="9" t="str">
        <f ca="1">IFERROR(__xludf.DUMMYFUNCTION("""COMPUTED_VALUE"""),"18331A05D9")</f>
        <v>18331A05D9</v>
      </c>
      <c r="C482" s="78" t="str">
        <f ca="1">IFERROR(__xludf.DUMMYFUNCTION("""COMPUTED_VALUE"""),"Web Design for Everybody Capstone")</f>
        <v>Web Design for Everybody Capstone</v>
      </c>
      <c r="D482" s="9" t="str">
        <f ca="1">IFERROR(__xludf.DUMMYFUNCTION("""COMPUTED_VALUE"""),"Coursera")</f>
        <v>Coursera</v>
      </c>
      <c r="E482" s="9" t="str">
        <f ca="1">IFERROR(__xludf.DUMMYFUNCTION("""COMPUTED_VALUE"""),"3 months")</f>
        <v>3 months</v>
      </c>
      <c r="F482" s="79">
        <f ca="1">IFERROR(__xludf.DUMMYFUNCTION("""COMPUTED_VALUE"""),43952)</f>
        <v>43952</v>
      </c>
      <c r="G482" s="79">
        <f ca="1">IFERROR(__xludf.DUMMYFUNCTION("""COMPUTED_VALUE"""),44036)</f>
        <v>44036</v>
      </c>
      <c r="H482" s="72">
        <f ca="1">IFERROR(__xludf.DUMMYFUNCTION("""COMPUTED_VALUE"""),44675)</f>
        <v>44675</v>
      </c>
      <c r="I482" s="80">
        <f ca="1">IFERROR(__xludf.DUMMYFUNCTION("""COMPUTED_VALUE"""),80)</f>
        <v>80</v>
      </c>
      <c r="J482" s="9" t="str">
        <f ca="1">IFERROR(__xludf.DUMMYFUNCTION("""COMPUTED_VALUE"""),"Collen van lent")</f>
        <v>Collen van lent</v>
      </c>
      <c r="K482" s="73" t="str">
        <f ca="1">IFERROR(__xludf.DUMMYFUNCTION("""COMPUTED_VALUE"""),"https://drive.google.com/open?id=1LY1yS5lHsPfg_pPppzxlb8enwNd2sr7N")</f>
        <v>https://drive.google.com/open?id=1LY1yS5lHsPfg_pPppzxlb8enwNd2sr7N</v>
      </c>
      <c r="L482" s="9" t="str">
        <f ca="1">IFERROR(__xludf.DUMMYFUNCTION("""COMPUTED_VALUE"""),"2018-2022")</f>
        <v>2018-2022</v>
      </c>
      <c r="M482" s="9" t="str">
        <f ca="1">IFERROR(__xludf.DUMMYFUNCTION("""COMPUTED_VALUE"""),"S4: Student Certifications")</f>
        <v>S4: Student Certifications</v>
      </c>
      <c r="N482" s="9" t="str">
        <f ca="1">IFERROR(__xludf.DUMMYFUNCTION("""COMPUTED_VALUE"""),"harikrishnasaripalli99@gmail.com")</f>
        <v>harikrishnasaripalli99@gmail.com</v>
      </c>
      <c r="O482" s="9" t="str">
        <f ca="1">IFERROR(__xludf.DUMMYFUNCTION("""COMPUTED_VALUE"""),"SEM-8")</f>
        <v>SEM-8</v>
      </c>
      <c r="P482" s="9"/>
      <c r="Q482" s="9"/>
      <c r="R482" s="9"/>
      <c r="S482" s="9"/>
      <c r="T482" s="9"/>
      <c r="U482" s="9"/>
      <c r="V482" s="9"/>
      <c r="W482" s="9"/>
      <c r="X482" s="9"/>
      <c r="Y482" s="9"/>
    </row>
    <row r="483" spans="1:25" ht="26.25" customHeight="1" x14ac:dyDescent="0.15">
      <c r="A483" s="9" t="str">
        <f ca="1">IFERROR(__xludf.DUMMYFUNCTION("""COMPUTED_VALUE"""),"manoj varma sagi")</f>
        <v>manoj varma sagi</v>
      </c>
      <c r="B483" s="9" t="str">
        <f ca="1">IFERROR(__xludf.DUMMYFUNCTION("""COMPUTED_VALUE"""),"18331A05C8")</f>
        <v>18331A05C8</v>
      </c>
      <c r="C483" s="78" t="str">
        <f ca="1">IFERROR(__xludf.DUMMYFUNCTION("""COMPUTED_VALUE"""),"C")</f>
        <v>C</v>
      </c>
      <c r="D483" s="9" t="str">
        <f ca="1">IFERROR(__xludf.DUMMYFUNCTION("""COMPUTED_VALUE"""),"cisco")</f>
        <v>cisco</v>
      </c>
      <c r="E483" s="9" t="str">
        <f ca="1">IFERROR(__xludf.DUMMYFUNCTION("""COMPUTED_VALUE"""),"1 week")</f>
        <v>1 week</v>
      </c>
      <c r="F483" s="79">
        <f ca="1">IFERROR(__xludf.DUMMYFUNCTION("""COMPUTED_VALUE"""),43670)</f>
        <v>43670</v>
      </c>
      <c r="G483" s="79">
        <f ca="1">IFERROR(__xludf.DUMMYFUNCTION("""COMPUTED_VALUE"""),43676)</f>
        <v>43676</v>
      </c>
      <c r="H483" s="72">
        <f ca="1">IFERROR(__xludf.DUMMYFUNCTION("""COMPUTED_VALUE"""),43676)</f>
        <v>43676</v>
      </c>
      <c r="I483" s="80">
        <f ca="1">IFERROR(__xludf.DUMMYFUNCTION("""COMPUTED_VALUE"""),90)</f>
        <v>90</v>
      </c>
      <c r="J483" s="9" t="str">
        <f ca="1">IFERROR(__xludf.DUMMYFUNCTION("""COMPUTED_VALUE"""),"DR Ravi kiran varmA")</f>
        <v>DR Ravi kiran varmA</v>
      </c>
      <c r="K483" s="73" t="str">
        <f ca="1">IFERROR(__xludf.DUMMYFUNCTION("""COMPUTED_VALUE"""),"https://drive.google.com/open?id=1hPn17VP27yhvydDTY9traLQ1wHwZmrox")</f>
        <v>https://drive.google.com/open?id=1hPn17VP27yhvydDTY9traLQ1wHwZmrox</v>
      </c>
      <c r="L483" s="9" t="str">
        <f ca="1">IFERROR(__xludf.DUMMYFUNCTION("""COMPUTED_VALUE"""),"2018-2022")</f>
        <v>2018-2022</v>
      </c>
      <c r="M483" s="9" t="str">
        <f ca="1">IFERROR(__xludf.DUMMYFUNCTION("""COMPUTED_VALUE"""),"S4: Student Certifications")</f>
        <v>S4: Student Certifications</v>
      </c>
      <c r="N483" s="9" t="str">
        <f ca="1">IFERROR(__xludf.DUMMYFUNCTION("""COMPUTED_VALUE"""),"manojvarmaaa13@gmail.com")</f>
        <v>manojvarmaaa13@gmail.com</v>
      </c>
      <c r="O483" s="9" t="str">
        <f ca="1">IFERROR(__xludf.DUMMYFUNCTION("""COMPUTED_VALUE"""),"SEM-8")</f>
        <v>SEM-8</v>
      </c>
      <c r="P483" s="9"/>
      <c r="Q483" s="9"/>
      <c r="R483" s="9"/>
      <c r="S483" s="9"/>
      <c r="T483" s="9"/>
      <c r="U483" s="9"/>
      <c r="V483" s="9"/>
      <c r="W483" s="9"/>
      <c r="X483" s="9"/>
      <c r="Y483" s="9"/>
    </row>
    <row r="484" spans="1:25" ht="26.25" customHeight="1" x14ac:dyDescent="0.15">
      <c r="A484" s="9" t="str">
        <f ca="1">IFERROR(__xludf.DUMMYFUNCTION("""COMPUTED_VALUE"""),"manoj varma sagi")</f>
        <v>manoj varma sagi</v>
      </c>
      <c r="B484" s="9" t="str">
        <f ca="1">IFERROR(__xludf.DUMMYFUNCTION("""COMPUTED_VALUE"""),"18331A05C8")</f>
        <v>18331A05C8</v>
      </c>
      <c r="C484" s="78" t="str">
        <f ca="1">IFERROR(__xludf.DUMMYFUNCTION("""COMPUTED_VALUE"""),"Cyber security")</f>
        <v>Cyber security</v>
      </c>
      <c r="D484" s="9" t="str">
        <f ca="1">IFERROR(__xludf.DUMMYFUNCTION("""COMPUTED_VALUE"""),"Cisco")</f>
        <v>Cisco</v>
      </c>
      <c r="E484" s="9" t="str">
        <f ca="1">IFERROR(__xludf.DUMMYFUNCTION("""COMPUTED_VALUE"""),"1 week")</f>
        <v>1 week</v>
      </c>
      <c r="F484" s="79">
        <f ca="1">IFERROR(__xludf.DUMMYFUNCTION("""COMPUTED_VALUE"""),43670)</f>
        <v>43670</v>
      </c>
      <c r="G484" s="79">
        <f ca="1">IFERROR(__xludf.DUMMYFUNCTION("""COMPUTED_VALUE"""),43676)</f>
        <v>43676</v>
      </c>
      <c r="H484" s="72">
        <f ca="1">IFERROR(__xludf.DUMMYFUNCTION("""COMPUTED_VALUE"""),43676)</f>
        <v>43676</v>
      </c>
      <c r="I484" s="80">
        <f ca="1">IFERROR(__xludf.DUMMYFUNCTION("""COMPUTED_VALUE"""),90)</f>
        <v>90</v>
      </c>
      <c r="J484" s="9" t="str">
        <f ca="1">IFERROR(__xludf.DUMMYFUNCTION("""COMPUTED_VALUE"""),"K V Subba raju")</f>
        <v>K V Subba raju</v>
      </c>
      <c r="K484" s="73" t="str">
        <f ca="1">IFERROR(__xludf.DUMMYFUNCTION("""COMPUTED_VALUE"""),"https://drive.google.com/open?id=1BKGViztp3IVXKGp0QsPQ8GzQD5egv4tn")</f>
        <v>https://drive.google.com/open?id=1BKGViztp3IVXKGp0QsPQ8GzQD5egv4tn</v>
      </c>
      <c r="L484" s="9" t="str">
        <f ca="1">IFERROR(__xludf.DUMMYFUNCTION("""COMPUTED_VALUE"""),"2018-2022")</f>
        <v>2018-2022</v>
      </c>
      <c r="M484" s="9" t="str">
        <f ca="1">IFERROR(__xludf.DUMMYFUNCTION("""COMPUTED_VALUE"""),"S4: Student Certifications")</f>
        <v>S4: Student Certifications</v>
      </c>
      <c r="N484" s="9" t="str">
        <f ca="1">IFERROR(__xludf.DUMMYFUNCTION("""COMPUTED_VALUE"""),"manojvarmaaa13@gmail.com")</f>
        <v>manojvarmaaa13@gmail.com</v>
      </c>
      <c r="O484" s="9" t="str">
        <f ca="1">IFERROR(__xludf.DUMMYFUNCTION("""COMPUTED_VALUE"""),"SEM-8")</f>
        <v>SEM-8</v>
      </c>
      <c r="P484" s="9"/>
      <c r="Q484" s="9"/>
      <c r="R484" s="9"/>
      <c r="S484" s="9"/>
      <c r="T484" s="9"/>
      <c r="U484" s="9"/>
      <c r="V484" s="9"/>
      <c r="W484" s="9"/>
      <c r="X484" s="9"/>
      <c r="Y484" s="9"/>
    </row>
    <row r="485" spans="1:25" ht="26.25" customHeight="1" x14ac:dyDescent="0.15">
      <c r="A485" s="9" t="str">
        <f ca="1">IFERROR(__xludf.DUMMYFUNCTION("""COMPUTED_VALUE"""),"Nalli Anusha")</f>
        <v>Nalli Anusha</v>
      </c>
      <c r="B485" s="9" t="str">
        <f ca="1">IFERROR(__xludf.DUMMYFUNCTION("""COMPUTED_VALUE"""),"18331A05A7")</f>
        <v>18331A05A7</v>
      </c>
      <c r="C485" s="78" t="str">
        <f ca="1">IFERROR(__xludf.DUMMYFUNCTION("""COMPUTED_VALUE"""),"NDG Linux Essentials")</f>
        <v>NDG Linux Essentials</v>
      </c>
      <c r="D485" s="9" t="str">
        <f ca="1">IFERROR(__xludf.DUMMYFUNCTION("""COMPUTED_VALUE"""),"Cisco Networking Academy")</f>
        <v>Cisco Networking Academy</v>
      </c>
      <c r="E485" s="9" t="str">
        <f ca="1">IFERROR(__xludf.DUMMYFUNCTION("""COMPUTED_VALUE"""),"3 months")</f>
        <v>3 months</v>
      </c>
      <c r="F485" s="79">
        <f ca="1">IFERROR(__xludf.DUMMYFUNCTION("""COMPUTED_VALUE"""),43831)</f>
        <v>43831</v>
      </c>
      <c r="G485" s="79">
        <f ca="1">IFERROR(__xludf.DUMMYFUNCTION("""COMPUTED_VALUE"""),43936)</f>
        <v>43936</v>
      </c>
      <c r="H485" s="72">
        <f ca="1">IFERROR(__xludf.DUMMYFUNCTION("""COMPUTED_VALUE"""),43936)</f>
        <v>43936</v>
      </c>
      <c r="I485" s="80">
        <f ca="1">IFERROR(__xludf.DUMMYFUNCTION("""COMPUTED_VALUE"""),98)</f>
        <v>98</v>
      </c>
      <c r="J485" s="9" t="str">
        <f ca="1">IFERROR(__xludf.DUMMYFUNCTION("""COMPUTED_VALUE"""),"SUBBARAJU K V")</f>
        <v>SUBBARAJU K V</v>
      </c>
      <c r="K485" s="73" t="str">
        <f ca="1">IFERROR(__xludf.DUMMYFUNCTION("""COMPUTED_VALUE"""),"https://drive.google.com/open?id=12RL8c1eDxOxloOcL-nQ5Q8_yqlWmTs1j")</f>
        <v>https://drive.google.com/open?id=12RL8c1eDxOxloOcL-nQ5Q8_yqlWmTs1j</v>
      </c>
      <c r="L485" s="9" t="str">
        <f ca="1">IFERROR(__xludf.DUMMYFUNCTION("""COMPUTED_VALUE"""),"2018-2022")</f>
        <v>2018-2022</v>
      </c>
      <c r="M485" s="9" t="str">
        <f ca="1">IFERROR(__xludf.DUMMYFUNCTION("""COMPUTED_VALUE"""),"S4: Student Certifications")</f>
        <v>S4: Student Certifications</v>
      </c>
      <c r="N485" s="9" t="str">
        <f ca="1">IFERROR(__xludf.DUMMYFUNCTION("""COMPUTED_VALUE"""),"anushanalli18@gmail.com")</f>
        <v>anushanalli18@gmail.com</v>
      </c>
      <c r="O485" s="9" t="str">
        <f ca="1">IFERROR(__xludf.DUMMYFUNCTION("""COMPUTED_VALUE"""),"SEM-8")</f>
        <v>SEM-8</v>
      </c>
      <c r="P485" s="9"/>
      <c r="Q485" s="9"/>
      <c r="R485" s="9"/>
      <c r="S485" s="9"/>
      <c r="T485" s="9"/>
      <c r="U485" s="9"/>
      <c r="V485" s="9"/>
      <c r="W485" s="9"/>
      <c r="X485" s="9"/>
      <c r="Y485" s="9"/>
    </row>
    <row r="486" spans="1:25" ht="26.25" customHeight="1" x14ac:dyDescent="0.15">
      <c r="A486" s="9" t="str">
        <f ca="1">IFERROR(__xludf.DUMMYFUNCTION("""COMPUTED_VALUE"""),"manoj varma sagi")</f>
        <v>manoj varma sagi</v>
      </c>
      <c r="B486" s="9" t="str">
        <f ca="1">IFERROR(__xludf.DUMMYFUNCTION("""COMPUTED_VALUE"""),"18331A05C8")</f>
        <v>18331A05C8</v>
      </c>
      <c r="C486" s="78" t="str">
        <f ca="1">IFERROR(__xludf.DUMMYFUNCTION("""COMPUTED_VALUE"""),"AWS")</f>
        <v>AWS</v>
      </c>
      <c r="D486" s="9" t="str">
        <f ca="1">IFERROR(__xludf.DUMMYFUNCTION("""COMPUTED_VALUE"""),"AICTE")</f>
        <v>AICTE</v>
      </c>
      <c r="E486" s="9" t="str">
        <f ca="1">IFERROR(__xludf.DUMMYFUNCTION("""COMPUTED_VALUE"""),"2 months")</f>
        <v>2 months</v>
      </c>
      <c r="F486" s="79">
        <f ca="1">IFERROR(__xludf.DUMMYFUNCTION("""COMPUTED_VALUE"""),44482)</f>
        <v>44482</v>
      </c>
      <c r="G486" s="79">
        <f ca="1">IFERROR(__xludf.DUMMYFUNCTION("""COMPUTED_VALUE"""),44554)</f>
        <v>44554</v>
      </c>
      <c r="H486" s="72">
        <f ca="1">IFERROR(__xludf.DUMMYFUNCTION("""COMPUTED_VALUE"""),44554)</f>
        <v>44554</v>
      </c>
      <c r="I486" s="80">
        <f ca="1">IFERROR(__xludf.DUMMYFUNCTION("""COMPUTED_VALUE"""),90)</f>
        <v>90</v>
      </c>
      <c r="J486" s="9" t="str">
        <f ca="1">IFERROR(__xludf.DUMMYFUNCTION("""COMPUTED_VALUE"""),"DR Ravi kiran varma")</f>
        <v>DR Ravi kiran varma</v>
      </c>
      <c r="K486" s="73" t="str">
        <f ca="1">IFERROR(__xludf.DUMMYFUNCTION("""COMPUTED_VALUE"""),"https://drive.google.com/open?id=1lJpU6p4HauFCn44XN7EJcAWZpal2R1b5")</f>
        <v>https://drive.google.com/open?id=1lJpU6p4HauFCn44XN7EJcAWZpal2R1b5</v>
      </c>
      <c r="L486" s="9" t="str">
        <f ca="1">IFERROR(__xludf.DUMMYFUNCTION("""COMPUTED_VALUE"""),"2018-2022")</f>
        <v>2018-2022</v>
      </c>
      <c r="M486" s="9" t="str">
        <f ca="1">IFERROR(__xludf.DUMMYFUNCTION("""COMPUTED_VALUE"""),"S4: Student Certifications")</f>
        <v>S4: Student Certifications</v>
      </c>
      <c r="N486" s="9" t="str">
        <f ca="1">IFERROR(__xludf.DUMMYFUNCTION("""COMPUTED_VALUE"""),"manojvarmaaa13@gmail.com")</f>
        <v>manojvarmaaa13@gmail.com</v>
      </c>
      <c r="O486" s="9" t="str">
        <f ca="1">IFERROR(__xludf.DUMMYFUNCTION("""COMPUTED_VALUE"""),"SEM-8")</f>
        <v>SEM-8</v>
      </c>
      <c r="P486" s="9"/>
      <c r="Q486" s="9"/>
      <c r="R486" s="9"/>
      <c r="S486" s="9"/>
      <c r="T486" s="9"/>
      <c r="U486" s="9"/>
      <c r="V486" s="9"/>
      <c r="W486" s="9"/>
      <c r="X486" s="9"/>
      <c r="Y486" s="9"/>
    </row>
    <row r="487" spans="1:25" ht="26.25" customHeight="1" x14ac:dyDescent="0.15">
      <c r="A487" s="9" t="str">
        <f ca="1">IFERROR(__xludf.DUMMYFUNCTION("""COMPUTED_VALUE"""),"L.Kavya")</f>
        <v>L.Kavya</v>
      </c>
      <c r="B487" s="9" t="str">
        <f ca="1">IFERROR(__xludf.DUMMYFUNCTION("""COMPUTED_VALUE"""),"18331A0585")</f>
        <v>18331A0585</v>
      </c>
      <c r="C487" s="78" t="str">
        <f ca="1">IFERROR(__xludf.DUMMYFUNCTION("""COMPUTED_VALUE"""),"Programming Essentials in C")</f>
        <v>Programming Essentials in C</v>
      </c>
      <c r="D487" s="9" t="str">
        <f ca="1">IFERROR(__xludf.DUMMYFUNCTION("""COMPUTED_VALUE"""),"Cisco")</f>
        <v>Cisco</v>
      </c>
      <c r="E487" s="9" t="str">
        <f ca="1">IFERROR(__xludf.DUMMYFUNCTION("""COMPUTED_VALUE"""),"4 months")</f>
        <v>4 months</v>
      </c>
      <c r="F487" s="79">
        <f ca="1">IFERROR(__xludf.DUMMYFUNCTION("""COMPUTED_VALUE"""),43571)</f>
        <v>43571</v>
      </c>
      <c r="G487" s="79">
        <f ca="1">IFERROR(__xludf.DUMMYFUNCTION("""COMPUTED_VALUE"""),43693)</f>
        <v>43693</v>
      </c>
      <c r="H487" s="72">
        <f ca="1">IFERROR(__xludf.DUMMYFUNCTION("""COMPUTED_VALUE"""),43693)</f>
        <v>43693</v>
      </c>
      <c r="I487" s="80"/>
      <c r="J487" s="9" t="str">
        <f ca="1">IFERROR(__xludf.DUMMYFUNCTION("""COMPUTED_VALUE"""),"Subbaraju KV")</f>
        <v>Subbaraju KV</v>
      </c>
      <c r="K487" s="73" t="str">
        <f ca="1">IFERROR(__xludf.DUMMYFUNCTION("""COMPUTED_VALUE"""),"https://drive.google.com/open?id=1jJoTU4sgyRGXMbpfu72l4atFy68iFGgx")</f>
        <v>https://drive.google.com/open?id=1jJoTU4sgyRGXMbpfu72l4atFy68iFGgx</v>
      </c>
      <c r="L487" s="9" t="str">
        <f ca="1">IFERROR(__xludf.DUMMYFUNCTION("""COMPUTED_VALUE"""),"2018-2022")</f>
        <v>2018-2022</v>
      </c>
      <c r="M487" s="9" t="str">
        <f ca="1">IFERROR(__xludf.DUMMYFUNCTION("""COMPUTED_VALUE"""),"S4: Student Certifications")</f>
        <v>S4: Student Certifications</v>
      </c>
      <c r="N487" s="9" t="str">
        <f ca="1">IFERROR(__xludf.DUMMYFUNCTION("""COMPUTED_VALUE"""),"lakhanapuramkavya@gmail.com")</f>
        <v>lakhanapuramkavya@gmail.com</v>
      </c>
      <c r="O487" s="9" t="str">
        <f ca="1">IFERROR(__xludf.DUMMYFUNCTION("""COMPUTED_VALUE"""),"SEM-8")</f>
        <v>SEM-8</v>
      </c>
      <c r="P487" s="9"/>
      <c r="Q487" s="9"/>
      <c r="R487" s="9"/>
      <c r="S487" s="9"/>
      <c r="T487" s="9"/>
      <c r="U487" s="9"/>
      <c r="V487" s="9"/>
      <c r="W487" s="9"/>
      <c r="X487" s="9"/>
      <c r="Y487" s="9"/>
    </row>
    <row r="488" spans="1:25" ht="26.25" customHeight="1" x14ac:dyDescent="0.15">
      <c r="A488" s="9" t="str">
        <f ca="1">IFERROR(__xludf.DUMMYFUNCTION("""COMPUTED_VALUE"""),"L.Kavya")</f>
        <v>L.Kavya</v>
      </c>
      <c r="B488" s="9" t="str">
        <f ca="1">IFERROR(__xludf.DUMMYFUNCTION("""COMPUTED_VALUE"""),"18331A0585")</f>
        <v>18331A0585</v>
      </c>
      <c r="C488" s="78" t="str">
        <f ca="1">IFERROR(__xludf.DUMMYFUNCTION("""COMPUTED_VALUE"""),"Cybersecurity ")</f>
        <v xml:space="preserve">Cybersecurity </v>
      </c>
      <c r="D488" s="9" t="str">
        <f ca="1">IFERROR(__xludf.DUMMYFUNCTION("""COMPUTED_VALUE"""),"Cisco ")</f>
        <v xml:space="preserve">Cisco </v>
      </c>
      <c r="E488" s="9" t="str">
        <f ca="1">IFERROR(__xludf.DUMMYFUNCTION("""COMPUTED_VALUE"""),"3 months")</f>
        <v>3 months</v>
      </c>
      <c r="F488" s="79">
        <f ca="1">IFERROR(__xludf.DUMMYFUNCTION("""COMPUTED_VALUE"""),43581)</f>
        <v>43581</v>
      </c>
      <c r="G488" s="79">
        <f ca="1">IFERROR(__xludf.DUMMYFUNCTION("""COMPUTED_VALUE"""),43672)</f>
        <v>43672</v>
      </c>
      <c r="H488" s="72">
        <f ca="1">IFERROR(__xludf.DUMMYFUNCTION("""COMPUTED_VALUE"""),43672)</f>
        <v>43672</v>
      </c>
      <c r="I488" s="80"/>
      <c r="J488" s="9" t="str">
        <f ca="1">IFERROR(__xludf.DUMMYFUNCTION("""COMPUTED_VALUE"""),"Ravi Kiran Varma")</f>
        <v>Ravi Kiran Varma</v>
      </c>
      <c r="K488" s="73" t="str">
        <f ca="1">IFERROR(__xludf.DUMMYFUNCTION("""COMPUTED_VALUE"""),"https://drive.google.com/open?id=1oATV4z38uVsk4DRsCVGk1JQtK1jyN3h9")</f>
        <v>https://drive.google.com/open?id=1oATV4z38uVsk4DRsCVGk1JQtK1jyN3h9</v>
      </c>
      <c r="L488" s="9" t="str">
        <f ca="1">IFERROR(__xludf.DUMMYFUNCTION("""COMPUTED_VALUE"""),"2018-2022")</f>
        <v>2018-2022</v>
      </c>
      <c r="M488" s="9" t="str">
        <f ca="1">IFERROR(__xludf.DUMMYFUNCTION("""COMPUTED_VALUE"""),"S4: Student Certifications")</f>
        <v>S4: Student Certifications</v>
      </c>
      <c r="N488" s="9" t="str">
        <f ca="1">IFERROR(__xludf.DUMMYFUNCTION("""COMPUTED_VALUE"""),"lakhanapuramkavya@gmail.com")</f>
        <v>lakhanapuramkavya@gmail.com</v>
      </c>
      <c r="O488" s="9" t="str">
        <f ca="1">IFERROR(__xludf.DUMMYFUNCTION("""COMPUTED_VALUE"""),"SEM-8")</f>
        <v>SEM-8</v>
      </c>
      <c r="P488" s="9"/>
      <c r="Q488" s="9"/>
      <c r="R488" s="9"/>
      <c r="S488" s="9"/>
      <c r="T488" s="9"/>
      <c r="U488" s="9"/>
      <c r="V488" s="9"/>
      <c r="W488" s="9"/>
      <c r="X488" s="9"/>
      <c r="Y488" s="9"/>
    </row>
    <row r="489" spans="1:25" ht="26.25" customHeight="1" x14ac:dyDescent="0.15">
      <c r="A489" s="9" t="str">
        <f ca="1">IFERROR(__xludf.DUMMYFUNCTION("""COMPUTED_VALUE"""),"L.Kavya")</f>
        <v>L.Kavya</v>
      </c>
      <c r="B489" s="9" t="str">
        <f ca="1">IFERROR(__xludf.DUMMYFUNCTION("""COMPUTED_VALUE"""),"18331A0585")</f>
        <v>18331A0585</v>
      </c>
      <c r="C489" s="78" t="str">
        <f ca="1">IFERROR(__xludf.DUMMYFUNCTION("""COMPUTED_VALUE"""),"4.0 Tech Online Boot Camp")</f>
        <v>4.0 Tech Online Boot Camp</v>
      </c>
      <c r="D489" s="9" t="str">
        <f ca="1">IFERROR(__xludf.DUMMYFUNCTION("""COMPUTED_VALUE"""),"CCBP 4.0 Tech Community ")</f>
        <v xml:space="preserve">CCBP 4.0 Tech Community </v>
      </c>
      <c r="E489" s="9" t="str">
        <f ca="1">IFERROR(__xludf.DUMMYFUNCTION("""COMPUTED_VALUE"""),"1 day")</f>
        <v>1 day</v>
      </c>
      <c r="F489" s="79">
        <f ca="1">IFERROR(__xludf.DUMMYFUNCTION("""COMPUTED_VALUE"""),44473)</f>
        <v>44473</v>
      </c>
      <c r="G489" s="79">
        <f ca="1">IFERROR(__xludf.DUMMYFUNCTION("""COMPUTED_VALUE"""),44473)</f>
        <v>44473</v>
      </c>
      <c r="H489" s="72">
        <f ca="1">IFERROR(__xludf.DUMMYFUNCTION("""COMPUTED_VALUE"""),44473)</f>
        <v>44473</v>
      </c>
      <c r="I489" s="80"/>
      <c r="J489" s="9" t="str">
        <f ca="1">IFERROR(__xludf.DUMMYFUNCTION("""COMPUTED_VALUE"""),"-")</f>
        <v>-</v>
      </c>
      <c r="K489" s="73" t="str">
        <f ca="1">IFERROR(__xludf.DUMMYFUNCTION("""COMPUTED_VALUE"""),"https://drive.google.com/open?id=1zl0FM32wwsGqc5vNeMZ_jEgkKuRia6S2")</f>
        <v>https://drive.google.com/open?id=1zl0FM32wwsGqc5vNeMZ_jEgkKuRia6S2</v>
      </c>
      <c r="L489" s="9" t="str">
        <f ca="1">IFERROR(__xludf.DUMMYFUNCTION("""COMPUTED_VALUE"""),"2018-2022")</f>
        <v>2018-2022</v>
      </c>
      <c r="M489" s="9" t="str">
        <f ca="1">IFERROR(__xludf.DUMMYFUNCTION("""COMPUTED_VALUE"""),"S4: Student Certifications")</f>
        <v>S4: Student Certifications</v>
      </c>
      <c r="N489" s="9" t="str">
        <f ca="1">IFERROR(__xludf.DUMMYFUNCTION("""COMPUTED_VALUE"""),"lakhanapuramkavya@gmail.com")</f>
        <v>lakhanapuramkavya@gmail.com</v>
      </c>
      <c r="O489" s="9" t="str">
        <f ca="1">IFERROR(__xludf.DUMMYFUNCTION("""COMPUTED_VALUE"""),"SEM-8")</f>
        <v>SEM-8</v>
      </c>
      <c r="P489" s="9"/>
      <c r="Q489" s="9"/>
      <c r="R489" s="9"/>
      <c r="S489" s="9"/>
      <c r="T489" s="9"/>
      <c r="U489" s="9"/>
      <c r="V489" s="9"/>
      <c r="W489" s="9"/>
      <c r="X489" s="9"/>
      <c r="Y489" s="9"/>
    </row>
    <row r="490" spans="1:25" ht="26.25" customHeight="1" x14ac:dyDescent="0.15">
      <c r="A490" s="9" t="str">
        <f ca="1">IFERROR(__xludf.DUMMYFUNCTION("""COMPUTED_VALUE"""),"L.Kavya")</f>
        <v>L.Kavya</v>
      </c>
      <c r="B490" s="9" t="str">
        <f ca="1">IFERROR(__xludf.DUMMYFUNCTION("""COMPUTED_VALUE"""),"18331A0585")</f>
        <v>18331A0585</v>
      </c>
      <c r="C490" s="78" t="str">
        <f ca="1">IFERROR(__xludf.DUMMYFUNCTION("""COMPUTED_VALUE"""),"SQL")</f>
        <v>SQL</v>
      </c>
      <c r="D490" s="9" t="str">
        <f ca="1">IFERROR(__xludf.DUMMYFUNCTION("""COMPUTED_VALUE"""),"SoloLearn")</f>
        <v>SoloLearn</v>
      </c>
      <c r="E490" s="9" t="str">
        <f ca="1">IFERROR(__xludf.DUMMYFUNCTION("""COMPUTED_VALUE"""),"1 month")</f>
        <v>1 month</v>
      </c>
      <c r="F490" s="79">
        <f ca="1">IFERROR(__xludf.DUMMYFUNCTION("""COMPUTED_VALUE"""),43525)</f>
        <v>43525</v>
      </c>
      <c r="G490" s="79">
        <f ca="1">IFERROR(__xludf.DUMMYFUNCTION("""COMPUTED_VALUE"""),43981)</f>
        <v>43981</v>
      </c>
      <c r="H490" s="72">
        <f ca="1">IFERROR(__xludf.DUMMYFUNCTION("""COMPUTED_VALUE"""),43921)</f>
        <v>43921</v>
      </c>
      <c r="I490" s="80"/>
      <c r="J490" s="9" t="str">
        <f ca="1">IFERROR(__xludf.DUMMYFUNCTION("""COMPUTED_VALUE"""),"-")</f>
        <v>-</v>
      </c>
      <c r="K490" s="73" t="str">
        <f ca="1">IFERROR(__xludf.DUMMYFUNCTION("""COMPUTED_VALUE"""),"https://drive.google.com/open?id=1OD1v1NPhwpIGDw1egj5-f8gTMb_M7LZF")</f>
        <v>https://drive.google.com/open?id=1OD1v1NPhwpIGDw1egj5-f8gTMb_M7LZF</v>
      </c>
      <c r="L490" s="9" t="str">
        <f ca="1">IFERROR(__xludf.DUMMYFUNCTION("""COMPUTED_VALUE"""),"2018-2022")</f>
        <v>2018-2022</v>
      </c>
      <c r="M490" s="9" t="str">
        <f ca="1">IFERROR(__xludf.DUMMYFUNCTION("""COMPUTED_VALUE"""),"S4: Student Certifications")</f>
        <v>S4: Student Certifications</v>
      </c>
      <c r="N490" s="9" t="str">
        <f ca="1">IFERROR(__xludf.DUMMYFUNCTION("""COMPUTED_VALUE"""),"lakhanapuramkavya@gmail.com")</f>
        <v>lakhanapuramkavya@gmail.com</v>
      </c>
      <c r="O490" s="9" t="str">
        <f ca="1">IFERROR(__xludf.DUMMYFUNCTION("""COMPUTED_VALUE"""),"SEM-8")</f>
        <v>SEM-8</v>
      </c>
      <c r="P490" s="9"/>
      <c r="Q490" s="9"/>
      <c r="R490" s="9"/>
      <c r="S490" s="9"/>
      <c r="T490" s="9"/>
      <c r="U490" s="9"/>
      <c r="V490" s="9"/>
      <c r="W490" s="9"/>
      <c r="X490" s="9"/>
      <c r="Y490" s="9"/>
    </row>
    <row r="491" spans="1:25" ht="26.25" customHeight="1" x14ac:dyDescent="0.15">
      <c r="A491" s="9" t="str">
        <f ca="1">IFERROR(__xludf.DUMMYFUNCTION("""COMPUTED_VALUE"""),"L.Kavya")</f>
        <v>L.Kavya</v>
      </c>
      <c r="B491" s="9" t="str">
        <f ca="1">IFERROR(__xludf.DUMMYFUNCTION("""COMPUTED_VALUE"""),"18341A0585")</f>
        <v>18341A0585</v>
      </c>
      <c r="C491" s="78" t="str">
        <f ca="1">IFERROR(__xludf.DUMMYFUNCTION("""COMPUTED_VALUE"""),"Tata Imagination Challenge 2021")</f>
        <v>Tata Imagination Challenge 2021</v>
      </c>
      <c r="D491" s="9" t="str">
        <f ca="1">IFERROR(__xludf.DUMMYFUNCTION("""COMPUTED_VALUE"""),"Dare To Complete ")</f>
        <v xml:space="preserve">Dare To Complete </v>
      </c>
      <c r="E491" s="9" t="str">
        <f ca="1">IFERROR(__xludf.DUMMYFUNCTION("""COMPUTED_VALUE"""),"3 days")</f>
        <v>3 days</v>
      </c>
      <c r="F491" s="79">
        <f ca="1">IFERROR(__xludf.DUMMYFUNCTION("""COMPUTED_VALUE"""),44484)</f>
        <v>44484</v>
      </c>
      <c r="G491" s="79">
        <f ca="1">IFERROR(__xludf.DUMMYFUNCTION("""COMPUTED_VALUE"""),44486)</f>
        <v>44486</v>
      </c>
      <c r="H491" s="72">
        <f ca="1">IFERROR(__xludf.DUMMYFUNCTION("""COMPUTED_VALUE"""),44486)</f>
        <v>44486</v>
      </c>
      <c r="I491" s="80"/>
      <c r="J491" s="9" t="str">
        <f ca="1">IFERROR(__xludf.DUMMYFUNCTION("""COMPUTED_VALUE"""),"-")</f>
        <v>-</v>
      </c>
      <c r="K491" s="73" t="str">
        <f ca="1">IFERROR(__xludf.DUMMYFUNCTION("""COMPUTED_VALUE"""),"https://drive.google.com/open?id=1EnSLOaNxEjnCT7OoDfIeiqBqy8uy1FsZ")</f>
        <v>https://drive.google.com/open?id=1EnSLOaNxEjnCT7OoDfIeiqBqy8uy1FsZ</v>
      </c>
      <c r="L491" s="9" t="str">
        <f ca="1">IFERROR(__xludf.DUMMYFUNCTION("""COMPUTED_VALUE"""),"2018-2022")</f>
        <v>2018-2022</v>
      </c>
      <c r="M491" s="9" t="str">
        <f ca="1">IFERROR(__xludf.DUMMYFUNCTION("""COMPUTED_VALUE"""),"S4: Student Certifications")</f>
        <v>S4: Student Certifications</v>
      </c>
      <c r="N491" s="9" t="str">
        <f ca="1">IFERROR(__xludf.DUMMYFUNCTION("""COMPUTED_VALUE"""),"lakhanapuramkavya@gmail.com")</f>
        <v>lakhanapuramkavya@gmail.com</v>
      </c>
      <c r="O491" s="9" t="str">
        <f ca="1">IFERROR(__xludf.DUMMYFUNCTION("""COMPUTED_VALUE"""),"SEM-8")</f>
        <v>SEM-8</v>
      </c>
      <c r="P491" s="9"/>
      <c r="Q491" s="9"/>
      <c r="R491" s="9"/>
      <c r="S491" s="9"/>
      <c r="T491" s="9"/>
      <c r="U491" s="9"/>
      <c r="V491" s="9"/>
      <c r="W491" s="9"/>
      <c r="X491" s="9"/>
      <c r="Y491" s="9"/>
    </row>
    <row r="492" spans="1:25" ht="26.25" customHeight="1" x14ac:dyDescent="0.15">
      <c r="A492" s="9" t="str">
        <f ca="1">IFERROR(__xludf.DUMMYFUNCTION("""COMPUTED_VALUE"""),"L.Kavya")</f>
        <v>L.Kavya</v>
      </c>
      <c r="B492" s="9" t="str">
        <f ca="1">IFERROR(__xludf.DUMMYFUNCTION("""COMPUTED_VALUE"""),"18331A0585")</f>
        <v>18331A0585</v>
      </c>
      <c r="C492" s="78" t="str">
        <f ca="1">IFERROR(__xludf.DUMMYFUNCTION("""COMPUTED_VALUE"""),"Microsoft Azure Fundamentals")</f>
        <v>Microsoft Azure Fundamentals</v>
      </c>
      <c r="D492" s="9" t="str">
        <f ca="1">IFERROR(__xludf.DUMMYFUNCTION("""COMPUTED_VALUE"""),"Microsoft ")</f>
        <v xml:space="preserve">Microsoft </v>
      </c>
      <c r="E492" s="9" t="str">
        <f ca="1">IFERROR(__xludf.DUMMYFUNCTION("""COMPUTED_VALUE"""),"1 month")</f>
        <v>1 month</v>
      </c>
      <c r="F492" s="79">
        <f ca="1">IFERROR(__xludf.DUMMYFUNCTION("""COMPUTED_VALUE"""),44593)</f>
        <v>44593</v>
      </c>
      <c r="G492" s="79">
        <f ca="1">IFERROR(__xludf.DUMMYFUNCTION("""COMPUTED_VALUE"""),44621)</f>
        <v>44621</v>
      </c>
      <c r="H492" s="72">
        <f ca="1">IFERROR(__xludf.DUMMYFUNCTION("""COMPUTED_VALUE"""),44641)</f>
        <v>44641</v>
      </c>
      <c r="I492" s="80"/>
      <c r="J492" s="9" t="str">
        <f ca="1">IFERROR(__xludf.DUMMYFUNCTION("""COMPUTED_VALUE"""),"-")</f>
        <v>-</v>
      </c>
      <c r="K492" s="73" t="str">
        <f ca="1">IFERROR(__xludf.DUMMYFUNCTION("""COMPUTED_VALUE"""),"https://drive.google.com/open?id=10E2Ll4SUAfNR9h_MRcegXemaUXhuQ-LK")</f>
        <v>https://drive.google.com/open?id=10E2Ll4SUAfNR9h_MRcegXemaUXhuQ-LK</v>
      </c>
      <c r="L492" s="9" t="str">
        <f ca="1">IFERROR(__xludf.DUMMYFUNCTION("""COMPUTED_VALUE"""),"2018-2022")</f>
        <v>2018-2022</v>
      </c>
      <c r="M492" s="9" t="str">
        <f ca="1">IFERROR(__xludf.DUMMYFUNCTION("""COMPUTED_VALUE"""),"S4: Student Certifications")</f>
        <v>S4: Student Certifications</v>
      </c>
      <c r="N492" s="9" t="str">
        <f ca="1">IFERROR(__xludf.DUMMYFUNCTION("""COMPUTED_VALUE"""),"lakhanapuramkavya@gmail.com")</f>
        <v>lakhanapuramkavya@gmail.com</v>
      </c>
      <c r="O492" s="9" t="str">
        <f ca="1">IFERROR(__xludf.DUMMYFUNCTION("""COMPUTED_VALUE"""),"SEM-8")</f>
        <v>SEM-8</v>
      </c>
      <c r="P492" s="9"/>
      <c r="Q492" s="9"/>
      <c r="R492" s="9"/>
      <c r="S492" s="9"/>
      <c r="T492" s="9"/>
      <c r="U492" s="9"/>
      <c r="V492" s="9"/>
      <c r="W492" s="9"/>
      <c r="X492" s="9"/>
      <c r="Y492" s="9"/>
    </row>
    <row r="493" spans="1:25" ht="26.25" customHeight="1" x14ac:dyDescent="0.15">
      <c r="A493" s="9" t="str">
        <f ca="1">IFERROR(__xludf.DUMMYFUNCTION("""COMPUTED_VALUE"""),"Thudumu Soni kumar")</f>
        <v>Thudumu Soni kumar</v>
      </c>
      <c r="B493" s="9" t="str">
        <f ca="1">IFERROR(__xludf.DUMMYFUNCTION("""COMPUTED_VALUE"""),"18331A05F6")</f>
        <v>18331A05F6</v>
      </c>
      <c r="C493" s="78" t="str">
        <f ca="1">IFERROR(__xludf.DUMMYFUNCTION("""COMPUTED_VALUE"""),"C")</f>
        <v>C</v>
      </c>
      <c r="D493" s="9" t="str">
        <f ca="1">IFERROR(__xludf.DUMMYFUNCTION("""COMPUTED_VALUE"""),"Cisco")</f>
        <v>Cisco</v>
      </c>
      <c r="E493" s="9" t="str">
        <f ca="1">IFERROR(__xludf.DUMMYFUNCTION("""COMPUTED_VALUE"""),"6")</f>
        <v>6</v>
      </c>
      <c r="F493" s="79">
        <f ca="1">IFERROR(__xludf.DUMMYFUNCTION("""COMPUTED_VALUE"""),43498)</f>
        <v>43498</v>
      </c>
      <c r="G493" s="79">
        <f ca="1">IFERROR(__xludf.DUMMYFUNCTION("""COMPUTED_VALUE"""),43676)</f>
        <v>43676</v>
      </c>
      <c r="H493" s="72">
        <f ca="1">IFERROR(__xludf.DUMMYFUNCTION("""COMPUTED_VALUE"""),44681)</f>
        <v>44681</v>
      </c>
      <c r="I493" s="80">
        <f ca="1">IFERROR(__xludf.DUMMYFUNCTION("""COMPUTED_VALUE"""),90)</f>
        <v>90</v>
      </c>
      <c r="J493" s="9" t="str">
        <f ca="1">IFERROR(__xludf.DUMMYFUNCTION("""COMPUTED_VALUE"""),"DR RAVI KIRAN VARMA PENMATSA")</f>
        <v>DR RAVI KIRAN VARMA PENMATSA</v>
      </c>
      <c r="K493" s="73" t="str">
        <f ca="1">IFERROR(__xludf.DUMMYFUNCTION("""COMPUTED_VALUE"""),"https://drive.google.com/open?id=1KfBxR3zT_qNZ6b0gk50CYbmZIJNudz2s")</f>
        <v>https://drive.google.com/open?id=1KfBxR3zT_qNZ6b0gk50CYbmZIJNudz2s</v>
      </c>
      <c r="L493" s="9" t="str">
        <f ca="1">IFERROR(__xludf.DUMMYFUNCTION("""COMPUTED_VALUE"""),"2018-2022")</f>
        <v>2018-2022</v>
      </c>
      <c r="M493" s="9" t="str">
        <f ca="1">IFERROR(__xludf.DUMMYFUNCTION("""COMPUTED_VALUE"""),"S4: Student Certifications")</f>
        <v>S4: Student Certifications</v>
      </c>
      <c r="N493" s="9" t="str">
        <f ca="1">IFERROR(__xludf.DUMMYFUNCTION("""COMPUTED_VALUE"""),"tsksoni1@gmail.com")</f>
        <v>tsksoni1@gmail.com</v>
      </c>
      <c r="O493" s="9" t="str">
        <f ca="1">IFERROR(__xludf.DUMMYFUNCTION("""COMPUTED_VALUE"""),"SEM-2")</f>
        <v>SEM-2</v>
      </c>
      <c r="P493" s="9"/>
      <c r="Q493" s="9"/>
      <c r="R493" s="9"/>
      <c r="S493" s="9"/>
      <c r="T493" s="9"/>
      <c r="U493" s="9"/>
      <c r="V493" s="9"/>
      <c r="W493" s="9"/>
      <c r="X493" s="9"/>
      <c r="Y493" s="9"/>
    </row>
    <row r="494" spans="1:25" ht="26.25" customHeight="1" x14ac:dyDescent="0.15">
      <c r="A494" s="9" t="str">
        <f ca="1">IFERROR(__xludf.DUMMYFUNCTION("""COMPUTED_VALUE"""),"SRIHARI NAIDU POGIRI")</f>
        <v>SRIHARI NAIDU POGIRI</v>
      </c>
      <c r="B494" s="9" t="str">
        <f ca="1">IFERROR(__xludf.DUMMYFUNCTION("""COMPUTED_VALUE"""),"18331A05E6")</f>
        <v>18331A05E6</v>
      </c>
      <c r="C494" s="78" t="str">
        <f ca="1">IFERROR(__xludf.DUMMYFUNCTION("""COMPUTED_VALUE"""),"Programming essesntials in c")</f>
        <v>Programming essesntials in c</v>
      </c>
      <c r="D494" s="9" t="str">
        <f ca="1">IFERROR(__xludf.DUMMYFUNCTION("""COMPUTED_VALUE"""),"Cisco")</f>
        <v>Cisco</v>
      </c>
      <c r="E494" s="9" t="str">
        <f ca="1">IFERROR(__xludf.DUMMYFUNCTION("""COMPUTED_VALUE"""),"6 months")</f>
        <v>6 months</v>
      </c>
      <c r="F494" s="79">
        <f ca="1">IFERROR(__xludf.DUMMYFUNCTION("""COMPUTED_VALUE"""),43501)</f>
        <v>43501</v>
      </c>
      <c r="G494" s="79">
        <f ca="1">IFERROR(__xludf.DUMMYFUNCTION("""COMPUTED_VALUE"""),43655)</f>
        <v>43655</v>
      </c>
      <c r="H494" s="72">
        <f ca="1">IFERROR(__xludf.DUMMYFUNCTION("""COMPUTED_VALUE"""),43655)</f>
        <v>43655</v>
      </c>
      <c r="I494" s="80">
        <f ca="1">IFERROR(__xludf.DUMMYFUNCTION("""COMPUTED_VALUE"""),100)</f>
        <v>100</v>
      </c>
      <c r="J494" s="9" t="str">
        <f ca="1">IFERROR(__xludf.DUMMYFUNCTION("""COMPUTED_VALUE"""),"DR RAVI KIRAN VARMA PENMATSA")</f>
        <v>DR RAVI KIRAN VARMA PENMATSA</v>
      </c>
      <c r="K494" s="73" t="str">
        <f ca="1">IFERROR(__xludf.DUMMYFUNCTION("""COMPUTED_VALUE"""),"https://drive.google.com/open?id=1icNJAJuu3Wy4ss4bug7-BgODwv2t1xhH")</f>
        <v>https://drive.google.com/open?id=1icNJAJuu3Wy4ss4bug7-BgODwv2t1xhH</v>
      </c>
      <c r="L494" s="9" t="str">
        <f ca="1">IFERROR(__xludf.DUMMYFUNCTION("""COMPUTED_VALUE"""),"2018-2022")</f>
        <v>2018-2022</v>
      </c>
      <c r="M494" s="9" t="str">
        <f ca="1">IFERROR(__xludf.DUMMYFUNCTION("""COMPUTED_VALUE"""),"S4: Student Certifications")</f>
        <v>S4: Student Certifications</v>
      </c>
      <c r="N494" s="9" t="str">
        <f ca="1">IFERROR(__xludf.DUMMYFUNCTION("""COMPUTED_VALUE"""),"sriharismart0000@gmail.com")</f>
        <v>sriharismart0000@gmail.com</v>
      </c>
      <c r="O494" s="9" t="str">
        <f ca="1">IFERROR(__xludf.DUMMYFUNCTION("""COMPUTED_VALUE"""),"SEM-4")</f>
        <v>SEM-4</v>
      </c>
      <c r="P494" s="9"/>
      <c r="Q494" s="9"/>
      <c r="R494" s="9"/>
      <c r="S494" s="9"/>
      <c r="T494" s="9"/>
      <c r="U494" s="9"/>
      <c r="V494" s="9"/>
      <c r="W494" s="9"/>
      <c r="X494" s="9"/>
      <c r="Y494" s="9"/>
    </row>
    <row r="495" spans="1:25" ht="26.25" customHeight="1" x14ac:dyDescent="0.15">
      <c r="A495" s="9" t="str">
        <f ca="1">IFERROR(__xludf.DUMMYFUNCTION("""COMPUTED_VALUE"""),"Uday sai Kiran Abbiredddy")</f>
        <v>Uday sai Kiran Abbiredddy</v>
      </c>
      <c r="B495" s="9" t="str">
        <f ca="1">IFERROR(__xludf.DUMMYFUNCTION("""COMPUTED_VALUE"""),"18331A05G0")</f>
        <v>18331A05G0</v>
      </c>
      <c r="C495" s="78" t="str">
        <f ca="1">IFERROR(__xludf.DUMMYFUNCTION("""COMPUTED_VALUE"""),"Introduction to Networks")</f>
        <v>Introduction to Networks</v>
      </c>
      <c r="D495" s="9" t="str">
        <f ca="1">IFERROR(__xludf.DUMMYFUNCTION("""COMPUTED_VALUE"""),"CCNA")</f>
        <v>CCNA</v>
      </c>
      <c r="E495" s="9" t="str">
        <f ca="1">IFERROR(__xludf.DUMMYFUNCTION("""COMPUTED_VALUE"""),"1 month")</f>
        <v>1 month</v>
      </c>
      <c r="F495" s="79">
        <f ca="1">IFERROR(__xludf.DUMMYFUNCTION("""COMPUTED_VALUE"""),44348)</f>
        <v>44348</v>
      </c>
      <c r="G495" s="79">
        <f ca="1">IFERROR(__xludf.DUMMYFUNCTION("""COMPUTED_VALUE"""),44378)</f>
        <v>44378</v>
      </c>
      <c r="H495" s="72">
        <f ca="1">IFERROR(__xludf.DUMMYFUNCTION("""COMPUTED_VALUE"""),44378)</f>
        <v>44378</v>
      </c>
      <c r="I495" s="80">
        <f ca="1">IFERROR(__xludf.DUMMYFUNCTION("""COMPUTED_VALUE"""),0.95)</f>
        <v>0.95</v>
      </c>
      <c r="J495" s="9" t="str">
        <f ca="1">IFERROR(__xludf.DUMMYFUNCTION("""COMPUTED_VALUE"""),"Ravi Kiran Varma")</f>
        <v>Ravi Kiran Varma</v>
      </c>
      <c r="K495" s="73" t="str">
        <f ca="1">IFERROR(__xludf.DUMMYFUNCTION("""COMPUTED_VALUE"""),"https://drive.google.com/open?id=1BH-PRg3x3i8kT7ptfZj5TSMnBWA5QRY1")</f>
        <v>https://drive.google.com/open?id=1BH-PRg3x3i8kT7ptfZj5TSMnBWA5QRY1</v>
      </c>
      <c r="L495" s="9" t="str">
        <f ca="1">IFERROR(__xludf.DUMMYFUNCTION("""COMPUTED_VALUE"""),"2018-2022")</f>
        <v>2018-2022</v>
      </c>
      <c r="M495" s="9" t="str">
        <f ca="1">IFERROR(__xludf.DUMMYFUNCTION("""COMPUTED_VALUE"""),"S4: Student Certifications")</f>
        <v>S4: Student Certifications</v>
      </c>
      <c r="N495" s="9" t="str">
        <f ca="1">IFERROR(__xludf.DUMMYFUNCTION("""COMPUTED_VALUE"""),"abbireddy8300@gmail.com")</f>
        <v>abbireddy8300@gmail.com</v>
      </c>
      <c r="O495" s="9" t="str">
        <f ca="1">IFERROR(__xludf.DUMMYFUNCTION("""COMPUTED_VALUE"""),"SEM-1")</f>
        <v>SEM-1</v>
      </c>
      <c r="P495" s="9"/>
      <c r="Q495" s="9"/>
      <c r="R495" s="9"/>
      <c r="S495" s="9"/>
      <c r="T495" s="9"/>
      <c r="U495" s="9"/>
      <c r="V495" s="9"/>
      <c r="W495" s="9"/>
      <c r="X495" s="9"/>
      <c r="Y495" s="9"/>
    </row>
    <row r="496" spans="1:25" ht="26.25" customHeight="1" x14ac:dyDescent="0.15">
      <c r="A496" s="9" t="str">
        <f ca="1">IFERROR(__xludf.DUMMYFUNCTION("""COMPUTED_VALUE"""),"Thudumu Soni kumar")</f>
        <v>Thudumu Soni kumar</v>
      </c>
      <c r="B496" s="9" t="str">
        <f ca="1">IFERROR(__xludf.DUMMYFUNCTION("""COMPUTED_VALUE"""),"18331A05F6")</f>
        <v>18331A05F6</v>
      </c>
      <c r="C496" s="78" t="str">
        <f ca="1">IFERROR(__xludf.DUMMYFUNCTION("""COMPUTED_VALUE"""),"Cisco")</f>
        <v>Cisco</v>
      </c>
      <c r="D496" s="9" t="str">
        <f ca="1">IFERROR(__xludf.DUMMYFUNCTION("""COMPUTED_VALUE"""),"Cybersecurity ")</f>
        <v xml:space="preserve">Cybersecurity </v>
      </c>
      <c r="E496" s="9" t="str">
        <f ca="1">IFERROR(__xludf.DUMMYFUNCTION("""COMPUTED_VALUE"""),"6monrhs")</f>
        <v>6monrhs</v>
      </c>
      <c r="F496" s="79">
        <f ca="1">IFERROR(__xludf.DUMMYFUNCTION("""COMPUTED_VALUE"""),43573)</f>
        <v>43573</v>
      </c>
      <c r="G496" s="79">
        <f ca="1">IFERROR(__xludf.DUMMYFUNCTION("""COMPUTED_VALUE"""),43662)</f>
        <v>43662</v>
      </c>
      <c r="H496" s="72">
        <f ca="1">IFERROR(__xludf.DUMMYFUNCTION("""COMPUTED_VALUE"""),43665)</f>
        <v>43665</v>
      </c>
      <c r="I496" s="80">
        <f ca="1">IFERROR(__xludf.DUMMYFUNCTION("""COMPUTED_VALUE"""),90)</f>
        <v>90</v>
      </c>
      <c r="J496" s="9" t="str">
        <f ca="1">IFERROR(__xludf.DUMMYFUNCTION("""COMPUTED_VALUE"""),"DR RAVI KIRAN VARMA PENMATSA")</f>
        <v>DR RAVI KIRAN VARMA PENMATSA</v>
      </c>
      <c r="K496" s="73" t="str">
        <f ca="1">IFERROR(__xludf.DUMMYFUNCTION("""COMPUTED_VALUE"""),"https://drive.google.com/open?id=1h8NrepugU0ydNIsSDDJourgUc70hRnYH")</f>
        <v>https://drive.google.com/open?id=1h8NrepugU0ydNIsSDDJourgUc70hRnYH</v>
      </c>
      <c r="L496" s="9" t="str">
        <f ca="1">IFERROR(__xludf.DUMMYFUNCTION("""COMPUTED_VALUE"""),"2018-2022")</f>
        <v>2018-2022</v>
      </c>
      <c r="M496" s="9" t="str">
        <f ca="1">IFERROR(__xludf.DUMMYFUNCTION("""COMPUTED_VALUE"""),"S4: Student Certifications")</f>
        <v>S4: Student Certifications</v>
      </c>
      <c r="N496" s="9" t="str">
        <f ca="1">IFERROR(__xludf.DUMMYFUNCTION("""COMPUTED_VALUE"""),"tsksoni1@gmail.com")</f>
        <v>tsksoni1@gmail.com</v>
      </c>
      <c r="O496" s="9" t="str">
        <f ca="1">IFERROR(__xludf.DUMMYFUNCTION("""COMPUTED_VALUE"""),"SEM-2")</f>
        <v>SEM-2</v>
      </c>
      <c r="P496" s="9"/>
      <c r="Q496" s="9"/>
      <c r="R496" s="9"/>
      <c r="S496" s="9"/>
      <c r="T496" s="9"/>
      <c r="U496" s="9"/>
      <c r="V496" s="9"/>
      <c r="W496" s="9"/>
      <c r="X496" s="9"/>
      <c r="Y496" s="9"/>
    </row>
    <row r="497" spans="1:25" ht="26.25" customHeight="1" x14ac:dyDescent="0.15">
      <c r="A497" s="9" t="str">
        <f ca="1">IFERROR(__xludf.DUMMYFUNCTION("""COMPUTED_VALUE"""),"Uday sai kiran Abbireddy")</f>
        <v>Uday sai kiran Abbireddy</v>
      </c>
      <c r="B497" s="9" t="str">
        <f ca="1">IFERROR(__xludf.DUMMYFUNCTION("""COMPUTED_VALUE"""),"18331A05G0.")</f>
        <v>18331A05G0.</v>
      </c>
      <c r="C497" s="78" t="str">
        <f ca="1">IFERROR(__xludf.DUMMYFUNCTION("""COMPUTED_VALUE"""),"Programming Essentials in C")</f>
        <v>Programming Essentials in C</v>
      </c>
      <c r="D497" s="9" t="str">
        <f ca="1">IFERROR(__xludf.DUMMYFUNCTION("""COMPUTED_VALUE"""),"CCNA")</f>
        <v>CCNA</v>
      </c>
      <c r="E497" s="9" t="str">
        <f ca="1">IFERROR(__xludf.DUMMYFUNCTION("""COMPUTED_VALUE"""),"1 month")</f>
        <v>1 month</v>
      </c>
      <c r="F497" s="79">
        <f ca="1">IFERROR(__xludf.DUMMYFUNCTION("""COMPUTED_VALUE"""),43566)</f>
        <v>43566</v>
      </c>
      <c r="G497" s="79">
        <f ca="1">IFERROR(__xludf.DUMMYFUNCTION("""COMPUTED_VALUE"""),43585)</f>
        <v>43585</v>
      </c>
      <c r="H497" s="72">
        <f ca="1">IFERROR(__xludf.DUMMYFUNCTION("""COMPUTED_VALUE"""),43585)</f>
        <v>43585</v>
      </c>
      <c r="I497" s="80">
        <f ca="1">IFERROR(__xludf.DUMMYFUNCTION("""COMPUTED_VALUE"""),100)</f>
        <v>100</v>
      </c>
      <c r="J497" s="9" t="str">
        <f ca="1">IFERROR(__xludf.DUMMYFUNCTION("""COMPUTED_VALUE"""),"Ravi Kiran Varma")</f>
        <v>Ravi Kiran Varma</v>
      </c>
      <c r="K497" s="73" t="str">
        <f ca="1">IFERROR(__xludf.DUMMYFUNCTION("""COMPUTED_VALUE"""),"https://drive.google.com/open?id=1Xf4evwkfBW0R1l-NdlxYWV8qBgHehXF5")</f>
        <v>https://drive.google.com/open?id=1Xf4evwkfBW0R1l-NdlxYWV8qBgHehXF5</v>
      </c>
      <c r="L497" s="9" t="str">
        <f ca="1">IFERROR(__xludf.DUMMYFUNCTION("""COMPUTED_VALUE"""),"2018-2022")</f>
        <v>2018-2022</v>
      </c>
      <c r="M497" s="9" t="str">
        <f ca="1">IFERROR(__xludf.DUMMYFUNCTION("""COMPUTED_VALUE"""),"S4: Student Certifications")</f>
        <v>S4: Student Certifications</v>
      </c>
      <c r="N497" s="9" t="str">
        <f ca="1">IFERROR(__xludf.DUMMYFUNCTION("""COMPUTED_VALUE"""),"abbireddy8300@gmail.com")</f>
        <v>abbireddy8300@gmail.com</v>
      </c>
      <c r="O497" s="9" t="str">
        <f ca="1">IFERROR(__xludf.DUMMYFUNCTION("""COMPUTED_VALUE"""),"SEM-1")</f>
        <v>SEM-1</v>
      </c>
      <c r="P497" s="9"/>
      <c r="Q497" s="9"/>
      <c r="R497" s="9"/>
      <c r="S497" s="9"/>
      <c r="T497" s="9"/>
      <c r="U497" s="9"/>
      <c r="V497" s="9"/>
      <c r="W497" s="9"/>
      <c r="X497" s="9"/>
      <c r="Y497" s="9"/>
    </row>
    <row r="498" spans="1:25" ht="26.25" customHeight="1" x14ac:dyDescent="0.15">
      <c r="A498" s="9" t="str">
        <f ca="1">IFERROR(__xludf.DUMMYFUNCTION("""COMPUTED_VALUE"""),"SRIHARI NAIDU POGIRI")</f>
        <v>SRIHARI NAIDU POGIRI</v>
      </c>
      <c r="B498" s="9" t="str">
        <f ca="1">IFERROR(__xludf.DUMMYFUNCTION("""COMPUTED_VALUE"""),"18331A05E6")</f>
        <v>18331A05E6</v>
      </c>
      <c r="C498" s="78" t="str">
        <f ca="1">IFERROR(__xludf.DUMMYFUNCTION("""COMPUTED_VALUE"""),"CYBER SECURITY ESSENTIALS")</f>
        <v>CYBER SECURITY ESSENTIALS</v>
      </c>
      <c r="D498" s="9" t="str">
        <f ca="1">IFERROR(__xludf.DUMMYFUNCTION("""COMPUTED_VALUE"""),"CISCO")</f>
        <v>CISCO</v>
      </c>
      <c r="E498" s="9" t="str">
        <f ca="1">IFERROR(__xludf.DUMMYFUNCTION("""COMPUTED_VALUE"""),"6 months")</f>
        <v>6 months</v>
      </c>
      <c r="F498" s="79">
        <f ca="1">IFERROR(__xludf.DUMMYFUNCTION("""COMPUTED_VALUE"""),43501)</f>
        <v>43501</v>
      </c>
      <c r="G498" s="79">
        <f ca="1">IFERROR(__xludf.DUMMYFUNCTION("""COMPUTED_VALUE"""),43676)</f>
        <v>43676</v>
      </c>
      <c r="H498" s="72">
        <f ca="1">IFERROR(__xludf.DUMMYFUNCTION("""COMPUTED_VALUE"""),43676)</f>
        <v>43676</v>
      </c>
      <c r="I498" s="80">
        <f ca="1">IFERROR(__xludf.DUMMYFUNCTION("""COMPUTED_VALUE"""),100)</f>
        <v>100</v>
      </c>
      <c r="J498" s="9" t="str">
        <f ca="1">IFERROR(__xludf.DUMMYFUNCTION("""COMPUTED_VALUE"""),"DR RAVI KIRAN VARMA PENMATSA")</f>
        <v>DR RAVI KIRAN VARMA PENMATSA</v>
      </c>
      <c r="K498" s="73" t="str">
        <f ca="1">IFERROR(__xludf.DUMMYFUNCTION("""COMPUTED_VALUE"""),"https://drive.google.com/open?id=17tn4juU4_DUYU4WxjeD0_gQdnDwsFK4O")</f>
        <v>https://drive.google.com/open?id=17tn4juU4_DUYU4WxjeD0_gQdnDwsFK4O</v>
      </c>
      <c r="L498" s="9" t="str">
        <f ca="1">IFERROR(__xludf.DUMMYFUNCTION("""COMPUTED_VALUE"""),"2018-2022")</f>
        <v>2018-2022</v>
      </c>
      <c r="M498" s="9" t="str">
        <f ca="1">IFERROR(__xludf.DUMMYFUNCTION("""COMPUTED_VALUE"""),"S4: Student Certifications")</f>
        <v>S4: Student Certifications</v>
      </c>
      <c r="N498" s="9" t="str">
        <f ca="1">IFERROR(__xludf.DUMMYFUNCTION("""COMPUTED_VALUE"""),"sriharismart0000@gmail.com")</f>
        <v>sriharismart0000@gmail.com</v>
      </c>
      <c r="O498" s="9" t="str">
        <f ca="1">IFERROR(__xludf.DUMMYFUNCTION("""COMPUTED_VALUE"""),"SEM-2")</f>
        <v>SEM-2</v>
      </c>
      <c r="P498" s="9"/>
      <c r="Q498" s="9"/>
      <c r="R498" s="9"/>
      <c r="S498" s="9"/>
      <c r="T498" s="9"/>
      <c r="U498" s="9"/>
      <c r="V498" s="9"/>
      <c r="W498" s="9"/>
      <c r="X498" s="9"/>
      <c r="Y498" s="9"/>
    </row>
    <row r="499" spans="1:25" ht="26.25" customHeight="1" x14ac:dyDescent="0.15">
      <c r="A499" s="9" t="str">
        <f ca="1">IFERROR(__xludf.DUMMYFUNCTION("""COMPUTED_VALUE"""),"MOYYA VENKATESWARA NAIDU")</f>
        <v>MOYYA VENKATESWARA NAIDU</v>
      </c>
      <c r="B499" s="9" t="str">
        <f ca="1">IFERROR(__xludf.DUMMYFUNCTION("""COMPUTED_VALUE"""),"20331A05B5")</f>
        <v>20331A05B5</v>
      </c>
      <c r="C499" s="78" t="str">
        <f ca="1">IFERROR(__xludf.DUMMYFUNCTION("""COMPUTED_VALUE"""),"It Essentials")</f>
        <v>It Essentials</v>
      </c>
      <c r="D499" s="9" t="str">
        <f ca="1">IFERROR(__xludf.DUMMYFUNCTION("""COMPUTED_VALUE"""),"Cisco")</f>
        <v>Cisco</v>
      </c>
      <c r="E499" s="9" t="str">
        <f ca="1">IFERROR(__xludf.DUMMYFUNCTION("""COMPUTED_VALUE"""),"2 months")</f>
        <v>2 months</v>
      </c>
      <c r="F499" s="79">
        <f ca="1">IFERROR(__xludf.DUMMYFUNCTION("""COMPUTED_VALUE"""),44378)</f>
        <v>44378</v>
      </c>
      <c r="G499" s="79">
        <f ca="1">IFERROR(__xludf.DUMMYFUNCTION("""COMPUTED_VALUE"""),44469)</f>
        <v>44469</v>
      </c>
      <c r="H499" s="72">
        <f ca="1">IFERROR(__xludf.DUMMYFUNCTION("""COMPUTED_VALUE"""),44464)</f>
        <v>44464</v>
      </c>
      <c r="I499" s="80">
        <f ca="1">IFERROR(__xludf.DUMMYFUNCTION("""COMPUTED_VALUE"""),96)</f>
        <v>96</v>
      </c>
      <c r="J499" s="9" t="str">
        <f ca="1">IFERROR(__xludf.DUMMYFUNCTION("""COMPUTED_VALUE"""),"K Subba Raju")</f>
        <v>K Subba Raju</v>
      </c>
      <c r="K499" s="73" t="str">
        <f ca="1">IFERROR(__xludf.DUMMYFUNCTION("""COMPUTED_VALUE"""),"https://drive.google.com/open?id=1zIvJBF_xQ5S9qMEkM3UqEPmg3JTGPRFk")</f>
        <v>https://drive.google.com/open?id=1zIvJBF_xQ5S9qMEkM3UqEPmg3JTGPRFk</v>
      </c>
      <c r="L499" s="9" t="str">
        <f ca="1">IFERROR(__xludf.DUMMYFUNCTION("""COMPUTED_VALUE"""),"2020-2024")</f>
        <v>2020-2024</v>
      </c>
      <c r="M499" s="9" t="str">
        <f ca="1">IFERROR(__xludf.DUMMYFUNCTION("""COMPUTED_VALUE"""),"S4: Student Certifications")</f>
        <v>S4: Student Certifications</v>
      </c>
      <c r="N499" s="9" t="str">
        <f ca="1">IFERROR(__xludf.DUMMYFUNCTION("""COMPUTED_VALUE"""),"venkateswaranaidumoyya@gmail.com")</f>
        <v>venkateswaranaidumoyya@gmail.com</v>
      </c>
      <c r="O499" s="9" t="str">
        <f ca="1">IFERROR(__xludf.DUMMYFUNCTION("""COMPUTED_VALUE"""),"SEM-4")</f>
        <v>SEM-4</v>
      </c>
      <c r="P499" s="9"/>
      <c r="Q499" s="9"/>
      <c r="R499" s="9"/>
      <c r="S499" s="9"/>
      <c r="T499" s="9"/>
      <c r="U499" s="9"/>
      <c r="V499" s="9"/>
      <c r="W499" s="9"/>
      <c r="X499" s="9"/>
      <c r="Y499" s="9"/>
    </row>
    <row r="500" spans="1:25" ht="26.25" customHeight="1" x14ac:dyDescent="0.15">
      <c r="A500" s="9" t="str">
        <f ca="1">IFERROR(__xludf.DUMMYFUNCTION("""COMPUTED_VALUE"""),"Uday sai Kiran Abbireddy")</f>
        <v>Uday sai Kiran Abbireddy</v>
      </c>
      <c r="B500" s="9" t="str">
        <f ca="1">IFERROR(__xludf.DUMMYFUNCTION("""COMPUTED_VALUE"""),"18331A05G0")</f>
        <v>18331A05G0</v>
      </c>
      <c r="C500" s="78" t="str">
        <f ca="1">IFERROR(__xludf.DUMMYFUNCTION("""COMPUTED_VALUE"""),"Cyber Security Essentials")</f>
        <v>Cyber Security Essentials</v>
      </c>
      <c r="D500" s="9" t="str">
        <f ca="1">IFERROR(__xludf.DUMMYFUNCTION("""COMPUTED_VALUE"""),"Cisco")</f>
        <v>Cisco</v>
      </c>
      <c r="E500" s="9" t="str">
        <f ca="1">IFERROR(__xludf.DUMMYFUNCTION("""COMPUTED_VALUE"""),"1 Month")</f>
        <v>1 Month</v>
      </c>
      <c r="F500" s="79">
        <f ca="1">IFERROR(__xludf.DUMMYFUNCTION("""COMPUTED_VALUE"""),43641)</f>
        <v>43641</v>
      </c>
      <c r="G500" s="79">
        <f ca="1">IFERROR(__xludf.DUMMYFUNCTION("""COMPUTED_VALUE"""),43676)</f>
        <v>43676</v>
      </c>
      <c r="H500" s="72">
        <f ca="1">IFERROR(__xludf.DUMMYFUNCTION("""COMPUTED_VALUE"""),43676)</f>
        <v>43676</v>
      </c>
      <c r="I500" s="80">
        <f ca="1">IFERROR(__xludf.DUMMYFUNCTION("""COMPUTED_VALUE"""),95)</f>
        <v>95</v>
      </c>
      <c r="J500" s="9" t="str">
        <f ca="1">IFERROR(__xludf.DUMMYFUNCTION("""COMPUTED_VALUE"""),"Ravi Kiran Varma")</f>
        <v>Ravi Kiran Varma</v>
      </c>
      <c r="K500" s="73" t="str">
        <f ca="1">IFERROR(__xludf.DUMMYFUNCTION("""COMPUTED_VALUE"""),"https://drive.google.com/open?id=1Ug5t3VNci3uyoMfvLwu4DoJcudtXmz6n")</f>
        <v>https://drive.google.com/open?id=1Ug5t3VNci3uyoMfvLwu4DoJcudtXmz6n</v>
      </c>
      <c r="L500" s="9" t="str">
        <f ca="1">IFERROR(__xludf.DUMMYFUNCTION("""COMPUTED_VALUE"""),"2018-2022")</f>
        <v>2018-2022</v>
      </c>
      <c r="M500" s="9" t="str">
        <f ca="1">IFERROR(__xludf.DUMMYFUNCTION("""COMPUTED_VALUE"""),"S4: Student Certifications")</f>
        <v>S4: Student Certifications</v>
      </c>
      <c r="N500" s="9" t="str">
        <f ca="1">IFERROR(__xludf.DUMMYFUNCTION("""COMPUTED_VALUE"""),"abbireddy8300@gmail.com")</f>
        <v>abbireddy8300@gmail.com</v>
      </c>
      <c r="O500" s="9" t="str">
        <f ca="1">IFERROR(__xludf.DUMMYFUNCTION("""COMPUTED_VALUE"""),"SEM-4")</f>
        <v>SEM-4</v>
      </c>
      <c r="P500" s="9"/>
      <c r="Q500" s="9"/>
      <c r="R500" s="9"/>
      <c r="S500" s="9"/>
      <c r="T500" s="9"/>
      <c r="U500" s="9"/>
      <c r="V500" s="9"/>
      <c r="W500" s="9"/>
      <c r="X500" s="9"/>
      <c r="Y500" s="9"/>
    </row>
    <row r="501" spans="1:25" ht="26.25" customHeight="1" x14ac:dyDescent="0.15">
      <c r="A501" s="9" t="str">
        <f ca="1">IFERROR(__xludf.DUMMYFUNCTION("""COMPUTED_VALUE"""),"SRIHARI NAIDU POGIRI")</f>
        <v>SRIHARI NAIDU POGIRI</v>
      </c>
      <c r="B501" s="9" t="str">
        <f ca="1">IFERROR(__xludf.DUMMYFUNCTION("""COMPUTED_VALUE"""),"18331A05E6")</f>
        <v>18331A05E6</v>
      </c>
      <c r="C501" s="78" t="str">
        <f ca="1">IFERROR(__xludf.DUMMYFUNCTION("""COMPUTED_VALUE"""),"PROGRAMMING ESSESNTIALS IN PYTHON")</f>
        <v>PROGRAMMING ESSESNTIALS IN PYTHON</v>
      </c>
      <c r="D501" s="9" t="str">
        <f ca="1">IFERROR(__xludf.DUMMYFUNCTION("""COMPUTED_VALUE"""),"CISCO")</f>
        <v>CISCO</v>
      </c>
      <c r="E501" s="9" t="str">
        <f ca="1">IFERROR(__xludf.DUMMYFUNCTION("""COMPUTED_VALUE"""),"3months")</f>
        <v>3months</v>
      </c>
      <c r="F501" s="79">
        <f ca="1">IFERROR(__xludf.DUMMYFUNCTION("""COMPUTED_VALUE"""),44321)</f>
        <v>44321</v>
      </c>
      <c r="G501" s="79">
        <f ca="1">IFERROR(__xludf.DUMMYFUNCTION("""COMPUTED_VALUE"""),44387)</f>
        <v>44387</v>
      </c>
      <c r="H501" s="72">
        <f ca="1">IFERROR(__xludf.DUMMYFUNCTION("""COMPUTED_VALUE"""),44380)</f>
        <v>44380</v>
      </c>
      <c r="I501" s="80">
        <f ca="1">IFERROR(__xludf.DUMMYFUNCTION("""COMPUTED_VALUE"""),100)</f>
        <v>100</v>
      </c>
      <c r="J501" s="9" t="str">
        <f ca="1">IFERROR(__xludf.DUMMYFUNCTION("""COMPUTED_VALUE"""),"DR RAVI KIRAN VARMA PENMATSA")</f>
        <v>DR RAVI KIRAN VARMA PENMATSA</v>
      </c>
      <c r="K501" s="73" t="str">
        <f ca="1">IFERROR(__xludf.DUMMYFUNCTION("""COMPUTED_VALUE"""),"https://drive.google.com/open?id=1tZvwC6rzsQDCj5lbFaKWVh3P1rWKOafa")</f>
        <v>https://drive.google.com/open?id=1tZvwC6rzsQDCj5lbFaKWVh3P1rWKOafa</v>
      </c>
      <c r="L501" s="9" t="str">
        <f ca="1">IFERROR(__xludf.DUMMYFUNCTION("""COMPUTED_VALUE"""),"2018-2022")</f>
        <v>2018-2022</v>
      </c>
      <c r="M501" s="9" t="str">
        <f ca="1">IFERROR(__xludf.DUMMYFUNCTION("""COMPUTED_VALUE"""),"S4: Student Certifications")</f>
        <v>S4: Student Certifications</v>
      </c>
      <c r="N501" s="9" t="str">
        <f ca="1">IFERROR(__xludf.DUMMYFUNCTION("""COMPUTED_VALUE"""),"sriharismart0000@gmail.com")</f>
        <v>sriharismart0000@gmail.com</v>
      </c>
      <c r="O501" s="9" t="str">
        <f ca="1">IFERROR(__xludf.DUMMYFUNCTION("""COMPUTED_VALUE"""),"SEM-5")</f>
        <v>SEM-5</v>
      </c>
      <c r="P501" s="9"/>
      <c r="Q501" s="9"/>
      <c r="R501" s="9"/>
      <c r="S501" s="9"/>
      <c r="T501" s="9"/>
      <c r="U501" s="9"/>
      <c r="V501" s="9"/>
      <c r="W501" s="9"/>
      <c r="X501" s="9"/>
      <c r="Y501" s="9"/>
    </row>
    <row r="502" spans="1:25" ht="26.25" customHeight="1" x14ac:dyDescent="0.15">
      <c r="A502" s="9" t="str">
        <f ca="1">IFERROR(__xludf.DUMMYFUNCTION("""COMPUTED_VALUE"""),"Uday sai kiran Abbireddy")</f>
        <v>Uday sai kiran Abbireddy</v>
      </c>
      <c r="B502" s="9" t="str">
        <f ca="1">IFERROR(__xludf.DUMMYFUNCTION("""COMPUTED_VALUE"""),"18331A05G0")</f>
        <v>18331A05G0</v>
      </c>
      <c r="C502" s="78" t="str">
        <f ca="1">IFERROR(__xludf.DUMMYFUNCTION("""COMPUTED_VALUE"""),"Switching, Routing, and Wireless Networks")</f>
        <v>Switching, Routing, and Wireless Networks</v>
      </c>
      <c r="D502" s="9" t="str">
        <f ca="1">IFERROR(__xludf.DUMMYFUNCTION("""COMPUTED_VALUE"""),"Cisco")</f>
        <v>Cisco</v>
      </c>
      <c r="E502" s="9" t="str">
        <f ca="1">IFERROR(__xludf.DUMMYFUNCTION("""COMPUTED_VALUE"""),"1 month")</f>
        <v>1 month</v>
      </c>
      <c r="F502" s="79">
        <f ca="1">IFERROR(__xludf.DUMMYFUNCTION("""COMPUTED_VALUE"""),43955)</f>
        <v>43955</v>
      </c>
      <c r="G502" s="79">
        <f ca="1">IFERROR(__xludf.DUMMYFUNCTION("""COMPUTED_VALUE"""),43990)</f>
        <v>43990</v>
      </c>
      <c r="H502" s="72">
        <f ca="1">IFERROR(__xludf.DUMMYFUNCTION("""COMPUTED_VALUE"""),43990)</f>
        <v>43990</v>
      </c>
      <c r="I502" s="80">
        <f ca="1">IFERROR(__xludf.DUMMYFUNCTION("""COMPUTED_VALUE"""),100)</f>
        <v>100</v>
      </c>
      <c r="J502" s="9" t="str">
        <f ca="1">IFERROR(__xludf.DUMMYFUNCTION("""COMPUTED_VALUE"""),"Ravi Kiran Varma Penmatsa")</f>
        <v>Ravi Kiran Varma Penmatsa</v>
      </c>
      <c r="K502" s="73" t="str">
        <f ca="1">IFERROR(__xludf.DUMMYFUNCTION("""COMPUTED_VALUE"""),"https://drive.google.com/open?id=1GUXYnrxGrBjKWI0LoOXMDiraPHF9jeui")</f>
        <v>https://drive.google.com/open?id=1GUXYnrxGrBjKWI0LoOXMDiraPHF9jeui</v>
      </c>
      <c r="L502" s="9" t="str">
        <f ca="1">IFERROR(__xludf.DUMMYFUNCTION("""COMPUTED_VALUE"""),"2018-2022")</f>
        <v>2018-2022</v>
      </c>
      <c r="M502" s="9" t="str">
        <f ca="1">IFERROR(__xludf.DUMMYFUNCTION("""COMPUTED_VALUE"""),"S4: Student Certifications")</f>
        <v>S4: Student Certifications</v>
      </c>
      <c r="N502" s="9" t="str">
        <f ca="1">IFERROR(__xludf.DUMMYFUNCTION("""COMPUTED_VALUE"""),"abbireddy8300@gmail.com")</f>
        <v>abbireddy8300@gmail.com</v>
      </c>
      <c r="O502" s="9" t="str">
        <f ca="1">IFERROR(__xludf.DUMMYFUNCTION("""COMPUTED_VALUE"""),"SEM-5")</f>
        <v>SEM-5</v>
      </c>
      <c r="P502" s="9"/>
      <c r="Q502" s="9"/>
      <c r="R502" s="9"/>
      <c r="S502" s="9"/>
      <c r="T502" s="9"/>
      <c r="U502" s="9"/>
      <c r="V502" s="9"/>
      <c r="W502" s="9"/>
      <c r="X502" s="9"/>
      <c r="Y502" s="9"/>
    </row>
    <row r="503" spans="1:25" ht="26.25" customHeight="1" x14ac:dyDescent="0.15">
      <c r="A503" s="9" t="str">
        <f ca="1">IFERROR(__xludf.DUMMYFUNCTION("""COMPUTED_VALUE"""),"Uday sai kiran Abbireddy")</f>
        <v>Uday sai kiran Abbireddy</v>
      </c>
      <c r="B503" s="9" t="str">
        <f ca="1">IFERROR(__xludf.DUMMYFUNCTION("""COMPUTED_VALUE"""),"18331A05G0")</f>
        <v>18331A05G0</v>
      </c>
      <c r="C503" s="78" t="str">
        <f ca="1">IFERROR(__xludf.DUMMYFUNCTION("""COMPUTED_VALUE"""),"Enterprise Networking, Security, And Automation.")</f>
        <v>Enterprise Networking, Security, And Automation.</v>
      </c>
      <c r="D503" s="9" t="str">
        <f ca="1">IFERROR(__xludf.DUMMYFUNCTION("""COMPUTED_VALUE"""),"Cisco")</f>
        <v>Cisco</v>
      </c>
      <c r="E503" s="9" t="str">
        <f ca="1">IFERROR(__xludf.DUMMYFUNCTION("""COMPUTED_VALUE"""),"1 month")</f>
        <v>1 month</v>
      </c>
      <c r="F503" s="79">
        <f ca="1">IFERROR(__xludf.DUMMYFUNCTION("""COMPUTED_VALUE"""),43986)</f>
        <v>43986</v>
      </c>
      <c r="G503" s="79">
        <f ca="1">IFERROR(__xludf.DUMMYFUNCTION("""COMPUTED_VALUE"""),44024)</f>
        <v>44024</v>
      </c>
      <c r="H503" s="72">
        <f ca="1">IFERROR(__xludf.DUMMYFUNCTION("""COMPUTED_VALUE"""),44024)</f>
        <v>44024</v>
      </c>
      <c r="I503" s="80">
        <f ca="1">IFERROR(__xludf.DUMMYFUNCTION("""COMPUTED_VALUE"""),90)</f>
        <v>90</v>
      </c>
      <c r="J503" s="9" t="str">
        <f ca="1">IFERROR(__xludf.DUMMYFUNCTION("""COMPUTED_VALUE"""),"Ravi Kiran Varma Penmatsa")</f>
        <v>Ravi Kiran Varma Penmatsa</v>
      </c>
      <c r="K503" s="73" t="str">
        <f ca="1">IFERROR(__xludf.DUMMYFUNCTION("""COMPUTED_VALUE"""),"https://drive.google.com/open?id=1cxSMeC_FJlUsEbswkGYBB-f3dR41ySBU")</f>
        <v>https://drive.google.com/open?id=1cxSMeC_FJlUsEbswkGYBB-f3dR41ySBU</v>
      </c>
      <c r="L503" s="9" t="str">
        <f ca="1">IFERROR(__xludf.DUMMYFUNCTION("""COMPUTED_VALUE"""),"2018-2022")</f>
        <v>2018-2022</v>
      </c>
      <c r="M503" s="9" t="str">
        <f ca="1">IFERROR(__xludf.DUMMYFUNCTION("""COMPUTED_VALUE"""),"S4: Student Certifications")</f>
        <v>S4: Student Certifications</v>
      </c>
      <c r="N503" s="9" t="str">
        <f ca="1">IFERROR(__xludf.DUMMYFUNCTION("""COMPUTED_VALUE"""),"abbireddy8300@gmail.com")</f>
        <v>abbireddy8300@gmail.com</v>
      </c>
      <c r="O503" s="9" t="str">
        <f ca="1">IFERROR(__xludf.DUMMYFUNCTION("""COMPUTED_VALUE"""),"SEM-5")</f>
        <v>SEM-5</v>
      </c>
      <c r="P503" s="9"/>
      <c r="Q503" s="9"/>
      <c r="R503" s="9"/>
      <c r="S503" s="9"/>
      <c r="T503" s="9"/>
      <c r="U503" s="9"/>
      <c r="V503" s="9"/>
      <c r="W503" s="9"/>
      <c r="X503" s="9"/>
      <c r="Y503" s="9"/>
    </row>
    <row r="504" spans="1:25" ht="26.25" customHeight="1" x14ac:dyDescent="0.15">
      <c r="A504" s="9" t="str">
        <f ca="1">IFERROR(__xludf.DUMMYFUNCTION("""COMPUTED_VALUE"""),"MOYYA VENKATESWARA NAIDU")</f>
        <v>MOYYA VENKATESWARA NAIDU</v>
      </c>
      <c r="B504" s="9" t="str">
        <f ca="1">IFERROR(__xludf.DUMMYFUNCTION("""COMPUTED_VALUE"""),"20331A05B5")</f>
        <v>20331A05B5</v>
      </c>
      <c r="C504" s="78" t="str">
        <f ca="1">IFERROR(__xludf.DUMMYFUNCTION("""COMPUTED_VALUE"""),"NGD Linux Essentials")</f>
        <v>NGD Linux Essentials</v>
      </c>
      <c r="D504" s="9" t="str">
        <f ca="1">IFERROR(__xludf.DUMMYFUNCTION("""COMPUTED_VALUE"""),"Cisco")</f>
        <v>Cisco</v>
      </c>
      <c r="E504" s="9" t="str">
        <f ca="1">IFERROR(__xludf.DUMMYFUNCTION("""COMPUTED_VALUE"""),"2 months")</f>
        <v>2 months</v>
      </c>
      <c r="F504" s="79">
        <f ca="1">IFERROR(__xludf.DUMMYFUNCTION("""COMPUTED_VALUE"""),44470)</f>
        <v>44470</v>
      </c>
      <c r="G504" s="79">
        <f ca="1">IFERROR(__xludf.DUMMYFUNCTION("""COMPUTED_VALUE"""),44561)</f>
        <v>44561</v>
      </c>
      <c r="H504" s="72">
        <f ca="1">IFERROR(__xludf.DUMMYFUNCTION("""COMPUTED_VALUE"""),44556)</f>
        <v>44556</v>
      </c>
      <c r="I504" s="80">
        <f ca="1">IFERROR(__xludf.DUMMYFUNCTION("""COMPUTED_VALUE"""),97)</f>
        <v>97</v>
      </c>
      <c r="J504" s="9" t="str">
        <f ca="1">IFERROR(__xludf.DUMMYFUNCTION("""COMPUTED_VALUE"""),"K Subba Raju")</f>
        <v>K Subba Raju</v>
      </c>
      <c r="K504" s="73" t="str">
        <f ca="1">IFERROR(__xludf.DUMMYFUNCTION("""COMPUTED_VALUE"""),"https://drive.google.com/open?id=1RKfLsFt74vnUJHLq7UFknSc1hSnykayV")</f>
        <v>https://drive.google.com/open?id=1RKfLsFt74vnUJHLq7UFknSc1hSnykayV</v>
      </c>
      <c r="L504" s="9" t="str">
        <f ca="1">IFERROR(__xludf.DUMMYFUNCTION("""COMPUTED_VALUE"""),"2020-2024")</f>
        <v>2020-2024</v>
      </c>
      <c r="M504" s="9" t="str">
        <f ca="1">IFERROR(__xludf.DUMMYFUNCTION("""COMPUTED_VALUE"""),"S4: Student Certifications")</f>
        <v>S4: Student Certifications</v>
      </c>
      <c r="N504" s="9" t="str">
        <f ca="1">IFERROR(__xludf.DUMMYFUNCTION("""COMPUTED_VALUE"""),"venkateswaranaidumoyya@gmail.com")</f>
        <v>venkateswaranaidumoyya@gmail.com</v>
      </c>
      <c r="O504" s="9" t="str">
        <f ca="1">IFERROR(__xludf.DUMMYFUNCTION("""COMPUTED_VALUE"""),"SEM-4")</f>
        <v>SEM-4</v>
      </c>
      <c r="P504" s="9"/>
      <c r="Q504" s="9"/>
      <c r="R504" s="9"/>
      <c r="S504" s="9"/>
      <c r="T504" s="9"/>
      <c r="U504" s="9"/>
      <c r="V504" s="9"/>
      <c r="W504" s="9"/>
      <c r="X504" s="9"/>
      <c r="Y504" s="9"/>
    </row>
    <row r="505" spans="1:25" ht="26.25" customHeight="1" x14ac:dyDescent="0.15">
      <c r="A505" s="9" t="str">
        <f ca="1">IFERROR(__xludf.DUMMYFUNCTION("""COMPUTED_VALUE"""),"Uday sai Kiran Abbireddy")</f>
        <v>Uday sai Kiran Abbireddy</v>
      </c>
      <c r="B505" s="9" t="str">
        <f ca="1">IFERROR(__xludf.DUMMYFUNCTION("""COMPUTED_VALUE"""),"18331A05G0")</f>
        <v>18331A05G0</v>
      </c>
      <c r="C505" s="78" t="str">
        <f ca="1">IFERROR(__xludf.DUMMYFUNCTION("""COMPUTED_VALUE"""),"Programming Essentials in Python")</f>
        <v>Programming Essentials in Python</v>
      </c>
      <c r="D505" s="9" t="str">
        <f ca="1">IFERROR(__xludf.DUMMYFUNCTION("""COMPUTED_VALUE"""),"Cisco")</f>
        <v>Cisco</v>
      </c>
      <c r="E505" s="9" t="str">
        <f ca="1">IFERROR(__xludf.DUMMYFUNCTION("""COMPUTED_VALUE"""),"1 month")</f>
        <v>1 month</v>
      </c>
      <c r="F505" s="79">
        <f ca="1">IFERROR(__xludf.DUMMYFUNCTION("""COMPUTED_VALUE"""),43901)</f>
        <v>43901</v>
      </c>
      <c r="G505" s="79">
        <f ca="1">IFERROR(__xludf.DUMMYFUNCTION("""COMPUTED_VALUE"""),43946)</f>
        <v>43946</v>
      </c>
      <c r="H505" s="72">
        <f ca="1">IFERROR(__xludf.DUMMYFUNCTION("""COMPUTED_VALUE"""),43946)</f>
        <v>43946</v>
      </c>
      <c r="I505" s="80">
        <f ca="1">IFERROR(__xludf.DUMMYFUNCTION("""COMPUTED_VALUE"""),95)</f>
        <v>95</v>
      </c>
      <c r="J505" s="9" t="str">
        <f ca="1">IFERROR(__xludf.DUMMYFUNCTION("""COMPUTED_VALUE"""),"Ravi Kiran Varma Penmatsa")</f>
        <v>Ravi Kiran Varma Penmatsa</v>
      </c>
      <c r="K505" s="73" t="str">
        <f ca="1">IFERROR(__xludf.DUMMYFUNCTION("""COMPUTED_VALUE"""),"https://drive.google.com/open?id=1cSM7x8o4W_E3LFnpiS_Jm2WLq9tnhRZ2")</f>
        <v>https://drive.google.com/open?id=1cSM7x8o4W_E3LFnpiS_Jm2WLq9tnhRZ2</v>
      </c>
      <c r="L505" s="9" t="str">
        <f ca="1">IFERROR(__xludf.DUMMYFUNCTION("""COMPUTED_VALUE"""),"2018-2022")</f>
        <v>2018-2022</v>
      </c>
      <c r="M505" s="9" t="str">
        <f ca="1">IFERROR(__xludf.DUMMYFUNCTION("""COMPUTED_VALUE"""),"S4: Student Certifications")</f>
        <v>S4: Student Certifications</v>
      </c>
      <c r="N505" s="9" t="str">
        <f ca="1">IFERROR(__xludf.DUMMYFUNCTION("""COMPUTED_VALUE"""),"abbireddy8300@gmail.com")</f>
        <v>abbireddy8300@gmail.com</v>
      </c>
      <c r="O505" s="9" t="str">
        <f ca="1">IFERROR(__xludf.DUMMYFUNCTION("""COMPUTED_VALUE"""),"SEM-6")</f>
        <v>SEM-6</v>
      </c>
      <c r="P505" s="9"/>
      <c r="Q505" s="9"/>
      <c r="R505" s="9"/>
      <c r="S505" s="9"/>
      <c r="T505" s="9"/>
      <c r="U505" s="9"/>
      <c r="V505" s="9"/>
      <c r="W505" s="9"/>
      <c r="X505" s="9"/>
      <c r="Y505" s="9"/>
    </row>
    <row r="506" spans="1:25" ht="26.25" customHeight="1" x14ac:dyDescent="0.15">
      <c r="A506" s="9" t="str">
        <f ca="1">IFERROR(__xludf.DUMMYFUNCTION("""COMPUTED_VALUE"""),"Uday saoi kiran Abbireddy")</f>
        <v>Uday saoi kiran Abbireddy</v>
      </c>
      <c r="B506" s="9" t="str">
        <f ca="1">IFERROR(__xludf.DUMMYFUNCTION("""COMPUTED_VALUE"""),"18331A05G0")</f>
        <v>18331A05G0</v>
      </c>
      <c r="C506" s="78" t="str">
        <f ca="1">IFERROR(__xludf.DUMMYFUNCTION("""COMPUTED_VALUE"""),"AWS Cloud Virtual Internship")</f>
        <v>AWS Cloud Virtual Internship</v>
      </c>
      <c r="D506" s="9" t="str">
        <f ca="1">IFERROR(__xludf.DUMMYFUNCTION("""COMPUTED_VALUE"""),"AICTE")</f>
        <v>AICTE</v>
      </c>
      <c r="E506" s="9" t="str">
        <f ca="1">IFERROR(__xludf.DUMMYFUNCTION("""COMPUTED_VALUE"""),"10 weeks")</f>
        <v>10 weeks</v>
      </c>
      <c r="F506" s="79">
        <f ca="1">IFERROR(__xludf.DUMMYFUNCTION("""COMPUTED_VALUE"""),44481)</f>
        <v>44481</v>
      </c>
      <c r="G506" s="79">
        <f ca="1">IFERROR(__xludf.DUMMYFUNCTION("""COMPUTED_VALUE"""),44541)</f>
        <v>44541</v>
      </c>
      <c r="H506" s="72">
        <f ca="1">IFERROR(__xludf.DUMMYFUNCTION("""COMPUTED_VALUE"""),44266)</f>
        <v>44266</v>
      </c>
      <c r="I506" s="80">
        <f ca="1">IFERROR(__xludf.DUMMYFUNCTION("""COMPUTED_VALUE"""),100)</f>
        <v>100</v>
      </c>
      <c r="J506" s="9" t="str">
        <f ca="1">IFERROR(__xludf.DUMMYFUNCTION("""COMPUTED_VALUE"""),"AWS Acadamey")</f>
        <v>AWS Acadamey</v>
      </c>
      <c r="K506" s="73" t="str">
        <f ca="1">IFERROR(__xludf.DUMMYFUNCTION("""COMPUTED_VALUE"""),"https://drive.google.com/open?id=1vKa_n_oyI4AoCh9UTGclxRUxxe2U_WzG")</f>
        <v>https://drive.google.com/open?id=1vKa_n_oyI4AoCh9UTGclxRUxxe2U_WzG</v>
      </c>
      <c r="L506" s="9" t="str">
        <f ca="1">IFERROR(__xludf.DUMMYFUNCTION("""COMPUTED_VALUE"""),"2018-2022")</f>
        <v>2018-2022</v>
      </c>
      <c r="M506" s="9" t="str">
        <f ca="1">IFERROR(__xludf.DUMMYFUNCTION("""COMPUTED_VALUE"""),"S4: Student Certifications")</f>
        <v>S4: Student Certifications</v>
      </c>
      <c r="N506" s="9" t="str">
        <f ca="1">IFERROR(__xludf.DUMMYFUNCTION("""COMPUTED_VALUE"""),"abbireddy8300@gmail.com")</f>
        <v>abbireddy8300@gmail.com</v>
      </c>
      <c r="O506" s="9" t="str">
        <f ca="1">IFERROR(__xludf.DUMMYFUNCTION("""COMPUTED_VALUE"""),"SEM-7")</f>
        <v>SEM-7</v>
      </c>
      <c r="P506" s="9"/>
      <c r="Q506" s="9"/>
      <c r="R506" s="9"/>
      <c r="S506" s="9"/>
      <c r="T506" s="9"/>
      <c r="U506" s="9"/>
      <c r="V506" s="9"/>
      <c r="W506" s="9"/>
      <c r="X506" s="9"/>
      <c r="Y506" s="9"/>
    </row>
    <row r="507" spans="1:25" ht="26.25" customHeight="1" x14ac:dyDescent="0.15">
      <c r="A507" s="9" t="str">
        <f ca="1">IFERROR(__xludf.DUMMYFUNCTION("""COMPUTED_VALUE"""),"Uday sai kiran Abbireddy")</f>
        <v>Uday sai kiran Abbireddy</v>
      </c>
      <c r="B507" s="9" t="str">
        <f ca="1">IFERROR(__xludf.DUMMYFUNCTION("""COMPUTED_VALUE"""),"18331A05G0")</f>
        <v>18331A05G0</v>
      </c>
      <c r="C507" s="78" t="str">
        <f ca="1">IFERROR(__xludf.DUMMYFUNCTION("""COMPUTED_VALUE"""),"Introduction to Packet Tracer")</f>
        <v>Introduction to Packet Tracer</v>
      </c>
      <c r="D507" s="9" t="str">
        <f ca="1">IFERROR(__xludf.DUMMYFUNCTION("""COMPUTED_VALUE"""),"Cisco")</f>
        <v>Cisco</v>
      </c>
      <c r="E507" s="9" t="str">
        <f ca="1">IFERROR(__xludf.DUMMYFUNCTION("""COMPUTED_VALUE"""),"1 month")</f>
        <v>1 month</v>
      </c>
      <c r="F507" s="79">
        <f ca="1">IFERROR(__xludf.DUMMYFUNCTION("""COMPUTED_VALUE"""),44293)</f>
        <v>44293</v>
      </c>
      <c r="G507" s="79">
        <f ca="1">IFERROR(__xludf.DUMMYFUNCTION("""COMPUTED_VALUE"""),44341)</f>
        <v>44341</v>
      </c>
      <c r="H507" s="72">
        <f ca="1">IFERROR(__xludf.DUMMYFUNCTION("""COMPUTED_VALUE"""),44341)</f>
        <v>44341</v>
      </c>
      <c r="I507" s="80">
        <f ca="1">IFERROR(__xludf.DUMMYFUNCTION("""COMPUTED_VALUE"""),100)</f>
        <v>100</v>
      </c>
      <c r="J507" s="9" t="str">
        <f ca="1">IFERROR(__xludf.DUMMYFUNCTION("""COMPUTED_VALUE"""),"Ravi kiran Varma Penmatsa")</f>
        <v>Ravi kiran Varma Penmatsa</v>
      </c>
      <c r="K507" s="73" t="str">
        <f ca="1">IFERROR(__xludf.DUMMYFUNCTION("""COMPUTED_VALUE"""),"https://drive.google.com/open?id=1Dzn2hpi1Qp9w0A9xUJxLMx6IhlI2QGuk")</f>
        <v>https://drive.google.com/open?id=1Dzn2hpi1Qp9w0A9xUJxLMx6IhlI2QGuk</v>
      </c>
      <c r="L507" s="9" t="str">
        <f ca="1">IFERROR(__xludf.DUMMYFUNCTION("""COMPUTED_VALUE"""),"2018-2022")</f>
        <v>2018-2022</v>
      </c>
      <c r="M507" s="9" t="str">
        <f ca="1">IFERROR(__xludf.DUMMYFUNCTION("""COMPUTED_VALUE"""),"S4: Student Certifications")</f>
        <v>S4: Student Certifications</v>
      </c>
      <c r="N507" s="9" t="str">
        <f ca="1">IFERROR(__xludf.DUMMYFUNCTION("""COMPUTED_VALUE"""),"abbireddy8300@gmail.com")</f>
        <v>abbireddy8300@gmail.com</v>
      </c>
      <c r="O507" s="9" t="str">
        <f ca="1">IFERROR(__xludf.DUMMYFUNCTION("""COMPUTED_VALUE"""),"SEM-5")</f>
        <v>SEM-5</v>
      </c>
      <c r="P507" s="9"/>
      <c r="Q507" s="9"/>
      <c r="R507" s="9"/>
      <c r="S507" s="9"/>
      <c r="T507" s="9"/>
      <c r="U507" s="9"/>
      <c r="V507" s="9"/>
      <c r="W507" s="9"/>
      <c r="X507" s="9"/>
      <c r="Y507" s="9"/>
    </row>
    <row r="508" spans="1:25" ht="26.25" customHeight="1" x14ac:dyDescent="0.15">
      <c r="A508" s="9" t="str">
        <f ca="1">IFERROR(__xludf.DUMMYFUNCTION("""COMPUTED_VALUE"""),"Kolluru Sai Venkata Ravi Sastry")</f>
        <v>Kolluru Sai Venkata Ravi Sastry</v>
      </c>
      <c r="B508" s="9" t="str">
        <f ca="1">IFERROR(__xludf.DUMMYFUNCTION("""COMPUTED_VALUE"""),"20331A0588")</f>
        <v>20331A0588</v>
      </c>
      <c r="C508" s="78" t="str">
        <f ca="1">IFERROR(__xludf.DUMMYFUNCTION("""COMPUTED_VALUE"""),"LINUX  AUTOMATION VIRTUAL INTERNSHIP")</f>
        <v>LINUX  AUTOMATION VIRTUAL INTERNSHIP</v>
      </c>
      <c r="D508" s="9" t="str">
        <f ca="1">IFERROR(__xludf.DUMMYFUNCTION("""COMPUTED_VALUE"""),"Redhat enterprises")</f>
        <v>Redhat enterprises</v>
      </c>
      <c r="E508" s="9" t="str">
        <f ca="1">IFERROR(__xludf.DUMMYFUNCTION("""COMPUTED_VALUE"""),"10 weeks")</f>
        <v>10 weeks</v>
      </c>
      <c r="F508" s="79">
        <f ca="1">IFERROR(__xludf.DUMMYFUNCTION("""COMPUTED_VALUE"""),44491)</f>
        <v>44491</v>
      </c>
      <c r="G508" s="79">
        <f ca="1">IFERROR(__xludf.DUMMYFUNCTION("""COMPUTED_VALUE"""),44561)</f>
        <v>44561</v>
      </c>
      <c r="H508" s="72">
        <f ca="1">IFERROR(__xludf.DUMMYFUNCTION("""COMPUTED_VALUE"""),44561)</f>
        <v>44561</v>
      </c>
      <c r="I508" s="80">
        <f ca="1">IFERROR(__xludf.DUMMYFUNCTION("""COMPUTED_VALUE"""),90)</f>
        <v>90</v>
      </c>
      <c r="J508" s="9" t="str">
        <f ca="1">IFERROR(__xludf.DUMMYFUNCTION("""COMPUTED_VALUE"""),"K.V Subbaraju")</f>
        <v>K.V Subbaraju</v>
      </c>
      <c r="K508" s="73" t="str">
        <f ca="1">IFERROR(__xludf.DUMMYFUNCTION("""COMPUTED_VALUE"""),"https://drive.google.com/open?id=1TZeRWDVvLRWDIxlmQfpSSmfVPpff27yt")</f>
        <v>https://drive.google.com/open?id=1TZeRWDVvLRWDIxlmQfpSSmfVPpff27yt</v>
      </c>
      <c r="L508" s="9" t="str">
        <f ca="1">IFERROR(__xludf.DUMMYFUNCTION("""COMPUTED_VALUE"""),"2020-2024")</f>
        <v>2020-2024</v>
      </c>
      <c r="M508" s="9" t="str">
        <f ca="1">IFERROR(__xludf.DUMMYFUNCTION("""COMPUTED_VALUE"""),"S4: Student Certifications")</f>
        <v>S4: Student Certifications</v>
      </c>
      <c r="N508" s="9" t="str">
        <f ca="1">IFERROR(__xludf.DUMMYFUNCTION("""COMPUTED_VALUE"""),"ravisastrykolluru2021@gmail.com")</f>
        <v>ravisastrykolluru2021@gmail.com</v>
      </c>
      <c r="O508" s="9" t="str">
        <f ca="1">IFERROR(__xludf.DUMMYFUNCTION("""COMPUTED_VALUE"""),"SEM-4")</f>
        <v>SEM-4</v>
      </c>
      <c r="P508" s="9"/>
      <c r="Q508" s="9"/>
      <c r="R508" s="9"/>
      <c r="S508" s="9"/>
      <c r="T508" s="9"/>
      <c r="U508" s="9"/>
      <c r="V508" s="9"/>
      <c r="W508" s="9"/>
      <c r="X508" s="9"/>
      <c r="Y508" s="9"/>
    </row>
    <row r="509" spans="1:25" ht="26.25" customHeight="1" x14ac:dyDescent="0.15">
      <c r="A509" s="9" t="str">
        <f ca="1">IFERROR(__xludf.DUMMYFUNCTION("""COMPUTED_VALUE"""),"Kuppili Pratyusha")</f>
        <v>Kuppili Pratyusha</v>
      </c>
      <c r="B509" s="9" t="str">
        <f ca="1">IFERROR(__xludf.DUMMYFUNCTION("""COMPUTED_VALUE"""),"18331A0583")</f>
        <v>18331A0583</v>
      </c>
      <c r="C509" s="78" t="str">
        <f ca="1">IFERROR(__xludf.DUMMYFUNCTION("""COMPUTED_VALUE"""),"4.0 tech boot camp")</f>
        <v>4.0 tech boot camp</v>
      </c>
      <c r="D509" s="9" t="str">
        <f ca="1">IFERROR(__xludf.DUMMYFUNCTION("""COMPUTED_VALUE"""),"Ccbp 4.0 tech community")</f>
        <v>Ccbp 4.0 tech community</v>
      </c>
      <c r="E509" s="9" t="str">
        <f ca="1">IFERROR(__xludf.DUMMYFUNCTION("""COMPUTED_VALUE"""),"12 hrs")</f>
        <v>12 hrs</v>
      </c>
      <c r="F509" s="79">
        <f ca="1">IFERROR(__xludf.DUMMYFUNCTION("""COMPUTED_VALUE"""),44296)</f>
        <v>44296</v>
      </c>
      <c r="G509" s="79">
        <f ca="1">IFERROR(__xludf.DUMMYFUNCTION("""COMPUTED_VALUE"""),44661)</f>
        <v>44661</v>
      </c>
      <c r="H509" s="72">
        <f ca="1">IFERROR(__xludf.DUMMYFUNCTION("""COMPUTED_VALUE"""),44296)</f>
        <v>44296</v>
      </c>
      <c r="I509" s="80">
        <f ca="1">IFERROR(__xludf.DUMMYFUNCTION("""COMPUTED_VALUE"""),0.8)</f>
        <v>0.8</v>
      </c>
      <c r="J509" s="9" t="str">
        <f ca="1">IFERROR(__xludf.DUMMYFUNCTION("""COMPUTED_VALUE"""),"NA")</f>
        <v>NA</v>
      </c>
      <c r="K509" s="73" t="str">
        <f ca="1">IFERROR(__xludf.DUMMYFUNCTION("""COMPUTED_VALUE"""),"https://drive.google.com/open?id=1SU1986z5Bl7T2ntuXWAw2vduIF4Z19lT")</f>
        <v>https://drive.google.com/open?id=1SU1986z5Bl7T2ntuXWAw2vduIF4Z19lT</v>
      </c>
      <c r="L509" s="9" t="str">
        <f ca="1">IFERROR(__xludf.DUMMYFUNCTION("""COMPUTED_VALUE"""),"2018-2022")</f>
        <v>2018-2022</v>
      </c>
      <c r="M509" s="9" t="str">
        <f ca="1">IFERROR(__xludf.DUMMYFUNCTION("""COMPUTED_VALUE"""),"S4: Student Certifications")</f>
        <v>S4: Student Certifications</v>
      </c>
      <c r="N509" s="9" t="str">
        <f ca="1">IFERROR(__xludf.DUMMYFUNCTION("""COMPUTED_VALUE"""),"pratyukuppili2001@gmail.com")</f>
        <v>pratyukuppili2001@gmail.com</v>
      </c>
      <c r="O509" s="9" t="str">
        <f ca="1">IFERROR(__xludf.DUMMYFUNCTION("""COMPUTED_VALUE"""),"SEM-8")</f>
        <v>SEM-8</v>
      </c>
      <c r="P509" s="9"/>
      <c r="Q509" s="9"/>
      <c r="R509" s="9"/>
      <c r="S509" s="9"/>
      <c r="T509" s="9"/>
      <c r="U509" s="9"/>
      <c r="V509" s="9"/>
      <c r="W509" s="9"/>
      <c r="X509" s="9"/>
      <c r="Y509" s="9"/>
    </row>
    <row r="510" spans="1:25" ht="26.25" customHeight="1" x14ac:dyDescent="0.15">
      <c r="A510" s="9" t="str">
        <f ca="1">IFERROR(__xludf.DUMMYFUNCTION("""COMPUTED_VALUE"""),"SRIHARI NAIDU POGIRI")</f>
        <v>SRIHARI NAIDU POGIRI</v>
      </c>
      <c r="B510" s="9" t="str">
        <f ca="1">IFERROR(__xludf.DUMMYFUNCTION("""COMPUTED_VALUE"""),"18331A05E6")</f>
        <v>18331A05E6</v>
      </c>
      <c r="C510" s="78" t="str">
        <f ca="1">IFERROR(__xludf.DUMMYFUNCTION("""COMPUTED_VALUE"""),"Web Design for Everybody: Basics of Web Development &amp; Coding")</f>
        <v>Web Design for Everybody: Basics of Web Development &amp; Coding</v>
      </c>
      <c r="D510" s="9" t="str">
        <f ca="1">IFERROR(__xludf.DUMMYFUNCTION("""COMPUTED_VALUE"""),"COURSERA")</f>
        <v>COURSERA</v>
      </c>
      <c r="E510" s="9" t="str">
        <f ca="1">IFERROR(__xludf.DUMMYFUNCTION("""COMPUTED_VALUE"""),"6 months")</f>
        <v>6 months</v>
      </c>
      <c r="F510" s="79">
        <f ca="1">IFERROR(__xludf.DUMMYFUNCTION("""COMPUTED_VALUE"""),43872)</f>
        <v>43872</v>
      </c>
      <c r="G510" s="79">
        <f ca="1">IFERROR(__xludf.DUMMYFUNCTION("""COMPUTED_VALUE"""),44028)</f>
        <v>44028</v>
      </c>
      <c r="H510" s="72">
        <f ca="1">IFERROR(__xludf.DUMMYFUNCTION("""COMPUTED_VALUE"""),44025)</f>
        <v>44025</v>
      </c>
      <c r="I510" s="80">
        <f ca="1">IFERROR(__xludf.DUMMYFUNCTION("""COMPUTED_VALUE"""),100)</f>
        <v>100</v>
      </c>
      <c r="J510" s="9" t="str">
        <f ca="1">IFERROR(__xludf.DUMMYFUNCTION("""COMPUTED_VALUE"""),"Colleen Van lent PhD")</f>
        <v>Colleen Van lent PhD</v>
      </c>
      <c r="K510" s="73" t="str">
        <f ca="1">IFERROR(__xludf.DUMMYFUNCTION("""COMPUTED_VALUE"""),"https://drive.google.com/open?id=1paBUJfz_M4Gigm8Veby7U8NWn40KrzpW")</f>
        <v>https://drive.google.com/open?id=1paBUJfz_M4Gigm8Veby7U8NWn40KrzpW</v>
      </c>
      <c r="L510" s="9" t="str">
        <f ca="1">IFERROR(__xludf.DUMMYFUNCTION("""COMPUTED_VALUE"""),"2018-2022")</f>
        <v>2018-2022</v>
      </c>
      <c r="M510" s="9" t="str">
        <f ca="1">IFERROR(__xludf.DUMMYFUNCTION("""COMPUTED_VALUE"""),"S4: Student Certifications")</f>
        <v>S4: Student Certifications</v>
      </c>
      <c r="N510" s="9" t="str">
        <f ca="1">IFERROR(__xludf.DUMMYFUNCTION("""COMPUTED_VALUE"""),"sriharismart0000@gmail.com")</f>
        <v>sriharismart0000@gmail.com</v>
      </c>
      <c r="O510" s="9" t="str">
        <f ca="1">IFERROR(__xludf.DUMMYFUNCTION("""COMPUTED_VALUE"""),"SEM-4")</f>
        <v>SEM-4</v>
      </c>
      <c r="P510" s="9"/>
      <c r="Q510" s="9"/>
      <c r="R510" s="9"/>
      <c r="S510" s="9"/>
      <c r="T510" s="9"/>
      <c r="U510" s="9"/>
      <c r="V510" s="9"/>
      <c r="W510" s="9"/>
      <c r="X510" s="9"/>
      <c r="Y510" s="9"/>
    </row>
    <row r="511" spans="1:25" ht="26.25" customHeight="1" x14ac:dyDescent="0.15">
      <c r="A511" s="9" t="str">
        <f ca="1">IFERROR(__xludf.DUMMYFUNCTION("""COMPUTED_VALUE"""),"Manukonda Royal Frederick ")</f>
        <v xml:space="preserve">Manukonda Royal Frederick </v>
      </c>
      <c r="B511" s="9" t="str">
        <f ca="1">IFERROR(__xludf.DUMMYFUNCTION("""COMPUTED_VALUE"""),"18331A0595")</f>
        <v>18331A0595</v>
      </c>
      <c r="C511" s="78" t="str">
        <f ca="1">IFERROR(__xludf.DUMMYFUNCTION("""COMPUTED_VALUE"""),"Programming essentials in C Language ")</f>
        <v xml:space="preserve">Programming essentials in C Language </v>
      </c>
      <c r="D511" s="9" t="str">
        <f ca="1">IFERROR(__xludf.DUMMYFUNCTION("""COMPUTED_VALUE"""),"Cisco")</f>
        <v>Cisco</v>
      </c>
      <c r="E511" s="9" t="str">
        <f ca="1">IFERROR(__xludf.DUMMYFUNCTION("""COMPUTED_VALUE"""),"6months")</f>
        <v>6months</v>
      </c>
      <c r="F511" s="79">
        <f ca="1">IFERROR(__xludf.DUMMYFUNCTION("""COMPUTED_VALUE"""),43159)</f>
        <v>43159</v>
      </c>
      <c r="G511" s="79">
        <f ca="1">IFERROR(__xludf.DUMMYFUNCTION("""COMPUTED_VALUE"""),43311)</f>
        <v>43311</v>
      </c>
      <c r="H511" s="72">
        <f ca="1">IFERROR(__xludf.DUMMYFUNCTION("""COMPUTED_VALUE"""),43311)</f>
        <v>43311</v>
      </c>
      <c r="I511" s="80">
        <f ca="1">IFERROR(__xludf.DUMMYFUNCTION("""COMPUTED_VALUE"""),98)</f>
        <v>98</v>
      </c>
      <c r="J511" s="9" t="str">
        <f ca="1">IFERROR(__xludf.DUMMYFUNCTION("""COMPUTED_VALUE"""),"Subbaraju")</f>
        <v>Subbaraju</v>
      </c>
      <c r="K511" s="73" t="str">
        <f ca="1">IFERROR(__xludf.DUMMYFUNCTION("""COMPUTED_VALUE"""),"https://drive.google.com/open?id=1LrTwKTVFOygHJ8gHCJ2OlPA3e0ySb62H")</f>
        <v>https://drive.google.com/open?id=1LrTwKTVFOygHJ8gHCJ2OlPA3e0ySb62H</v>
      </c>
      <c r="L511" s="9" t="str">
        <f ca="1">IFERROR(__xludf.DUMMYFUNCTION("""COMPUTED_VALUE"""),"2018-2022")</f>
        <v>2018-2022</v>
      </c>
      <c r="M511" s="9" t="str">
        <f ca="1">IFERROR(__xludf.DUMMYFUNCTION("""COMPUTED_VALUE"""),"S4: Student Certifications")</f>
        <v>S4: Student Certifications</v>
      </c>
      <c r="N511" s="9" t="str">
        <f ca="1">IFERROR(__xludf.DUMMYFUNCTION("""COMPUTED_VALUE"""),"royalfrederickmanukonda@gmail.com")</f>
        <v>royalfrederickmanukonda@gmail.com</v>
      </c>
      <c r="O511" s="9" t="str">
        <f ca="1">IFERROR(__xludf.DUMMYFUNCTION("""COMPUTED_VALUE"""),"SEM-8")</f>
        <v>SEM-8</v>
      </c>
      <c r="P511" s="9"/>
      <c r="Q511" s="9"/>
      <c r="R511" s="9"/>
      <c r="S511" s="9"/>
      <c r="T511" s="9"/>
      <c r="U511" s="9"/>
      <c r="V511" s="9"/>
      <c r="W511" s="9"/>
      <c r="X511" s="9"/>
      <c r="Y511" s="9"/>
    </row>
    <row r="512" spans="1:25" ht="26.25" customHeight="1" x14ac:dyDescent="0.15">
      <c r="A512" s="9" t="str">
        <f ca="1">IFERROR(__xludf.DUMMYFUNCTION("""COMPUTED_VALUE"""),"Manukonda Royal Frederick ")</f>
        <v xml:space="preserve">Manukonda Royal Frederick </v>
      </c>
      <c r="B512" s="9" t="str">
        <f ca="1">IFERROR(__xludf.DUMMYFUNCTION("""COMPUTED_VALUE"""),"18331A0595")</f>
        <v>18331A0595</v>
      </c>
      <c r="C512" s="78" t="str">
        <f ca="1">IFERROR(__xludf.DUMMYFUNCTION("""COMPUTED_VALUE"""),"Redhat System Administration ")</f>
        <v xml:space="preserve">Redhat System Administration </v>
      </c>
      <c r="D512" s="9" t="str">
        <f ca="1">IFERROR(__xludf.DUMMYFUNCTION("""COMPUTED_VALUE"""),"Redhat ")</f>
        <v xml:space="preserve">Redhat </v>
      </c>
      <c r="E512" s="9" t="str">
        <f ca="1">IFERROR(__xludf.DUMMYFUNCTION("""COMPUTED_VALUE"""),"10weeks")</f>
        <v>10weeks</v>
      </c>
      <c r="F512" s="79">
        <f ca="1">IFERROR(__xludf.DUMMYFUNCTION("""COMPUTED_VALUE"""),44562)</f>
        <v>44562</v>
      </c>
      <c r="G512" s="79">
        <f ca="1">IFERROR(__xludf.DUMMYFUNCTION("""COMPUTED_VALUE"""),44639)</f>
        <v>44639</v>
      </c>
      <c r="H512" s="72">
        <f ca="1">IFERROR(__xludf.DUMMYFUNCTION("""COMPUTED_VALUE"""),44621)</f>
        <v>44621</v>
      </c>
      <c r="I512" s="80">
        <f ca="1">IFERROR(__xludf.DUMMYFUNCTION("""COMPUTED_VALUE"""),90)</f>
        <v>90</v>
      </c>
      <c r="J512" s="9" t="str">
        <f ca="1">IFERROR(__xludf.DUMMYFUNCTION("""COMPUTED_VALUE"""),"NA")</f>
        <v>NA</v>
      </c>
      <c r="K512" s="73" t="str">
        <f ca="1">IFERROR(__xludf.DUMMYFUNCTION("""COMPUTED_VALUE"""),"https://drive.google.com/open?id=198sBy60ZJuhV2m216INIEmBsIzHPJOir")</f>
        <v>https://drive.google.com/open?id=198sBy60ZJuhV2m216INIEmBsIzHPJOir</v>
      </c>
      <c r="L512" s="9" t="str">
        <f ca="1">IFERROR(__xludf.DUMMYFUNCTION("""COMPUTED_VALUE"""),"2018-2022")</f>
        <v>2018-2022</v>
      </c>
      <c r="M512" s="9" t="str">
        <f ca="1">IFERROR(__xludf.DUMMYFUNCTION("""COMPUTED_VALUE"""),"S4: Student Certifications")</f>
        <v>S4: Student Certifications</v>
      </c>
      <c r="N512" s="9" t="str">
        <f ca="1">IFERROR(__xludf.DUMMYFUNCTION("""COMPUTED_VALUE"""),"royalfrederickmanukonda@gmail.com")</f>
        <v>royalfrederickmanukonda@gmail.com</v>
      </c>
      <c r="O512" s="9" t="str">
        <f ca="1">IFERROR(__xludf.DUMMYFUNCTION("""COMPUTED_VALUE"""),"SEM-8")</f>
        <v>SEM-8</v>
      </c>
      <c r="P512" s="9"/>
      <c r="Q512" s="9"/>
      <c r="R512" s="9"/>
      <c r="S512" s="9"/>
      <c r="T512" s="9"/>
      <c r="U512" s="9"/>
      <c r="V512" s="9"/>
      <c r="W512" s="9"/>
      <c r="X512" s="9"/>
      <c r="Y512" s="9"/>
    </row>
    <row r="513" spans="1:25" ht="26.25" customHeight="1" x14ac:dyDescent="0.15">
      <c r="A513" s="9" t="str">
        <f ca="1">IFERROR(__xludf.DUMMYFUNCTION("""COMPUTED_VALUE"""),"SRIHARI NAIDU POGIRI")</f>
        <v>SRIHARI NAIDU POGIRI</v>
      </c>
      <c r="B513" s="9" t="str">
        <f ca="1">IFERROR(__xludf.DUMMYFUNCTION("""COMPUTED_VALUE"""),"18331A05E6")</f>
        <v>18331A05E6</v>
      </c>
      <c r="C513" s="78" t="str">
        <f ca="1">IFERROR(__xludf.DUMMYFUNCTION("""COMPUTED_VALUE"""),"Building web applications in php")</f>
        <v>Building web applications in php</v>
      </c>
      <c r="D513" s="9" t="str">
        <f ca="1">IFERROR(__xludf.DUMMYFUNCTION("""COMPUTED_VALUE"""),"COURSERA")</f>
        <v>COURSERA</v>
      </c>
      <c r="E513" s="9" t="str">
        <f ca="1">IFERROR(__xludf.DUMMYFUNCTION("""COMPUTED_VALUE"""),"1month")</f>
        <v>1month</v>
      </c>
      <c r="F513" s="79">
        <f ca="1">IFERROR(__xludf.DUMMYFUNCTION("""COMPUTED_VALUE"""),44027)</f>
        <v>44027</v>
      </c>
      <c r="G513" s="79">
        <f ca="1">IFERROR(__xludf.DUMMYFUNCTION("""COMPUTED_VALUE"""),44058)</f>
        <v>44058</v>
      </c>
      <c r="H513" s="72">
        <f ca="1">IFERROR(__xludf.DUMMYFUNCTION("""COMPUTED_VALUE"""),44048)</f>
        <v>44048</v>
      </c>
      <c r="I513" s="80">
        <f ca="1">IFERROR(__xludf.DUMMYFUNCTION("""COMPUTED_VALUE"""),100)</f>
        <v>100</v>
      </c>
      <c r="J513" s="9" t="str">
        <f ca="1">IFERROR(__xludf.DUMMYFUNCTION("""COMPUTED_VALUE"""),"Charles severance")</f>
        <v>Charles severance</v>
      </c>
      <c r="K513" s="73" t="str">
        <f ca="1">IFERROR(__xludf.DUMMYFUNCTION("""COMPUTED_VALUE"""),"https://drive.google.com/open?id=1CraJr1Nid3rqoJ1bVL8eBdrZi1yQ-kpC")</f>
        <v>https://drive.google.com/open?id=1CraJr1Nid3rqoJ1bVL8eBdrZi1yQ-kpC</v>
      </c>
      <c r="L513" s="9" t="str">
        <f ca="1">IFERROR(__xludf.DUMMYFUNCTION("""COMPUTED_VALUE"""),"2018-2022")</f>
        <v>2018-2022</v>
      </c>
      <c r="M513" s="9" t="str">
        <f ca="1">IFERROR(__xludf.DUMMYFUNCTION("""COMPUTED_VALUE"""),"S4: Student Certifications")</f>
        <v>S4: Student Certifications</v>
      </c>
      <c r="N513" s="9" t="str">
        <f ca="1">IFERROR(__xludf.DUMMYFUNCTION("""COMPUTED_VALUE"""),"sriharismart0000@gmail.com")</f>
        <v>sriharismart0000@gmail.com</v>
      </c>
      <c r="O513" s="9" t="str">
        <f ca="1">IFERROR(__xludf.DUMMYFUNCTION("""COMPUTED_VALUE"""),"SEM-4")</f>
        <v>SEM-4</v>
      </c>
      <c r="P513" s="9"/>
      <c r="Q513" s="9"/>
      <c r="R513" s="9"/>
      <c r="S513" s="9"/>
      <c r="T513" s="9"/>
      <c r="U513" s="9"/>
      <c r="V513" s="9"/>
      <c r="W513" s="9"/>
      <c r="X513" s="9"/>
      <c r="Y513" s="9"/>
    </row>
    <row r="514" spans="1:25" ht="26.25" customHeight="1" x14ac:dyDescent="0.15">
      <c r="A514" s="9" t="str">
        <f ca="1">IFERROR(__xludf.DUMMYFUNCTION("""COMPUTED_VALUE"""),"Donthamsetti Sumitha")</f>
        <v>Donthamsetti Sumitha</v>
      </c>
      <c r="B514" s="9" t="str">
        <f ca="1">IFERROR(__xludf.DUMMYFUNCTION("""COMPUTED_VALUE"""),"18331A0535")</f>
        <v>18331A0535</v>
      </c>
      <c r="C514" s="78" t="str">
        <f ca="1">IFERROR(__xludf.DUMMYFUNCTION("""COMPUTED_VALUE"""),"Python")</f>
        <v>Python</v>
      </c>
      <c r="D514" s="9" t="str">
        <f ca="1">IFERROR(__xludf.DUMMYFUNCTION("""COMPUTED_VALUE"""),"JNTU Kakinada")</f>
        <v>JNTU Kakinada</v>
      </c>
      <c r="E514" s="9" t="str">
        <f ca="1">IFERROR(__xludf.DUMMYFUNCTION("""COMPUTED_VALUE"""),"1 Day")</f>
        <v>1 Day</v>
      </c>
      <c r="F514" s="79">
        <f ca="1">IFERROR(__xludf.DUMMYFUNCTION("""COMPUTED_VALUE"""),44015)</f>
        <v>44015</v>
      </c>
      <c r="G514" s="79">
        <f ca="1">IFERROR(__xludf.DUMMYFUNCTION("""COMPUTED_VALUE"""),44015)</f>
        <v>44015</v>
      </c>
      <c r="H514" s="72">
        <f ca="1">IFERROR(__xludf.DUMMYFUNCTION("""COMPUTED_VALUE"""),44015)</f>
        <v>44015</v>
      </c>
      <c r="I514" s="80"/>
      <c r="J514" s="9" t="str">
        <f ca="1">IFERROR(__xludf.DUMMYFUNCTION("""COMPUTED_VALUE"""),"National level online quiz")</f>
        <v>National level online quiz</v>
      </c>
      <c r="K514" s="73" t="str">
        <f ca="1">IFERROR(__xludf.DUMMYFUNCTION("""COMPUTED_VALUE"""),"https://drive.google.com/open?id=1pMTutEHS8VT2lEPvgSLuKWua8eBbMpnz")</f>
        <v>https://drive.google.com/open?id=1pMTutEHS8VT2lEPvgSLuKWua8eBbMpnz</v>
      </c>
      <c r="L514" s="9" t="str">
        <f ca="1">IFERROR(__xludf.DUMMYFUNCTION("""COMPUTED_VALUE"""),"2018-2022")</f>
        <v>2018-2022</v>
      </c>
      <c r="M514" s="9" t="str">
        <f ca="1">IFERROR(__xludf.DUMMYFUNCTION("""COMPUTED_VALUE"""),"S4: Student Certifications")</f>
        <v>S4: Student Certifications</v>
      </c>
      <c r="N514" s="9" t="str">
        <f ca="1">IFERROR(__xludf.DUMMYFUNCTION("""COMPUTED_VALUE"""),"sumitha.donthamsetti@gmail.com")</f>
        <v>sumitha.donthamsetti@gmail.com</v>
      </c>
      <c r="O514" s="9" t="str">
        <f ca="1">IFERROR(__xludf.DUMMYFUNCTION("""COMPUTED_VALUE"""),"SEM-4")</f>
        <v>SEM-4</v>
      </c>
      <c r="P514" s="9"/>
      <c r="Q514" s="9"/>
      <c r="R514" s="9"/>
      <c r="S514" s="9"/>
      <c r="T514" s="9"/>
      <c r="U514" s="9"/>
      <c r="V514" s="9"/>
      <c r="W514" s="9"/>
      <c r="X514" s="9"/>
      <c r="Y514" s="9"/>
    </row>
    <row r="515" spans="1:25" ht="26.25" customHeight="1" x14ac:dyDescent="0.15">
      <c r="A515" s="9" t="str">
        <f ca="1">IFERROR(__xludf.DUMMYFUNCTION("""COMPUTED_VALUE"""),"SRIHARI NAIDU POGIRI")</f>
        <v>SRIHARI NAIDU POGIRI</v>
      </c>
      <c r="B515" s="9" t="str">
        <f ca="1">IFERROR(__xludf.DUMMYFUNCTION("""COMPUTED_VALUE"""),"18331A05E6")</f>
        <v>18331A05E6</v>
      </c>
      <c r="C515" s="78" t="str">
        <f ca="1">IFERROR(__xludf.DUMMYFUNCTION("""COMPUTED_VALUE"""),"Introduction to Structured query language")</f>
        <v>Introduction to Structured query language</v>
      </c>
      <c r="D515" s="9" t="str">
        <f ca="1">IFERROR(__xludf.DUMMYFUNCTION("""COMPUTED_VALUE"""),"COURSERA")</f>
        <v>COURSERA</v>
      </c>
      <c r="E515" s="9" t="str">
        <f ca="1">IFERROR(__xludf.DUMMYFUNCTION("""COMPUTED_VALUE"""),"1 month")</f>
        <v>1 month</v>
      </c>
      <c r="F515" s="79">
        <f ca="1">IFERROR(__xludf.DUMMYFUNCTION("""COMPUTED_VALUE"""),44024)</f>
        <v>44024</v>
      </c>
      <c r="G515" s="79">
        <f ca="1">IFERROR(__xludf.DUMMYFUNCTION("""COMPUTED_VALUE"""),44055)</f>
        <v>44055</v>
      </c>
      <c r="H515" s="72">
        <f ca="1">IFERROR(__xludf.DUMMYFUNCTION("""COMPUTED_VALUE"""),44051)</f>
        <v>44051</v>
      </c>
      <c r="I515" s="80">
        <f ca="1">IFERROR(__xludf.DUMMYFUNCTION("""COMPUTED_VALUE"""),100)</f>
        <v>100</v>
      </c>
      <c r="J515" s="9" t="str">
        <f ca="1">IFERROR(__xludf.DUMMYFUNCTION("""COMPUTED_VALUE"""),"Charles severance")</f>
        <v>Charles severance</v>
      </c>
      <c r="K515" s="73" t="str">
        <f ca="1">IFERROR(__xludf.DUMMYFUNCTION("""COMPUTED_VALUE"""),"https://drive.google.com/open?id=1d5VMkEdhOE6wUBXgCuli559i34T1JNFq")</f>
        <v>https://drive.google.com/open?id=1d5VMkEdhOE6wUBXgCuli559i34T1JNFq</v>
      </c>
      <c r="L515" s="9" t="str">
        <f ca="1">IFERROR(__xludf.DUMMYFUNCTION("""COMPUTED_VALUE"""),"2018-2022")</f>
        <v>2018-2022</v>
      </c>
      <c r="M515" s="9" t="str">
        <f ca="1">IFERROR(__xludf.DUMMYFUNCTION("""COMPUTED_VALUE"""),"S4: Student Certifications")</f>
        <v>S4: Student Certifications</v>
      </c>
      <c r="N515" s="9" t="str">
        <f ca="1">IFERROR(__xludf.DUMMYFUNCTION("""COMPUTED_VALUE"""),"sriharismart0000@gmail.com")</f>
        <v>sriharismart0000@gmail.com</v>
      </c>
      <c r="O515" s="9" t="str">
        <f ca="1">IFERROR(__xludf.DUMMYFUNCTION("""COMPUTED_VALUE"""),"SEM-4")</f>
        <v>SEM-4</v>
      </c>
      <c r="P515" s="9"/>
      <c r="Q515" s="9"/>
      <c r="R515" s="9"/>
      <c r="S515" s="9"/>
      <c r="T515" s="9"/>
      <c r="U515" s="9"/>
      <c r="V515" s="9"/>
      <c r="W515" s="9"/>
      <c r="X515" s="9"/>
      <c r="Y515" s="9"/>
    </row>
    <row r="516" spans="1:25" ht="26.25" customHeight="1" x14ac:dyDescent="0.15">
      <c r="A516" s="9" t="str">
        <f ca="1">IFERROR(__xludf.DUMMYFUNCTION("""COMPUTED_VALUE"""),"Donthamsetti Sumitha")</f>
        <v>Donthamsetti Sumitha</v>
      </c>
      <c r="B516" s="9" t="str">
        <f ca="1">IFERROR(__xludf.DUMMYFUNCTION("""COMPUTED_VALUE"""),"18331A0535")</f>
        <v>18331A0535</v>
      </c>
      <c r="C516" s="78" t="str">
        <f ca="1">IFERROR(__xludf.DUMMYFUNCTION("""COMPUTED_VALUE"""),"AWS Academy Certificate")</f>
        <v>AWS Academy Certificate</v>
      </c>
      <c r="D516" s="9" t="str">
        <f ca="1">IFERROR(__xludf.DUMMYFUNCTION("""COMPUTED_VALUE"""),"AICTE Edu skills")</f>
        <v>AICTE Edu skills</v>
      </c>
      <c r="E516" s="9" t="str">
        <f ca="1">IFERROR(__xludf.DUMMYFUNCTION("""COMPUTED_VALUE"""),"10 weeks")</f>
        <v>10 weeks</v>
      </c>
      <c r="F516" s="79">
        <f ca="1">IFERROR(__xludf.DUMMYFUNCTION("""COMPUTED_VALUE"""),44487)</f>
        <v>44487</v>
      </c>
      <c r="G516" s="79">
        <f ca="1">IFERROR(__xludf.DUMMYFUNCTION("""COMPUTED_VALUE"""),44559)</f>
        <v>44559</v>
      </c>
      <c r="H516" s="72">
        <f ca="1">IFERROR(__xludf.DUMMYFUNCTION("""COMPUTED_VALUE"""),44569)</f>
        <v>44569</v>
      </c>
      <c r="I516" s="80"/>
      <c r="J516" s="9" t="str">
        <f ca="1">IFERROR(__xludf.DUMMYFUNCTION("""COMPUTED_VALUE"""),"Ravi kiran varma")</f>
        <v>Ravi kiran varma</v>
      </c>
      <c r="K516" s="73" t="str">
        <f ca="1">IFERROR(__xludf.DUMMYFUNCTION("""COMPUTED_VALUE"""),"https://drive.google.com/open?id=1pJnAHkwhsnPJtQBH37JAkhjqh901yg2r")</f>
        <v>https://drive.google.com/open?id=1pJnAHkwhsnPJtQBH37JAkhjqh901yg2r</v>
      </c>
      <c r="L516" s="9" t="str">
        <f ca="1">IFERROR(__xludf.DUMMYFUNCTION("""COMPUTED_VALUE"""),"2018-2022")</f>
        <v>2018-2022</v>
      </c>
      <c r="M516" s="9" t="str">
        <f ca="1">IFERROR(__xludf.DUMMYFUNCTION("""COMPUTED_VALUE"""),"S4: Student Certifications")</f>
        <v>S4: Student Certifications</v>
      </c>
      <c r="N516" s="9" t="str">
        <f ca="1">IFERROR(__xludf.DUMMYFUNCTION("""COMPUTED_VALUE"""),"sumitha.donthamsetti@gmail.com")</f>
        <v>sumitha.donthamsetti@gmail.com</v>
      </c>
      <c r="O516" s="9" t="str">
        <f ca="1">IFERROR(__xludf.DUMMYFUNCTION("""COMPUTED_VALUE"""),"SEM-7")</f>
        <v>SEM-7</v>
      </c>
      <c r="P516" s="9"/>
      <c r="Q516" s="9"/>
      <c r="R516" s="9"/>
      <c r="S516" s="9"/>
      <c r="T516" s="9"/>
      <c r="U516" s="9"/>
      <c r="V516" s="9"/>
      <c r="W516" s="9"/>
      <c r="X516" s="9"/>
      <c r="Y516" s="9"/>
    </row>
    <row r="517" spans="1:25" ht="26.25" customHeight="1" x14ac:dyDescent="0.15">
      <c r="A517" s="9" t="str">
        <f ca="1">IFERROR(__xludf.DUMMYFUNCTION("""COMPUTED_VALUE"""),"Karanam yeswanth teja")</f>
        <v>Karanam yeswanth teja</v>
      </c>
      <c r="B517" s="9" t="str">
        <f ca="1">IFERROR(__xludf.DUMMYFUNCTION("""COMPUTED_VALUE"""),"20331A0581")</f>
        <v>20331A0581</v>
      </c>
      <c r="C517" s="78" t="str">
        <f ca="1">IFERROR(__xludf.DUMMYFUNCTION("""COMPUTED_VALUE"""),"IT essentials")</f>
        <v>IT essentials</v>
      </c>
      <c r="D517" s="9" t="str">
        <f ca="1">IFERROR(__xludf.DUMMYFUNCTION("""COMPUTED_VALUE"""),"Cisco")</f>
        <v>Cisco</v>
      </c>
      <c r="E517" s="9" t="str">
        <f ca="1">IFERROR(__xludf.DUMMYFUNCTION("""COMPUTED_VALUE"""),"2 months")</f>
        <v>2 months</v>
      </c>
      <c r="F517" s="79">
        <f ca="1">IFERROR(__xludf.DUMMYFUNCTION("""COMPUTED_VALUE"""),44378)</f>
        <v>44378</v>
      </c>
      <c r="G517" s="79">
        <f ca="1">IFERROR(__xludf.DUMMYFUNCTION("""COMPUTED_VALUE"""),44440)</f>
        <v>44440</v>
      </c>
      <c r="H517" s="72">
        <f ca="1">IFERROR(__xludf.DUMMYFUNCTION("""COMPUTED_VALUE"""),44464)</f>
        <v>44464</v>
      </c>
      <c r="I517" s="80">
        <f ca="1">IFERROR(__xludf.DUMMYFUNCTION("""COMPUTED_VALUE"""),95)</f>
        <v>95</v>
      </c>
      <c r="J517" s="9" t="str">
        <f ca="1">IFERROR(__xludf.DUMMYFUNCTION("""COMPUTED_VALUE"""),"K.subbaraju")</f>
        <v>K.subbaraju</v>
      </c>
      <c r="K517" s="73" t="str">
        <f ca="1">IFERROR(__xludf.DUMMYFUNCTION("""COMPUTED_VALUE"""),"https://drive.google.com/open?id=1yOJySaImIeqzV8zvtN7zLCZ8rTzC6P4y")</f>
        <v>https://drive.google.com/open?id=1yOJySaImIeqzV8zvtN7zLCZ8rTzC6P4y</v>
      </c>
      <c r="L517" s="9" t="str">
        <f ca="1">IFERROR(__xludf.DUMMYFUNCTION("""COMPUTED_VALUE"""),"2020-2024")</f>
        <v>2020-2024</v>
      </c>
      <c r="M517" s="9" t="str">
        <f ca="1">IFERROR(__xludf.DUMMYFUNCTION("""COMPUTED_VALUE"""),"S4: Student Certifications")</f>
        <v>S4: Student Certifications</v>
      </c>
      <c r="N517" s="9" t="str">
        <f ca="1">IFERROR(__xludf.DUMMYFUNCTION("""COMPUTED_VALUE"""),"tejacherry0611@gmail.com")</f>
        <v>tejacherry0611@gmail.com</v>
      </c>
      <c r="O517" s="9" t="str">
        <f ca="1">IFERROR(__xludf.DUMMYFUNCTION("""COMPUTED_VALUE"""),"SEM-4")</f>
        <v>SEM-4</v>
      </c>
      <c r="P517" s="9"/>
      <c r="Q517" s="9"/>
      <c r="R517" s="9"/>
      <c r="S517" s="9"/>
      <c r="T517" s="9"/>
      <c r="U517" s="9"/>
      <c r="V517" s="9"/>
      <c r="W517" s="9"/>
      <c r="X517" s="9"/>
      <c r="Y517" s="9"/>
    </row>
    <row r="518" spans="1:25" ht="26.25" customHeight="1" x14ac:dyDescent="0.15">
      <c r="A518" s="9" t="str">
        <f ca="1">IFERROR(__xludf.DUMMYFUNCTION("""COMPUTED_VALUE"""),"GUMMA VENKATA SRIVATHSA")</f>
        <v>GUMMA VENKATA SRIVATHSA</v>
      </c>
      <c r="B518" s="9" t="str">
        <f ca="1">IFERROR(__xludf.DUMMYFUNCTION("""COMPUTED_VALUE"""),"20331A0568")</f>
        <v>20331A0568</v>
      </c>
      <c r="C518" s="78" t="str">
        <f ca="1">IFERROR(__xludf.DUMMYFUNCTION("""COMPUTED_VALUE"""),"IT Essentials")</f>
        <v>IT Essentials</v>
      </c>
      <c r="D518" s="9" t="str">
        <f ca="1">IFERROR(__xludf.DUMMYFUNCTION("""COMPUTED_VALUE"""),"CISCO")</f>
        <v>CISCO</v>
      </c>
      <c r="E518" s="9" t="str">
        <f ca="1">IFERROR(__xludf.DUMMYFUNCTION("""COMPUTED_VALUE"""),"2 months")</f>
        <v>2 months</v>
      </c>
      <c r="F518" s="79">
        <f ca="1">IFERROR(__xludf.DUMMYFUNCTION("""COMPUTED_VALUE"""),44378)</f>
        <v>44378</v>
      </c>
      <c r="G518" s="79">
        <f ca="1">IFERROR(__xludf.DUMMYFUNCTION("""COMPUTED_VALUE"""),44467)</f>
        <v>44467</v>
      </c>
      <c r="H518" s="72">
        <f ca="1">IFERROR(__xludf.DUMMYFUNCTION("""COMPUTED_VALUE"""),44464)</f>
        <v>44464</v>
      </c>
      <c r="I518" s="80">
        <f ca="1">IFERROR(__xludf.DUMMYFUNCTION("""COMPUTED_VALUE"""),95)</f>
        <v>95</v>
      </c>
      <c r="J518" s="9" t="str">
        <f ca="1">IFERROR(__xludf.DUMMYFUNCTION("""COMPUTED_VALUE"""),"K.SUBBARAJU")</f>
        <v>K.SUBBARAJU</v>
      </c>
      <c r="K518" s="73" t="str">
        <f ca="1">IFERROR(__xludf.DUMMYFUNCTION("""COMPUTED_VALUE"""),"https://drive.google.com/open?id=1kXrytMYKsJLrS-3i_-DaB6hKP07r6KbC")</f>
        <v>https://drive.google.com/open?id=1kXrytMYKsJLrS-3i_-DaB6hKP07r6KbC</v>
      </c>
      <c r="L518" s="9" t="str">
        <f ca="1">IFERROR(__xludf.DUMMYFUNCTION("""COMPUTED_VALUE"""),"2020-2024")</f>
        <v>2020-2024</v>
      </c>
      <c r="M518" s="9" t="str">
        <f ca="1">IFERROR(__xludf.DUMMYFUNCTION("""COMPUTED_VALUE"""),"S4: Student Certifications")</f>
        <v>S4: Student Certifications</v>
      </c>
      <c r="N518" s="9" t="str">
        <f ca="1">IFERROR(__xludf.DUMMYFUNCTION("""COMPUTED_VALUE"""),"gvsrivathsa@gmail.com")</f>
        <v>gvsrivathsa@gmail.com</v>
      </c>
      <c r="O518" s="9" t="str">
        <f ca="1">IFERROR(__xludf.DUMMYFUNCTION("""COMPUTED_VALUE"""),"SEM-4")</f>
        <v>SEM-4</v>
      </c>
      <c r="P518" s="9"/>
      <c r="Q518" s="9"/>
      <c r="R518" s="9"/>
      <c r="S518" s="9"/>
      <c r="T518" s="9"/>
      <c r="U518" s="9"/>
      <c r="V518" s="9"/>
      <c r="W518" s="9"/>
      <c r="X518" s="9"/>
      <c r="Y518" s="9"/>
    </row>
    <row r="519" spans="1:25" ht="26.25" customHeight="1" x14ac:dyDescent="0.15">
      <c r="A519" s="9" t="str">
        <f ca="1">IFERROR(__xludf.DUMMYFUNCTION("""COMPUTED_VALUE"""),"Karanam yeswanth teja")</f>
        <v>Karanam yeswanth teja</v>
      </c>
      <c r="B519" s="9" t="str">
        <f ca="1">IFERROR(__xludf.DUMMYFUNCTION("""COMPUTED_VALUE"""),"20331A0581")</f>
        <v>20331A0581</v>
      </c>
      <c r="C519" s="78" t="str">
        <f ca="1">IFERROR(__xludf.DUMMYFUNCTION("""COMPUTED_VALUE"""),"NDG Linux essentials")</f>
        <v>NDG Linux essentials</v>
      </c>
      <c r="D519" s="9" t="str">
        <f ca="1">IFERROR(__xludf.DUMMYFUNCTION("""COMPUTED_VALUE"""),"Cisco")</f>
        <v>Cisco</v>
      </c>
      <c r="E519" s="9" t="str">
        <f ca="1">IFERROR(__xludf.DUMMYFUNCTION("""COMPUTED_VALUE"""),"2 months")</f>
        <v>2 months</v>
      </c>
      <c r="F519" s="79">
        <f ca="1">IFERROR(__xludf.DUMMYFUNCTION("""COMPUTED_VALUE"""),44470)</f>
        <v>44470</v>
      </c>
      <c r="G519" s="79">
        <f ca="1">IFERROR(__xludf.DUMMYFUNCTION("""COMPUTED_VALUE"""),44531)</f>
        <v>44531</v>
      </c>
      <c r="H519" s="72">
        <f ca="1">IFERROR(__xludf.DUMMYFUNCTION("""COMPUTED_VALUE"""),44555)</f>
        <v>44555</v>
      </c>
      <c r="I519" s="80">
        <f ca="1">IFERROR(__xludf.DUMMYFUNCTION("""COMPUTED_VALUE"""),96)</f>
        <v>96</v>
      </c>
      <c r="J519" s="9" t="str">
        <f ca="1">IFERROR(__xludf.DUMMYFUNCTION("""COMPUTED_VALUE"""),"K.subbaraju")</f>
        <v>K.subbaraju</v>
      </c>
      <c r="K519" s="73" t="str">
        <f ca="1">IFERROR(__xludf.DUMMYFUNCTION("""COMPUTED_VALUE"""),"https://drive.google.com/open?id=1NiIHfvJgm5gpPCpKbnhOuxmv4ZnfWpQW")</f>
        <v>https://drive.google.com/open?id=1NiIHfvJgm5gpPCpKbnhOuxmv4ZnfWpQW</v>
      </c>
      <c r="L519" s="9" t="str">
        <f ca="1">IFERROR(__xludf.DUMMYFUNCTION("""COMPUTED_VALUE"""),"2020-2024")</f>
        <v>2020-2024</v>
      </c>
      <c r="M519" s="9" t="str">
        <f ca="1">IFERROR(__xludf.DUMMYFUNCTION("""COMPUTED_VALUE"""),"S4: Student Certifications")</f>
        <v>S4: Student Certifications</v>
      </c>
      <c r="N519" s="9" t="str">
        <f ca="1">IFERROR(__xludf.DUMMYFUNCTION("""COMPUTED_VALUE"""),"tejacherry0611@gmail.com")</f>
        <v>tejacherry0611@gmail.com</v>
      </c>
      <c r="O519" s="9" t="str">
        <f ca="1">IFERROR(__xludf.DUMMYFUNCTION("""COMPUTED_VALUE"""),"SEM-4")</f>
        <v>SEM-4</v>
      </c>
      <c r="P519" s="9"/>
      <c r="Q519" s="9"/>
      <c r="R519" s="9"/>
      <c r="S519" s="9"/>
      <c r="T519" s="9"/>
      <c r="U519" s="9"/>
      <c r="V519" s="9"/>
      <c r="W519" s="9"/>
      <c r="X519" s="9"/>
      <c r="Y519" s="9"/>
    </row>
    <row r="520" spans="1:25" ht="26.25" customHeight="1" x14ac:dyDescent="0.15">
      <c r="A520" s="9" t="str">
        <f ca="1">IFERROR(__xludf.DUMMYFUNCTION("""COMPUTED_VALUE"""),"Gudala Lalitha Maheswari")</f>
        <v>Gudala Lalitha Maheswari</v>
      </c>
      <c r="B520" s="9" t="str">
        <f ca="1">IFERROR(__xludf.DUMMYFUNCTION("""COMPUTED_VALUE"""),"20331A0565")</f>
        <v>20331A0565</v>
      </c>
      <c r="C520" s="78" t="str">
        <f ca="1">IFERROR(__xludf.DUMMYFUNCTION("""COMPUTED_VALUE"""),"IT Essentials")</f>
        <v>IT Essentials</v>
      </c>
      <c r="D520" s="9" t="str">
        <f ca="1">IFERROR(__xludf.DUMMYFUNCTION("""COMPUTED_VALUE"""),"Cisco")</f>
        <v>Cisco</v>
      </c>
      <c r="E520" s="9" t="str">
        <f ca="1">IFERROR(__xludf.DUMMYFUNCTION("""COMPUTED_VALUE"""),"2 months")</f>
        <v>2 months</v>
      </c>
      <c r="F520" s="79">
        <f ca="1">IFERROR(__xludf.DUMMYFUNCTION("""COMPUTED_VALUE"""),44378)</f>
        <v>44378</v>
      </c>
      <c r="G520" s="79">
        <f ca="1">IFERROR(__xludf.DUMMYFUNCTION("""COMPUTED_VALUE"""),44469)</f>
        <v>44469</v>
      </c>
      <c r="H520" s="72">
        <f ca="1">IFERROR(__xludf.DUMMYFUNCTION("""COMPUTED_VALUE"""),44464)</f>
        <v>44464</v>
      </c>
      <c r="I520" s="80">
        <f ca="1">IFERROR(__xludf.DUMMYFUNCTION("""COMPUTED_VALUE"""),95)</f>
        <v>95</v>
      </c>
      <c r="J520" s="9" t="str">
        <f ca="1">IFERROR(__xludf.DUMMYFUNCTION("""COMPUTED_VALUE"""),"K Subba Raju")</f>
        <v>K Subba Raju</v>
      </c>
      <c r="K520" s="73" t="str">
        <f ca="1">IFERROR(__xludf.DUMMYFUNCTION("""COMPUTED_VALUE"""),"https://drive.google.com/open?id=1AJghTvCvOYf2111qo8ySsjxTH-es7gtq")</f>
        <v>https://drive.google.com/open?id=1AJghTvCvOYf2111qo8ySsjxTH-es7gtq</v>
      </c>
      <c r="L520" s="9" t="str">
        <f ca="1">IFERROR(__xludf.DUMMYFUNCTION("""COMPUTED_VALUE"""),"2020-2024")</f>
        <v>2020-2024</v>
      </c>
      <c r="M520" s="9" t="str">
        <f ca="1">IFERROR(__xludf.DUMMYFUNCTION("""COMPUTED_VALUE"""),"S4: Student Certifications")</f>
        <v>S4: Student Certifications</v>
      </c>
      <c r="N520" s="9" t="str">
        <f ca="1">IFERROR(__xludf.DUMMYFUNCTION("""COMPUTED_VALUE"""),"gudalalalithamaheswari4180@gmail.com")</f>
        <v>gudalalalithamaheswari4180@gmail.com</v>
      </c>
      <c r="O520" s="9" t="str">
        <f ca="1">IFERROR(__xludf.DUMMYFUNCTION("""COMPUTED_VALUE"""),"SEM-4")</f>
        <v>SEM-4</v>
      </c>
      <c r="P520" s="9"/>
      <c r="Q520" s="9"/>
      <c r="R520" s="9"/>
      <c r="S520" s="9"/>
      <c r="T520" s="9"/>
      <c r="U520" s="9"/>
      <c r="V520" s="9"/>
      <c r="W520" s="9"/>
      <c r="X520" s="9"/>
      <c r="Y520" s="9"/>
    </row>
    <row r="521" spans="1:25" ht="26.25" customHeight="1" x14ac:dyDescent="0.15">
      <c r="A521" s="9" t="str">
        <f ca="1">IFERROR(__xludf.DUMMYFUNCTION("""COMPUTED_VALUE"""),"M. Tarun Kumar")</f>
        <v>M. Tarun Kumar</v>
      </c>
      <c r="B521" s="9" t="str">
        <f ca="1">IFERROR(__xludf.DUMMYFUNCTION("""COMPUTED_VALUE"""),"20331A05B0")</f>
        <v>20331A05B0</v>
      </c>
      <c r="C521" s="78" t="str">
        <f ca="1">IFERROR(__xludf.DUMMYFUNCTION("""COMPUTED_VALUE"""),"IT essentials")</f>
        <v>IT essentials</v>
      </c>
      <c r="D521" s="9" t="str">
        <f ca="1">IFERROR(__xludf.DUMMYFUNCTION("""COMPUTED_VALUE"""),"CISCO")</f>
        <v>CISCO</v>
      </c>
      <c r="E521" s="9" t="str">
        <f ca="1">IFERROR(__xludf.DUMMYFUNCTION("""COMPUTED_VALUE"""),"2 Months")</f>
        <v>2 Months</v>
      </c>
      <c r="F521" s="79">
        <f ca="1">IFERROR(__xludf.DUMMYFUNCTION("""COMPUTED_VALUE"""),44378)</f>
        <v>44378</v>
      </c>
      <c r="G521" s="79">
        <f ca="1">IFERROR(__xludf.DUMMYFUNCTION("""COMPUTED_VALUE"""),44440)</f>
        <v>44440</v>
      </c>
      <c r="H521" s="72">
        <f ca="1">IFERROR(__xludf.DUMMYFUNCTION("""COMPUTED_VALUE"""),44439)</f>
        <v>44439</v>
      </c>
      <c r="I521" s="80">
        <f ca="1">IFERROR(__xludf.DUMMYFUNCTION("""COMPUTED_VALUE"""),92)</f>
        <v>92</v>
      </c>
      <c r="J521" s="9" t="str">
        <f ca="1">IFERROR(__xludf.DUMMYFUNCTION("""COMPUTED_VALUE"""),"K Subba raju")</f>
        <v>K Subba raju</v>
      </c>
      <c r="K521" s="73" t="str">
        <f ca="1">IFERROR(__xludf.DUMMYFUNCTION("""COMPUTED_VALUE"""),"https://drive.google.com/open?id=1mxzJH-OG4In_VvdEQaVkfMt6-qVrqc3K")</f>
        <v>https://drive.google.com/open?id=1mxzJH-OG4In_VvdEQaVkfMt6-qVrqc3K</v>
      </c>
      <c r="L521" s="9" t="str">
        <f ca="1">IFERROR(__xludf.DUMMYFUNCTION("""COMPUTED_VALUE"""),"2020-2024")</f>
        <v>2020-2024</v>
      </c>
      <c r="M521" s="9" t="str">
        <f ca="1">IFERROR(__xludf.DUMMYFUNCTION("""COMPUTED_VALUE"""),"S4: Student Certifications")</f>
        <v>S4: Student Certifications</v>
      </c>
      <c r="N521" s="9" t="str">
        <f ca="1">IFERROR(__xludf.DUMMYFUNCTION("""COMPUTED_VALUE"""),"mt790191@gmail.com")</f>
        <v>mt790191@gmail.com</v>
      </c>
      <c r="O521" s="9" t="str">
        <f ca="1">IFERROR(__xludf.DUMMYFUNCTION("""COMPUTED_VALUE"""),"SEM-4")</f>
        <v>SEM-4</v>
      </c>
      <c r="P521" s="9"/>
      <c r="Q521" s="9"/>
      <c r="R521" s="9"/>
      <c r="S521" s="9"/>
      <c r="T521" s="9"/>
      <c r="U521" s="9"/>
      <c r="V521" s="9"/>
      <c r="W521" s="9"/>
      <c r="X521" s="9"/>
      <c r="Y521" s="9"/>
    </row>
    <row r="522" spans="1:25" ht="26.25" customHeight="1" x14ac:dyDescent="0.15">
      <c r="A522" s="9" t="str">
        <f ca="1">IFERROR(__xludf.DUMMYFUNCTION("""COMPUTED_VALUE"""),"GUMMA VENKATA SRIVATHSA")</f>
        <v>GUMMA VENKATA SRIVATHSA</v>
      </c>
      <c r="B522" s="9" t="str">
        <f ca="1">IFERROR(__xludf.DUMMYFUNCTION("""COMPUTED_VALUE"""),"20331A0568")</f>
        <v>20331A0568</v>
      </c>
      <c r="C522" s="78" t="str">
        <f ca="1">IFERROR(__xludf.DUMMYFUNCTION("""COMPUTED_VALUE"""),"NDG LINUX ESSENTIALS")</f>
        <v>NDG LINUX ESSENTIALS</v>
      </c>
      <c r="D522" s="9" t="str">
        <f ca="1">IFERROR(__xludf.DUMMYFUNCTION("""COMPUTED_VALUE"""),"Cisco")</f>
        <v>Cisco</v>
      </c>
      <c r="E522" s="9" t="str">
        <f ca="1">IFERROR(__xludf.DUMMYFUNCTION("""COMPUTED_VALUE"""),"2 months")</f>
        <v>2 months</v>
      </c>
      <c r="F522" s="79">
        <f ca="1">IFERROR(__xludf.DUMMYFUNCTION("""COMPUTED_VALUE"""),44481)</f>
        <v>44481</v>
      </c>
      <c r="G522" s="79">
        <f ca="1">IFERROR(__xludf.DUMMYFUNCTION("""COMPUTED_VALUE"""),44551)</f>
        <v>44551</v>
      </c>
      <c r="H522" s="72">
        <f ca="1">IFERROR(__xludf.DUMMYFUNCTION("""COMPUTED_VALUE"""),44545)</f>
        <v>44545</v>
      </c>
      <c r="I522" s="80">
        <f ca="1">IFERROR(__xludf.DUMMYFUNCTION("""COMPUTED_VALUE"""),96)</f>
        <v>96</v>
      </c>
      <c r="J522" s="9" t="str">
        <f ca="1">IFERROR(__xludf.DUMMYFUNCTION("""COMPUTED_VALUE"""),"K.SUBBARAJU")</f>
        <v>K.SUBBARAJU</v>
      </c>
      <c r="K522" s="73" t="str">
        <f ca="1">IFERROR(__xludf.DUMMYFUNCTION("""COMPUTED_VALUE"""),"https://drive.google.com/open?id=1zlp-hU7vPBWUBXOs7s5t0l2yaDufQLfH")</f>
        <v>https://drive.google.com/open?id=1zlp-hU7vPBWUBXOs7s5t0l2yaDufQLfH</v>
      </c>
      <c r="L522" s="9" t="str">
        <f ca="1">IFERROR(__xludf.DUMMYFUNCTION("""COMPUTED_VALUE"""),"2020-2024")</f>
        <v>2020-2024</v>
      </c>
      <c r="M522" s="9" t="str">
        <f ca="1">IFERROR(__xludf.DUMMYFUNCTION("""COMPUTED_VALUE"""),"S4: Student Certifications")</f>
        <v>S4: Student Certifications</v>
      </c>
      <c r="N522" s="9" t="str">
        <f ca="1">IFERROR(__xludf.DUMMYFUNCTION("""COMPUTED_VALUE"""),"gvsrivathsa@gmail.com")</f>
        <v>gvsrivathsa@gmail.com</v>
      </c>
      <c r="O522" s="9" t="str">
        <f ca="1">IFERROR(__xludf.DUMMYFUNCTION("""COMPUTED_VALUE"""),"SEM-4")</f>
        <v>SEM-4</v>
      </c>
      <c r="P522" s="9"/>
      <c r="Q522" s="9"/>
      <c r="R522" s="9"/>
      <c r="S522" s="9"/>
      <c r="T522" s="9"/>
      <c r="U522" s="9"/>
      <c r="V522" s="9"/>
      <c r="W522" s="9"/>
      <c r="X522" s="9"/>
      <c r="Y522" s="9"/>
    </row>
    <row r="523" spans="1:25" ht="26.25" customHeight="1" x14ac:dyDescent="0.15">
      <c r="A523" s="9" t="str">
        <f ca="1">IFERROR(__xludf.DUMMYFUNCTION("""COMPUTED_VALUE"""),"Gudala Lalitha Maheswari")</f>
        <v>Gudala Lalitha Maheswari</v>
      </c>
      <c r="B523" s="9" t="str">
        <f ca="1">IFERROR(__xludf.DUMMYFUNCTION("""COMPUTED_VALUE"""),"20331A0565")</f>
        <v>20331A0565</v>
      </c>
      <c r="C523" s="78" t="str">
        <f ca="1">IFERROR(__xludf.DUMMYFUNCTION("""COMPUTED_VALUE"""),"NDG Linux Essentials")</f>
        <v>NDG Linux Essentials</v>
      </c>
      <c r="D523" s="9" t="str">
        <f ca="1">IFERROR(__xludf.DUMMYFUNCTION("""COMPUTED_VALUE"""),"Cisco")</f>
        <v>Cisco</v>
      </c>
      <c r="E523" s="9" t="str">
        <f ca="1">IFERROR(__xludf.DUMMYFUNCTION("""COMPUTED_VALUE"""),"2 months")</f>
        <v>2 months</v>
      </c>
      <c r="F523" s="79">
        <f ca="1">IFERROR(__xludf.DUMMYFUNCTION("""COMPUTED_VALUE"""),44470)</f>
        <v>44470</v>
      </c>
      <c r="G523" s="79">
        <f ca="1">IFERROR(__xludf.DUMMYFUNCTION("""COMPUTED_VALUE"""),44530)</f>
        <v>44530</v>
      </c>
      <c r="H523" s="72">
        <f ca="1">IFERROR(__xludf.DUMMYFUNCTION("""COMPUTED_VALUE"""),44555)</f>
        <v>44555</v>
      </c>
      <c r="I523" s="80">
        <f ca="1">IFERROR(__xludf.DUMMYFUNCTION("""COMPUTED_VALUE"""),96)</f>
        <v>96</v>
      </c>
      <c r="J523" s="9" t="str">
        <f ca="1">IFERROR(__xludf.DUMMYFUNCTION("""COMPUTED_VALUE"""),"K Subba Raju")</f>
        <v>K Subba Raju</v>
      </c>
      <c r="K523" s="73" t="str">
        <f ca="1">IFERROR(__xludf.DUMMYFUNCTION("""COMPUTED_VALUE"""),"https://drive.google.com/open?id=17Sl_rQ_ag42spqyJh38eNM10mb_mPENE")</f>
        <v>https://drive.google.com/open?id=17Sl_rQ_ag42spqyJh38eNM10mb_mPENE</v>
      </c>
      <c r="L523" s="9" t="str">
        <f ca="1">IFERROR(__xludf.DUMMYFUNCTION("""COMPUTED_VALUE"""),"2020-2024")</f>
        <v>2020-2024</v>
      </c>
      <c r="M523" s="9" t="str">
        <f ca="1">IFERROR(__xludf.DUMMYFUNCTION("""COMPUTED_VALUE"""),"S4: Student Certifications")</f>
        <v>S4: Student Certifications</v>
      </c>
      <c r="N523" s="9" t="str">
        <f ca="1">IFERROR(__xludf.DUMMYFUNCTION("""COMPUTED_VALUE"""),"gudalalalithamaheswari4180@gmail.com")</f>
        <v>gudalalalithamaheswari4180@gmail.com</v>
      </c>
      <c r="O523" s="9" t="str">
        <f ca="1">IFERROR(__xludf.DUMMYFUNCTION("""COMPUTED_VALUE"""),"SEM-4")</f>
        <v>SEM-4</v>
      </c>
      <c r="P523" s="9"/>
      <c r="Q523" s="9"/>
      <c r="R523" s="9"/>
      <c r="S523" s="9"/>
      <c r="T523" s="9"/>
      <c r="U523" s="9"/>
      <c r="V523" s="9"/>
      <c r="W523" s="9"/>
      <c r="X523" s="9"/>
      <c r="Y523" s="9"/>
    </row>
    <row r="524" spans="1:25" ht="26.25" customHeight="1" x14ac:dyDescent="0.15">
      <c r="A524" s="9" t="str">
        <f ca="1">IFERROR(__xludf.DUMMYFUNCTION("""COMPUTED_VALUE"""),"Kolluru Sai Venkata Ravi Sastry")</f>
        <v>Kolluru Sai Venkata Ravi Sastry</v>
      </c>
      <c r="B524" s="9" t="str">
        <f ca="1">IFERROR(__xludf.DUMMYFUNCTION("""COMPUTED_VALUE"""),"20331A0588")</f>
        <v>20331A0588</v>
      </c>
      <c r="C524" s="78" t="str">
        <f ca="1">IFERROR(__xludf.DUMMYFUNCTION("""COMPUTED_VALUE"""),"IT ESSENTIALS")</f>
        <v>IT ESSENTIALS</v>
      </c>
      <c r="D524" s="9" t="str">
        <f ca="1">IFERROR(__xludf.DUMMYFUNCTION("""COMPUTED_VALUE"""),"CISCO ONLINE COURSE")</f>
        <v>CISCO ONLINE COURSE</v>
      </c>
      <c r="E524" s="9" t="str">
        <f ca="1">IFERROR(__xludf.DUMMYFUNCTION("""COMPUTED_VALUE"""),"10 WEEKS")</f>
        <v>10 WEEKS</v>
      </c>
      <c r="F524" s="79">
        <f ca="1">IFERROR(__xludf.DUMMYFUNCTION("""COMPUTED_VALUE"""),44330)</f>
        <v>44330</v>
      </c>
      <c r="G524" s="79">
        <f ca="1">IFERROR(__xludf.DUMMYFUNCTION("""COMPUTED_VALUE"""),44388)</f>
        <v>44388</v>
      </c>
      <c r="H524" s="72">
        <f ca="1">IFERROR(__xludf.DUMMYFUNCTION("""COMPUTED_VALUE"""),44388)</f>
        <v>44388</v>
      </c>
      <c r="I524" s="80">
        <f ca="1">IFERROR(__xludf.DUMMYFUNCTION("""COMPUTED_VALUE"""),90)</f>
        <v>90</v>
      </c>
      <c r="J524" s="9" t="str">
        <f ca="1">IFERROR(__xludf.DUMMYFUNCTION("""COMPUTED_VALUE"""),"K.V SUBBARAJU")</f>
        <v>K.V SUBBARAJU</v>
      </c>
      <c r="K524" s="73" t="str">
        <f ca="1">IFERROR(__xludf.DUMMYFUNCTION("""COMPUTED_VALUE"""),"https://drive.google.com/open?id=1czIzAGfCjQHXOg3WrEvdsBQ0ELMRPG0z")</f>
        <v>https://drive.google.com/open?id=1czIzAGfCjQHXOg3WrEvdsBQ0ELMRPG0z</v>
      </c>
      <c r="L524" s="9" t="str">
        <f ca="1">IFERROR(__xludf.DUMMYFUNCTION("""COMPUTED_VALUE"""),"2020-2024")</f>
        <v>2020-2024</v>
      </c>
      <c r="M524" s="9" t="str">
        <f ca="1">IFERROR(__xludf.DUMMYFUNCTION("""COMPUTED_VALUE"""),"S4: Student Certifications")</f>
        <v>S4: Student Certifications</v>
      </c>
      <c r="N524" s="9" t="str">
        <f ca="1">IFERROR(__xludf.DUMMYFUNCTION("""COMPUTED_VALUE"""),"ravisastrykolluru2021@gmail.com")</f>
        <v>ravisastrykolluru2021@gmail.com</v>
      </c>
      <c r="O524" s="9" t="str">
        <f ca="1">IFERROR(__xludf.DUMMYFUNCTION("""COMPUTED_VALUE"""),"SEM-4")</f>
        <v>SEM-4</v>
      </c>
      <c r="P524" s="9"/>
      <c r="Q524" s="9"/>
      <c r="R524" s="9"/>
      <c r="S524" s="9"/>
      <c r="T524" s="9"/>
      <c r="U524" s="9"/>
      <c r="V524" s="9"/>
      <c r="W524" s="9"/>
      <c r="X524" s="9"/>
      <c r="Y524" s="9"/>
    </row>
    <row r="525" spans="1:25" ht="26.25" customHeight="1" x14ac:dyDescent="0.15">
      <c r="A525" s="9" t="str">
        <f ca="1">IFERROR(__xludf.DUMMYFUNCTION("""COMPUTED_VALUE"""),"Killana Gayatri Venkata Manikanta")</f>
        <v>Killana Gayatri Venkata Manikanta</v>
      </c>
      <c r="B525" s="9" t="str">
        <f ca="1">IFERROR(__xludf.DUMMYFUNCTION("""COMPUTED_VALUE"""),"18331A0576")</f>
        <v>18331A0576</v>
      </c>
      <c r="C525" s="78" t="str">
        <f ca="1">IFERROR(__xludf.DUMMYFUNCTION("""COMPUTED_VALUE"""),"Programming Esentials in C")</f>
        <v>Programming Esentials in C</v>
      </c>
      <c r="D525" s="9" t="str">
        <f ca="1">IFERROR(__xludf.DUMMYFUNCTION("""COMPUTED_VALUE"""),"Cisco")</f>
        <v>Cisco</v>
      </c>
      <c r="E525" s="9" t="str">
        <f ca="1">IFERROR(__xludf.DUMMYFUNCTION("""COMPUTED_VALUE"""),"one month")</f>
        <v>one month</v>
      </c>
      <c r="F525" s="79">
        <f ca="1">IFERROR(__xludf.DUMMYFUNCTION("""COMPUTED_VALUE"""),43624)</f>
        <v>43624</v>
      </c>
      <c r="G525" s="79">
        <f ca="1">IFERROR(__xludf.DUMMYFUNCTION("""COMPUTED_VALUE"""),43654)</f>
        <v>43654</v>
      </c>
      <c r="H525" s="72">
        <f ca="1">IFERROR(__xludf.DUMMYFUNCTION("""COMPUTED_VALUE"""),43686)</f>
        <v>43686</v>
      </c>
      <c r="I525" s="80">
        <f ca="1">IFERROR(__xludf.DUMMYFUNCTION("""COMPUTED_VALUE"""),90)</f>
        <v>90</v>
      </c>
      <c r="J525" s="9" t="str">
        <f ca="1">IFERROR(__xludf.DUMMYFUNCTION("""COMPUTED_VALUE"""),"Vamsi Krishna Mahabhasyam")</f>
        <v>Vamsi Krishna Mahabhasyam</v>
      </c>
      <c r="K525" s="73" t="str">
        <f ca="1">IFERROR(__xludf.DUMMYFUNCTION("""COMPUTED_VALUE"""),"https://drive.google.com/open?id=1Qc5AqfMve3ctBRZ_w3MfmS_ctS2EU0GC")</f>
        <v>https://drive.google.com/open?id=1Qc5AqfMve3ctBRZ_w3MfmS_ctS2EU0GC</v>
      </c>
      <c r="L525" s="9" t="str">
        <f ca="1">IFERROR(__xludf.DUMMYFUNCTION("""COMPUTED_VALUE"""),"2018-2022")</f>
        <v>2018-2022</v>
      </c>
      <c r="M525" s="9" t="str">
        <f ca="1">IFERROR(__xludf.DUMMYFUNCTION("""COMPUTED_VALUE"""),"S4: Student Certifications")</f>
        <v>S4: Student Certifications</v>
      </c>
      <c r="N525" s="9" t="str">
        <f ca="1">IFERROR(__xludf.DUMMYFUNCTION("""COMPUTED_VALUE"""),"manikantakillana22@gmail.com")</f>
        <v>manikantakillana22@gmail.com</v>
      </c>
      <c r="O525" s="9" t="str">
        <f ca="1">IFERROR(__xludf.DUMMYFUNCTION("""COMPUTED_VALUE"""),"SEM-3")</f>
        <v>SEM-3</v>
      </c>
      <c r="P525" s="9"/>
      <c r="Q525" s="9"/>
      <c r="R525" s="9"/>
      <c r="S525" s="9"/>
      <c r="T525" s="9"/>
      <c r="U525" s="9"/>
      <c r="V525" s="9"/>
      <c r="W525" s="9"/>
      <c r="X525" s="9"/>
      <c r="Y525" s="9"/>
    </row>
    <row r="526" spans="1:25" ht="26.25" customHeight="1" x14ac:dyDescent="0.15">
      <c r="A526" s="9" t="str">
        <f ca="1">IFERROR(__xludf.DUMMYFUNCTION("""COMPUTED_VALUE"""),"Killana Gayatri Venkata Manikanta")</f>
        <v>Killana Gayatri Venkata Manikanta</v>
      </c>
      <c r="B526" s="9" t="str">
        <f ca="1">IFERROR(__xludf.DUMMYFUNCTION("""COMPUTED_VALUE"""),"  18331A0576")</f>
        <v xml:space="preserve">  18331A0576</v>
      </c>
      <c r="C526" s="78" t="str">
        <f ca="1">IFERROR(__xludf.DUMMYFUNCTION("""COMPUTED_VALUE"""),"Cyber Security Essemtials")</f>
        <v>Cyber Security Essemtials</v>
      </c>
      <c r="D526" s="9" t="str">
        <f ca="1">IFERROR(__xludf.DUMMYFUNCTION("""COMPUTED_VALUE"""),"Cisco")</f>
        <v>Cisco</v>
      </c>
      <c r="E526" s="9" t="str">
        <f ca="1">IFERROR(__xludf.DUMMYFUNCTION("""COMPUTED_VALUE"""),"one month")</f>
        <v>one month</v>
      </c>
      <c r="F526" s="79">
        <f ca="1">IFERROR(__xludf.DUMMYFUNCTION("""COMPUTED_VALUE"""),43666)</f>
        <v>43666</v>
      </c>
      <c r="G526" s="79">
        <f ca="1">IFERROR(__xludf.DUMMYFUNCTION("""COMPUTED_VALUE"""),43672)</f>
        <v>43672</v>
      </c>
      <c r="H526" s="72">
        <f ca="1">IFERROR(__xludf.DUMMYFUNCTION("""COMPUTED_VALUE"""),43672)</f>
        <v>43672</v>
      </c>
      <c r="I526" s="80">
        <f ca="1">IFERROR(__xludf.DUMMYFUNCTION("""COMPUTED_VALUE"""),90)</f>
        <v>90</v>
      </c>
      <c r="J526" s="9" t="str">
        <f ca="1">IFERROR(__xludf.DUMMYFUNCTION("""COMPUTED_VALUE"""),"Dr.Ravi Kiran Varma Penmatsa")</f>
        <v>Dr.Ravi Kiran Varma Penmatsa</v>
      </c>
      <c r="K526" s="73" t="str">
        <f ca="1">IFERROR(__xludf.DUMMYFUNCTION("""COMPUTED_VALUE"""),"https://drive.google.com/open?id=1nH8TaKBldh6ZDc0sW1vjSxEoDNNHr6gI")</f>
        <v>https://drive.google.com/open?id=1nH8TaKBldh6ZDc0sW1vjSxEoDNNHr6gI</v>
      </c>
      <c r="L526" s="9" t="str">
        <f ca="1">IFERROR(__xludf.DUMMYFUNCTION("""COMPUTED_VALUE"""),"2018-2022")</f>
        <v>2018-2022</v>
      </c>
      <c r="M526" s="9" t="str">
        <f ca="1">IFERROR(__xludf.DUMMYFUNCTION("""COMPUTED_VALUE"""),"S4: Student Certifications")</f>
        <v>S4: Student Certifications</v>
      </c>
      <c r="N526" s="9" t="str">
        <f ca="1">IFERROR(__xludf.DUMMYFUNCTION("""COMPUTED_VALUE"""),"manikantakillana22@gmail.com")</f>
        <v>manikantakillana22@gmail.com</v>
      </c>
      <c r="O526" s="9" t="str">
        <f ca="1">IFERROR(__xludf.DUMMYFUNCTION("""COMPUTED_VALUE"""),"SEM-3")</f>
        <v>SEM-3</v>
      </c>
      <c r="P526" s="9"/>
      <c r="Q526" s="9"/>
      <c r="R526" s="9"/>
      <c r="S526" s="9"/>
      <c r="T526" s="9"/>
      <c r="U526" s="9"/>
      <c r="V526" s="9"/>
      <c r="W526" s="9"/>
      <c r="X526" s="9"/>
      <c r="Y526" s="9"/>
    </row>
    <row r="527" spans="1:25" ht="26.25" customHeight="1" x14ac:dyDescent="0.15">
      <c r="A527" s="9" t="str">
        <f ca="1">IFERROR(__xludf.DUMMYFUNCTION("""COMPUTED_VALUE"""),"Killana Gayatri Venkata Manikanta")</f>
        <v>Killana Gayatri Venkata Manikanta</v>
      </c>
      <c r="B527" s="9" t="str">
        <f ca="1">IFERROR(__xludf.DUMMYFUNCTION("""COMPUTED_VALUE"""),"  18331A0576")</f>
        <v xml:space="preserve">  18331A0576</v>
      </c>
      <c r="C527" s="78" t="str">
        <f ca="1">IFERROR(__xludf.DUMMYFUNCTION("""COMPUTED_VALUE"""),"Programming Essentials in python")</f>
        <v>Programming Essentials in python</v>
      </c>
      <c r="D527" s="9" t="str">
        <f ca="1">IFERROR(__xludf.DUMMYFUNCTION("""COMPUTED_VALUE"""),"Cisco")</f>
        <v>Cisco</v>
      </c>
      <c r="E527" s="9" t="str">
        <f ca="1">IFERROR(__xludf.DUMMYFUNCTION("""COMPUTED_VALUE"""),"one month")</f>
        <v>one month</v>
      </c>
      <c r="F527" s="79">
        <f ca="1">IFERROR(__xludf.DUMMYFUNCTION("""COMPUTED_VALUE"""),44355)</f>
        <v>44355</v>
      </c>
      <c r="G527" s="79">
        <f ca="1">IFERROR(__xludf.DUMMYFUNCTION("""COMPUTED_VALUE"""),44388)</f>
        <v>44388</v>
      </c>
      <c r="H527" s="72">
        <f ca="1">IFERROR(__xludf.DUMMYFUNCTION("""COMPUTED_VALUE"""),44388)</f>
        <v>44388</v>
      </c>
      <c r="I527" s="80">
        <f ca="1">IFERROR(__xludf.DUMMYFUNCTION("""COMPUTED_VALUE"""),90)</f>
        <v>90</v>
      </c>
      <c r="J527" s="9" t="str">
        <f ca="1">IFERROR(__xludf.DUMMYFUNCTION("""COMPUTED_VALUE"""),"Subba Raju K V")</f>
        <v>Subba Raju K V</v>
      </c>
      <c r="K527" s="73" t="str">
        <f ca="1">IFERROR(__xludf.DUMMYFUNCTION("""COMPUTED_VALUE"""),"https://drive.google.com/open?id=10YCOw4UsW0uhFlhA-QSLmEDz3KUDJMRG")</f>
        <v>https://drive.google.com/open?id=10YCOw4UsW0uhFlhA-QSLmEDz3KUDJMRG</v>
      </c>
      <c r="L527" s="9" t="str">
        <f ca="1">IFERROR(__xludf.DUMMYFUNCTION("""COMPUTED_VALUE"""),"2018-2022")</f>
        <v>2018-2022</v>
      </c>
      <c r="M527" s="9" t="str">
        <f ca="1">IFERROR(__xludf.DUMMYFUNCTION("""COMPUTED_VALUE"""),"S4: Student Certifications")</f>
        <v>S4: Student Certifications</v>
      </c>
      <c r="N527" s="9" t="str">
        <f ca="1">IFERROR(__xludf.DUMMYFUNCTION("""COMPUTED_VALUE"""),"manikantakillana22@gmail.com")</f>
        <v>manikantakillana22@gmail.com</v>
      </c>
      <c r="O527" s="9" t="str">
        <f ca="1">IFERROR(__xludf.DUMMYFUNCTION("""COMPUTED_VALUE"""),"SEM-7")</f>
        <v>SEM-7</v>
      </c>
      <c r="P527" s="9"/>
      <c r="Q527" s="9"/>
      <c r="R527" s="9"/>
      <c r="S527" s="9"/>
      <c r="T527" s="9"/>
      <c r="U527" s="9"/>
      <c r="V527" s="9"/>
      <c r="W527" s="9"/>
      <c r="X527" s="9"/>
      <c r="Y527" s="9"/>
    </row>
    <row r="528" spans="1:25" ht="26.25" customHeight="1" x14ac:dyDescent="0.15">
      <c r="A528" s="9" t="str">
        <f ca="1">IFERROR(__xludf.DUMMYFUNCTION("""COMPUTED_VALUE"""),"Killana Gayatri Venkata Manikanta")</f>
        <v>Killana Gayatri Venkata Manikanta</v>
      </c>
      <c r="B528" s="9" t="str">
        <f ca="1">IFERROR(__xludf.DUMMYFUNCTION("""COMPUTED_VALUE""")," 18331A0576")</f>
        <v xml:space="preserve"> 18331A0576</v>
      </c>
      <c r="C528" s="78" t="str">
        <f ca="1">IFERROR(__xludf.DUMMYFUNCTION("""COMPUTED_VALUE"""),"CCNA")</f>
        <v>CCNA</v>
      </c>
      <c r="D528" s="9" t="str">
        <f ca="1">IFERROR(__xludf.DUMMYFUNCTION("""COMPUTED_VALUE"""),"Cisco")</f>
        <v>Cisco</v>
      </c>
      <c r="E528" s="9" t="str">
        <f ca="1">IFERROR(__xludf.DUMMYFUNCTION("""COMPUTED_VALUE"""),"one month")</f>
        <v>one month</v>
      </c>
      <c r="F528" s="79">
        <f ca="1">IFERROR(__xludf.DUMMYFUNCTION("""COMPUTED_VALUE"""),44385)</f>
        <v>44385</v>
      </c>
      <c r="G528" s="79">
        <f ca="1">IFERROR(__xludf.DUMMYFUNCTION("""COMPUTED_VALUE"""),44388)</f>
        <v>44388</v>
      </c>
      <c r="H528" s="72">
        <f ca="1">IFERROR(__xludf.DUMMYFUNCTION("""COMPUTED_VALUE"""),44388)</f>
        <v>44388</v>
      </c>
      <c r="I528" s="80">
        <f ca="1">IFERROR(__xludf.DUMMYFUNCTION("""COMPUTED_VALUE"""),90)</f>
        <v>90</v>
      </c>
      <c r="J528" s="9" t="str">
        <f ca="1">IFERROR(__xludf.DUMMYFUNCTION("""COMPUTED_VALUE"""),"SubbaRaju k v")</f>
        <v>SubbaRaju k v</v>
      </c>
      <c r="K528" s="73" t="str">
        <f ca="1">IFERROR(__xludf.DUMMYFUNCTION("""COMPUTED_VALUE"""),"https://drive.google.com/open?id=1g1PPciummGlsJydx6Kye9TuF6hVVOtLV")</f>
        <v>https://drive.google.com/open?id=1g1PPciummGlsJydx6Kye9TuF6hVVOtLV</v>
      </c>
      <c r="L528" s="9" t="str">
        <f ca="1">IFERROR(__xludf.DUMMYFUNCTION("""COMPUTED_VALUE"""),"2018-2022")</f>
        <v>2018-2022</v>
      </c>
      <c r="M528" s="9" t="str">
        <f ca="1">IFERROR(__xludf.DUMMYFUNCTION("""COMPUTED_VALUE"""),"S4: Student Certifications")</f>
        <v>S4: Student Certifications</v>
      </c>
      <c r="N528" s="9" t="str">
        <f ca="1">IFERROR(__xludf.DUMMYFUNCTION("""COMPUTED_VALUE"""),"manikantakillana22@gmail.com")</f>
        <v>manikantakillana22@gmail.com</v>
      </c>
      <c r="O528" s="9" t="str">
        <f ca="1">IFERROR(__xludf.DUMMYFUNCTION("""COMPUTED_VALUE"""),"SEM-7")</f>
        <v>SEM-7</v>
      </c>
      <c r="P528" s="9"/>
      <c r="Q528" s="9"/>
      <c r="R528" s="9"/>
      <c r="S528" s="9"/>
      <c r="T528" s="9"/>
      <c r="U528" s="9"/>
      <c r="V528" s="9"/>
      <c r="W528" s="9"/>
      <c r="X528" s="9"/>
      <c r="Y528" s="9"/>
    </row>
    <row r="529" spans="1:25" ht="26.25" customHeight="1" x14ac:dyDescent="0.15">
      <c r="A529" s="9" t="str">
        <f ca="1">IFERROR(__xludf.DUMMYFUNCTION("""COMPUTED_VALUE"""),"KONA.THARUN SREE SAI")</f>
        <v>KONA.THARUN SREE SAI</v>
      </c>
      <c r="B529" s="9" t="str">
        <f ca="1">IFERROR(__xludf.DUMMYFUNCTION("""COMPUTED_VALUE"""),"20331A0590")</f>
        <v>20331A0590</v>
      </c>
      <c r="C529" s="78" t="str">
        <f ca="1">IFERROR(__xludf.DUMMYFUNCTION("""COMPUTED_VALUE"""),"NDG LINUX  ESSENTIAL ")</f>
        <v xml:space="preserve">NDG LINUX  ESSENTIAL </v>
      </c>
      <c r="D529" s="9" t="str">
        <f ca="1">IFERROR(__xludf.DUMMYFUNCTION("""COMPUTED_VALUE"""),"Cisco ")</f>
        <v xml:space="preserve">Cisco </v>
      </c>
      <c r="E529" s="9" t="str">
        <f ca="1">IFERROR(__xludf.DUMMYFUNCTION("""COMPUTED_VALUE"""),"2 months ")</f>
        <v xml:space="preserve">2 months </v>
      </c>
      <c r="F529" s="79">
        <f ca="1">IFERROR(__xludf.DUMMYFUNCTION("""COMPUTED_VALUE"""),44479)</f>
        <v>44479</v>
      </c>
      <c r="G529" s="79">
        <f ca="1">IFERROR(__xludf.DUMMYFUNCTION("""COMPUTED_VALUE"""),44542)</f>
        <v>44542</v>
      </c>
      <c r="H529" s="72">
        <f ca="1">IFERROR(__xludf.DUMMYFUNCTION("""COMPUTED_VALUE"""),44540)</f>
        <v>44540</v>
      </c>
      <c r="I529" s="80">
        <f ca="1">IFERROR(__xludf.DUMMYFUNCTION("""COMPUTED_VALUE"""),98)</f>
        <v>98</v>
      </c>
      <c r="J529" s="9" t="str">
        <f ca="1">IFERROR(__xludf.DUMMYFUNCTION("""COMPUTED_VALUE"""),"K.subba Raj ")</f>
        <v xml:space="preserve">K.subba Raj </v>
      </c>
      <c r="K529" s="73" t="str">
        <f ca="1">IFERROR(__xludf.DUMMYFUNCTION("""COMPUTED_VALUE"""),"https://drive.google.com/open?id=1jXQvw4zGqm7fBrhjrUC98L7_ZuN9JyzH")</f>
        <v>https://drive.google.com/open?id=1jXQvw4zGqm7fBrhjrUC98L7_ZuN9JyzH</v>
      </c>
      <c r="L529" s="9" t="str">
        <f ca="1">IFERROR(__xludf.DUMMYFUNCTION("""COMPUTED_VALUE"""),"2020-2024")</f>
        <v>2020-2024</v>
      </c>
      <c r="M529" s="9" t="str">
        <f ca="1">IFERROR(__xludf.DUMMYFUNCTION("""COMPUTED_VALUE"""),"S4: Student Certifications")</f>
        <v>S4: Student Certifications</v>
      </c>
      <c r="N529" s="9" t="str">
        <f ca="1">IFERROR(__xludf.DUMMYFUNCTION("""COMPUTED_VALUE"""),"tharunkona111@gmail.com")</f>
        <v>tharunkona111@gmail.com</v>
      </c>
      <c r="O529" s="9" t="str">
        <f ca="1">IFERROR(__xludf.DUMMYFUNCTION("""COMPUTED_VALUE"""),"SEM-4")</f>
        <v>SEM-4</v>
      </c>
      <c r="P529" s="9"/>
      <c r="Q529" s="9"/>
      <c r="R529" s="9"/>
      <c r="S529" s="9"/>
      <c r="T529" s="9"/>
      <c r="U529" s="9"/>
      <c r="V529" s="9"/>
      <c r="W529" s="9"/>
      <c r="X529" s="9"/>
      <c r="Y529" s="9"/>
    </row>
    <row r="530" spans="1:25" ht="26.25" customHeight="1" x14ac:dyDescent="0.15">
      <c r="A530" s="9" t="str">
        <f ca="1">IFERROR(__xludf.DUMMYFUNCTION("""COMPUTED_VALUE"""),"Killana Gayatri Venkata Manikanta")</f>
        <v>Killana Gayatri Venkata Manikanta</v>
      </c>
      <c r="B530" s="9" t="str">
        <f ca="1">IFERROR(__xludf.DUMMYFUNCTION("""COMPUTED_VALUE"""),"18331A0576")</f>
        <v>18331A0576</v>
      </c>
      <c r="C530" s="78" t="str">
        <f ca="1">IFERROR(__xludf.DUMMYFUNCTION("""COMPUTED_VALUE"""),"Linux")</f>
        <v>Linux</v>
      </c>
      <c r="D530" s="9" t="str">
        <f ca="1">IFERROR(__xludf.DUMMYFUNCTION("""COMPUTED_VALUE"""),"Red Hat")</f>
        <v>Red Hat</v>
      </c>
      <c r="E530" s="9" t="str">
        <f ca="1">IFERROR(__xludf.DUMMYFUNCTION("""COMPUTED_VALUE"""),"10 days")</f>
        <v>10 days</v>
      </c>
      <c r="F530" s="79">
        <f ca="1">IFERROR(__xludf.DUMMYFUNCTION("""COMPUTED_VALUE"""),44647)</f>
        <v>44647</v>
      </c>
      <c r="G530" s="79">
        <f ca="1">IFERROR(__xludf.DUMMYFUNCTION("""COMPUTED_VALUE"""),44658)</f>
        <v>44658</v>
      </c>
      <c r="H530" s="72">
        <f ca="1">IFERROR(__xludf.DUMMYFUNCTION("""COMPUTED_VALUE"""),44658)</f>
        <v>44658</v>
      </c>
      <c r="I530" s="80">
        <f ca="1">IFERROR(__xludf.DUMMYFUNCTION("""COMPUTED_VALUE"""),90)</f>
        <v>90</v>
      </c>
      <c r="J530" s="9" t="str">
        <f ca="1">IFERROR(__xludf.DUMMYFUNCTION("""COMPUTED_VALUE"""),"SubbaRaju K V")</f>
        <v>SubbaRaju K V</v>
      </c>
      <c r="K530" s="73" t="str">
        <f ca="1">IFERROR(__xludf.DUMMYFUNCTION("""COMPUTED_VALUE"""),"https://drive.google.com/open?id=1KvXPRrtHu5Ev8HODK-1xhlS1_HnHyN_5")</f>
        <v>https://drive.google.com/open?id=1KvXPRrtHu5Ev8HODK-1xhlS1_HnHyN_5</v>
      </c>
      <c r="L530" s="9" t="str">
        <f ca="1">IFERROR(__xludf.DUMMYFUNCTION("""COMPUTED_VALUE"""),"2018-2022")</f>
        <v>2018-2022</v>
      </c>
      <c r="M530" s="9" t="str">
        <f ca="1">IFERROR(__xludf.DUMMYFUNCTION("""COMPUTED_VALUE"""),"S4: Student Certifications")</f>
        <v>S4: Student Certifications</v>
      </c>
      <c r="N530" s="9" t="str">
        <f ca="1">IFERROR(__xludf.DUMMYFUNCTION("""COMPUTED_VALUE"""),"manikantakillana22@gmail.com")</f>
        <v>manikantakillana22@gmail.com</v>
      </c>
      <c r="O530" s="9" t="str">
        <f ca="1">IFERROR(__xludf.DUMMYFUNCTION("""COMPUTED_VALUE"""),"SEM-8")</f>
        <v>SEM-8</v>
      </c>
      <c r="P530" s="9"/>
      <c r="Q530" s="9"/>
      <c r="R530" s="9"/>
      <c r="S530" s="9"/>
      <c r="T530" s="9"/>
      <c r="U530" s="9"/>
      <c r="V530" s="9"/>
      <c r="W530" s="9"/>
      <c r="X530" s="9"/>
      <c r="Y530" s="9"/>
    </row>
    <row r="531" spans="1:25" ht="26.25" customHeight="1" x14ac:dyDescent="0.15">
      <c r="A531" s="9" t="str">
        <f ca="1">IFERROR(__xludf.DUMMYFUNCTION("""COMPUTED_VALUE"""),"Prajyulitha Lakkoju ")</f>
        <v xml:space="preserve">Prajyulitha Lakkoju </v>
      </c>
      <c r="B531" s="9" t="str">
        <f ca="1">IFERROR(__xludf.DUMMYFUNCTION("""COMPUTED_VALUE"""),"20331A0598")</f>
        <v>20331A0598</v>
      </c>
      <c r="C531" s="78" t="str">
        <f ca="1">IFERROR(__xludf.DUMMYFUNCTION("""COMPUTED_VALUE"""),"Cisco it essentials")</f>
        <v>Cisco it essentials</v>
      </c>
      <c r="D531" s="9" t="str">
        <f ca="1">IFERROR(__xludf.DUMMYFUNCTION("""COMPUTED_VALUE"""),"NDG")</f>
        <v>NDG</v>
      </c>
      <c r="E531" s="9" t="str">
        <f ca="1">IFERROR(__xludf.DUMMYFUNCTION("""COMPUTED_VALUE"""),"2 months")</f>
        <v>2 months</v>
      </c>
      <c r="F531" s="79">
        <f ca="1">IFERROR(__xludf.DUMMYFUNCTION("""COMPUTED_VALUE"""),44317)</f>
        <v>44317</v>
      </c>
      <c r="G531" s="79">
        <f ca="1">IFERROR(__xludf.DUMMYFUNCTION("""COMPUTED_VALUE"""),44305)</f>
        <v>44305</v>
      </c>
      <c r="H531" s="72">
        <f ca="1">IFERROR(__xludf.DUMMYFUNCTION("""COMPUTED_VALUE"""),44396)</f>
        <v>44396</v>
      </c>
      <c r="I531" s="80">
        <f ca="1">IFERROR(__xludf.DUMMYFUNCTION("""COMPUTED_VALUE"""),93)</f>
        <v>93</v>
      </c>
      <c r="J531" s="9" t="str">
        <f ca="1">IFERROR(__xludf.DUMMYFUNCTION("""COMPUTED_VALUE"""),"Dr suvarna Kumar gogula")</f>
        <v>Dr suvarna Kumar gogula</v>
      </c>
      <c r="K531" s="73" t="str">
        <f ca="1">IFERROR(__xludf.DUMMYFUNCTION("""COMPUTED_VALUE"""),"https://drive.google.com/open?id=1NSplG2ly1V3XE_WGlxIRc7GYvwZOmQk4")</f>
        <v>https://drive.google.com/open?id=1NSplG2ly1V3XE_WGlxIRc7GYvwZOmQk4</v>
      </c>
      <c r="L531" s="9" t="str">
        <f ca="1">IFERROR(__xludf.DUMMYFUNCTION("""COMPUTED_VALUE"""),"2020-2024")</f>
        <v>2020-2024</v>
      </c>
      <c r="M531" s="9" t="str">
        <f ca="1">IFERROR(__xludf.DUMMYFUNCTION("""COMPUTED_VALUE"""),"S4: Student Certifications")</f>
        <v>S4: Student Certifications</v>
      </c>
      <c r="N531" s="9" t="str">
        <f ca="1">IFERROR(__xludf.DUMMYFUNCTION("""COMPUTED_VALUE"""),"sonalakkoju6@gmail.com")</f>
        <v>sonalakkoju6@gmail.com</v>
      </c>
      <c r="O531" s="9" t="str">
        <f ca="1">IFERROR(__xludf.DUMMYFUNCTION("""COMPUTED_VALUE"""),"SEM-3")</f>
        <v>SEM-3</v>
      </c>
      <c r="P531" s="9"/>
      <c r="Q531" s="9"/>
      <c r="R531" s="9"/>
      <c r="S531" s="9"/>
      <c r="T531" s="9"/>
      <c r="U531" s="9"/>
      <c r="V531" s="9"/>
      <c r="W531" s="9"/>
      <c r="X531" s="9"/>
      <c r="Y531" s="9"/>
    </row>
    <row r="532" spans="1:25" ht="26.25" customHeight="1" x14ac:dyDescent="0.15">
      <c r="A532" s="9" t="str">
        <f ca="1">IFERROR(__xludf.DUMMYFUNCTION("""COMPUTED_VALUE"""),"Pavanteja sepana")</f>
        <v>Pavanteja sepana</v>
      </c>
      <c r="B532" s="9" t="str">
        <f ca="1">IFERROR(__xludf.DUMMYFUNCTION("""COMPUTED_VALUE"""),"18331A05H4")</f>
        <v>18331A05H4</v>
      </c>
      <c r="C532" s="78" t="str">
        <f ca="1">IFERROR(__xludf.DUMMYFUNCTION("""COMPUTED_VALUE"""),"Programming essentials in C")</f>
        <v>Programming essentials in C</v>
      </c>
      <c r="D532" s="9" t="str">
        <f ca="1">IFERROR(__xludf.DUMMYFUNCTION("""COMPUTED_VALUE"""),"Cisco networking academy")</f>
        <v>Cisco networking academy</v>
      </c>
      <c r="E532" s="9" t="str">
        <f ca="1">IFERROR(__xludf.DUMMYFUNCTION("""COMPUTED_VALUE"""),"4 months")</f>
        <v>4 months</v>
      </c>
      <c r="F532" s="79">
        <f ca="1">IFERROR(__xludf.DUMMYFUNCTION("""COMPUTED_VALUE"""),43647)</f>
        <v>43647</v>
      </c>
      <c r="G532" s="79">
        <f ca="1">IFERROR(__xludf.DUMMYFUNCTION("""COMPUTED_VALUE"""),43782)</f>
        <v>43782</v>
      </c>
      <c r="H532" s="72">
        <f ca="1">IFERROR(__xludf.DUMMYFUNCTION("""COMPUTED_VALUE"""),43803)</f>
        <v>43803</v>
      </c>
      <c r="I532" s="80">
        <f ca="1">IFERROR(__xludf.DUMMYFUNCTION("""COMPUTED_VALUE"""),92)</f>
        <v>92</v>
      </c>
      <c r="J532" s="9" t="str">
        <f ca="1">IFERROR(__xludf.DUMMYFUNCTION("""COMPUTED_VALUE"""),"Ravi Kiran varama penmatsa")</f>
        <v>Ravi Kiran varama penmatsa</v>
      </c>
      <c r="K532" s="73" t="str">
        <f ca="1">IFERROR(__xludf.DUMMYFUNCTION("""COMPUTED_VALUE"""),"https://drive.google.com/open?id=1qt7a5B2-6G4JsDP0xvOkYugdloNW3pP6")</f>
        <v>https://drive.google.com/open?id=1qt7a5B2-6G4JsDP0xvOkYugdloNW3pP6</v>
      </c>
      <c r="L532" s="9" t="str">
        <f ca="1">IFERROR(__xludf.DUMMYFUNCTION("""COMPUTED_VALUE"""),"2018-2022")</f>
        <v>2018-2022</v>
      </c>
      <c r="M532" s="9" t="str">
        <f ca="1">IFERROR(__xludf.DUMMYFUNCTION("""COMPUTED_VALUE"""),"S4: Student Certifications")</f>
        <v>S4: Student Certifications</v>
      </c>
      <c r="N532" s="9" t="str">
        <f ca="1">IFERROR(__xludf.DUMMYFUNCTION("""COMPUTED_VALUE"""),"tejpavan68@gmail.com")</f>
        <v>tejpavan68@gmail.com</v>
      </c>
      <c r="O532" s="9" t="str">
        <f ca="1">IFERROR(__xludf.DUMMYFUNCTION("""COMPUTED_VALUE"""),"SEM-1")</f>
        <v>SEM-1</v>
      </c>
      <c r="P532" s="9"/>
      <c r="Q532" s="9"/>
      <c r="R532" s="9"/>
      <c r="S532" s="9"/>
      <c r="T532" s="9"/>
      <c r="U532" s="9"/>
      <c r="V532" s="9"/>
      <c r="W532" s="9"/>
      <c r="X532" s="9"/>
      <c r="Y532" s="9"/>
    </row>
    <row r="533" spans="1:25" ht="26.25" customHeight="1" x14ac:dyDescent="0.15">
      <c r="A533" s="9" t="str">
        <f ca="1">IFERROR(__xludf.DUMMYFUNCTION("""COMPUTED_VALUE"""),"Pavanteja sepana")</f>
        <v>Pavanteja sepana</v>
      </c>
      <c r="B533" s="9" t="str">
        <f ca="1">IFERROR(__xludf.DUMMYFUNCTION("""COMPUTED_VALUE"""),"18331A05H4")</f>
        <v>18331A05H4</v>
      </c>
      <c r="C533" s="78" t="str">
        <f ca="1">IFERROR(__xludf.DUMMYFUNCTION("""COMPUTED_VALUE"""),"Cybersecurity essentials")</f>
        <v>Cybersecurity essentials</v>
      </c>
      <c r="D533" s="9" t="str">
        <f ca="1">IFERROR(__xludf.DUMMYFUNCTION("""COMPUTED_VALUE"""),"Cisco")</f>
        <v>Cisco</v>
      </c>
      <c r="E533" s="9" t="str">
        <f ca="1">IFERROR(__xludf.DUMMYFUNCTION("""COMPUTED_VALUE"""),"1 month")</f>
        <v>1 month</v>
      </c>
      <c r="F533" s="79">
        <f ca="1">IFERROR(__xludf.DUMMYFUNCTION("""COMPUTED_VALUE"""),43629)</f>
        <v>43629</v>
      </c>
      <c r="G533" s="79">
        <f ca="1">IFERROR(__xludf.DUMMYFUNCTION("""COMPUTED_VALUE"""),43662)</f>
        <v>43662</v>
      </c>
      <c r="H533" s="72">
        <f ca="1">IFERROR(__xludf.DUMMYFUNCTION("""COMPUTED_VALUE"""),43676)</f>
        <v>43676</v>
      </c>
      <c r="I533" s="80">
        <f ca="1">IFERROR(__xludf.DUMMYFUNCTION("""COMPUTED_VALUE"""),100)</f>
        <v>100</v>
      </c>
      <c r="J533" s="9" t="str">
        <f ca="1">IFERROR(__xludf.DUMMYFUNCTION("""COMPUTED_VALUE"""),"Subba raju kv ")</f>
        <v xml:space="preserve">Subba raju kv </v>
      </c>
      <c r="K533" s="73" t="str">
        <f ca="1">IFERROR(__xludf.DUMMYFUNCTION("""COMPUTED_VALUE"""),"https://drive.google.com/open?id=1r6kjgn0k81G9upoY_aZZXrU3VZdSNE-5")</f>
        <v>https://drive.google.com/open?id=1r6kjgn0k81G9upoY_aZZXrU3VZdSNE-5</v>
      </c>
      <c r="L533" s="9" t="str">
        <f ca="1">IFERROR(__xludf.DUMMYFUNCTION("""COMPUTED_VALUE"""),"2018-2022")</f>
        <v>2018-2022</v>
      </c>
      <c r="M533" s="9" t="str">
        <f ca="1">IFERROR(__xludf.DUMMYFUNCTION("""COMPUTED_VALUE"""),"S4: Student Certifications")</f>
        <v>S4: Student Certifications</v>
      </c>
      <c r="N533" s="9" t="str">
        <f ca="1">IFERROR(__xludf.DUMMYFUNCTION("""COMPUTED_VALUE"""),"tejpavan68@gmail.com")</f>
        <v>tejpavan68@gmail.com</v>
      </c>
      <c r="O533" s="9" t="str">
        <f ca="1">IFERROR(__xludf.DUMMYFUNCTION("""COMPUTED_VALUE"""),"SEM-2")</f>
        <v>SEM-2</v>
      </c>
      <c r="P533" s="9"/>
      <c r="Q533" s="9"/>
      <c r="R533" s="9"/>
      <c r="S533" s="9"/>
      <c r="T533" s="9"/>
      <c r="U533" s="9"/>
      <c r="V533" s="9"/>
      <c r="W533" s="9"/>
      <c r="X533" s="9"/>
      <c r="Y533" s="9"/>
    </row>
    <row r="534" spans="1:25" ht="26.25" customHeight="1" x14ac:dyDescent="0.15">
      <c r="A534" s="9" t="str">
        <f ca="1">IFERROR(__xludf.DUMMYFUNCTION("""COMPUTED_VALUE"""),"Pavanteja sepana")</f>
        <v>Pavanteja sepana</v>
      </c>
      <c r="B534" s="9" t="str">
        <f ca="1">IFERROR(__xludf.DUMMYFUNCTION("""COMPUTED_VALUE"""),"18331A05H4")</f>
        <v>18331A05H4</v>
      </c>
      <c r="C534" s="78" t="str">
        <f ca="1">IFERROR(__xludf.DUMMYFUNCTION("""COMPUTED_VALUE"""),"Red Hat System Administration I (RH124)")</f>
        <v>Red Hat System Administration I (RH124)</v>
      </c>
      <c r="D534" s="9" t="str">
        <f ca="1">IFERROR(__xludf.DUMMYFUNCTION("""COMPUTED_VALUE"""),"AICTE")</f>
        <v>AICTE</v>
      </c>
      <c r="E534" s="9" t="str">
        <f ca="1">IFERROR(__xludf.DUMMYFUNCTION("""COMPUTED_VALUE"""),"1 month")</f>
        <v>1 month</v>
      </c>
      <c r="F534" s="79">
        <f ca="1">IFERROR(__xludf.DUMMYFUNCTION("""COMPUTED_VALUE"""),44627)</f>
        <v>44627</v>
      </c>
      <c r="G534" s="79">
        <f ca="1">IFERROR(__xludf.DUMMYFUNCTION("""COMPUTED_VALUE"""),44627)</f>
        <v>44627</v>
      </c>
      <c r="H534" s="72">
        <f ca="1">IFERROR(__xludf.DUMMYFUNCTION("""COMPUTED_VALUE"""),44658)</f>
        <v>44658</v>
      </c>
      <c r="I534" s="80">
        <f ca="1">IFERROR(__xludf.DUMMYFUNCTION("""COMPUTED_VALUE"""),100)</f>
        <v>100</v>
      </c>
      <c r="J534" s="9" t="str">
        <f ca="1">IFERROR(__xludf.DUMMYFUNCTION("""COMPUTED_VALUE"""),"Subba raju kv")</f>
        <v>Subba raju kv</v>
      </c>
      <c r="K534" s="73" t="str">
        <f ca="1">IFERROR(__xludf.DUMMYFUNCTION("""COMPUTED_VALUE"""),"https://drive.google.com/open?id=1lZlrMRlBl-ZLTW1m78YX4pxu7K-6bUBi")</f>
        <v>https://drive.google.com/open?id=1lZlrMRlBl-ZLTW1m78YX4pxu7K-6bUBi</v>
      </c>
      <c r="L534" s="9" t="str">
        <f ca="1">IFERROR(__xludf.DUMMYFUNCTION("""COMPUTED_VALUE"""),"2018-2022")</f>
        <v>2018-2022</v>
      </c>
      <c r="M534" s="9" t="str">
        <f ca="1">IFERROR(__xludf.DUMMYFUNCTION("""COMPUTED_VALUE"""),"S4: Student Certifications")</f>
        <v>S4: Student Certifications</v>
      </c>
      <c r="N534" s="9" t="str">
        <f ca="1">IFERROR(__xludf.DUMMYFUNCTION("""COMPUTED_VALUE"""),"tejpavan68@gmail.com")</f>
        <v>tejpavan68@gmail.com</v>
      </c>
      <c r="O534" s="9" t="str">
        <f ca="1">IFERROR(__xludf.DUMMYFUNCTION("""COMPUTED_VALUE"""),"SEM-8")</f>
        <v>SEM-8</v>
      </c>
      <c r="P534" s="9"/>
      <c r="Q534" s="9"/>
      <c r="R534" s="9"/>
      <c r="S534" s="9"/>
      <c r="T534" s="9"/>
      <c r="U534" s="9"/>
      <c r="V534" s="9"/>
      <c r="W534" s="9"/>
      <c r="X534" s="9"/>
      <c r="Y534" s="9"/>
    </row>
    <row r="535" spans="1:25" ht="26.25" customHeight="1" x14ac:dyDescent="0.15">
      <c r="A535" s="9" t="str">
        <f ca="1">IFERROR(__xludf.DUMMYFUNCTION("""COMPUTED_VALUE"""),"Prajyulitha Lakkoju ")</f>
        <v xml:space="preserve">Prajyulitha Lakkoju </v>
      </c>
      <c r="B535" s="9" t="str">
        <f ca="1">IFERROR(__xludf.DUMMYFUNCTION("""COMPUTED_VALUE"""),"20331A0598")</f>
        <v>20331A0598</v>
      </c>
      <c r="C535" s="78" t="str">
        <f ca="1">IFERROR(__xludf.DUMMYFUNCTION("""COMPUTED_VALUE"""),"Programming for everybody (getting started with python)")</f>
        <v>Programming for everybody (getting started with python)</v>
      </c>
      <c r="D535" s="9" t="str">
        <f ca="1">IFERROR(__xludf.DUMMYFUNCTION("""COMPUTED_VALUE"""),"University of Michigan ")</f>
        <v xml:space="preserve">University of Michigan </v>
      </c>
      <c r="E535" s="9" t="str">
        <f ca="1">IFERROR(__xludf.DUMMYFUNCTION("""COMPUTED_VALUE"""),"4 weeks")</f>
        <v>4 weeks</v>
      </c>
      <c r="F535" s="79">
        <f ca="1">IFERROR(__xludf.DUMMYFUNCTION("""COMPUTED_VALUE"""),44662)</f>
        <v>44662</v>
      </c>
      <c r="G535" s="79">
        <f ca="1">IFERROR(__xludf.DUMMYFUNCTION("""COMPUTED_VALUE"""),44350)</f>
        <v>44350</v>
      </c>
      <c r="H535" s="72">
        <f ca="1">IFERROR(__xludf.DUMMYFUNCTION("""COMPUTED_VALUE"""),44348)</f>
        <v>44348</v>
      </c>
      <c r="I535" s="80">
        <f ca="1">IFERROR(__xludf.DUMMYFUNCTION("""COMPUTED_VALUE"""),100)</f>
        <v>100</v>
      </c>
      <c r="J535" s="9" t="str">
        <f ca="1">IFERROR(__xludf.DUMMYFUNCTION("""COMPUTED_VALUE"""),"No")</f>
        <v>No</v>
      </c>
      <c r="K535" s="73" t="str">
        <f ca="1">IFERROR(__xludf.DUMMYFUNCTION("""COMPUTED_VALUE"""),"https://drive.google.com/open?id=1suhghNE_gGxnd0mnesNV1ieJ0Rzs88iu")</f>
        <v>https://drive.google.com/open?id=1suhghNE_gGxnd0mnesNV1ieJ0Rzs88iu</v>
      </c>
      <c r="L535" s="9" t="str">
        <f ca="1">IFERROR(__xludf.DUMMYFUNCTION("""COMPUTED_VALUE"""),"2020-2024")</f>
        <v>2020-2024</v>
      </c>
      <c r="M535" s="9" t="str">
        <f ca="1">IFERROR(__xludf.DUMMYFUNCTION("""COMPUTED_VALUE"""),"S4: Student Certifications")</f>
        <v>S4: Student Certifications</v>
      </c>
      <c r="N535" s="9" t="str">
        <f ca="1">IFERROR(__xludf.DUMMYFUNCTION("""COMPUTED_VALUE"""),"sonalakkoju6@gmail.com")</f>
        <v>sonalakkoju6@gmail.com</v>
      </c>
      <c r="O535" s="9" t="str">
        <f ca="1">IFERROR(__xludf.DUMMYFUNCTION("""COMPUTED_VALUE"""),"SEM-3")</f>
        <v>SEM-3</v>
      </c>
      <c r="P535" s="9"/>
      <c r="Q535" s="9"/>
      <c r="R535" s="9"/>
      <c r="S535" s="9"/>
      <c r="T535" s="9"/>
      <c r="U535" s="9"/>
      <c r="V535" s="9"/>
      <c r="W535" s="9"/>
      <c r="X535" s="9"/>
      <c r="Y535" s="9"/>
    </row>
    <row r="536" spans="1:25" ht="26.25" customHeight="1" x14ac:dyDescent="0.15">
      <c r="A536" s="9" t="str">
        <f ca="1">IFERROR(__xludf.DUMMYFUNCTION("""COMPUTED_VALUE"""),"Kondeti Geetanjali ")</f>
        <v xml:space="preserve">Kondeti Geetanjali </v>
      </c>
      <c r="B536" s="9" t="str">
        <f ca="1">IFERROR(__xludf.DUMMYFUNCTION("""COMPUTED_VALUE"""),"20331A0591 ")</f>
        <v xml:space="preserve">20331A0591 </v>
      </c>
      <c r="C536" s="78" t="str">
        <f ca="1">IFERROR(__xludf.DUMMYFUNCTION("""COMPUTED_VALUE"""),"IT essentials ")</f>
        <v xml:space="preserve">IT essentials </v>
      </c>
      <c r="D536" s="9" t="str">
        <f ca="1">IFERROR(__xludf.DUMMYFUNCTION("""COMPUTED_VALUE"""),"Cisco Networking academy ")</f>
        <v xml:space="preserve">Cisco Networking academy </v>
      </c>
      <c r="E536" s="9" t="str">
        <f ca="1">IFERROR(__xludf.DUMMYFUNCTION("""COMPUTED_VALUE"""),"2 months")</f>
        <v>2 months</v>
      </c>
      <c r="F536" s="79">
        <f ca="1">IFERROR(__xludf.DUMMYFUNCTION("""COMPUTED_VALUE"""),44333)</f>
        <v>44333</v>
      </c>
      <c r="G536" s="79">
        <f ca="1">IFERROR(__xludf.DUMMYFUNCTION("""COMPUTED_VALUE"""),44759)</f>
        <v>44759</v>
      </c>
      <c r="H536" s="72">
        <f ca="1">IFERROR(__xludf.DUMMYFUNCTION("""COMPUTED_VALUE"""),44394)</f>
        <v>44394</v>
      </c>
      <c r="I536" s="80">
        <f ca="1">IFERROR(__xludf.DUMMYFUNCTION("""COMPUTED_VALUE"""),0.92)</f>
        <v>0.92</v>
      </c>
      <c r="J536" s="9" t="str">
        <f ca="1">IFERROR(__xludf.DUMMYFUNCTION("""COMPUTED_VALUE"""),"Dr. Suvarna Kumar Gogula")</f>
        <v>Dr. Suvarna Kumar Gogula</v>
      </c>
      <c r="K536" s="73" t="str">
        <f ca="1">IFERROR(__xludf.DUMMYFUNCTION("""COMPUTED_VALUE"""),"https://drive.google.com/open?id=14LIehmwYyGdyv-HF6cs2pf9kDT6oLxKO")</f>
        <v>https://drive.google.com/open?id=14LIehmwYyGdyv-HF6cs2pf9kDT6oLxKO</v>
      </c>
      <c r="L536" s="9" t="str">
        <f ca="1">IFERROR(__xludf.DUMMYFUNCTION("""COMPUTED_VALUE"""),"2020-2024")</f>
        <v>2020-2024</v>
      </c>
      <c r="M536" s="9" t="str">
        <f ca="1">IFERROR(__xludf.DUMMYFUNCTION("""COMPUTED_VALUE"""),"S4: Student Certifications")</f>
        <v>S4: Student Certifications</v>
      </c>
      <c r="N536" s="9" t="str">
        <f ca="1">IFERROR(__xludf.DUMMYFUNCTION("""COMPUTED_VALUE"""),"kondetigeetanjali2003@gmail.com")</f>
        <v>kondetigeetanjali2003@gmail.com</v>
      </c>
      <c r="O536" s="9" t="str">
        <f ca="1">IFERROR(__xludf.DUMMYFUNCTION("""COMPUTED_VALUE"""),"SEM-3")</f>
        <v>SEM-3</v>
      </c>
      <c r="P536" s="9"/>
      <c r="Q536" s="9"/>
      <c r="R536" s="9"/>
      <c r="S536" s="9"/>
      <c r="T536" s="9"/>
      <c r="U536" s="9"/>
      <c r="V536" s="9"/>
      <c r="W536" s="9"/>
      <c r="X536" s="9"/>
      <c r="Y536" s="9"/>
    </row>
    <row r="537" spans="1:25" ht="26.25" customHeight="1" x14ac:dyDescent="0.15">
      <c r="A537" s="9" t="str">
        <f ca="1">IFERROR(__xludf.DUMMYFUNCTION("""COMPUTED_VALUE"""),"Kuriti Ravindra naidu")</f>
        <v>Kuriti Ravindra naidu</v>
      </c>
      <c r="B537" s="9" t="str">
        <f ca="1">IFERROR(__xludf.DUMMYFUNCTION("""COMPUTED_VALUE"""),"20331A0597")</f>
        <v>20331A0597</v>
      </c>
      <c r="C537" s="78" t="str">
        <f ca="1">IFERROR(__xludf.DUMMYFUNCTION("""COMPUTED_VALUE"""),"IT Essentials")</f>
        <v>IT Essentials</v>
      </c>
      <c r="D537" s="9" t="str">
        <f ca="1">IFERROR(__xludf.DUMMYFUNCTION("""COMPUTED_VALUE"""),"Cisco")</f>
        <v>Cisco</v>
      </c>
      <c r="E537" s="9" t="str">
        <f ca="1">IFERROR(__xludf.DUMMYFUNCTION("""COMPUTED_VALUE"""),"2 months")</f>
        <v>2 months</v>
      </c>
      <c r="F537" s="79">
        <f ca="1">IFERROR(__xludf.DUMMYFUNCTION("""COMPUTED_VALUE"""),44333)</f>
        <v>44333</v>
      </c>
      <c r="G537" s="79">
        <f ca="1">IFERROR(__xludf.DUMMYFUNCTION("""COMPUTED_VALUE"""),44396)</f>
        <v>44396</v>
      </c>
      <c r="H537" s="72">
        <f ca="1">IFERROR(__xludf.DUMMYFUNCTION("""COMPUTED_VALUE"""),44394)</f>
        <v>44394</v>
      </c>
      <c r="I537" s="80">
        <f ca="1">IFERROR(__xludf.DUMMYFUNCTION("""COMPUTED_VALUE"""),0.92)</f>
        <v>0.92</v>
      </c>
      <c r="J537" s="9" t="str">
        <f ca="1">IFERROR(__xludf.DUMMYFUNCTION("""COMPUTED_VALUE"""),"Dr.Suvarna kumar gogula")</f>
        <v>Dr.Suvarna kumar gogula</v>
      </c>
      <c r="K537" s="73" t="str">
        <f ca="1">IFERROR(__xludf.DUMMYFUNCTION("""COMPUTED_VALUE"""),"https://drive.google.com/open?id=1d0KR6IQNBkDE-A4-SJmWZRoAXQxrhI1_")</f>
        <v>https://drive.google.com/open?id=1d0KR6IQNBkDE-A4-SJmWZRoAXQxrhI1_</v>
      </c>
      <c r="L537" s="9" t="str">
        <f ca="1">IFERROR(__xludf.DUMMYFUNCTION("""COMPUTED_VALUE"""),"2020-2024")</f>
        <v>2020-2024</v>
      </c>
      <c r="M537" s="9" t="str">
        <f ca="1">IFERROR(__xludf.DUMMYFUNCTION("""COMPUTED_VALUE"""),"S4: Student Certifications")</f>
        <v>S4: Student Certifications</v>
      </c>
      <c r="N537" s="9" t="str">
        <f ca="1">IFERROR(__xludf.DUMMYFUNCTION("""COMPUTED_VALUE"""),"ravindranaidukuriti@gmail.com")</f>
        <v>ravindranaidukuriti@gmail.com</v>
      </c>
      <c r="O537" s="9" t="str">
        <f ca="1">IFERROR(__xludf.DUMMYFUNCTION("""COMPUTED_VALUE"""),"SEM-4")</f>
        <v>SEM-4</v>
      </c>
      <c r="P537" s="9"/>
      <c r="Q537" s="9"/>
      <c r="R537" s="9"/>
      <c r="S537" s="9"/>
      <c r="T537" s="9"/>
      <c r="U537" s="9"/>
      <c r="V537" s="9"/>
      <c r="W537" s="9"/>
      <c r="X537" s="9"/>
      <c r="Y537" s="9"/>
    </row>
    <row r="538" spans="1:25" ht="26.25" customHeight="1" x14ac:dyDescent="0.15">
      <c r="A538" s="9" t="str">
        <f ca="1">IFERROR(__xludf.DUMMYFUNCTION("""COMPUTED_VALUE"""),"M. Tarun Kumar")</f>
        <v>M. Tarun Kumar</v>
      </c>
      <c r="B538" s="9" t="str">
        <f ca="1">IFERROR(__xludf.DUMMYFUNCTION("""COMPUTED_VALUE"""),"20331A05B0")</f>
        <v>20331A05B0</v>
      </c>
      <c r="C538" s="78" t="str">
        <f ca="1">IFERROR(__xludf.DUMMYFUNCTION("""COMPUTED_VALUE"""),"IT Essentials")</f>
        <v>IT Essentials</v>
      </c>
      <c r="D538" s="9" t="str">
        <f ca="1">IFERROR(__xludf.DUMMYFUNCTION("""COMPUTED_VALUE"""),"Cisco")</f>
        <v>Cisco</v>
      </c>
      <c r="E538" s="9" t="str">
        <f ca="1">IFERROR(__xludf.DUMMYFUNCTION("""COMPUTED_VALUE"""),"2 months")</f>
        <v>2 months</v>
      </c>
      <c r="F538" s="79">
        <f ca="1">IFERROR(__xludf.DUMMYFUNCTION("""COMPUTED_VALUE"""),44378)</f>
        <v>44378</v>
      </c>
      <c r="G538" s="79">
        <f ca="1">IFERROR(__xludf.DUMMYFUNCTION("""COMPUTED_VALUE"""),44440)</f>
        <v>44440</v>
      </c>
      <c r="H538" s="72">
        <f ca="1">IFERROR(__xludf.DUMMYFUNCTION("""COMPUTED_VALUE"""),44439)</f>
        <v>44439</v>
      </c>
      <c r="I538" s="80">
        <f ca="1">IFERROR(__xludf.DUMMYFUNCTION("""COMPUTED_VALUE"""),95)</f>
        <v>95</v>
      </c>
      <c r="J538" s="9" t="str">
        <f ca="1">IFERROR(__xludf.DUMMYFUNCTION("""COMPUTED_VALUE"""),"K . Subbaraj")</f>
        <v>K . Subbaraj</v>
      </c>
      <c r="K538" s="73" t="str">
        <f ca="1">IFERROR(__xludf.DUMMYFUNCTION("""COMPUTED_VALUE"""),"https://drive.google.com/open?id=1wLqkG0B7CZj2enTBSaRevw6zhdZ39qcw")</f>
        <v>https://drive.google.com/open?id=1wLqkG0B7CZj2enTBSaRevw6zhdZ39qcw</v>
      </c>
      <c r="L538" s="9" t="str">
        <f ca="1">IFERROR(__xludf.DUMMYFUNCTION("""COMPUTED_VALUE"""),"2020-2024")</f>
        <v>2020-2024</v>
      </c>
      <c r="M538" s="9" t="str">
        <f ca="1">IFERROR(__xludf.DUMMYFUNCTION("""COMPUTED_VALUE"""),"S4: Student Certifications")</f>
        <v>S4: Student Certifications</v>
      </c>
      <c r="N538" s="9" t="str">
        <f ca="1">IFERROR(__xludf.DUMMYFUNCTION("""COMPUTED_VALUE"""),"mt790191@gmail.com")</f>
        <v>mt790191@gmail.com</v>
      </c>
      <c r="O538" s="9" t="str">
        <f ca="1">IFERROR(__xludf.DUMMYFUNCTION("""COMPUTED_VALUE"""),"SEM-4")</f>
        <v>SEM-4</v>
      </c>
      <c r="P538" s="9"/>
      <c r="Q538" s="9"/>
      <c r="R538" s="9"/>
      <c r="S538" s="9"/>
      <c r="T538" s="9"/>
      <c r="U538" s="9"/>
      <c r="V538" s="9"/>
      <c r="W538" s="9"/>
      <c r="X538" s="9"/>
      <c r="Y538" s="9"/>
    </row>
    <row r="539" spans="1:25" ht="26.25" customHeight="1" x14ac:dyDescent="0.15">
      <c r="A539" s="9" t="str">
        <f ca="1">IFERROR(__xludf.DUMMYFUNCTION("""COMPUTED_VALUE"""),"Kuriti Ravindra naidu ")</f>
        <v xml:space="preserve">Kuriti Ravindra naidu </v>
      </c>
      <c r="B539" s="9" t="str">
        <f ca="1">IFERROR(__xludf.DUMMYFUNCTION("""COMPUTED_VALUE"""),"20331A0597")</f>
        <v>20331A0597</v>
      </c>
      <c r="C539" s="78" t="str">
        <f ca="1">IFERROR(__xludf.DUMMYFUNCTION("""COMPUTED_VALUE"""),"NDG linux")</f>
        <v>NDG linux</v>
      </c>
      <c r="D539" s="9" t="str">
        <f ca="1">IFERROR(__xludf.DUMMYFUNCTION("""COMPUTED_VALUE"""),"Cisco")</f>
        <v>Cisco</v>
      </c>
      <c r="E539" s="9" t="str">
        <f ca="1">IFERROR(__xludf.DUMMYFUNCTION("""COMPUTED_VALUE"""),"2 months")</f>
        <v>2 months</v>
      </c>
      <c r="F539" s="79">
        <f ca="1">IFERROR(__xludf.DUMMYFUNCTION("""COMPUTED_VALUE"""),44470)</f>
        <v>44470</v>
      </c>
      <c r="G539" s="79">
        <f ca="1">IFERROR(__xludf.DUMMYFUNCTION("""COMPUTED_VALUE"""),44561)</f>
        <v>44561</v>
      </c>
      <c r="H539" s="72">
        <f ca="1">IFERROR(__xludf.DUMMYFUNCTION("""COMPUTED_VALUE"""),44542)</f>
        <v>44542</v>
      </c>
      <c r="I539" s="80">
        <f ca="1">IFERROR(__xludf.DUMMYFUNCTION("""COMPUTED_VALUE"""),90)</f>
        <v>90</v>
      </c>
      <c r="J539" s="9" t="str">
        <f ca="1">IFERROR(__xludf.DUMMYFUNCTION("""COMPUTED_VALUE"""),"Dr . Subbaraju sir")</f>
        <v>Dr . Subbaraju sir</v>
      </c>
      <c r="K539" s="73" t="str">
        <f ca="1">IFERROR(__xludf.DUMMYFUNCTION("""COMPUTED_VALUE"""),"https://drive.google.com/open?id=1AmK6gtlJvyR9Zvdm5oy-YUJo4zmpxEwh")</f>
        <v>https://drive.google.com/open?id=1AmK6gtlJvyR9Zvdm5oy-YUJo4zmpxEwh</v>
      </c>
      <c r="L539" s="9" t="str">
        <f ca="1">IFERROR(__xludf.DUMMYFUNCTION("""COMPUTED_VALUE"""),"2020-2024")</f>
        <v>2020-2024</v>
      </c>
      <c r="M539" s="9" t="str">
        <f ca="1">IFERROR(__xludf.DUMMYFUNCTION("""COMPUTED_VALUE"""),"S4: Student Certifications")</f>
        <v>S4: Student Certifications</v>
      </c>
      <c r="N539" s="9" t="str">
        <f ca="1">IFERROR(__xludf.DUMMYFUNCTION("""COMPUTED_VALUE"""),"ravindranaidukuriti@gmail.com")</f>
        <v>ravindranaidukuriti@gmail.com</v>
      </c>
      <c r="O539" s="9" t="str">
        <f ca="1">IFERROR(__xludf.DUMMYFUNCTION("""COMPUTED_VALUE"""),"SEM-4")</f>
        <v>SEM-4</v>
      </c>
      <c r="P539" s="9"/>
      <c r="Q539" s="9"/>
      <c r="R539" s="9"/>
      <c r="S539" s="9"/>
      <c r="T539" s="9"/>
      <c r="U539" s="9"/>
      <c r="V539" s="9"/>
      <c r="W539" s="9"/>
      <c r="X539" s="9"/>
      <c r="Y539" s="9"/>
    </row>
    <row r="540" spans="1:25" ht="26.25" customHeight="1" x14ac:dyDescent="0.15">
      <c r="A540" s="9" t="str">
        <f ca="1">IFERROR(__xludf.DUMMYFUNCTION("""COMPUTED_VALUE"""),"Nukarapu Sai Surya Harshith")</f>
        <v>Nukarapu Sai Surya Harshith</v>
      </c>
      <c r="B540" s="9" t="str">
        <f ca="1">IFERROR(__xludf.DUMMYFUNCTION("""COMPUTED_VALUE"""),"20331A05C8")</f>
        <v>20331A05C8</v>
      </c>
      <c r="C540" s="78" t="str">
        <f ca="1">IFERROR(__xludf.DUMMYFUNCTION("""COMPUTED_VALUE"""),"IT Essentials course")</f>
        <v>IT Essentials course</v>
      </c>
      <c r="D540" s="9" t="str">
        <f ca="1">IFERROR(__xludf.DUMMYFUNCTION("""COMPUTED_VALUE"""),"CISCO Networking Academy")</f>
        <v>CISCO Networking Academy</v>
      </c>
      <c r="E540" s="9" t="str">
        <f ca="1">IFERROR(__xludf.DUMMYFUNCTION("""COMPUTED_VALUE"""),"2 months")</f>
        <v>2 months</v>
      </c>
      <c r="F540" s="79">
        <f ca="1">IFERROR(__xludf.DUMMYFUNCTION("""COMPUTED_VALUE"""),44353)</f>
        <v>44353</v>
      </c>
      <c r="G540" s="79">
        <f ca="1">IFERROR(__xludf.DUMMYFUNCTION("""COMPUTED_VALUE"""),44414)</f>
        <v>44414</v>
      </c>
      <c r="H540" s="72">
        <f ca="1">IFERROR(__xludf.DUMMYFUNCTION("""COMPUTED_VALUE"""),44779)</f>
        <v>44779</v>
      </c>
      <c r="I540" s="80">
        <f ca="1">IFERROR(__xludf.DUMMYFUNCTION("""COMPUTED_VALUE"""),96)</f>
        <v>96</v>
      </c>
      <c r="J540" s="9" t="str">
        <f ca="1">IFERROR(__xludf.DUMMYFUNCTION("""COMPUTED_VALUE"""),"Subha Raju ")</f>
        <v xml:space="preserve">Subha Raju </v>
      </c>
      <c r="K540" s="73" t="str">
        <f ca="1">IFERROR(__xludf.DUMMYFUNCTION("""COMPUTED_VALUE"""),"https://drive.google.com/open?id=1o3_ZxR1dQRBZMIFc6vqFHPGas0qFe5A1")</f>
        <v>https://drive.google.com/open?id=1o3_ZxR1dQRBZMIFc6vqFHPGas0qFe5A1</v>
      </c>
      <c r="L540" s="9" t="str">
        <f ca="1">IFERROR(__xludf.DUMMYFUNCTION("""COMPUTED_VALUE"""),"2020-2024")</f>
        <v>2020-2024</v>
      </c>
      <c r="M540" s="9" t="str">
        <f ca="1">IFERROR(__xludf.DUMMYFUNCTION("""COMPUTED_VALUE"""),"S4: Student Certifications")</f>
        <v>S4: Student Certifications</v>
      </c>
      <c r="N540" s="9" t="str">
        <f ca="1">IFERROR(__xludf.DUMMYFUNCTION("""COMPUTED_VALUE"""),"harshithnukarapu210@yahoo.com")</f>
        <v>harshithnukarapu210@yahoo.com</v>
      </c>
      <c r="O540" s="9" t="str">
        <f ca="1">IFERROR(__xludf.DUMMYFUNCTION("""COMPUTED_VALUE"""),"SEM-2")</f>
        <v>SEM-2</v>
      </c>
      <c r="P540" s="9"/>
      <c r="Q540" s="9"/>
      <c r="R540" s="9"/>
      <c r="S540" s="9"/>
      <c r="T540" s="9"/>
      <c r="U540" s="9"/>
      <c r="V540" s="9"/>
      <c r="W540" s="9"/>
      <c r="X540" s="9"/>
      <c r="Y540" s="9"/>
    </row>
    <row r="541" spans="1:25" ht="26.25" customHeight="1" x14ac:dyDescent="0.15">
      <c r="A541" s="9" t="str">
        <f ca="1">IFERROR(__xludf.DUMMYFUNCTION("""COMPUTED_VALUE"""),"Jahnavi Kadagala")</f>
        <v>Jahnavi Kadagala</v>
      </c>
      <c r="B541" s="9" t="str">
        <f ca="1">IFERROR(__xludf.DUMMYFUNCTION("""COMPUTED_VALUE"""),"20331A0576")</f>
        <v>20331A0576</v>
      </c>
      <c r="C541" s="78" t="str">
        <f ca="1">IFERROR(__xludf.DUMMYFUNCTION("""COMPUTED_VALUE"""),"IT Essentials")</f>
        <v>IT Essentials</v>
      </c>
      <c r="D541" s="9" t="str">
        <f ca="1">IFERROR(__xludf.DUMMYFUNCTION("""COMPUTED_VALUE"""),"Cisco")</f>
        <v>Cisco</v>
      </c>
      <c r="E541" s="9" t="str">
        <f ca="1">IFERROR(__xludf.DUMMYFUNCTION("""COMPUTED_VALUE"""),"2months")</f>
        <v>2months</v>
      </c>
      <c r="F541" s="79">
        <f ca="1">IFERROR(__xludf.DUMMYFUNCTION("""COMPUTED_VALUE"""),44378)</f>
        <v>44378</v>
      </c>
      <c r="G541" s="79">
        <f ca="1">IFERROR(__xludf.DUMMYFUNCTION("""COMPUTED_VALUE"""),44440)</f>
        <v>44440</v>
      </c>
      <c r="H541" s="72">
        <f ca="1">IFERROR(__xludf.DUMMYFUNCTION("""COMPUTED_VALUE"""),44440)</f>
        <v>44440</v>
      </c>
      <c r="I541" s="80">
        <f ca="1">IFERROR(__xludf.DUMMYFUNCTION("""COMPUTED_VALUE"""),92)</f>
        <v>92</v>
      </c>
      <c r="J541" s="9" t="str">
        <f ca="1">IFERROR(__xludf.DUMMYFUNCTION("""COMPUTED_VALUE"""),"k.Subbaraju")</f>
        <v>k.Subbaraju</v>
      </c>
      <c r="K541" s="73" t="str">
        <f ca="1">IFERROR(__xludf.DUMMYFUNCTION("""COMPUTED_VALUE"""),"https://drive.google.com/open?id=1dZnSV-pHqcDQWPTUvehAvOrIez_YMVqD")</f>
        <v>https://drive.google.com/open?id=1dZnSV-pHqcDQWPTUvehAvOrIez_YMVqD</v>
      </c>
      <c r="L541" s="9" t="str">
        <f ca="1">IFERROR(__xludf.DUMMYFUNCTION("""COMPUTED_VALUE"""),"2020-2024")</f>
        <v>2020-2024</v>
      </c>
      <c r="M541" s="9" t="str">
        <f ca="1">IFERROR(__xludf.DUMMYFUNCTION("""COMPUTED_VALUE"""),"S4: Student Certifications")</f>
        <v>S4: Student Certifications</v>
      </c>
      <c r="N541" s="9" t="str">
        <f ca="1">IFERROR(__xludf.DUMMYFUNCTION("""COMPUTED_VALUE"""),"jahnavi200305@gmail.com")</f>
        <v>jahnavi200305@gmail.com</v>
      </c>
      <c r="O541" s="9" t="str">
        <f ca="1">IFERROR(__xludf.DUMMYFUNCTION("""COMPUTED_VALUE"""),"SEM-4")</f>
        <v>SEM-4</v>
      </c>
      <c r="P541" s="9"/>
      <c r="Q541" s="9"/>
      <c r="R541" s="9"/>
      <c r="S541" s="9"/>
      <c r="T541" s="9"/>
      <c r="U541" s="9"/>
      <c r="V541" s="9"/>
      <c r="W541" s="9"/>
      <c r="X541" s="9"/>
      <c r="Y541" s="9"/>
    </row>
    <row r="542" spans="1:25" ht="26.25" customHeight="1" x14ac:dyDescent="0.15">
      <c r="A542" s="9" t="str">
        <f ca="1">IFERROR(__xludf.DUMMYFUNCTION("""COMPUTED_VALUE"""),"Madabathula Padma Praharshitha ")</f>
        <v xml:space="preserve">Madabathula Padma Praharshitha </v>
      </c>
      <c r="B542" s="9" t="str">
        <f ca="1">IFERROR(__xludf.DUMMYFUNCTION("""COMPUTED_VALUE"""),"20331A05A3")</f>
        <v>20331A05A3</v>
      </c>
      <c r="C542" s="78" t="str">
        <f ca="1">IFERROR(__xludf.DUMMYFUNCTION("""COMPUTED_VALUE"""),"It essentials ")</f>
        <v xml:space="preserve">It essentials </v>
      </c>
      <c r="D542" s="9" t="str">
        <f ca="1">IFERROR(__xludf.DUMMYFUNCTION("""COMPUTED_VALUE"""),"Cisco networking academy ")</f>
        <v xml:space="preserve">Cisco networking academy </v>
      </c>
      <c r="E542" s="9" t="str">
        <f ca="1">IFERROR(__xludf.DUMMYFUNCTION("""COMPUTED_VALUE"""),"2 months")</f>
        <v>2 months</v>
      </c>
      <c r="F542" s="79">
        <f ca="1">IFERROR(__xludf.DUMMYFUNCTION("""COMPUTED_VALUE"""),44353)</f>
        <v>44353</v>
      </c>
      <c r="G542" s="79">
        <f ca="1">IFERROR(__xludf.DUMMYFUNCTION("""COMPUTED_VALUE"""),44414)</f>
        <v>44414</v>
      </c>
      <c r="H542" s="72">
        <f ca="1">IFERROR(__xludf.DUMMYFUNCTION("""COMPUTED_VALUE"""),44414)</f>
        <v>44414</v>
      </c>
      <c r="I542" s="80">
        <f ca="1">IFERROR(__xludf.DUMMYFUNCTION("""COMPUTED_VALUE"""),95)</f>
        <v>95</v>
      </c>
      <c r="J542" s="9" t="str">
        <f ca="1">IFERROR(__xludf.DUMMYFUNCTION("""COMPUTED_VALUE"""),"K V Subha Raju")</f>
        <v>K V Subha Raju</v>
      </c>
      <c r="K542" s="73" t="str">
        <f ca="1">IFERROR(__xludf.DUMMYFUNCTION("""COMPUTED_VALUE"""),"https://drive.google.com/open?id=1h1KZYLbmTaYH0uVr8nGP_oBlO4Por7L8")</f>
        <v>https://drive.google.com/open?id=1h1KZYLbmTaYH0uVr8nGP_oBlO4Por7L8</v>
      </c>
      <c r="L542" s="9" t="str">
        <f ca="1">IFERROR(__xludf.DUMMYFUNCTION("""COMPUTED_VALUE"""),"2020-2024")</f>
        <v>2020-2024</v>
      </c>
      <c r="M542" s="9" t="str">
        <f ca="1">IFERROR(__xludf.DUMMYFUNCTION("""COMPUTED_VALUE"""),"S4: Student Certifications")</f>
        <v>S4: Student Certifications</v>
      </c>
      <c r="N542" s="9" t="str">
        <f ca="1">IFERROR(__xludf.DUMMYFUNCTION("""COMPUTED_VALUE"""),"praharshitha210@gmail.com")</f>
        <v>praharshitha210@gmail.com</v>
      </c>
      <c r="O542" s="9" t="str">
        <f ca="1">IFERROR(__xludf.DUMMYFUNCTION("""COMPUTED_VALUE"""),"SEM-2")</f>
        <v>SEM-2</v>
      </c>
      <c r="P542" s="9"/>
      <c r="Q542" s="9"/>
      <c r="R542" s="9"/>
      <c r="S542" s="9"/>
      <c r="T542" s="9"/>
      <c r="U542" s="9"/>
      <c r="V542" s="9"/>
      <c r="W542" s="9"/>
      <c r="X542" s="9"/>
      <c r="Y542" s="9"/>
    </row>
    <row r="543" spans="1:25" ht="26.25" customHeight="1" x14ac:dyDescent="0.15">
      <c r="A543" s="9" t="str">
        <f ca="1">IFERROR(__xludf.DUMMYFUNCTION("""COMPUTED_VALUE"""),"Tejaswikarthik Nistala")</f>
        <v>Tejaswikarthik Nistala</v>
      </c>
      <c r="B543" s="9" t="str">
        <f ca="1">IFERROR(__xludf.DUMMYFUNCTION("""COMPUTED_VALUE"""),"20331A05C7")</f>
        <v>20331A05C7</v>
      </c>
      <c r="C543" s="78" t="str">
        <f ca="1">IFERROR(__xludf.DUMMYFUNCTION("""COMPUTED_VALUE"""),"It essentials")</f>
        <v>It essentials</v>
      </c>
      <c r="D543" s="9" t="str">
        <f ca="1">IFERROR(__xludf.DUMMYFUNCTION("""COMPUTED_VALUE"""),"Cisco")</f>
        <v>Cisco</v>
      </c>
      <c r="E543" s="9" t="str">
        <f ca="1">IFERROR(__xludf.DUMMYFUNCTION("""COMPUTED_VALUE"""),"2 months")</f>
        <v>2 months</v>
      </c>
      <c r="F543" s="79">
        <f ca="1">IFERROR(__xludf.DUMMYFUNCTION("""COMPUTED_VALUE"""),44353)</f>
        <v>44353</v>
      </c>
      <c r="G543" s="79">
        <f ca="1">IFERROR(__xludf.DUMMYFUNCTION("""COMPUTED_VALUE"""),44414)</f>
        <v>44414</v>
      </c>
      <c r="H543" s="72">
        <f ca="1">IFERROR(__xludf.DUMMYFUNCTION("""COMPUTED_VALUE"""),44414)</f>
        <v>44414</v>
      </c>
      <c r="I543" s="80">
        <f ca="1">IFERROR(__xludf.DUMMYFUNCTION("""COMPUTED_VALUE"""),96)</f>
        <v>96</v>
      </c>
      <c r="J543" s="9" t="str">
        <f ca="1">IFERROR(__xludf.DUMMYFUNCTION("""COMPUTED_VALUE"""),"K. V. Subbaraju")</f>
        <v>K. V. Subbaraju</v>
      </c>
      <c r="K543" s="73" t="str">
        <f ca="1">IFERROR(__xludf.DUMMYFUNCTION("""COMPUTED_VALUE"""),"https://drive.google.com/open?id=161gAY9xCIyUZGV70Ss5tKQa6hhdg7zkq")</f>
        <v>https://drive.google.com/open?id=161gAY9xCIyUZGV70Ss5tKQa6hhdg7zkq</v>
      </c>
      <c r="L543" s="9" t="str">
        <f ca="1">IFERROR(__xludf.DUMMYFUNCTION("""COMPUTED_VALUE"""),"2020-2024")</f>
        <v>2020-2024</v>
      </c>
      <c r="M543" s="9" t="str">
        <f ca="1">IFERROR(__xludf.DUMMYFUNCTION("""COMPUTED_VALUE"""),"S4: Student Certifications")</f>
        <v>S4: Student Certifications</v>
      </c>
      <c r="N543" s="9" t="str">
        <f ca="1">IFERROR(__xludf.DUMMYFUNCTION("""COMPUTED_VALUE"""),"tejaswikarthiknistala@gmail.com")</f>
        <v>tejaswikarthiknistala@gmail.com</v>
      </c>
      <c r="O543" s="9" t="str">
        <f ca="1">IFERROR(__xludf.DUMMYFUNCTION("""COMPUTED_VALUE"""),"SEM-4")</f>
        <v>SEM-4</v>
      </c>
      <c r="P543" s="9"/>
      <c r="Q543" s="9"/>
      <c r="R543" s="9"/>
      <c r="S543" s="9"/>
      <c r="T543" s="9"/>
      <c r="U543" s="9"/>
      <c r="V543" s="9"/>
      <c r="W543" s="9"/>
      <c r="X543" s="9"/>
      <c r="Y543" s="9"/>
    </row>
    <row r="544" spans="1:25" ht="26.25" customHeight="1" x14ac:dyDescent="0.15">
      <c r="A544" s="9" t="str">
        <f ca="1">IFERROR(__xludf.DUMMYFUNCTION("""COMPUTED_VALUE"""),"BHAVANI GUDE")</f>
        <v>BHAVANI GUDE</v>
      </c>
      <c r="B544" s="9" t="str">
        <f ca="1">IFERROR(__xludf.DUMMYFUNCTION("""COMPUTED_VALUE"""),"20331A0566")</f>
        <v>20331A0566</v>
      </c>
      <c r="C544" s="78" t="str">
        <f ca="1">IFERROR(__xludf.DUMMYFUNCTION("""COMPUTED_VALUE"""),"IT ESSENTIALS")</f>
        <v>IT ESSENTIALS</v>
      </c>
      <c r="D544" s="9" t="str">
        <f ca="1">IFERROR(__xludf.DUMMYFUNCTION("""COMPUTED_VALUE"""),"CISCO")</f>
        <v>CISCO</v>
      </c>
      <c r="E544" s="9" t="str">
        <f ca="1">IFERROR(__xludf.DUMMYFUNCTION("""COMPUTED_VALUE"""),"2 MONTHS")</f>
        <v>2 MONTHS</v>
      </c>
      <c r="F544" s="79">
        <f ca="1">IFERROR(__xludf.DUMMYFUNCTION("""COMPUTED_VALUE"""),44378)</f>
        <v>44378</v>
      </c>
      <c r="G544" s="79">
        <f ca="1">IFERROR(__xludf.DUMMYFUNCTION("""COMPUTED_VALUE"""),44440)</f>
        <v>44440</v>
      </c>
      <c r="H544" s="72">
        <f ca="1">IFERROR(__xludf.DUMMYFUNCTION("""COMPUTED_VALUE"""),44440)</f>
        <v>44440</v>
      </c>
      <c r="I544" s="80">
        <f ca="1">IFERROR(__xludf.DUMMYFUNCTION("""COMPUTED_VALUE"""),95)</f>
        <v>95</v>
      </c>
      <c r="J544" s="9" t="str">
        <f ca="1">IFERROR(__xludf.DUMMYFUNCTION("""COMPUTED_VALUE"""),"MR K.SUBBARAJU")</f>
        <v>MR K.SUBBARAJU</v>
      </c>
      <c r="K544" s="73" t="str">
        <f ca="1">IFERROR(__xludf.DUMMYFUNCTION("""COMPUTED_VALUE"""),"https://drive.google.com/open?id=1xkg2nR2j_Anot_YEWevxyZVOJDL07W8H")</f>
        <v>https://drive.google.com/open?id=1xkg2nR2j_Anot_YEWevxyZVOJDL07W8H</v>
      </c>
      <c r="L544" s="9" t="str">
        <f ca="1">IFERROR(__xludf.DUMMYFUNCTION("""COMPUTED_VALUE"""),"2020-2024")</f>
        <v>2020-2024</v>
      </c>
      <c r="M544" s="9" t="str">
        <f ca="1">IFERROR(__xludf.DUMMYFUNCTION("""COMPUTED_VALUE"""),"S4: Student Certifications")</f>
        <v>S4: Student Certifications</v>
      </c>
      <c r="N544" s="9" t="str">
        <f ca="1">IFERROR(__xludf.DUMMYFUNCTION("""COMPUTED_VALUE"""),"gudebhavani9@gmail.com")</f>
        <v>gudebhavani9@gmail.com</v>
      </c>
      <c r="O544" s="9" t="str">
        <f ca="1">IFERROR(__xludf.DUMMYFUNCTION("""COMPUTED_VALUE"""),"SEM-4")</f>
        <v>SEM-4</v>
      </c>
      <c r="P544" s="9"/>
      <c r="Q544" s="9"/>
      <c r="R544" s="9"/>
      <c r="S544" s="9"/>
      <c r="T544" s="9"/>
      <c r="U544" s="9"/>
      <c r="V544" s="9"/>
      <c r="W544" s="9"/>
      <c r="X544" s="9"/>
      <c r="Y544" s="9"/>
    </row>
    <row r="545" spans="1:25" ht="26.25" customHeight="1" x14ac:dyDescent="0.15">
      <c r="A545" s="9" t="str">
        <f ca="1">IFERROR(__xludf.DUMMYFUNCTION("""COMPUTED_VALUE"""),"Nukarapu Sai Surya Harshith ")</f>
        <v xml:space="preserve">Nukarapu Sai Surya Harshith </v>
      </c>
      <c r="B545" s="9" t="str">
        <f ca="1">IFERROR(__xludf.DUMMYFUNCTION("""COMPUTED_VALUE"""),"20331A05C8")</f>
        <v>20331A05C8</v>
      </c>
      <c r="C545" s="78" t="str">
        <f ca="1">IFERROR(__xludf.DUMMYFUNCTION("""COMPUTED_VALUE"""),"NDG linux")</f>
        <v>NDG linux</v>
      </c>
      <c r="D545" s="9" t="str">
        <f ca="1">IFERROR(__xludf.DUMMYFUNCTION("""COMPUTED_VALUE"""),"Cisco networking academy ")</f>
        <v xml:space="preserve">Cisco networking academy </v>
      </c>
      <c r="E545" s="9" t="str">
        <f ca="1">IFERROR(__xludf.DUMMYFUNCTION("""COMPUTED_VALUE"""),"2 months ")</f>
        <v xml:space="preserve">2 months </v>
      </c>
      <c r="F545" s="79">
        <f ca="1">IFERROR(__xludf.DUMMYFUNCTION("""COMPUTED_VALUE"""),44596)</f>
        <v>44596</v>
      </c>
      <c r="G545" s="79">
        <f ca="1">IFERROR(__xludf.DUMMYFUNCTION("""COMPUTED_VALUE"""),44655)</f>
        <v>44655</v>
      </c>
      <c r="H545" s="72">
        <f ca="1">IFERROR(__xludf.DUMMYFUNCTION("""COMPUTED_VALUE"""),44654)</f>
        <v>44654</v>
      </c>
      <c r="I545" s="80"/>
      <c r="J545" s="9" t="str">
        <f ca="1">IFERROR(__xludf.DUMMYFUNCTION("""COMPUTED_VALUE"""),"K V Subha Raju ")</f>
        <v xml:space="preserve">K V Subha Raju </v>
      </c>
      <c r="K545" s="73" t="str">
        <f ca="1">IFERROR(__xludf.DUMMYFUNCTION("""COMPUTED_VALUE"""),"https://drive.google.com/open?id=1oFxnyj1h9VS2-8ETGMPGTcUZGcAYN4ZL")</f>
        <v>https://drive.google.com/open?id=1oFxnyj1h9VS2-8ETGMPGTcUZGcAYN4ZL</v>
      </c>
      <c r="L545" s="9" t="str">
        <f ca="1">IFERROR(__xludf.DUMMYFUNCTION("""COMPUTED_VALUE"""),"2020-2024")</f>
        <v>2020-2024</v>
      </c>
      <c r="M545" s="9" t="str">
        <f ca="1">IFERROR(__xludf.DUMMYFUNCTION("""COMPUTED_VALUE"""),"S4: Student Certifications")</f>
        <v>S4: Student Certifications</v>
      </c>
      <c r="N545" s="9" t="str">
        <f ca="1">IFERROR(__xludf.DUMMYFUNCTION("""COMPUTED_VALUE"""),"suryaharshith210@gmail.com")</f>
        <v>suryaharshith210@gmail.com</v>
      </c>
      <c r="O545" s="9" t="str">
        <f ca="1">IFERROR(__xludf.DUMMYFUNCTION("""COMPUTED_VALUE"""),"SEM-3")</f>
        <v>SEM-3</v>
      </c>
      <c r="P545" s="9"/>
      <c r="Q545" s="9"/>
      <c r="R545" s="9"/>
      <c r="S545" s="9"/>
      <c r="T545" s="9"/>
      <c r="U545" s="9"/>
      <c r="V545" s="9"/>
      <c r="W545" s="9"/>
      <c r="X545" s="9"/>
      <c r="Y545" s="9"/>
    </row>
    <row r="546" spans="1:25" ht="26.25" customHeight="1" x14ac:dyDescent="0.15">
      <c r="A546" s="9" t="str">
        <f ca="1">IFERROR(__xludf.DUMMYFUNCTION("""COMPUTED_VALUE"""),"Preetam Kurella")</f>
        <v>Preetam Kurella</v>
      </c>
      <c r="B546" s="9" t="str">
        <f ca="1">IFERROR(__xludf.DUMMYFUNCTION("""COMPUTED_VALUE"""),"20331A0596")</f>
        <v>20331A0596</v>
      </c>
      <c r="C546" s="78" t="str">
        <f ca="1">IFERROR(__xludf.DUMMYFUNCTION("""COMPUTED_VALUE"""),"It essentials")</f>
        <v>It essentials</v>
      </c>
      <c r="D546" s="9" t="str">
        <f ca="1">IFERROR(__xludf.DUMMYFUNCTION("""COMPUTED_VALUE"""),"Cisco networking academy")</f>
        <v>Cisco networking academy</v>
      </c>
      <c r="E546" s="9" t="str">
        <f ca="1">IFERROR(__xludf.DUMMYFUNCTION("""COMPUTED_VALUE"""),"2months")</f>
        <v>2months</v>
      </c>
      <c r="F546" s="79">
        <f ca="1">IFERROR(__xludf.DUMMYFUNCTION("""COMPUTED_VALUE"""),44353)</f>
        <v>44353</v>
      </c>
      <c r="G546" s="79">
        <f ca="1">IFERROR(__xludf.DUMMYFUNCTION("""COMPUTED_VALUE"""),44414)</f>
        <v>44414</v>
      </c>
      <c r="H546" s="72">
        <f ca="1">IFERROR(__xludf.DUMMYFUNCTION("""COMPUTED_VALUE"""),44414)</f>
        <v>44414</v>
      </c>
      <c r="I546" s="80">
        <f ca="1">IFERROR(__xludf.DUMMYFUNCTION("""COMPUTED_VALUE"""),95)</f>
        <v>95</v>
      </c>
      <c r="J546" s="9" t="str">
        <f ca="1">IFERROR(__xludf.DUMMYFUNCTION("""COMPUTED_VALUE"""),"K.V Subbaraju")</f>
        <v>K.V Subbaraju</v>
      </c>
      <c r="K546" s="73" t="str">
        <f ca="1">IFERROR(__xludf.DUMMYFUNCTION("""COMPUTED_VALUE"""),"https://drive.google.com/open?id=1kD3Hcy00znGez18lUtVsEhAYtW5COimF")</f>
        <v>https://drive.google.com/open?id=1kD3Hcy00znGez18lUtVsEhAYtW5COimF</v>
      </c>
      <c r="L546" s="9" t="str">
        <f ca="1">IFERROR(__xludf.DUMMYFUNCTION("""COMPUTED_VALUE"""),"2020-2024")</f>
        <v>2020-2024</v>
      </c>
      <c r="M546" s="9" t="str">
        <f ca="1">IFERROR(__xludf.DUMMYFUNCTION("""COMPUTED_VALUE"""),"S4: Student Certifications")</f>
        <v>S4: Student Certifications</v>
      </c>
      <c r="N546" s="9" t="str">
        <f ca="1">IFERROR(__xludf.DUMMYFUNCTION("""COMPUTED_VALUE"""),"preetamkurella@gmail.com")</f>
        <v>preetamkurella@gmail.com</v>
      </c>
      <c r="O546" s="9" t="str">
        <f ca="1">IFERROR(__xludf.DUMMYFUNCTION("""COMPUTED_VALUE"""),"SEM-2")</f>
        <v>SEM-2</v>
      </c>
      <c r="P546" s="9"/>
      <c r="Q546" s="9"/>
      <c r="R546" s="9"/>
      <c r="S546" s="9"/>
      <c r="T546" s="9"/>
      <c r="U546" s="9"/>
      <c r="V546" s="9"/>
      <c r="W546" s="9"/>
      <c r="X546" s="9"/>
      <c r="Y546" s="9"/>
    </row>
    <row r="547" spans="1:25" ht="26.25" customHeight="1" x14ac:dyDescent="0.15">
      <c r="A547" s="9" t="str">
        <f ca="1">IFERROR(__xludf.DUMMYFUNCTION("""COMPUTED_VALUE"""),"KURELLA AMAR SAI PREETAM")</f>
        <v>KURELLA AMAR SAI PREETAM</v>
      </c>
      <c r="B547" s="9" t="str">
        <f ca="1">IFERROR(__xludf.DUMMYFUNCTION("""COMPUTED_VALUE"""),"20331A0596")</f>
        <v>20331A0596</v>
      </c>
      <c r="C547" s="78" t="str">
        <f ca="1">IFERROR(__xludf.DUMMYFUNCTION("""COMPUTED_VALUE"""),"Redhat linux (RH-124)")</f>
        <v>Redhat linux (RH-124)</v>
      </c>
      <c r="D547" s="9" t="str">
        <f ca="1">IFERROR(__xludf.DUMMYFUNCTION("""COMPUTED_VALUE"""),"Redhat system administration")</f>
        <v>Redhat system administration</v>
      </c>
      <c r="E547" s="9" t="str">
        <f ca="1">IFERROR(__xludf.DUMMYFUNCTION("""COMPUTED_VALUE"""),"2 months")</f>
        <v>2 months</v>
      </c>
      <c r="F547" s="79">
        <f ca="1">IFERROR(__xludf.DUMMYFUNCTION("""COMPUTED_VALUE"""),44494)</f>
        <v>44494</v>
      </c>
      <c r="G547" s="79">
        <f ca="1">IFERROR(__xludf.DUMMYFUNCTION("""COMPUTED_VALUE"""),44555)</f>
        <v>44555</v>
      </c>
      <c r="H547" s="72">
        <f ca="1">IFERROR(__xludf.DUMMYFUNCTION("""COMPUTED_VALUE"""),44555)</f>
        <v>44555</v>
      </c>
      <c r="I547" s="80"/>
      <c r="J547" s="9" t="str">
        <f ca="1">IFERROR(__xludf.DUMMYFUNCTION("""COMPUTED_VALUE"""),"K.V. Subbaraju")</f>
        <v>K.V. Subbaraju</v>
      </c>
      <c r="K547" s="73" t="str">
        <f ca="1">IFERROR(__xludf.DUMMYFUNCTION("""COMPUTED_VALUE"""),"https://drive.google.com/open?id=1i_ODEw_dzDJaiYVMOS22Ce2GY3djlGfQ")</f>
        <v>https://drive.google.com/open?id=1i_ODEw_dzDJaiYVMOS22Ce2GY3djlGfQ</v>
      </c>
      <c r="L547" s="9" t="str">
        <f ca="1">IFERROR(__xludf.DUMMYFUNCTION("""COMPUTED_VALUE"""),"2020-2024")</f>
        <v>2020-2024</v>
      </c>
      <c r="M547" s="9" t="str">
        <f ca="1">IFERROR(__xludf.DUMMYFUNCTION("""COMPUTED_VALUE"""),"S4: Student Certifications")</f>
        <v>S4: Student Certifications</v>
      </c>
      <c r="N547" s="9" t="str">
        <f ca="1">IFERROR(__xludf.DUMMYFUNCTION("""COMPUTED_VALUE"""),"preetamkurella@gmail.com")</f>
        <v>preetamkurella@gmail.com</v>
      </c>
      <c r="O547" s="9" t="str">
        <f ca="1">IFERROR(__xludf.DUMMYFUNCTION("""COMPUTED_VALUE"""),"SEM-3")</f>
        <v>SEM-3</v>
      </c>
      <c r="P547" s="9"/>
      <c r="Q547" s="9"/>
      <c r="R547" s="9"/>
      <c r="S547" s="9"/>
      <c r="T547" s="9"/>
      <c r="U547" s="9"/>
      <c r="V547" s="9"/>
      <c r="W547" s="9"/>
      <c r="X547" s="9"/>
      <c r="Y547" s="9"/>
    </row>
    <row r="548" spans="1:25" ht="26.25" customHeight="1" x14ac:dyDescent="0.15">
      <c r="A548" s="9" t="str">
        <f ca="1">IFERROR(__xludf.DUMMYFUNCTION("""COMPUTED_VALUE"""),"BOCHA MANYA SAI RAMA AKSHAYA")</f>
        <v>BOCHA MANYA SAI RAMA AKSHAYA</v>
      </c>
      <c r="B548" s="9" t="str">
        <f ca="1">IFERROR(__xludf.DUMMYFUNCTION("""COMPUTED_VALUE"""),"20331A0519")</f>
        <v>20331A0519</v>
      </c>
      <c r="C548" s="78" t="str">
        <f ca="1">IFERROR(__xludf.DUMMYFUNCTION("""COMPUTED_VALUE"""),"IT Essentials ")</f>
        <v xml:space="preserve">IT Essentials </v>
      </c>
      <c r="D548" s="9" t="str">
        <f ca="1">IFERROR(__xludf.DUMMYFUNCTION("""COMPUTED_VALUE"""),"CISCO")</f>
        <v>CISCO</v>
      </c>
      <c r="E548" s="9" t="str">
        <f ca="1">IFERROR(__xludf.DUMMYFUNCTION("""COMPUTED_VALUE"""),"2 Months")</f>
        <v>2 Months</v>
      </c>
      <c r="F548" s="79">
        <f ca="1">IFERROR(__xludf.DUMMYFUNCTION("""COMPUTED_VALUE"""),44470)</f>
        <v>44470</v>
      </c>
      <c r="G548" s="79">
        <f ca="1">IFERROR(__xludf.DUMMYFUNCTION("""COMPUTED_VALUE"""),44530)</f>
        <v>44530</v>
      </c>
      <c r="H548" s="72">
        <f ca="1">IFERROR(__xludf.DUMMYFUNCTION("""COMPUTED_VALUE"""),44555)</f>
        <v>44555</v>
      </c>
      <c r="I548" s="80">
        <f ca="1">IFERROR(__xludf.DUMMYFUNCTION("""COMPUTED_VALUE"""),94)</f>
        <v>94</v>
      </c>
      <c r="J548" s="9" t="str">
        <f ca="1">IFERROR(__xludf.DUMMYFUNCTION("""COMPUTED_VALUE"""),"K.Subbaraju ")</f>
        <v xml:space="preserve">K.Subbaraju </v>
      </c>
      <c r="K548" s="73" t="str">
        <f ca="1">IFERROR(__xludf.DUMMYFUNCTION("""COMPUTED_VALUE"""),"https://drive.google.com/open?id=1fnmAoSjTrUozP-Ro7MU303VLcipK9HKc")</f>
        <v>https://drive.google.com/open?id=1fnmAoSjTrUozP-Ro7MU303VLcipK9HKc</v>
      </c>
      <c r="L548" s="9" t="str">
        <f ca="1">IFERROR(__xludf.DUMMYFUNCTION("""COMPUTED_VALUE"""),"2020-2024")</f>
        <v>2020-2024</v>
      </c>
      <c r="M548" s="9" t="str">
        <f ca="1">IFERROR(__xludf.DUMMYFUNCTION("""COMPUTED_VALUE"""),"S4: Student Certifications")</f>
        <v>S4: Student Certifications</v>
      </c>
      <c r="N548" s="9" t="str">
        <f ca="1">IFERROR(__xludf.DUMMYFUNCTION("""COMPUTED_VALUE"""),"bochamsrakshaya@gmail.com")</f>
        <v>bochamsrakshaya@gmail.com</v>
      </c>
      <c r="O548" s="9" t="str">
        <f ca="1">IFERROR(__xludf.DUMMYFUNCTION("""COMPUTED_VALUE"""),"SEM-4")</f>
        <v>SEM-4</v>
      </c>
      <c r="P548" s="9"/>
      <c r="Q548" s="9"/>
      <c r="R548" s="9"/>
      <c r="S548" s="9"/>
      <c r="T548" s="9"/>
      <c r="U548" s="9"/>
      <c r="V548" s="9"/>
      <c r="W548" s="9"/>
      <c r="X548" s="9"/>
      <c r="Y548" s="9"/>
    </row>
    <row r="549" spans="1:25" ht="26.25" customHeight="1" x14ac:dyDescent="0.15">
      <c r="A549" s="9" t="str">
        <f ca="1">IFERROR(__xludf.DUMMYFUNCTION("""COMPUTED_VALUE"""),"Tejaswikarthik Nistala")</f>
        <v>Tejaswikarthik Nistala</v>
      </c>
      <c r="B549" s="9" t="str">
        <f ca="1">IFERROR(__xludf.DUMMYFUNCTION("""COMPUTED_VALUE"""),"20331A05C7")</f>
        <v>20331A05C7</v>
      </c>
      <c r="C549" s="78" t="str">
        <f ca="1">IFERROR(__xludf.DUMMYFUNCTION("""COMPUTED_VALUE"""),"Redhatlinux(RH-124) ")</f>
        <v xml:space="preserve">Redhatlinux(RH-124) </v>
      </c>
      <c r="D549" s="9" t="str">
        <f ca="1">IFERROR(__xludf.DUMMYFUNCTION("""COMPUTED_VALUE"""),"Redhatsystem administration")</f>
        <v>Redhatsystem administration</v>
      </c>
      <c r="E549" s="9" t="str">
        <f ca="1">IFERROR(__xludf.DUMMYFUNCTION("""COMPUTED_VALUE"""),"2 months")</f>
        <v>2 months</v>
      </c>
      <c r="F549" s="79">
        <f ca="1">IFERROR(__xludf.DUMMYFUNCTION("""COMPUTED_VALUE"""),44494)</f>
        <v>44494</v>
      </c>
      <c r="G549" s="79">
        <f ca="1">IFERROR(__xludf.DUMMYFUNCTION("""COMPUTED_VALUE"""),44555)</f>
        <v>44555</v>
      </c>
      <c r="H549" s="72">
        <f ca="1">IFERROR(__xludf.DUMMYFUNCTION("""COMPUTED_VALUE"""),44555)</f>
        <v>44555</v>
      </c>
      <c r="I549" s="80"/>
      <c r="J549" s="9" t="str">
        <f ca="1">IFERROR(__xludf.DUMMYFUNCTION("""COMPUTED_VALUE"""),"K. V. Subbaraju")</f>
        <v>K. V. Subbaraju</v>
      </c>
      <c r="K549" s="73" t="str">
        <f ca="1">IFERROR(__xludf.DUMMYFUNCTION("""COMPUTED_VALUE"""),"https://drive.google.com/open?id=1pCYnpmlYoFMaw-kdno5tsj-86aWCShCa")</f>
        <v>https://drive.google.com/open?id=1pCYnpmlYoFMaw-kdno5tsj-86aWCShCa</v>
      </c>
      <c r="L549" s="9" t="str">
        <f ca="1">IFERROR(__xludf.DUMMYFUNCTION("""COMPUTED_VALUE"""),"2020-2024")</f>
        <v>2020-2024</v>
      </c>
      <c r="M549" s="9" t="str">
        <f ca="1">IFERROR(__xludf.DUMMYFUNCTION("""COMPUTED_VALUE"""),"S4: Student Certifications")</f>
        <v>S4: Student Certifications</v>
      </c>
      <c r="N549" s="9" t="str">
        <f ca="1">IFERROR(__xludf.DUMMYFUNCTION("""COMPUTED_VALUE"""),"tejaswikarthiknistala@gmail.com")</f>
        <v>tejaswikarthiknistala@gmail.com</v>
      </c>
      <c r="O549" s="9" t="str">
        <f ca="1">IFERROR(__xludf.DUMMYFUNCTION("""COMPUTED_VALUE"""),"SEM-3")</f>
        <v>SEM-3</v>
      </c>
      <c r="P549" s="9"/>
      <c r="Q549" s="9"/>
      <c r="R549" s="9"/>
      <c r="S549" s="9"/>
      <c r="T549" s="9"/>
      <c r="U549" s="9"/>
      <c r="V549" s="9"/>
      <c r="W549" s="9"/>
      <c r="X549" s="9"/>
      <c r="Y549" s="9"/>
    </row>
    <row r="550" spans="1:25" ht="26.25" customHeight="1" x14ac:dyDescent="0.15">
      <c r="A550" s="9" t="str">
        <f ca="1">IFERROR(__xludf.DUMMYFUNCTION("""COMPUTED_VALUE"""),"Nukarapu Sai Surya Harshith ")</f>
        <v xml:space="preserve">Nukarapu Sai Surya Harshith </v>
      </c>
      <c r="B550" s="9" t="str">
        <f ca="1">IFERROR(__xludf.DUMMYFUNCTION("""COMPUTED_VALUE"""),"20331A05C8")</f>
        <v>20331A05C8</v>
      </c>
      <c r="C550" s="78" t="str">
        <f ca="1">IFERROR(__xludf.DUMMYFUNCTION("""COMPUTED_VALUE"""),"Redhat Linux (124)")</f>
        <v>Redhat Linux (124)</v>
      </c>
      <c r="D550" s="9" t="str">
        <f ca="1">IFERROR(__xludf.DUMMYFUNCTION("""COMPUTED_VALUE"""),"Redhat System Administration ")</f>
        <v xml:space="preserve">Redhat System Administration </v>
      </c>
      <c r="E550" s="9" t="str">
        <f ca="1">IFERROR(__xludf.DUMMYFUNCTION("""COMPUTED_VALUE"""),"2 months")</f>
        <v>2 months</v>
      </c>
      <c r="F550" s="79">
        <f ca="1">IFERROR(__xludf.DUMMYFUNCTION("""COMPUTED_VALUE"""),44494)</f>
        <v>44494</v>
      </c>
      <c r="G550" s="79">
        <f ca="1">IFERROR(__xludf.DUMMYFUNCTION("""COMPUTED_VALUE"""),44555)</f>
        <v>44555</v>
      </c>
      <c r="H550" s="72">
        <f ca="1">IFERROR(__xludf.DUMMYFUNCTION("""COMPUTED_VALUE"""),44555)</f>
        <v>44555</v>
      </c>
      <c r="I550" s="80"/>
      <c r="J550" s="9" t="str">
        <f ca="1">IFERROR(__xludf.DUMMYFUNCTION("""COMPUTED_VALUE"""),"K.V . Subbaraju")</f>
        <v>K.V . Subbaraju</v>
      </c>
      <c r="K550" s="73" t="str">
        <f ca="1">IFERROR(__xludf.DUMMYFUNCTION("""COMPUTED_VALUE"""),"https://drive.google.com/open?id=1-gdyTvGMF5N5gPtaMIfHkTXB0qOBPXGF")</f>
        <v>https://drive.google.com/open?id=1-gdyTvGMF5N5gPtaMIfHkTXB0qOBPXGF</v>
      </c>
      <c r="L550" s="9" t="str">
        <f ca="1">IFERROR(__xludf.DUMMYFUNCTION("""COMPUTED_VALUE"""),"2020-2024")</f>
        <v>2020-2024</v>
      </c>
      <c r="M550" s="9" t="str">
        <f ca="1">IFERROR(__xludf.DUMMYFUNCTION("""COMPUTED_VALUE"""),"S4: Student Certifications")</f>
        <v>S4: Student Certifications</v>
      </c>
      <c r="N550" s="9" t="str">
        <f ca="1">IFERROR(__xludf.DUMMYFUNCTION("""COMPUTED_VALUE"""),"suryaharshith210@gmail.com")</f>
        <v>suryaharshith210@gmail.com</v>
      </c>
      <c r="O550" s="9" t="str">
        <f ca="1">IFERROR(__xludf.DUMMYFUNCTION("""COMPUTED_VALUE"""),"SEM-3")</f>
        <v>SEM-3</v>
      </c>
      <c r="P550" s="9"/>
      <c r="Q550" s="9"/>
      <c r="R550" s="9"/>
      <c r="S550" s="9"/>
      <c r="T550" s="9"/>
      <c r="U550" s="9"/>
      <c r="V550" s="9"/>
      <c r="W550" s="9"/>
      <c r="X550" s="9"/>
      <c r="Y550" s="9"/>
    </row>
    <row r="551" spans="1:25" ht="26.25" customHeight="1" x14ac:dyDescent="0.15">
      <c r="A551" s="9" t="str">
        <f ca="1">IFERROR(__xludf.DUMMYFUNCTION("""COMPUTED_VALUE"""),"Tejaswikarthik Nistala")</f>
        <v>Tejaswikarthik Nistala</v>
      </c>
      <c r="B551" s="9" t="str">
        <f ca="1">IFERROR(__xludf.DUMMYFUNCTION("""COMPUTED_VALUE"""),"20331A05C7")</f>
        <v>20331A05C7</v>
      </c>
      <c r="C551" s="78" t="str">
        <f ca="1">IFERROR(__xludf.DUMMYFUNCTION("""COMPUTED_VALUE"""),"Redhat linux(RH-134) ")</f>
        <v xml:space="preserve">Redhat linux(RH-134) </v>
      </c>
      <c r="D551" s="9" t="str">
        <f ca="1">IFERROR(__xludf.DUMMYFUNCTION("""COMPUTED_VALUE"""),"Redhatsystem administration")</f>
        <v>Redhatsystem administration</v>
      </c>
      <c r="E551" s="9" t="str">
        <f ca="1">IFERROR(__xludf.DUMMYFUNCTION("""COMPUTED_VALUE"""),"2 months")</f>
        <v>2 months</v>
      </c>
      <c r="F551" s="79">
        <f ca="1">IFERROR(__xludf.DUMMYFUNCTION("""COMPUTED_VALUE"""),44494)</f>
        <v>44494</v>
      </c>
      <c r="G551" s="79">
        <f ca="1">IFERROR(__xludf.DUMMYFUNCTION("""COMPUTED_VALUE"""),44555)</f>
        <v>44555</v>
      </c>
      <c r="H551" s="72">
        <f ca="1">IFERROR(__xludf.DUMMYFUNCTION("""COMPUTED_VALUE"""),44555)</f>
        <v>44555</v>
      </c>
      <c r="I551" s="80"/>
      <c r="J551" s="9" t="str">
        <f ca="1">IFERROR(__xludf.DUMMYFUNCTION("""COMPUTED_VALUE"""),"K. V. Subbaraju")</f>
        <v>K. V. Subbaraju</v>
      </c>
      <c r="K551" s="73" t="str">
        <f ca="1">IFERROR(__xludf.DUMMYFUNCTION("""COMPUTED_VALUE"""),"https://drive.google.com/open?id=1_IwNi8vxw7ykR1mhqexmx1rJV-IOttVY")</f>
        <v>https://drive.google.com/open?id=1_IwNi8vxw7ykR1mhqexmx1rJV-IOttVY</v>
      </c>
      <c r="L551" s="9" t="str">
        <f ca="1">IFERROR(__xludf.DUMMYFUNCTION("""COMPUTED_VALUE"""),"2020-2024")</f>
        <v>2020-2024</v>
      </c>
      <c r="M551" s="9" t="str">
        <f ca="1">IFERROR(__xludf.DUMMYFUNCTION("""COMPUTED_VALUE"""),"S4: Student Certifications")</f>
        <v>S4: Student Certifications</v>
      </c>
      <c r="N551" s="9" t="str">
        <f ca="1">IFERROR(__xludf.DUMMYFUNCTION("""COMPUTED_VALUE"""),"tejaswikarthiknistala@gmail.com")</f>
        <v>tejaswikarthiknistala@gmail.com</v>
      </c>
      <c r="O551" s="9" t="str">
        <f ca="1">IFERROR(__xludf.DUMMYFUNCTION("""COMPUTED_VALUE"""),"SEM-3")</f>
        <v>SEM-3</v>
      </c>
      <c r="P551" s="9"/>
      <c r="Q551" s="9"/>
      <c r="R551" s="9"/>
      <c r="S551" s="9"/>
      <c r="T551" s="9"/>
      <c r="U551" s="9"/>
      <c r="V551" s="9"/>
      <c r="W551" s="9"/>
      <c r="X551" s="9"/>
      <c r="Y551" s="9"/>
    </row>
    <row r="552" spans="1:25" ht="26.25" customHeight="1" x14ac:dyDescent="0.15">
      <c r="A552" s="9" t="str">
        <f ca="1">IFERROR(__xludf.DUMMYFUNCTION("""COMPUTED_VALUE"""),"KURELLA AMAR SAI PREETAM")</f>
        <v>KURELLA AMAR SAI PREETAM</v>
      </c>
      <c r="B552" s="9" t="str">
        <f ca="1">IFERROR(__xludf.DUMMYFUNCTION("""COMPUTED_VALUE"""),"20331A0596")</f>
        <v>20331A0596</v>
      </c>
      <c r="C552" s="78" t="str">
        <f ca="1">IFERROR(__xludf.DUMMYFUNCTION("""COMPUTED_VALUE"""),"Redhat linux (RH-134)")</f>
        <v>Redhat linux (RH-134)</v>
      </c>
      <c r="D552" s="9" t="str">
        <f ca="1">IFERROR(__xludf.DUMMYFUNCTION("""COMPUTED_VALUE"""),"Redhat system administration")</f>
        <v>Redhat system administration</v>
      </c>
      <c r="E552" s="9" t="str">
        <f ca="1">IFERROR(__xludf.DUMMYFUNCTION("""COMPUTED_VALUE"""),"2 months")</f>
        <v>2 months</v>
      </c>
      <c r="F552" s="79">
        <f ca="1">IFERROR(__xludf.DUMMYFUNCTION("""COMPUTED_VALUE"""),44494)</f>
        <v>44494</v>
      </c>
      <c r="G552" s="79">
        <f ca="1">IFERROR(__xludf.DUMMYFUNCTION("""COMPUTED_VALUE"""),44555)</f>
        <v>44555</v>
      </c>
      <c r="H552" s="72">
        <f ca="1">IFERROR(__xludf.DUMMYFUNCTION("""COMPUTED_VALUE"""),44555)</f>
        <v>44555</v>
      </c>
      <c r="I552" s="80"/>
      <c r="J552" s="9" t="str">
        <f ca="1">IFERROR(__xludf.DUMMYFUNCTION("""COMPUTED_VALUE"""),"K.V. Subbaraju")</f>
        <v>K.V. Subbaraju</v>
      </c>
      <c r="K552" s="73" t="str">
        <f ca="1">IFERROR(__xludf.DUMMYFUNCTION("""COMPUTED_VALUE"""),"https://drive.google.com/open?id=1EKvphQSKtq5f-ziSqUg4ooo8NU3Fu-42")</f>
        <v>https://drive.google.com/open?id=1EKvphQSKtq5f-ziSqUg4ooo8NU3Fu-42</v>
      </c>
      <c r="L552" s="9" t="str">
        <f ca="1">IFERROR(__xludf.DUMMYFUNCTION("""COMPUTED_VALUE"""),"2020-2024")</f>
        <v>2020-2024</v>
      </c>
      <c r="M552" s="9" t="str">
        <f ca="1">IFERROR(__xludf.DUMMYFUNCTION("""COMPUTED_VALUE"""),"S4: Student Certifications")</f>
        <v>S4: Student Certifications</v>
      </c>
      <c r="N552" s="9" t="str">
        <f ca="1">IFERROR(__xludf.DUMMYFUNCTION("""COMPUTED_VALUE"""),"preetamkurella@gmail.com")</f>
        <v>preetamkurella@gmail.com</v>
      </c>
      <c r="O552" s="9" t="str">
        <f ca="1">IFERROR(__xludf.DUMMYFUNCTION("""COMPUTED_VALUE"""),"SEM-3")</f>
        <v>SEM-3</v>
      </c>
      <c r="P552" s="9"/>
      <c r="Q552" s="9"/>
      <c r="R552" s="9"/>
      <c r="S552" s="9"/>
      <c r="T552" s="9"/>
      <c r="U552" s="9"/>
      <c r="V552" s="9"/>
      <c r="W552" s="9"/>
      <c r="X552" s="9"/>
      <c r="Y552" s="9"/>
    </row>
    <row r="553" spans="1:25" ht="26.25" customHeight="1" x14ac:dyDescent="0.15">
      <c r="A553" s="9" t="str">
        <f ca="1">IFERROR(__xludf.DUMMYFUNCTION("""COMPUTED_VALUE"""),"Tejaswikarthik Nistala")</f>
        <v>Tejaswikarthik Nistala</v>
      </c>
      <c r="B553" s="9" t="str">
        <f ca="1">IFERROR(__xludf.DUMMYFUNCTION("""COMPUTED_VALUE"""),"20331A05C7")</f>
        <v>20331A05C7</v>
      </c>
      <c r="C553" s="78" t="str">
        <f ca="1">IFERROR(__xludf.DUMMYFUNCTION("""COMPUTED_VALUE"""),"It essentials")</f>
        <v>It essentials</v>
      </c>
      <c r="D553" s="9" t="str">
        <f ca="1">IFERROR(__xludf.DUMMYFUNCTION("""COMPUTED_VALUE"""),"Cisco")</f>
        <v>Cisco</v>
      </c>
      <c r="E553" s="9" t="str">
        <f ca="1">IFERROR(__xludf.DUMMYFUNCTION("""COMPUTED_VALUE"""),"2 months")</f>
        <v>2 months</v>
      </c>
      <c r="F553" s="79">
        <f ca="1">IFERROR(__xludf.DUMMYFUNCTION("""COMPUTED_VALUE"""),44353)</f>
        <v>44353</v>
      </c>
      <c r="G553" s="79">
        <f ca="1">IFERROR(__xludf.DUMMYFUNCTION("""COMPUTED_VALUE"""),44414)</f>
        <v>44414</v>
      </c>
      <c r="H553" s="72">
        <f ca="1">IFERROR(__xludf.DUMMYFUNCTION("""COMPUTED_VALUE"""),44414)</f>
        <v>44414</v>
      </c>
      <c r="I553" s="80">
        <f ca="1">IFERROR(__xludf.DUMMYFUNCTION("""COMPUTED_VALUE"""),96)</f>
        <v>96</v>
      </c>
      <c r="J553" s="9" t="str">
        <f ca="1">IFERROR(__xludf.DUMMYFUNCTION("""COMPUTED_VALUE"""),"K. V. Subbaraju")</f>
        <v>K. V. Subbaraju</v>
      </c>
      <c r="K553" s="73" t="str">
        <f ca="1">IFERROR(__xludf.DUMMYFUNCTION("""COMPUTED_VALUE"""),"https://drive.google.com/open?id=1oDdwHExZvZNkf4-RZUZoekLUWPiO_iWN")</f>
        <v>https://drive.google.com/open?id=1oDdwHExZvZNkf4-RZUZoekLUWPiO_iWN</v>
      </c>
      <c r="L553" s="9" t="str">
        <f ca="1">IFERROR(__xludf.DUMMYFUNCTION("""COMPUTED_VALUE"""),"2020-2024")</f>
        <v>2020-2024</v>
      </c>
      <c r="M553" s="9" t="str">
        <f ca="1">IFERROR(__xludf.DUMMYFUNCTION("""COMPUTED_VALUE"""),"S4: Student Certifications")</f>
        <v>S4: Student Certifications</v>
      </c>
      <c r="N553" s="9" t="str">
        <f ca="1">IFERROR(__xludf.DUMMYFUNCTION("""COMPUTED_VALUE"""),"tejaswikarthiknistala@gmail.com")</f>
        <v>tejaswikarthiknistala@gmail.com</v>
      </c>
      <c r="O553" s="9" t="str">
        <f ca="1">IFERROR(__xludf.DUMMYFUNCTION("""COMPUTED_VALUE"""),"SEM-2")</f>
        <v>SEM-2</v>
      </c>
      <c r="P553" s="9"/>
      <c r="Q553" s="9"/>
      <c r="R553" s="9"/>
      <c r="S553" s="9"/>
      <c r="T553" s="9"/>
      <c r="U553" s="9"/>
      <c r="V553" s="9"/>
      <c r="W553" s="9"/>
      <c r="X553" s="9"/>
      <c r="Y553" s="9"/>
    </row>
    <row r="554" spans="1:25" ht="26.25" customHeight="1" x14ac:dyDescent="0.15">
      <c r="A554" s="9" t="str">
        <f ca="1">IFERROR(__xludf.DUMMYFUNCTION("""COMPUTED_VALUE"""),"K. Charan Teja")</f>
        <v>K. Charan Teja</v>
      </c>
      <c r="B554" s="9" t="str">
        <f ca="1">IFERROR(__xludf.DUMMYFUNCTION("""COMPUTED_VALUE"""),"20331A0587")</f>
        <v>20331A0587</v>
      </c>
      <c r="C554" s="78" t="str">
        <f ca="1">IFERROR(__xludf.DUMMYFUNCTION("""COMPUTED_VALUE"""),"IT essentials")</f>
        <v>IT essentials</v>
      </c>
      <c r="D554" s="9" t="str">
        <f ca="1">IFERROR(__xludf.DUMMYFUNCTION("""COMPUTED_VALUE"""),"Cisco")</f>
        <v>Cisco</v>
      </c>
      <c r="E554" s="9" t="str">
        <f ca="1">IFERROR(__xludf.DUMMYFUNCTION("""COMPUTED_VALUE"""),"2 months ")</f>
        <v xml:space="preserve">2 months </v>
      </c>
      <c r="F554" s="79">
        <f ca="1">IFERROR(__xludf.DUMMYFUNCTION("""COMPUTED_VALUE"""),44353)</f>
        <v>44353</v>
      </c>
      <c r="G554" s="79">
        <f ca="1">IFERROR(__xludf.DUMMYFUNCTION("""COMPUTED_VALUE"""),44414)</f>
        <v>44414</v>
      </c>
      <c r="H554" s="72">
        <f ca="1">IFERROR(__xludf.DUMMYFUNCTION("""COMPUTED_VALUE"""),44414)</f>
        <v>44414</v>
      </c>
      <c r="I554" s="80">
        <f ca="1">IFERROR(__xludf.DUMMYFUNCTION("""COMPUTED_VALUE"""),90)</f>
        <v>90</v>
      </c>
      <c r="J554" s="9" t="str">
        <f ca="1">IFERROR(__xludf.DUMMYFUNCTION("""COMPUTED_VALUE"""),"K.V.Subbaraju sir")</f>
        <v>K.V.Subbaraju sir</v>
      </c>
      <c r="K554" s="73" t="str">
        <f ca="1">IFERROR(__xludf.DUMMYFUNCTION("""COMPUTED_VALUE"""),"https://drive.google.com/open?id=15firB2U7LSHc09kBS6Z0FyxPPWcjqaVm")</f>
        <v>https://drive.google.com/open?id=15firB2U7LSHc09kBS6Z0FyxPPWcjqaVm</v>
      </c>
      <c r="L554" s="9" t="str">
        <f ca="1">IFERROR(__xludf.DUMMYFUNCTION("""COMPUTED_VALUE"""),"2020-2024")</f>
        <v>2020-2024</v>
      </c>
      <c r="M554" s="9" t="str">
        <f ca="1">IFERROR(__xludf.DUMMYFUNCTION("""COMPUTED_VALUE"""),"S4: Student Certifications")</f>
        <v>S4: Student Certifications</v>
      </c>
      <c r="N554" s="9" t="str">
        <f ca="1">IFERROR(__xludf.DUMMYFUNCTION("""COMPUTED_VALUE"""),"devadeepkolla211@gmail.com")</f>
        <v>devadeepkolla211@gmail.com</v>
      </c>
      <c r="O554" s="9" t="str">
        <f ca="1">IFERROR(__xludf.DUMMYFUNCTION("""COMPUTED_VALUE"""),"SEM-2")</f>
        <v>SEM-2</v>
      </c>
      <c r="P554" s="9"/>
      <c r="Q554" s="9"/>
      <c r="R554" s="9"/>
      <c r="S554" s="9"/>
      <c r="T554" s="9"/>
      <c r="U554" s="9"/>
      <c r="V554" s="9"/>
      <c r="W554" s="9"/>
      <c r="X554" s="9"/>
      <c r="Y554" s="9"/>
    </row>
    <row r="555" spans="1:25" ht="26.25" customHeight="1" x14ac:dyDescent="0.15">
      <c r="A555" s="9" t="str">
        <f ca="1">IFERROR(__xludf.DUMMYFUNCTION("""COMPUTED_VALUE"""),"Nukarapu Sai Surya Harshith ")</f>
        <v xml:space="preserve">Nukarapu Sai Surya Harshith </v>
      </c>
      <c r="B555" s="9" t="str">
        <f ca="1">IFERROR(__xludf.DUMMYFUNCTION("""COMPUTED_VALUE"""),"20331A05C8")</f>
        <v>20331A05C8</v>
      </c>
      <c r="C555" s="78" t="str">
        <f ca="1">IFERROR(__xludf.DUMMYFUNCTION("""COMPUTED_VALUE"""),"Redhat Linux (134)")</f>
        <v>Redhat Linux (134)</v>
      </c>
      <c r="D555" s="9" t="str">
        <f ca="1">IFERROR(__xludf.DUMMYFUNCTION("""COMPUTED_VALUE"""),"Redhat System Administration ")</f>
        <v xml:space="preserve">Redhat System Administration </v>
      </c>
      <c r="E555" s="9" t="str">
        <f ca="1">IFERROR(__xludf.DUMMYFUNCTION("""COMPUTED_VALUE"""),"2 months ")</f>
        <v xml:space="preserve">2 months </v>
      </c>
      <c r="F555" s="79">
        <f ca="1">IFERROR(__xludf.DUMMYFUNCTION("""COMPUTED_VALUE"""),44494)</f>
        <v>44494</v>
      </c>
      <c r="G555" s="79">
        <f ca="1">IFERROR(__xludf.DUMMYFUNCTION("""COMPUTED_VALUE"""),44555)</f>
        <v>44555</v>
      </c>
      <c r="H555" s="72">
        <f ca="1">IFERROR(__xludf.DUMMYFUNCTION("""COMPUTED_VALUE"""),44555)</f>
        <v>44555</v>
      </c>
      <c r="I555" s="80"/>
      <c r="J555" s="9" t="str">
        <f ca="1">IFERROR(__xludf.DUMMYFUNCTION("""COMPUTED_VALUE"""),"K.V. Subbaraju")</f>
        <v>K.V. Subbaraju</v>
      </c>
      <c r="K555" s="73" t="str">
        <f ca="1">IFERROR(__xludf.DUMMYFUNCTION("""COMPUTED_VALUE"""),"https://drive.google.com/open?id=1ePKgLP0s2vCDChjGVBCeA6ZJpzBik2bC")</f>
        <v>https://drive.google.com/open?id=1ePKgLP0s2vCDChjGVBCeA6ZJpzBik2bC</v>
      </c>
      <c r="L555" s="9" t="str">
        <f ca="1">IFERROR(__xludf.DUMMYFUNCTION("""COMPUTED_VALUE"""),"2020-2024")</f>
        <v>2020-2024</v>
      </c>
      <c r="M555" s="9" t="str">
        <f ca="1">IFERROR(__xludf.DUMMYFUNCTION("""COMPUTED_VALUE"""),"S4: Student Certifications")</f>
        <v>S4: Student Certifications</v>
      </c>
      <c r="N555" s="9" t="str">
        <f ca="1">IFERROR(__xludf.DUMMYFUNCTION("""COMPUTED_VALUE"""),"harshithnukarapu210@yahoo.com")</f>
        <v>harshithnukarapu210@yahoo.com</v>
      </c>
      <c r="O555" s="9" t="str">
        <f ca="1">IFERROR(__xludf.DUMMYFUNCTION("""COMPUTED_VALUE"""),"SEM-3")</f>
        <v>SEM-3</v>
      </c>
      <c r="P555" s="9"/>
      <c r="Q555" s="9"/>
      <c r="R555" s="9"/>
      <c r="S555" s="9"/>
      <c r="T555" s="9"/>
      <c r="U555" s="9"/>
      <c r="V555" s="9"/>
      <c r="W555" s="9"/>
      <c r="X555" s="9"/>
      <c r="Y555" s="9"/>
    </row>
    <row r="556" spans="1:25" ht="26.25" customHeight="1" x14ac:dyDescent="0.15">
      <c r="A556" s="9" t="str">
        <f ca="1">IFERROR(__xludf.DUMMYFUNCTION("""COMPUTED_VALUE"""),"K.Charan Teja")</f>
        <v>K.Charan Teja</v>
      </c>
      <c r="B556" s="9" t="str">
        <f ca="1">IFERROR(__xludf.DUMMYFUNCTION("""COMPUTED_VALUE"""),"20331A0587")</f>
        <v>20331A0587</v>
      </c>
      <c r="C556" s="78" t="str">
        <f ca="1">IFERROR(__xludf.DUMMYFUNCTION("""COMPUTED_VALUE"""),"Red Hat organization ")</f>
        <v xml:space="preserve">Red Hat organization </v>
      </c>
      <c r="D556" s="9" t="str">
        <f ca="1">IFERROR(__xludf.DUMMYFUNCTION("""COMPUTED_VALUE"""),"Red Hat System Administration ")</f>
        <v xml:space="preserve">Red Hat System Administration </v>
      </c>
      <c r="E556" s="9" t="str">
        <f ca="1">IFERROR(__xludf.DUMMYFUNCTION("""COMPUTED_VALUE"""),"2 months")</f>
        <v>2 months</v>
      </c>
      <c r="F556" s="79">
        <f ca="1">IFERROR(__xludf.DUMMYFUNCTION("""COMPUTED_VALUE"""),44494)</f>
        <v>44494</v>
      </c>
      <c r="G556" s="79">
        <f ca="1">IFERROR(__xludf.DUMMYFUNCTION("""COMPUTED_VALUE"""),44555)</f>
        <v>44555</v>
      </c>
      <c r="H556" s="72">
        <f ca="1">IFERROR(__xludf.DUMMYFUNCTION("""COMPUTED_VALUE"""),44555)</f>
        <v>44555</v>
      </c>
      <c r="I556" s="80"/>
      <c r="J556" s="9" t="str">
        <f ca="1">IFERROR(__xludf.DUMMYFUNCTION("""COMPUTED_VALUE"""),"K.V.Subbaraj sir")</f>
        <v>K.V.Subbaraj sir</v>
      </c>
      <c r="K556" s="73" t="str">
        <f ca="1">IFERROR(__xludf.DUMMYFUNCTION("""COMPUTED_VALUE"""),"https://drive.google.com/open?id=1A-N-7jEjlW6kHxSpgtnAohojK6S_jEE3")</f>
        <v>https://drive.google.com/open?id=1A-N-7jEjlW6kHxSpgtnAohojK6S_jEE3</v>
      </c>
      <c r="L556" s="9" t="str">
        <f ca="1">IFERROR(__xludf.DUMMYFUNCTION("""COMPUTED_VALUE"""),"2020-2024")</f>
        <v>2020-2024</v>
      </c>
      <c r="M556" s="9" t="str">
        <f ca="1">IFERROR(__xludf.DUMMYFUNCTION("""COMPUTED_VALUE"""),"S4: Student Certifications")</f>
        <v>S4: Student Certifications</v>
      </c>
      <c r="N556" s="9" t="str">
        <f ca="1">IFERROR(__xludf.DUMMYFUNCTION("""COMPUTED_VALUE"""),"devadeepkolla211@gmail.com")</f>
        <v>devadeepkolla211@gmail.com</v>
      </c>
      <c r="O556" s="9" t="str">
        <f ca="1">IFERROR(__xludf.DUMMYFUNCTION("""COMPUTED_VALUE"""),"SEM-3")</f>
        <v>SEM-3</v>
      </c>
      <c r="P556" s="9"/>
      <c r="Q556" s="9"/>
      <c r="R556" s="9"/>
      <c r="S556" s="9"/>
      <c r="T556" s="9"/>
      <c r="U556" s="9"/>
      <c r="V556" s="9"/>
      <c r="W556" s="9"/>
      <c r="X556" s="9"/>
      <c r="Y556" s="9"/>
    </row>
    <row r="557" spans="1:25" ht="26.25" customHeight="1" x14ac:dyDescent="0.15">
      <c r="A557" s="9" t="str">
        <f ca="1">IFERROR(__xludf.DUMMYFUNCTION("""COMPUTED_VALUE"""),"Madabathula Padma Praharshitha")</f>
        <v>Madabathula Padma Praharshitha</v>
      </c>
      <c r="B557" s="9" t="str">
        <f ca="1">IFERROR(__xludf.DUMMYFUNCTION("""COMPUTED_VALUE"""),"20331A05A3")</f>
        <v>20331A05A3</v>
      </c>
      <c r="C557" s="78" t="str">
        <f ca="1">IFERROR(__xludf.DUMMYFUNCTION("""COMPUTED_VALUE"""),"Redhat linux(RH 124)")</f>
        <v>Redhat linux(RH 124)</v>
      </c>
      <c r="D557" s="9" t="str">
        <f ca="1">IFERROR(__xludf.DUMMYFUNCTION("""COMPUTED_VALUE"""),"Redhat System Administration")</f>
        <v>Redhat System Administration</v>
      </c>
      <c r="E557" s="9" t="str">
        <f ca="1">IFERROR(__xludf.DUMMYFUNCTION("""COMPUTED_VALUE"""),"2 months")</f>
        <v>2 months</v>
      </c>
      <c r="F557" s="79">
        <f ca="1">IFERROR(__xludf.DUMMYFUNCTION("""COMPUTED_VALUE"""),44494)</f>
        <v>44494</v>
      </c>
      <c r="G557" s="79">
        <f ca="1">IFERROR(__xludf.DUMMYFUNCTION("""COMPUTED_VALUE"""),44555)</f>
        <v>44555</v>
      </c>
      <c r="H557" s="72">
        <f ca="1">IFERROR(__xludf.DUMMYFUNCTION("""COMPUTED_VALUE"""),44555)</f>
        <v>44555</v>
      </c>
      <c r="I557" s="80"/>
      <c r="J557" s="9" t="str">
        <f ca="1">IFERROR(__xludf.DUMMYFUNCTION("""COMPUTED_VALUE"""),"K.V.SubhaRaju")</f>
        <v>K.V.SubhaRaju</v>
      </c>
      <c r="K557" s="73" t="str">
        <f ca="1">IFERROR(__xludf.DUMMYFUNCTION("""COMPUTED_VALUE"""),"https://drive.google.com/open?id=1oyxRrs_mpa1Wr7ea1u-YP_v0wp8XFQ7X")</f>
        <v>https://drive.google.com/open?id=1oyxRrs_mpa1Wr7ea1u-YP_v0wp8XFQ7X</v>
      </c>
      <c r="L557" s="9" t="str">
        <f ca="1">IFERROR(__xludf.DUMMYFUNCTION("""COMPUTED_VALUE"""),"2020-2024")</f>
        <v>2020-2024</v>
      </c>
      <c r="M557" s="9" t="str">
        <f ca="1">IFERROR(__xludf.DUMMYFUNCTION("""COMPUTED_VALUE"""),"S4: Student Certifications")</f>
        <v>S4: Student Certifications</v>
      </c>
      <c r="N557" s="9" t="str">
        <f ca="1">IFERROR(__xludf.DUMMYFUNCTION("""COMPUTED_VALUE"""),"praharshitha210@gmail.com")</f>
        <v>praharshitha210@gmail.com</v>
      </c>
      <c r="O557" s="9" t="str">
        <f ca="1">IFERROR(__xludf.DUMMYFUNCTION("""COMPUTED_VALUE"""),"SEM-2")</f>
        <v>SEM-2</v>
      </c>
      <c r="P557" s="9"/>
      <c r="Q557" s="9"/>
      <c r="R557" s="9"/>
      <c r="S557" s="9"/>
      <c r="T557" s="9"/>
      <c r="U557" s="9"/>
      <c r="V557" s="9"/>
      <c r="W557" s="9"/>
      <c r="X557" s="9"/>
      <c r="Y557" s="9"/>
    </row>
    <row r="558" spans="1:25" ht="26.25" customHeight="1" x14ac:dyDescent="0.15">
      <c r="A558" s="9" t="str">
        <f ca="1">IFERROR(__xludf.DUMMYFUNCTION("""COMPUTED_VALUE"""),"K.Charan Teja")</f>
        <v>K.Charan Teja</v>
      </c>
      <c r="B558" s="9" t="str">
        <f ca="1">IFERROR(__xludf.DUMMYFUNCTION("""COMPUTED_VALUE"""),"20331A0587")</f>
        <v>20331A0587</v>
      </c>
      <c r="C558" s="78" t="str">
        <f ca="1">IFERROR(__xludf.DUMMYFUNCTION("""COMPUTED_VALUE"""),"ITYUKTHA-2K22")</f>
        <v>ITYUKTHA-2K22</v>
      </c>
      <c r="D558" s="9" t="str">
        <f ca="1">IFERROR(__xludf.DUMMYFUNCTION("""COMPUTED_VALUE"""),"JNTUGV")</f>
        <v>JNTUGV</v>
      </c>
      <c r="E558" s="9" t="str">
        <f ca="1">IFERROR(__xludf.DUMMYFUNCTION("""COMPUTED_VALUE"""),"2 days")</f>
        <v>2 days</v>
      </c>
      <c r="F558" s="79">
        <f ca="1">IFERROR(__xludf.DUMMYFUNCTION("""COMPUTED_VALUE"""),44650)</f>
        <v>44650</v>
      </c>
      <c r="G558" s="79">
        <f ca="1">IFERROR(__xludf.DUMMYFUNCTION("""COMPUTED_VALUE"""),44651)</f>
        <v>44651</v>
      </c>
      <c r="H558" s="72">
        <f ca="1">IFERROR(__xludf.DUMMYFUNCTION("""COMPUTED_VALUE"""),44651)</f>
        <v>44651</v>
      </c>
      <c r="I558" s="80"/>
      <c r="J558" s="9" t="str">
        <f ca="1">IFERROR(__xludf.DUMMYFUNCTION("""COMPUTED_VALUE"""),"G.jayasuma")</f>
        <v>G.jayasuma</v>
      </c>
      <c r="K558" s="73" t="str">
        <f ca="1">IFERROR(__xludf.DUMMYFUNCTION("""COMPUTED_VALUE"""),"https://drive.google.com/open?id=1lMJZ3oZCH0qJpBElyfqLRPrXbwiJjMEP")</f>
        <v>https://drive.google.com/open?id=1lMJZ3oZCH0qJpBElyfqLRPrXbwiJjMEP</v>
      </c>
      <c r="L558" s="9" t="str">
        <f ca="1">IFERROR(__xludf.DUMMYFUNCTION("""COMPUTED_VALUE"""),"2020-2024")</f>
        <v>2020-2024</v>
      </c>
      <c r="M558" s="9" t="str">
        <f ca="1">IFERROR(__xludf.DUMMYFUNCTION("""COMPUTED_VALUE"""),"S4: Student Certifications")</f>
        <v>S4: Student Certifications</v>
      </c>
      <c r="N558" s="9" t="str">
        <f ca="1">IFERROR(__xludf.DUMMYFUNCTION("""COMPUTED_VALUE"""),"devadeepkolla211@gmail.com")</f>
        <v>devadeepkolla211@gmail.com</v>
      </c>
      <c r="O558" s="9" t="str">
        <f ca="1">IFERROR(__xludf.DUMMYFUNCTION("""COMPUTED_VALUE"""),"SEM-4")</f>
        <v>SEM-4</v>
      </c>
      <c r="P558" s="9"/>
      <c r="Q558" s="9"/>
      <c r="R558" s="9"/>
      <c r="S558" s="9"/>
      <c r="T558" s="9"/>
      <c r="U558" s="9"/>
      <c r="V558" s="9"/>
      <c r="W558" s="9"/>
      <c r="X558" s="9"/>
      <c r="Y558" s="9"/>
    </row>
    <row r="559" spans="1:25" ht="26.25" customHeight="1" x14ac:dyDescent="0.15">
      <c r="A559" s="9" t="str">
        <f ca="1">IFERROR(__xludf.DUMMYFUNCTION("""COMPUTED_VALUE"""),"BOMMI HARSHITGA")</f>
        <v>BOMMI HARSHITGA</v>
      </c>
      <c r="B559" s="9" t="str">
        <f ca="1">IFERROR(__xludf.DUMMYFUNCTION("""COMPUTED_VALUE"""),"20331A0524")</f>
        <v>20331A0524</v>
      </c>
      <c r="C559" s="78" t="str">
        <f ca="1">IFERROR(__xludf.DUMMYFUNCTION("""COMPUTED_VALUE"""),"IT ESSENTIALS")</f>
        <v>IT ESSENTIALS</v>
      </c>
      <c r="D559" s="9" t="str">
        <f ca="1">IFERROR(__xludf.DUMMYFUNCTION("""COMPUTED_VALUE"""),"CISCO")</f>
        <v>CISCO</v>
      </c>
      <c r="E559" s="9" t="str">
        <f ca="1">IFERROR(__xludf.DUMMYFUNCTION("""COMPUTED_VALUE"""),"2 months")</f>
        <v>2 months</v>
      </c>
      <c r="F559" s="79">
        <f ca="1">IFERROR(__xludf.DUMMYFUNCTION("""COMPUTED_VALUE"""),44378)</f>
        <v>44378</v>
      </c>
      <c r="G559" s="79">
        <f ca="1">IFERROR(__xludf.DUMMYFUNCTION("""COMPUTED_VALUE"""),44440)</f>
        <v>44440</v>
      </c>
      <c r="H559" s="72">
        <f ca="1">IFERROR(__xludf.DUMMYFUNCTION("""COMPUTED_VALUE"""),44464)</f>
        <v>44464</v>
      </c>
      <c r="I559" s="80">
        <f ca="1">IFERROR(__xludf.DUMMYFUNCTION("""COMPUTED_VALUE"""),95)</f>
        <v>95</v>
      </c>
      <c r="J559" s="9" t="str">
        <f ca="1">IFERROR(__xludf.DUMMYFUNCTION("""COMPUTED_VALUE"""),"K.SUBBARAJU ")</f>
        <v xml:space="preserve">K.SUBBARAJU </v>
      </c>
      <c r="K559" s="73" t="str">
        <f ca="1">IFERROR(__xludf.DUMMYFUNCTION("""COMPUTED_VALUE"""),"https://drive.google.com/open?id=1LiMEyuEmNEP-JyQwa4-lr4x0Z7NOQKKZ")</f>
        <v>https://drive.google.com/open?id=1LiMEyuEmNEP-JyQwa4-lr4x0Z7NOQKKZ</v>
      </c>
      <c r="L559" s="9" t="str">
        <f ca="1">IFERROR(__xludf.DUMMYFUNCTION("""COMPUTED_VALUE"""),"2020-2024")</f>
        <v>2020-2024</v>
      </c>
      <c r="M559" s="9" t="str">
        <f ca="1">IFERROR(__xludf.DUMMYFUNCTION("""COMPUTED_VALUE"""),"S4: Student Certifications")</f>
        <v>S4: Student Certifications</v>
      </c>
      <c r="N559" s="9" t="str">
        <f ca="1">IFERROR(__xludf.DUMMYFUNCTION("""COMPUTED_VALUE"""),"bommiharshitha0603@gmail.com")</f>
        <v>bommiharshitha0603@gmail.com</v>
      </c>
      <c r="O559" s="9" t="str">
        <f ca="1">IFERROR(__xludf.DUMMYFUNCTION("""COMPUTED_VALUE"""),"SEM-4")</f>
        <v>SEM-4</v>
      </c>
      <c r="P559" s="9"/>
      <c r="Q559" s="9"/>
      <c r="R559" s="9"/>
      <c r="S559" s="9"/>
      <c r="T559" s="9"/>
      <c r="U559" s="9"/>
      <c r="V559" s="9"/>
      <c r="W559" s="9"/>
      <c r="X559" s="9"/>
      <c r="Y559" s="9"/>
    </row>
    <row r="560" spans="1:25" ht="26.25" customHeight="1" x14ac:dyDescent="0.15">
      <c r="A560" s="9" t="str">
        <f ca="1">IFERROR(__xludf.DUMMYFUNCTION("""COMPUTED_VALUE"""),"Madabathula Padma Praharshitha")</f>
        <v>Madabathula Padma Praharshitha</v>
      </c>
      <c r="B560" s="9" t="str">
        <f ca="1">IFERROR(__xludf.DUMMYFUNCTION("""COMPUTED_VALUE"""),"20331A05A3")</f>
        <v>20331A05A3</v>
      </c>
      <c r="C560" s="78" t="str">
        <f ca="1">IFERROR(__xludf.DUMMYFUNCTION("""COMPUTED_VALUE"""),"Redhat linux(RH134)")</f>
        <v>Redhat linux(RH134)</v>
      </c>
      <c r="D560" s="9" t="str">
        <f ca="1">IFERROR(__xludf.DUMMYFUNCTION("""COMPUTED_VALUE"""),"Redhat system Administration")</f>
        <v>Redhat system Administration</v>
      </c>
      <c r="E560" s="9" t="str">
        <f ca="1">IFERROR(__xludf.DUMMYFUNCTION("""COMPUTED_VALUE"""),"2 months")</f>
        <v>2 months</v>
      </c>
      <c r="F560" s="79">
        <f ca="1">IFERROR(__xludf.DUMMYFUNCTION("""COMPUTED_VALUE"""),44494)</f>
        <v>44494</v>
      </c>
      <c r="G560" s="79">
        <f ca="1">IFERROR(__xludf.DUMMYFUNCTION("""COMPUTED_VALUE"""),44555)</f>
        <v>44555</v>
      </c>
      <c r="H560" s="72">
        <f ca="1">IFERROR(__xludf.DUMMYFUNCTION("""COMPUTED_VALUE"""),44555)</f>
        <v>44555</v>
      </c>
      <c r="I560" s="80"/>
      <c r="J560" s="9" t="str">
        <f ca="1">IFERROR(__xludf.DUMMYFUNCTION("""COMPUTED_VALUE"""),"K.V.SubhaRaju")</f>
        <v>K.V.SubhaRaju</v>
      </c>
      <c r="K560" s="73" t="str">
        <f ca="1">IFERROR(__xludf.DUMMYFUNCTION("""COMPUTED_VALUE"""),"https://drive.google.com/open?id=1d9vD1QBmDfwIF3W6hIiCWW4h5GHAugI0")</f>
        <v>https://drive.google.com/open?id=1d9vD1QBmDfwIF3W6hIiCWW4h5GHAugI0</v>
      </c>
      <c r="L560" s="9" t="str">
        <f ca="1">IFERROR(__xludf.DUMMYFUNCTION("""COMPUTED_VALUE"""),"2020-2024")</f>
        <v>2020-2024</v>
      </c>
      <c r="M560" s="9" t="str">
        <f ca="1">IFERROR(__xludf.DUMMYFUNCTION("""COMPUTED_VALUE"""),"S4: Student Certifications")</f>
        <v>S4: Student Certifications</v>
      </c>
      <c r="N560" s="9" t="str">
        <f ca="1">IFERROR(__xludf.DUMMYFUNCTION("""COMPUTED_VALUE"""),"praharshitha210@gmail.com")</f>
        <v>praharshitha210@gmail.com</v>
      </c>
      <c r="O560" s="9" t="str">
        <f ca="1">IFERROR(__xludf.DUMMYFUNCTION("""COMPUTED_VALUE"""),"SEM-3")</f>
        <v>SEM-3</v>
      </c>
      <c r="P560" s="9"/>
      <c r="Q560" s="9"/>
      <c r="R560" s="9"/>
      <c r="S560" s="9"/>
      <c r="T560" s="9"/>
      <c r="U560" s="9"/>
      <c r="V560" s="9"/>
      <c r="W560" s="9"/>
      <c r="X560" s="9"/>
      <c r="Y560" s="9"/>
    </row>
    <row r="561" spans="1:25" ht="26.25" customHeight="1" x14ac:dyDescent="0.15">
      <c r="A561" s="9" t="str">
        <f ca="1">IFERROR(__xludf.DUMMYFUNCTION("""COMPUTED_VALUE"""),"Nukarapu Sai Surya Harshith ")</f>
        <v xml:space="preserve">Nukarapu Sai Surya Harshith </v>
      </c>
      <c r="B561" s="9" t="str">
        <f ca="1">IFERROR(__xludf.DUMMYFUNCTION("""COMPUTED_VALUE"""),"20331A05C8")</f>
        <v>20331A05C8</v>
      </c>
      <c r="C561" s="78" t="str">
        <f ca="1">IFERROR(__xludf.DUMMYFUNCTION("""COMPUTED_VALUE"""),"Linux Automation Virtual Internship")</f>
        <v>Linux Automation Virtual Internship</v>
      </c>
      <c r="D561" s="9" t="str">
        <f ca="1">IFERROR(__xludf.DUMMYFUNCTION("""COMPUTED_VALUE"""),"Redhat Academy ")</f>
        <v xml:space="preserve">Redhat Academy </v>
      </c>
      <c r="E561" s="9" t="str">
        <f ca="1">IFERROR(__xludf.DUMMYFUNCTION("""COMPUTED_VALUE"""),"2 Months")</f>
        <v>2 Months</v>
      </c>
      <c r="F561" s="79">
        <f ca="1">IFERROR(__xludf.DUMMYFUNCTION("""COMPUTED_VALUE"""),44478)</f>
        <v>44478</v>
      </c>
      <c r="G561" s="79">
        <f ca="1">IFERROR(__xludf.DUMMYFUNCTION("""COMPUTED_VALUE"""),44494)</f>
        <v>44494</v>
      </c>
      <c r="H561" s="72">
        <f ca="1">IFERROR(__xludf.DUMMYFUNCTION("""COMPUTED_VALUE"""),44555)</f>
        <v>44555</v>
      </c>
      <c r="I561" s="80"/>
      <c r="J561" s="9" t="str">
        <f ca="1">IFERROR(__xludf.DUMMYFUNCTION("""COMPUTED_VALUE"""),"K. V. Subbaraju ")</f>
        <v xml:space="preserve">K. V. Subbaraju </v>
      </c>
      <c r="K561" s="73" t="str">
        <f ca="1">IFERROR(__xludf.DUMMYFUNCTION("""COMPUTED_VALUE"""),"https://drive.google.com/open?id=1TeCR4HLMsWqwveJIj2vvFhZjbq9PpGSV")</f>
        <v>https://drive.google.com/open?id=1TeCR4HLMsWqwveJIj2vvFhZjbq9PpGSV</v>
      </c>
      <c r="L561" s="9" t="str">
        <f ca="1">IFERROR(__xludf.DUMMYFUNCTION("""COMPUTED_VALUE"""),"2020-2024")</f>
        <v>2020-2024</v>
      </c>
      <c r="M561" s="9" t="str">
        <f ca="1">IFERROR(__xludf.DUMMYFUNCTION("""COMPUTED_VALUE"""),"S4: Student Certifications")</f>
        <v>S4: Student Certifications</v>
      </c>
      <c r="N561" s="9" t="str">
        <f ca="1">IFERROR(__xludf.DUMMYFUNCTION("""COMPUTED_VALUE"""),"harshithnukarapu210@yahoo.com")</f>
        <v>harshithnukarapu210@yahoo.com</v>
      </c>
      <c r="O561" s="9" t="str">
        <f ca="1">IFERROR(__xludf.DUMMYFUNCTION("""COMPUTED_VALUE"""),"SEM-3")</f>
        <v>SEM-3</v>
      </c>
      <c r="P561" s="9"/>
      <c r="Q561" s="9"/>
      <c r="R561" s="9"/>
      <c r="S561" s="9"/>
      <c r="T561" s="9"/>
      <c r="U561" s="9"/>
      <c r="V561" s="9"/>
      <c r="W561" s="9"/>
      <c r="X561" s="9"/>
      <c r="Y561" s="9"/>
    </row>
    <row r="562" spans="1:25" ht="26.25" customHeight="1" x14ac:dyDescent="0.15">
      <c r="A562" s="9" t="str">
        <f ca="1">IFERROR(__xludf.DUMMYFUNCTION("""COMPUTED_VALUE"""),"Tejaswikarthik Nistala")</f>
        <v>Tejaswikarthik Nistala</v>
      </c>
      <c r="B562" s="9" t="str">
        <f ca="1">IFERROR(__xludf.DUMMYFUNCTION("""COMPUTED_VALUE"""),"20331A05C7")</f>
        <v>20331A05C7</v>
      </c>
      <c r="C562" s="78" t="str">
        <f ca="1">IFERROR(__xludf.DUMMYFUNCTION("""COMPUTED_VALUE"""),"Linux Automation virtual internship")</f>
        <v>Linux Automation virtual internship</v>
      </c>
      <c r="D562" s="9" t="str">
        <f ca="1">IFERROR(__xludf.DUMMYFUNCTION("""COMPUTED_VALUE"""),"Red hat academy")</f>
        <v>Red hat academy</v>
      </c>
      <c r="E562" s="9" t="str">
        <f ca="1">IFERROR(__xludf.DUMMYFUNCTION("""COMPUTED_VALUE"""),"2 months")</f>
        <v>2 months</v>
      </c>
      <c r="F562" s="79">
        <f ca="1">IFERROR(__xludf.DUMMYFUNCTION("""COMPUTED_VALUE"""),44494)</f>
        <v>44494</v>
      </c>
      <c r="G562" s="79">
        <f ca="1">IFERROR(__xludf.DUMMYFUNCTION("""COMPUTED_VALUE"""),44555)</f>
        <v>44555</v>
      </c>
      <c r="H562" s="72">
        <f ca="1">IFERROR(__xludf.DUMMYFUNCTION("""COMPUTED_VALUE"""),44555)</f>
        <v>44555</v>
      </c>
      <c r="I562" s="80"/>
      <c r="J562" s="9" t="str">
        <f ca="1">IFERROR(__xludf.DUMMYFUNCTION("""COMPUTED_VALUE"""),"K. V. Subbaraju")</f>
        <v>K. V. Subbaraju</v>
      </c>
      <c r="K562" s="73" t="str">
        <f ca="1">IFERROR(__xludf.DUMMYFUNCTION("""COMPUTED_VALUE"""),"https://drive.google.com/open?id=1zx7EtsWxcpgDi3bY2U3OCgWVposD6Bov")</f>
        <v>https://drive.google.com/open?id=1zx7EtsWxcpgDi3bY2U3OCgWVposD6Bov</v>
      </c>
      <c r="L562" s="9" t="str">
        <f ca="1">IFERROR(__xludf.DUMMYFUNCTION("""COMPUTED_VALUE"""),"2020-2024")</f>
        <v>2020-2024</v>
      </c>
      <c r="M562" s="9" t="str">
        <f ca="1">IFERROR(__xludf.DUMMYFUNCTION("""COMPUTED_VALUE"""),"S4: Student Certifications")</f>
        <v>S4: Student Certifications</v>
      </c>
      <c r="N562" s="9" t="str">
        <f ca="1">IFERROR(__xludf.DUMMYFUNCTION("""COMPUTED_VALUE"""),"tejaswikarthiknistala@gmail.com")</f>
        <v>tejaswikarthiknistala@gmail.com</v>
      </c>
      <c r="O562" s="9" t="str">
        <f ca="1">IFERROR(__xludf.DUMMYFUNCTION("""COMPUTED_VALUE"""),"SEM-3")</f>
        <v>SEM-3</v>
      </c>
      <c r="P562" s="9"/>
      <c r="Q562" s="9"/>
      <c r="R562" s="9"/>
      <c r="S562" s="9"/>
      <c r="T562" s="9"/>
      <c r="U562" s="9"/>
      <c r="V562" s="9"/>
      <c r="W562" s="9"/>
      <c r="X562" s="9"/>
      <c r="Y562" s="9"/>
    </row>
    <row r="563" spans="1:25" ht="26.25" customHeight="1" x14ac:dyDescent="0.15">
      <c r="A563" s="9" t="str">
        <f ca="1">IFERROR(__xludf.DUMMYFUNCTION("""COMPUTED_VALUE"""),"Tejaswikarthik Nistala")</f>
        <v>Tejaswikarthik Nistala</v>
      </c>
      <c r="B563" s="9" t="str">
        <f ca="1">IFERROR(__xludf.DUMMYFUNCTION("""COMPUTED_VALUE"""),"20331A05C7")</f>
        <v>20331A05C7</v>
      </c>
      <c r="C563" s="78" t="str">
        <f ca="1">IFERROR(__xludf.DUMMYFUNCTION("""COMPUTED_VALUE"""),"NDG linux essentials")</f>
        <v>NDG linux essentials</v>
      </c>
      <c r="D563" s="9" t="str">
        <f ca="1">IFERROR(__xludf.DUMMYFUNCTION("""COMPUTED_VALUE"""),"Cisco networking academy")</f>
        <v>Cisco networking academy</v>
      </c>
      <c r="E563" s="9" t="str">
        <f ca="1">IFERROR(__xludf.DUMMYFUNCTION("""COMPUTED_VALUE"""),"3 months")</f>
        <v>3 months</v>
      </c>
      <c r="F563" s="79">
        <f ca="1">IFERROR(__xludf.DUMMYFUNCTION("""COMPUTED_VALUE"""),44562)</f>
        <v>44562</v>
      </c>
      <c r="G563" s="79">
        <f ca="1">IFERROR(__xludf.DUMMYFUNCTION("""COMPUTED_VALUE"""),44651)</f>
        <v>44651</v>
      </c>
      <c r="H563" s="72">
        <f ca="1">IFERROR(__xludf.DUMMYFUNCTION("""COMPUTED_VALUE"""),44651)</f>
        <v>44651</v>
      </c>
      <c r="I563" s="80"/>
      <c r="J563" s="9" t="str">
        <f ca="1">IFERROR(__xludf.DUMMYFUNCTION("""COMPUTED_VALUE"""),"K. V. Subbaraju")</f>
        <v>K. V. Subbaraju</v>
      </c>
      <c r="K563" s="73" t="str">
        <f ca="1">IFERROR(__xludf.DUMMYFUNCTION("""COMPUTED_VALUE"""),"https://drive.google.com/open?id=1aTxFzkWMJR1cFhAQbVY1S978LynkQJJF")</f>
        <v>https://drive.google.com/open?id=1aTxFzkWMJR1cFhAQbVY1S978LynkQJJF</v>
      </c>
      <c r="L563" s="9" t="str">
        <f ca="1">IFERROR(__xludf.DUMMYFUNCTION("""COMPUTED_VALUE"""),"2020-2024")</f>
        <v>2020-2024</v>
      </c>
      <c r="M563" s="9" t="str">
        <f ca="1">IFERROR(__xludf.DUMMYFUNCTION("""COMPUTED_VALUE"""),"S4: Student Certifications")</f>
        <v>S4: Student Certifications</v>
      </c>
      <c r="N563" s="9" t="str">
        <f ca="1">IFERROR(__xludf.DUMMYFUNCTION("""COMPUTED_VALUE"""),"tejaswikarthiknistala@gmail.com")</f>
        <v>tejaswikarthiknistala@gmail.com</v>
      </c>
      <c r="O563" s="9" t="str">
        <f ca="1">IFERROR(__xludf.DUMMYFUNCTION("""COMPUTED_VALUE"""),"SEM-3")</f>
        <v>SEM-3</v>
      </c>
      <c r="P563" s="9"/>
      <c r="Q563" s="9"/>
      <c r="R563" s="9"/>
      <c r="S563" s="9"/>
      <c r="T563" s="9"/>
      <c r="U563" s="9"/>
      <c r="V563" s="9"/>
      <c r="W563" s="9"/>
      <c r="X563" s="9"/>
      <c r="Y563" s="9"/>
    </row>
    <row r="564" spans="1:25" ht="26.25" customHeight="1" x14ac:dyDescent="0.15">
      <c r="A564" s="9" t="str">
        <f ca="1">IFERROR(__xludf.DUMMYFUNCTION("""COMPUTED_VALUE"""),"Madabathula Padma Praharshitha")</f>
        <v>Madabathula Padma Praharshitha</v>
      </c>
      <c r="B564" s="9" t="str">
        <f ca="1">IFERROR(__xludf.DUMMYFUNCTION("""COMPUTED_VALUE"""),"20331A05A3")</f>
        <v>20331A05A3</v>
      </c>
      <c r="C564" s="78" t="str">
        <f ca="1">IFERROR(__xludf.DUMMYFUNCTION("""COMPUTED_VALUE"""),"NDG linux essentials")</f>
        <v>NDG linux essentials</v>
      </c>
      <c r="D564" s="9" t="str">
        <f ca="1">IFERROR(__xludf.DUMMYFUNCTION("""COMPUTED_VALUE"""),"Cisco Networking Academy")</f>
        <v>Cisco Networking Academy</v>
      </c>
      <c r="E564" s="9" t="str">
        <f ca="1">IFERROR(__xludf.DUMMYFUNCTION("""COMPUTED_VALUE"""),"3 months")</f>
        <v>3 months</v>
      </c>
      <c r="F564" s="79">
        <f ca="1">IFERROR(__xludf.DUMMYFUNCTION("""COMPUTED_VALUE"""),44562)</f>
        <v>44562</v>
      </c>
      <c r="G564" s="79">
        <f ca="1">IFERROR(__xludf.DUMMYFUNCTION("""COMPUTED_VALUE"""),44651)</f>
        <v>44651</v>
      </c>
      <c r="H564" s="72">
        <f ca="1">IFERROR(__xludf.DUMMYFUNCTION("""COMPUTED_VALUE"""),44651)</f>
        <v>44651</v>
      </c>
      <c r="I564" s="80"/>
      <c r="J564" s="9" t="str">
        <f ca="1">IFERROR(__xludf.DUMMYFUNCTION("""COMPUTED_VALUE"""),"K.V.Subharaju")</f>
        <v>K.V.Subharaju</v>
      </c>
      <c r="K564" s="73" t="str">
        <f ca="1">IFERROR(__xludf.DUMMYFUNCTION("""COMPUTED_VALUE"""),"https://drive.google.com/open?id=1z9FKsD6U7nTC-TQYyGawgWr7RdiTZSd6")</f>
        <v>https://drive.google.com/open?id=1z9FKsD6U7nTC-TQYyGawgWr7RdiTZSd6</v>
      </c>
      <c r="L564" s="9" t="str">
        <f ca="1">IFERROR(__xludf.DUMMYFUNCTION("""COMPUTED_VALUE"""),"2020-2024")</f>
        <v>2020-2024</v>
      </c>
      <c r="M564" s="9" t="str">
        <f ca="1">IFERROR(__xludf.DUMMYFUNCTION("""COMPUTED_VALUE"""),"S4: Student Certifications")</f>
        <v>S4: Student Certifications</v>
      </c>
      <c r="N564" s="9" t="str">
        <f ca="1">IFERROR(__xludf.DUMMYFUNCTION("""COMPUTED_VALUE"""),"praharshitha210@gmail.com")</f>
        <v>praharshitha210@gmail.com</v>
      </c>
      <c r="O564" s="9" t="str">
        <f ca="1">IFERROR(__xludf.DUMMYFUNCTION("""COMPUTED_VALUE"""),"SEM-3")</f>
        <v>SEM-3</v>
      </c>
      <c r="P564" s="9"/>
      <c r="Q564" s="9"/>
      <c r="R564" s="9"/>
      <c r="S564" s="9"/>
      <c r="T564" s="9"/>
      <c r="U564" s="9"/>
      <c r="V564" s="9"/>
      <c r="W564" s="9"/>
      <c r="X564" s="9"/>
      <c r="Y564" s="9"/>
    </row>
    <row r="565" spans="1:25" ht="26.25" customHeight="1" x14ac:dyDescent="0.15">
      <c r="A565" s="9" t="str">
        <f ca="1">IFERROR(__xludf.DUMMYFUNCTION("""COMPUTED_VALUE"""),"Nukarapu Sai Surya Harshith ")</f>
        <v xml:space="preserve">Nukarapu Sai Surya Harshith </v>
      </c>
      <c r="B565" s="9" t="str">
        <f ca="1">IFERROR(__xludf.DUMMYFUNCTION("""COMPUTED_VALUE"""),"20331A05C8")</f>
        <v>20331A05C8</v>
      </c>
      <c r="C565" s="78" t="str">
        <f ca="1">IFERROR(__xludf.DUMMYFUNCTION("""COMPUTED_VALUE"""),"NDG Linux Essentials ")</f>
        <v xml:space="preserve">NDG Linux Essentials </v>
      </c>
      <c r="D565" s="9" t="str">
        <f ca="1">IFERROR(__xludf.DUMMYFUNCTION("""COMPUTED_VALUE"""),"Cisco Networking academy ")</f>
        <v xml:space="preserve">Cisco Networking academy </v>
      </c>
      <c r="E565" s="9" t="str">
        <f ca="1">IFERROR(__xludf.DUMMYFUNCTION("""COMPUTED_VALUE"""),"3 months ")</f>
        <v xml:space="preserve">3 months </v>
      </c>
      <c r="F565" s="79">
        <f ca="1">IFERROR(__xludf.DUMMYFUNCTION("""COMPUTED_VALUE"""),44562)</f>
        <v>44562</v>
      </c>
      <c r="G565" s="79">
        <f ca="1">IFERROR(__xludf.DUMMYFUNCTION("""COMPUTED_VALUE"""),44651)</f>
        <v>44651</v>
      </c>
      <c r="H565" s="72">
        <f ca="1">IFERROR(__xludf.DUMMYFUNCTION("""COMPUTED_VALUE"""),44651)</f>
        <v>44651</v>
      </c>
      <c r="I565" s="80"/>
      <c r="J565" s="9" t="str">
        <f ca="1">IFERROR(__xludf.DUMMYFUNCTION("""COMPUTED_VALUE"""),"K. V. Subbaraju ")</f>
        <v xml:space="preserve">K. V. Subbaraju </v>
      </c>
      <c r="K565" s="73" t="str">
        <f ca="1">IFERROR(__xludf.DUMMYFUNCTION("""COMPUTED_VALUE"""),"https://drive.google.com/open?id=1TKvjyjGK_LYjM1Pe4Vg6-icNLcx8xeHU")</f>
        <v>https://drive.google.com/open?id=1TKvjyjGK_LYjM1Pe4Vg6-icNLcx8xeHU</v>
      </c>
      <c r="L565" s="9" t="str">
        <f ca="1">IFERROR(__xludf.DUMMYFUNCTION("""COMPUTED_VALUE"""),"2020-2024")</f>
        <v>2020-2024</v>
      </c>
      <c r="M565" s="9" t="str">
        <f ca="1">IFERROR(__xludf.DUMMYFUNCTION("""COMPUTED_VALUE"""),"S4: Student Certifications")</f>
        <v>S4: Student Certifications</v>
      </c>
      <c r="N565" s="9" t="str">
        <f ca="1">IFERROR(__xludf.DUMMYFUNCTION("""COMPUTED_VALUE"""),"harshithnukarapu210@yahoo.com")</f>
        <v>harshithnukarapu210@yahoo.com</v>
      </c>
      <c r="O565" s="9" t="str">
        <f ca="1">IFERROR(__xludf.DUMMYFUNCTION("""COMPUTED_VALUE"""),"SEM-3")</f>
        <v>SEM-3</v>
      </c>
      <c r="P565" s="9"/>
      <c r="Q565" s="9"/>
      <c r="R565" s="9"/>
      <c r="S565" s="9"/>
      <c r="T565" s="9"/>
      <c r="U565" s="9"/>
      <c r="V565" s="9"/>
      <c r="W565" s="9"/>
      <c r="X565" s="9"/>
      <c r="Y565" s="9"/>
    </row>
    <row r="566" spans="1:25" ht="26.25" customHeight="1" x14ac:dyDescent="0.15">
      <c r="A566" s="9" t="str">
        <f ca="1">IFERROR(__xludf.DUMMYFUNCTION("""COMPUTED_VALUE"""),"MOHAMMED ANJUMUL HAQUE")</f>
        <v>MOHAMMED ANJUMUL HAQUE</v>
      </c>
      <c r="B566" s="9" t="str">
        <f ca="1">IFERROR(__xludf.DUMMYFUNCTION("""COMPUTED_VALUE"""),"20331A05B2")</f>
        <v>20331A05B2</v>
      </c>
      <c r="C566" s="78" t="str">
        <f ca="1">IFERROR(__xludf.DUMMYFUNCTION("""COMPUTED_VALUE"""),"IT ESSENTIALS")</f>
        <v>IT ESSENTIALS</v>
      </c>
      <c r="D566" s="9" t="str">
        <f ca="1">IFERROR(__xludf.DUMMYFUNCTION("""COMPUTED_VALUE"""),"CISCO NETWORKING ACADEMY")</f>
        <v>CISCO NETWORKING ACADEMY</v>
      </c>
      <c r="E566" s="9" t="str">
        <f ca="1">IFERROR(__xludf.DUMMYFUNCTION("""COMPUTED_VALUE"""),"2 MONTHS")</f>
        <v>2 MONTHS</v>
      </c>
      <c r="F566" s="79">
        <f ca="1">IFERROR(__xludf.DUMMYFUNCTION("""COMPUTED_VALUE"""),44333)</f>
        <v>44333</v>
      </c>
      <c r="G566" s="79">
        <f ca="1">IFERROR(__xludf.DUMMYFUNCTION("""COMPUTED_VALUE"""),44394)</f>
        <v>44394</v>
      </c>
      <c r="H566" s="72">
        <f ca="1">IFERROR(__xludf.DUMMYFUNCTION("""COMPUTED_VALUE"""),44394)</f>
        <v>44394</v>
      </c>
      <c r="I566" s="80">
        <f ca="1">IFERROR(__xludf.DUMMYFUNCTION("""COMPUTED_VALUE"""),94)</f>
        <v>94</v>
      </c>
      <c r="J566" s="9" t="str">
        <f ca="1">IFERROR(__xludf.DUMMYFUNCTION("""COMPUTED_VALUE"""),"K SUBBA RAJU")</f>
        <v>K SUBBA RAJU</v>
      </c>
      <c r="K566" s="73" t="str">
        <f ca="1">IFERROR(__xludf.DUMMYFUNCTION("""COMPUTED_VALUE"""),"https://drive.google.com/open?id=1Lpp02xPGgkuz4gglZkiLOpSnHOGr7ch_")</f>
        <v>https://drive.google.com/open?id=1Lpp02xPGgkuz4gglZkiLOpSnHOGr7ch_</v>
      </c>
      <c r="L566" s="9" t="str">
        <f ca="1">IFERROR(__xludf.DUMMYFUNCTION("""COMPUTED_VALUE"""),"2020-2024")</f>
        <v>2020-2024</v>
      </c>
      <c r="M566" s="9" t="str">
        <f ca="1">IFERROR(__xludf.DUMMYFUNCTION("""COMPUTED_VALUE"""),"S4: Student Certifications")</f>
        <v>S4: Student Certifications</v>
      </c>
      <c r="N566" s="9" t="str">
        <f ca="1">IFERROR(__xludf.DUMMYFUNCTION("""COMPUTED_VALUE"""),"mdh9390646952@gmail.com")</f>
        <v>mdh9390646952@gmail.com</v>
      </c>
      <c r="O566" s="9" t="str">
        <f ca="1">IFERROR(__xludf.DUMMYFUNCTION("""COMPUTED_VALUE"""),"SEM-2")</f>
        <v>SEM-2</v>
      </c>
      <c r="P566" s="9"/>
      <c r="Q566" s="9"/>
      <c r="R566" s="9"/>
      <c r="S566" s="9"/>
      <c r="T566" s="9"/>
      <c r="U566" s="9"/>
      <c r="V566" s="9"/>
      <c r="W566" s="9"/>
      <c r="X566" s="9"/>
      <c r="Y566" s="9"/>
    </row>
    <row r="567" spans="1:25" ht="26.25" customHeight="1" x14ac:dyDescent="0.15">
      <c r="A567" s="9" t="str">
        <f ca="1">IFERROR(__xludf.DUMMYFUNCTION("""COMPUTED_VALUE"""),"Nimishakavi V S R Srujan ")</f>
        <v xml:space="preserve">Nimishakavi V S R Srujan </v>
      </c>
      <c r="B567" s="9" t="str">
        <f ca="1">IFERROR(__xludf.DUMMYFUNCTION("""COMPUTED_VALUE"""),"20331A05C6")</f>
        <v>20331A05C6</v>
      </c>
      <c r="C567" s="78" t="str">
        <f ca="1">IFERROR(__xludf.DUMMYFUNCTION("""COMPUTED_VALUE"""),"NDG Linux Essentials")</f>
        <v>NDG Linux Essentials</v>
      </c>
      <c r="D567" s="9" t="str">
        <f ca="1">IFERROR(__xludf.DUMMYFUNCTION("""COMPUTED_VALUE"""),"Cisco Networking Academy ")</f>
        <v xml:space="preserve">Cisco Networking Academy </v>
      </c>
      <c r="E567" s="9" t="str">
        <f ca="1">IFERROR(__xludf.DUMMYFUNCTION("""COMPUTED_VALUE"""),"2 months")</f>
        <v>2 months</v>
      </c>
      <c r="F567" s="79">
        <f ca="1">IFERROR(__xludf.DUMMYFUNCTION("""COMPUTED_VALUE"""),44524)</f>
        <v>44524</v>
      </c>
      <c r="G567" s="79">
        <f ca="1">IFERROR(__xludf.DUMMYFUNCTION("""COMPUTED_VALUE"""),44585)</f>
        <v>44585</v>
      </c>
      <c r="H567" s="72">
        <f ca="1">IFERROR(__xludf.DUMMYFUNCTION("""COMPUTED_VALUE"""),44585)</f>
        <v>44585</v>
      </c>
      <c r="I567" s="80">
        <f ca="1">IFERROR(__xludf.DUMMYFUNCTION("""COMPUTED_VALUE"""),0.95)</f>
        <v>0.95</v>
      </c>
      <c r="J567" s="9" t="str">
        <f ca="1">IFERROR(__xludf.DUMMYFUNCTION("""COMPUTED_VALUE"""),"K Subbu Raju")</f>
        <v>K Subbu Raju</v>
      </c>
      <c r="K567" s="73" t="str">
        <f ca="1">IFERROR(__xludf.DUMMYFUNCTION("""COMPUTED_VALUE"""),"https://drive.google.com/open?id=1asfdN6lSuj55iV4vkzAY9juwk-RRH0uu")</f>
        <v>https://drive.google.com/open?id=1asfdN6lSuj55iV4vkzAY9juwk-RRH0uu</v>
      </c>
      <c r="L567" s="9" t="str">
        <f ca="1">IFERROR(__xludf.DUMMYFUNCTION("""COMPUTED_VALUE"""),"2020-2024")</f>
        <v>2020-2024</v>
      </c>
      <c r="M567" s="9" t="str">
        <f ca="1">IFERROR(__xludf.DUMMYFUNCTION("""COMPUTED_VALUE"""),"S4: Student Certifications")</f>
        <v>S4: Student Certifications</v>
      </c>
      <c r="N567" s="9" t="str">
        <f ca="1">IFERROR(__xludf.DUMMYFUNCTION("""COMPUTED_VALUE"""),"srujanraghc@gmail.com")</f>
        <v>srujanraghc@gmail.com</v>
      </c>
      <c r="O567" s="9" t="str">
        <f ca="1">IFERROR(__xludf.DUMMYFUNCTION("""COMPUTED_VALUE"""),"SEM-3")</f>
        <v>SEM-3</v>
      </c>
      <c r="P567" s="9"/>
      <c r="Q567" s="9"/>
      <c r="R567" s="9"/>
      <c r="S567" s="9"/>
      <c r="T567" s="9"/>
      <c r="U567" s="9"/>
      <c r="V567" s="9"/>
      <c r="W567" s="9"/>
      <c r="X567" s="9"/>
      <c r="Y567" s="9"/>
    </row>
    <row r="568" spans="1:25" ht="26.25" customHeight="1" x14ac:dyDescent="0.15">
      <c r="A568" s="9" t="str">
        <f ca="1">IFERROR(__xludf.DUMMYFUNCTION("""COMPUTED_VALUE"""),"GUNTREDDI UDAYCHANDU")</f>
        <v>GUNTREDDI UDAYCHANDU</v>
      </c>
      <c r="B568" s="9" t="str">
        <f ca="1">IFERROR(__xludf.DUMMYFUNCTION("""COMPUTED_VALUE"""),"20331A0569")</f>
        <v>20331A0569</v>
      </c>
      <c r="C568" s="78" t="str">
        <f ca="1">IFERROR(__xludf.DUMMYFUNCTION("""COMPUTED_VALUE"""),"NDG LINUX ESSENTIALS")</f>
        <v>NDG LINUX ESSENTIALS</v>
      </c>
      <c r="D568" s="9" t="str">
        <f ca="1">IFERROR(__xludf.DUMMYFUNCTION("""COMPUTED_VALUE"""),"CISCO NETWORKING ACADEMY")</f>
        <v>CISCO NETWORKING ACADEMY</v>
      </c>
      <c r="E568" s="9" t="str">
        <f ca="1">IFERROR(__xludf.DUMMYFUNCTION("""COMPUTED_VALUE"""),"2months")</f>
        <v>2months</v>
      </c>
      <c r="F568" s="79">
        <f ca="1">IFERROR(__xludf.DUMMYFUNCTION("""COMPUTED_VALUE"""),44524)</f>
        <v>44524</v>
      </c>
      <c r="G568" s="79">
        <f ca="1">IFERROR(__xludf.DUMMYFUNCTION("""COMPUTED_VALUE"""),44585)</f>
        <v>44585</v>
      </c>
      <c r="H568" s="72">
        <f ca="1">IFERROR(__xludf.DUMMYFUNCTION("""COMPUTED_VALUE"""),44585)</f>
        <v>44585</v>
      </c>
      <c r="I568" s="80">
        <f ca="1">IFERROR(__xludf.DUMMYFUNCTION("""COMPUTED_VALUE"""),0.92)</f>
        <v>0.92</v>
      </c>
      <c r="J568" s="9" t="str">
        <f ca="1">IFERROR(__xludf.DUMMYFUNCTION("""COMPUTED_VALUE"""),"K subharaju")</f>
        <v>K subharaju</v>
      </c>
      <c r="K568" s="73" t="str">
        <f ca="1">IFERROR(__xludf.DUMMYFUNCTION("""COMPUTED_VALUE"""),"https://drive.google.com/open?id=1NufJUKEeVtUmXpXptTvkpK5zq_97wpre")</f>
        <v>https://drive.google.com/open?id=1NufJUKEeVtUmXpXptTvkpK5zq_97wpre</v>
      </c>
      <c r="L568" s="9" t="str">
        <f ca="1">IFERROR(__xludf.DUMMYFUNCTION("""COMPUTED_VALUE"""),"2020-2024")</f>
        <v>2020-2024</v>
      </c>
      <c r="M568" s="9" t="str">
        <f ca="1">IFERROR(__xludf.DUMMYFUNCTION("""COMPUTED_VALUE"""),"S4: Student Certifications")</f>
        <v>S4: Student Certifications</v>
      </c>
      <c r="N568" s="9" t="str">
        <f ca="1">IFERROR(__xludf.DUMMYFUNCTION("""COMPUTED_VALUE"""),"udaychandu2001@gmail.com")</f>
        <v>udaychandu2001@gmail.com</v>
      </c>
      <c r="O568" s="9" t="str">
        <f ca="1">IFERROR(__xludf.DUMMYFUNCTION("""COMPUTED_VALUE"""),"SEM-3")</f>
        <v>SEM-3</v>
      </c>
      <c r="P568" s="9"/>
      <c r="Q568" s="9"/>
      <c r="R568" s="9"/>
      <c r="S568" s="9"/>
      <c r="T568" s="9"/>
      <c r="U568" s="9"/>
      <c r="V568" s="9"/>
      <c r="W568" s="9"/>
      <c r="X568" s="9"/>
      <c r="Y568" s="9"/>
    </row>
    <row r="569" spans="1:25" ht="26.25" customHeight="1" x14ac:dyDescent="0.15">
      <c r="A569" s="9" t="str">
        <f ca="1">IFERROR(__xludf.DUMMYFUNCTION("""COMPUTED_VALUE"""),"Madabathula Padma Praharshitha ")</f>
        <v xml:space="preserve">Madabathula Padma Praharshitha </v>
      </c>
      <c r="B569" s="9" t="str">
        <f ca="1">IFERROR(__xludf.DUMMYFUNCTION("""COMPUTED_VALUE"""),"20331A05A3")</f>
        <v>20331A05A3</v>
      </c>
      <c r="C569" s="78" t="str">
        <f ca="1">IFERROR(__xludf.DUMMYFUNCTION("""COMPUTED_VALUE"""),"Linux Automation Virtual Internship ")</f>
        <v xml:space="preserve">Linux Automation Virtual Internship </v>
      </c>
      <c r="D569" s="9" t="str">
        <f ca="1">IFERROR(__xludf.DUMMYFUNCTION("""COMPUTED_VALUE"""),"Redhat Academy ")</f>
        <v xml:space="preserve">Redhat Academy </v>
      </c>
      <c r="E569" s="9" t="str">
        <f ca="1">IFERROR(__xludf.DUMMYFUNCTION("""COMPUTED_VALUE"""),"2 months ")</f>
        <v xml:space="preserve">2 months </v>
      </c>
      <c r="F569" s="79">
        <f ca="1">IFERROR(__xludf.DUMMYFUNCTION("""COMPUTED_VALUE"""),44494)</f>
        <v>44494</v>
      </c>
      <c r="G569" s="79">
        <f ca="1">IFERROR(__xludf.DUMMYFUNCTION("""COMPUTED_VALUE"""),44555)</f>
        <v>44555</v>
      </c>
      <c r="H569" s="72">
        <f ca="1">IFERROR(__xludf.DUMMYFUNCTION("""COMPUTED_VALUE"""),44555)</f>
        <v>44555</v>
      </c>
      <c r="I569" s="80"/>
      <c r="J569" s="9" t="str">
        <f ca="1">IFERROR(__xludf.DUMMYFUNCTION("""COMPUTED_VALUE"""),"K.V.Subharaju")</f>
        <v>K.V.Subharaju</v>
      </c>
      <c r="K569" s="73" t="str">
        <f ca="1">IFERROR(__xludf.DUMMYFUNCTION("""COMPUTED_VALUE"""),"https://drive.google.com/open?id=1U_VxK33JE_p7E3AnkwGdPKTxmcdgNasc")</f>
        <v>https://drive.google.com/open?id=1U_VxK33JE_p7E3AnkwGdPKTxmcdgNasc</v>
      </c>
      <c r="L569" s="9" t="str">
        <f ca="1">IFERROR(__xludf.DUMMYFUNCTION("""COMPUTED_VALUE"""),"2020-2024")</f>
        <v>2020-2024</v>
      </c>
      <c r="M569" s="9" t="str">
        <f ca="1">IFERROR(__xludf.DUMMYFUNCTION("""COMPUTED_VALUE"""),"S4: Student Certifications")</f>
        <v>S4: Student Certifications</v>
      </c>
      <c r="N569" s="9" t="str">
        <f ca="1">IFERROR(__xludf.DUMMYFUNCTION("""COMPUTED_VALUE"""),"praharshitha210@gmail.com")</f>
        <v>praharshitha210@gmail.com</v>
      </c>
      <c r="O569" s="9" t="str">
        <f ca="1">IFERROR(__xludf.DUMMYFUNCTION("""COMPUTED_VALUE"""),"SEM-3")</f>
        <v>SEM-3</v>
      </c>
      <c r="P569" s="9"/>
      <c r="Q569" s="9"/>
      <c r="R569" s="9"/>
      <c r="S569" s="9"/>
      <c r="T569" s="9"/>
      <c r="U569" s="9"/>
      <c r="V569" s="9"/>
      <c r="W569" s="9"/>
      <c r="X569" s="9"/>
      <c r="Y569" s="9"/>
    </row>
    <row r="570" spans="1:25" ht="26.25" customHeight="1" x14ac:dyDescent="0.15">
      <c r="A570" s="9" t="str">
        <f ca="1">IFERROR(__xludf.DUMMYFUNCTION("""COMPUTED_VALUE"""),"DEVARAJU")</f>
        <v>DEVARAJU</v>
      </c>
      <c r="B570" s="9" t="str">
        <f ca="1">IFERROR(__xludf.DUMMYFUNCTION("""COMPUTED_VALUE"""),"20331A0592")</f>
        <v>20331A0592</v>
      </c>
      <c r="C570" s="78" t="str">
        <f ca="1">IFERROR(__xludf.DUMMYFUNCTION("""COMPUTED_VALUE"""),"IT essentials")</f>
        <v>IT essentials</v>
      </c>
      <c r="D570" s="9" t="str">
        <f ca="1">IFERROR(__xludf.DUMMYFUNCTION("""COMPUTED_VALUE"""),"Cisco")</f>
        <v>Cisco</v>
      </c>
      <c r="E570" s="9" t="str">
        <f ca="1">IFERROR(__xludf.DUMMYFUNCTION("""COMPUTED_VALUE"""),"10 weeks")</f>
        <v>10 weeks</v>
      </c>
      <c r="F570" s="79">
        <f ca="1">IFERROR(__xludf.DUMMYFUNCTION("""COMPUTED_VALUE"""),44298)</f>
        <v>44298</v>
      </c>
      <c r="G570" s="79">
        <f ca="1">IFERROR(__xludf.DUMMYFUNCTION("""COMPUTED_VALUE"""),44387)</f>
        <v>44387</v>
      </c>
      <c r="H570" s="72">
        <f ca="1">IFERROR(__xludf.DUMMYFUNCTION("""COMPUTED_VALUE"""),44387)</f>
        <v>44387</v>
      </c>
      <c r="I570" s="80">
        <f ca="1">IFERROR(__xludf.DUMMYFUNCTION("""COMPUTED_VALUE"""),0.9)</f>
        <v>0.9</v>
      </c>
      <c r="J570" s="9" t="str">
        <f ca="1">IFERROR(__xludf.DUMMYFUNCTION("""COMPUTED_VALUE"""),"K V.SubbaRaju")</f>
        <v>K V.SubbaRaju</v>
      </c>
      <c r="K570" s="73" t="str">
        <f ca="1">IFERROR(__xludf.DUMMYFUNCTION("""COMPUTED_VALUE"""),"https://drive.google.com/open?id=1jFahULrBJExN0gHP4_RddGjUIpadqYGs")</f>
        <v>https://drive.google.com/open?id=1jFahULrBJExN0gHP4_RddGjUIpadqYGs</v>
      </c>
      <c r="L570" s="9" t="str">
        <f ca="1">IFERROR(__xludf.DUMMYFUNCTION("""COMPUTED_VALUE"""),"2020-2024")</f>
        <v>2020-2024</v>
      </c>
      <c r="M570" s="9" t="str">
        <f ca="1">IFERROR(__xludf.DUMMYFUNCTION("""COMPUTED_VALUE"""),"S4: Student Certifications")</f>
        <v>S4: Student Certifications</v>
      </c>
      <c r="N570" s="9" t="str">
        <f ca="1">IFERROR(__xludf.DUMMYFUNCTION("""COMPUTED_VALUE"""),"devaraj20112002@gmail.com")</f>
        <v>devaraj20112002@gmail.com</v>
      </c>
      <c r="O570" s="9" t="str">
        <f ca="1">IFERROR(__xludf.DUMMYFUNCTION("""COMPUTED_VALUE"""),"SEM-4")</f>
        <v>SEM-4</v>
      </c>
      <c r="P570" s="9"/>
      <c r="Q570" s="9"/>
      <c r="R570" s="9"/>
      <c r="S570" s="9"/>
      <c r="T570" s="9"/>
      <c r="U570" s="9"/>
      <c r="V570" s="9"/>
      <c r="W570" s="9"/>
      <c r="X570" s="9"/>
      <c r="Y570" s="9"/>
    </row>
    <row r="571" spans="1:25" ht="26.25" customHeight="1" x14ac:dyDescent="0.15">
      <c r="A571" s="9" t="str">
        <f ca="1">IFERROR(__xludf.DUMMYFUNCTION("""COMPUTED_VALUE"""),"KURELLA AMAR SAI PREETAM")</f>
        <v>KURELLA AMAR SAI PREETAM</v>
      </c>
      <c r="B571" s="9" t="str">
        <f ca="1">IFERROR(__xludf.DUMMYFUNCTION("""COMPUTED_VALUE"""),"20331A0596")</f>
        <v>20331A0596</v>
      </c>
      <c r="C571" s="78" t="str">
        <f ca="1">IFERROR(__xludf.DUMMYFUNCTION("""COMPUTED_VALUE"""),"Linux automation virtual internships")</f>
        <v>Linux automation virtual internships</v>
      </c>
      <c r="D571" s="9" t="str">
        <f ca="1">IFERROR(__xludf.DUMMYFUNCTION("""COMPUTED_VALUE"""),"Redhat academy")</f>
        <v>Redhat academy</v>
      </c>
      <c r="E571" s="9" t="str">
        <f ca="1">IFERROR(__xludf.DUMMYFUNCTION("""COMPUTED_VALUE"""),"2 months")</f>
        <v>2 months</v>
      </c>
      <c r="F571" s="79">
        <f ca="1">IFERROR(__xludf.DUMMYFUNCTION("""COMPUTED_VALUE"""),44494)</f>
        <v>44494</v>
      </c>
      <c r="G571" s="79">
        <f ca="1">IFERROR(__xludf.DUMMYFUNCTION("""COMPUTED_VALUE"""),44555)</f>
        <v>44555</v>
      </c>
      <c r="H571" s="72">
        <f ca="1">IFERROR(__xludf.DUMMYFUNCTION("""COMPUTED_VALUE"""),44555)</f>
        <v>44555</v>
      </c>
      <c r="I571" s="80"/>
      <c r="J571" s="9" t="str">
        <f ca="1">IFERROR(__xludf.DUMMYFUNCTION("""COMPUTED_VALUE"""),"K.V. Subbaraju")</f>
        <v>K.V. Subbaraju</v>
      </c>
      <c r="K571" s="73" t="str">
        <f ca="1">IFERROR(__xludf.DUMMYFUNCTION("""COMPUTED_VALUE"""),"https://drive.google.com/open?id=16ASI1cuPXrKt31VDEX93KvQ581UNata8")</f>
        <v>https://drive.google.com/open?id=16ASI1cuPXrKt31VDEX93KvQ581UNata8</v>
      </c>
      <c r="L571" s="9" t="str">
        <f ca="1">IFERROR(__xludf.DUMMYFUNCTION("""COMPUTED_VALUE"""),"2020-2024")</f>
        <v>2020-2024</v>
      </c>
      <c r="M571" s="9" t="str">
        <f ca="1">IFERROR(__xludf.DUMMYFUNCTION("""COMPUTED_VALUE"""),"S4: Student Certifications")</f>
        <v>S4: Student Certifications</v>
      </c>
      <c r="N571" s="9" t="str">
        <f ca="1">IFERROR(__xludf.DUMMYFUNCTION("""COMPUTED_VALUE"""),"preetamkurella@gmail.com")</f>
        <v>preetamkurella@gmail.com</v>
      </c>
      <c r="O571" s="9" t="str">
        <f ca="1">IFERROR(__xludf.DUMMYFUNCTION("""COMPUTED_VALUE"""),"SEM-3")</f>
        <v>SEM-3</v>
      </c>
      <c r="P571" s="9"/>
      <c r="Q571" s="9"/>
      <c r="R571" s="9"/>
      <c r="S571" s="9"/>
      <c r="T571" s="9"/>
      <c r="U571" s="9"/>
      <c r="V571" s="9"/>
      <c r="W571" s="9"/>
      <c r="X571" s="9"/>
      <c r="Y571" s="9"/>
    </row>
    <row r="572" spans="1:25" ht="26.25" customHeight="1" x14ac:dyDescent="0.15">
      <c r="A572" s="9" t="str">
        <f ca="1">IFERROR(__xludf.DUMMYFUNCTION("""COMPUTED_VALUE"""),"GUNTREDDI UDAYCHANDU ")</f>
        <v xml:space="preserve">GUNTREDDI UDAYCHANDU </v>
      </c>
      <c r="B572" s="9" t="str">
        <f ca="1">IFERROR(__xludf.DUMMYFUNCTION("""COMPUTED_VALUE"""),"20331A0659")</f>
        <v>20331A0659</v>
      </c>
      <c r="C572" s="78" t="str">
        <f ca="1">IFERROR(__xludf.DUMMYFUNCTION("""COMPUTED_VALUE"""),"IT Essentials")</f>
        <v>IT Essentials</v>
      </c>
      <c r="D572" s="9" t="str">
        <f ca="1">IFERROR(__xludf.DUMMYFUNCTION("""COMPUTED_VALUE"""),"CISCO NETWORKING ACADEMY")</f>
        <v>CISCO NETWORKING ACADEMY</v>
      </c>
      <c r="E572" s="9" t="str">
        <f ca="1">IFERROR(__xludf.DUMMYFUNCTION("""COMPUTED_VALUE"""),"2 months")</f>
        <v>2 months</v>
      </c>
      <c r="F572" s="79">
        <f ca="1">IFERROR(__xludf.DUMMYFUNCTION("""COMPUTED_VALUE"""),44333)</f>
        <v>44333</v>
      </c>
      <c r="G572" s="79">
        <f ca="1">IFERROR(__xludf.DUMMYFUNCTION("""COMPUTED_VALUE"""),44394)</f>
        <v>44394</v>
      </c>
      <c r="H572" s="72">
        <f ca="1">IFERROR(__xludf.DUMMYFUNCTION("""COMPUTED_VALUE"""),44394)</f>
        <v>44394</v>
      </c>
      <c r="I572" s="80">
        <f ca="1">IFERROR(__xludf.DUMMYFUNCTION("""COMPUTED_VALUE"""),0.92)</f>
        <v>0.92</v>
      </c>
      <c r="J572" s="9" t="str">
        <f ca="1">IFERROR(__xludf.DUMMYFUNCTION("""COMPUTED_VALUE"""),"K.subharaju")</f>
        <v>K.subharaju</v>
      </c>
      <c r="K572" s="73" t="str">
        <f ca="1">IFERROR(__xludf.DUMMYFUNCTION("""COMPUTED_VALUE"""),"https://drive.google.com/open?id=1J1uudxn4EbQFRAxanIm_1_diR2O7kAb6")</f>
        <v>https://drive.google.com/open?id=1J1uudxn4EbQFRAxanIm_1_diR2O7kAb6</v>
      </c>
      <c r="L572" s="9" t="str">
        <f ca="1">IFERROR(__xludf.DUMMYFUNCTION("""COMPUTED_VALUE"""),"2020-2024")</f>
        <v>2020-2024</v>
      </c>
      <c r="M572" s="9" t="str">
        <f ca="1">IFERROR(__xludf.DUMMYFUNCTION("""COMPUTED_VALUE"""),"S4: Student Certifications")</f>
        <v>S4: Student Certifications</v>
      </c>
      <c r="N572" s="9" t="str">
        <f ca="1">IFERROR(__xludf.DUMMYFUNCTION("""COMPUTED_VALUE"""),"udaychandu2001@gmail.com")</f>
        <v>udaychandu2001@gmail.com</v>
      </c>
      <c r="O572" s="9" t="str">
        <f ca="1">IFERROR(__xludf.DUMMYFUNCTION("""COMPUTED_VALUE"""),"SEM-2")</f>
        <v>SEM-2</v>
      </c>
      <c r="P572" s="9"/>
      <c r="Q572" s="9"/>
      <c r="R572" s="9"/>
      <c r="S572" s="9"/>
      <c r="T572" s="9"/>
      <c r="U572" s="9"/>
      <c r="V572" s="9"/>
      <c r="W572" s="9"/>
      <c r="X572" s="9"/>
      <c r="Y572" s="9"/>
    </row>
    <row r="573" spans="1:25" ht="26.25" customHeight="1" x14ac:dyDescent="0.15">
      <c r="A573" s="9" t="str">
        <f ca="1">IFERROR(__xludf.DUMMYFUNCTION("""COMPUTED_VALUE"""),"MOHAMMED ANJUMUL HAQUE")</f>
        <v>MOHAMMED ANJUMUL HAQUE</v>
      </c>
      <c r="B573" s="9" t="str">
        <f ca="1">IFERROR(__xludf.DUMMYFUNCTION("""COMPUTED_VALUE"""),"20331A05B2")</f>
        <v>20331A05B2</v>
      </c>
      <c r="C573" s="78" t="str">
        <f ca="1">IFERROR(__xludf.DUMMYFUNCTION("""COMPUTED_VALUE"""),"NDG LINUX ESSENTIALS")</f>
        <v>NDG LINUX ESSENTIALS</v>
      </c>
      <c r="D573" s="9" t="str">
        <f ca="1">IFERROR(__xludf.DUMMYFUNCTION("""COMPUTED_VALUE"""),"CISCO NETWORKING ACADEMY")</f>
        <v>CISCO NETWORKING ACADEMY</v>
      </c>
      <c r="E573" s="9" t="str">
        <f ca="1">IFERROR(__xludf.DUMMYFUNCTION("""COMPUTED_VALUE"""),"2 months")</f>
        <v>2 months</v>
      </c>
      <c r="F573" s="79">
        <f ca="1">IFERROR(__xludf.DUMMYFUNCTION("""COMPUTED_VALUE"""),44514)</f>
        <v>44514</v>
      </c>
      <c r="G573" s="79">
        <f ca="1">IFERROR(__xludf.DUMMYFUNCTION("""COMPUTED_VALUE"""),44575)</f>
        <v>44575</v>
      </c>
      <c r="H573" s="72">
        <f ca="1">IFERROR(__xludf.DUMMYFUNCTION("""COMPUTED_VALUE"""),44575)</f>
        <v>44575</v>
      </c>
      <c r="I573" s="80">
        <f ca="1">IFERROR(__xludf.DUMMYFUNCTION("""COMPUTED_VALUE"""),94)</f>
        <v>94</v>
      </c>
      <c r="J573" s="9" t="str">
        <f ca="1">IFERROR(__xludf.DUMMYFUNCTION("""COMPUTED_VALUE"""),"K SUBBA RAJU")</f>
        <v>K SUBBA RAJU</v>
      </c>
      <c r="K573" s="73" t="str">
        <f ca="1">IFERROR(__xludf.DUMMYFUNCTION("""COMPUTED_VALUE"""),"https://drive.google.com/open?id=1O9IChSxdXxCNQaVY-oWkutdb5PWmDKzV")</f>
        <v>https://drive.google.com/open?id=1O9IChSxdXxCNQaVY-oWkutdb5PWmDKzV</v>
      </c>
      <c r="L573" s="9" t="str">
        <f ca="1">IFERROR(__xludf.DUMMYFUNCTION("""COMPUTED_VALUE"""),"2020-2024")</f>
        <v>2020-2024</v>
      </c>
      <c r="M573" s="9" t="str">
        <f ca="1">IFERROR(__xludf.DUMMYFUNCTION("""COMPUTED_VALUE"""),"S4: Student Certifications")</f>
        <v>S4: Student Certifications</v>
      </c>
      <c r="N573" s="9" t="str">
        <f ca="1">IFERROR(__xludf.DUMMYFUNCTION("""COMPUTED_VALUE"""),"mdh9390646952@gmail.com")</f>
        <v>mdh9390646952@gmail.com</v>
      </c>
      <c r="O573" s="9" t="str">
        <f ca="1">IFERROR(__xludf.DUMMYFUNCTION("""COMPUTED_VALUE"""),"SEM-3")</f>
        <v>SEM-3</v>
      </c>
      <c r="P573" s="9"/>
      <c r="Q573" s="9"/>
      <c r="R573" s="9"/>
      <c r="S573" s="9"/>
      <c r="T573" s="9"/>
      <c r="U573" s="9"/>
      <c r="V573" s="9"/>
      <c r="W573" s="9"/>
      <c r="X573" s="9"/>
      <c r="Y573" s="9"/>
    </row>
    <row r="574" spans="1:25" ht="26.25" customHeight="1" x14ac:dyDescent="0.15">
      <c r="A574" s="9" t="str">
        <f ca="1">IFERROR(__xludf.DUMMYFUNCTION("""COMPUTED_VALUE"""),"Sumanth Varma Dandu")</f>
        <v>Sumanth Varma Dandu</v>
      </c>
      <c r="B574" s="9" t="str">
        <f ca="1">IFERROR(__xludf.DUMMYFUNCTION("""COMPUTED_VALUE"""),"18331A0530")</f>
        <v>18331A0530</v>
      </c>
      <c r="C574" s="78" t="str">
        <f ca="1">IFERROR(__xludf.DUMMYFUNCTION("""COMPUTED_VALUE"""),"C programming")</f>
        <v>C programming</v>
      </c>
      <c r="D574" s="9" t="str">
        <f ca="1">IFERROR(__xludf.DUMMYFUNCTION("""COMPUTED_VALUE"""),"APEC")</f>
        <v>APEC</v>
      </c>
      <c r="E574" s="9" t="str">
        <f ca="1">IFERROR(__xludf.DUMMYFUNCTION("""COMPUTED_VALUE"""),"1 month")</f>
        <v>1 month</v>
      </c>
      <c r="F574" s="79">
        <f ca="1">IFERROR(__xludf.DUMMYFUNCTION("""COMPUTED_VALUE"""),43586)</f>
        <v>43586</v>
      </c>
      <c r="G574" s="79">
        <f ca="1">IFERROR(__xludf.DUMMYFUNCTION("""COMPUTED_VALUE"""),43617)</f>
        <v>43617</v>
      </c>
      <c r="H574" s="72">
        <f ca="1">IFERROR(__xludf.DUMMYFUNCTION("""COMPUTED_VALUE"""),43617)</f>
        <v>43617</v>
      </c>
      <c r="I574" s="80">
        <f ca="1">IFERROR(__xludf.DUMMYFUNCTION("""COMPUTED_VALUE"""),79)</f>
        <v>79</v>
      </c>
      <c r="J574" s="9" t="str">
        <f ca="1">IFERROR(__xludf.DUMMYFUNCTION("""COMPUTED_VALUE"""),"Satish")</f>
        <v>Satish</v>
      </c>
      <c r="K574" s="73" t="str">
        <f ca="1">IFERROR(__xludf.DUMMYFUNCTION("""COMPUTED_VALUE"""),"https://drive.google.com/open?id=1YYUrz4lf5EsBXTEPXNdUQAuk65vmtV5M")</f>
        <v>https://drive.google.com/open?id=1YYUrz4lf5EsBXTEPXNdUQAuk65vmtV5M</v>
      </c>
      <c r="L574" s="9" t="str">
        <f ca="1">IFERROR(__xludf.DUMMYFUNCTION("""COMPUTED_VALUE"""),"2018-2022")</f>
        <v>2018-2022</v>
      </c>
      <c r="M574" s="9" t="str">
        <f ca="1">IFERROR(__xludf.DUMMYFUNCTION("""COMPUTED_VALUE"""),"S4: Student Certifications")</f>
        <v>S4: Student Certifications</v>
      </c>
      <c r="N574" s="9" t="str">
        <f ca="1">IFERROR(__xludf.DUMMYFUNCTION("""COMPUTED_VALUE"""),"dsumanthvarma6@gmail.com")</f>
        <v>dsumanthvarma6@gmail.com</v>
      </c>
      <c r="O574" s="9" t="str">
        <f ca="1">IFERROR(__xludf.DUMMYFUNCTION("""COMPUTED_VALUE"""),"SEM-8")</f>
        <v>SEM-8</v>
      </c>
      <c r="P574" s="9"/>
      <c r="Q574" s="9"/>
      <c r="R574" s="9"/>
      <c r="S574" s="9"/>
      <c r="T574" s="9"/>
      <c r="U574" s="9"/>
      <c r="V574" s="9"/>
      <c r="W574" s="9"/>
      <c r="X574" s="9"/>
      <c r="Y574" s="9"/>
    </row>
    <row r="575" spans="1:25" ht="26.25" customHeight="1" x14ac:dyDescent="0.15">
      <c r="A575" s="9" t="str">
        <f ca="1">IFERROR(__xludf.DUMMYFUNCTION("""COMPUTED_VALUE"""),"Kavala jyothsna")</f>
        <v>Kavala jyothsna</v>
      </c>
      <c r="B575" s="9" t="str">
        <f ca="1">IFERROR(__xludf.DUMMYFUNCTION("""COMPUTED_VALUE"""),"20331A0582")</f>
        <v>20331A0582</v>
      </c>
      <c r="C575" s="78" t="str">
        <f ca="1">IFERROR(__xludf.DUMMYFUNCTION("""COMPUTED_VALUE"""),"IT essentials")</f>
        <v>IT essentials</v>
      </c>
      <c r="D575" s="9" t="str">
        <f ca="1">IFERROR(__xludf.DUMMYFUNCTION("""COMPUTED_VALUE"""),"Cisco networking academy")</f>
        <v>Cisco networking academy</v>
      </c>
      <c r="E575" s="9" t="str">
        <f ca="1">IFERROR(__xludf.DUMMYFUNCTION("""COMPUTED_VALUE"""),"2months")</f>
        <v>2months</v>
      </c>
      <c r="F575" s="79">
        <f ca="1">IFERROR(__xludf.DUMMYFUNCTION("""COMPUTED_VALUE"""),44378)</f>
        <v>44378</v>
      </c>
      <c r="G575" s="79">
        <f ca="1">IFERROR(__xludf.DUMMYFUNCTION("""COMPUTED_VALUE"""),44440)</f>
        <v>44440</v>
      </c>
      <c r="H575" s="72">
        <f ca="1">IFERROR(__xludf.DUMMYFUNCTION("""COMPUTED_VALUE"""),44440)</f>
        <v>44440</v>
      </c>
      <c r="I575" s="80">
        <f ca="1">IFERROR(__xludf.DUMMYFUNCTION("""COMPUTED_VALUE"""),95)</f>
        <v>95</v>
      </c>
      <c r="J575" s="9" t="str">
        <f ca="1">IFERROR(__xludf.DUMMYFUNCTION("""COMPUTED_VALUE"""),"MR.K.Subbaraju")</f>
        <v>MR.K.Subbaraju</v>
      </c>
      <c r="K575" s="73" t="str">
        <f ca="1">IFERROR(__xludf.DUMMYFUNCTION("""COMPUTED_VALUE"""),"https://drive.google.com/open?id=1rqDh4c8AZe0pallC8_DxVS483RzSNSns")</f>
        <v>https://drive.google.com/open?id=1rqDh4c8AZe0pallC8_DxVS483RzSNSns</v>
      </c>
      <c r="L575" s="9" t="str">
        <f ca="1">IFERROR(__xludf.DUMMYFUNCTION("""COMPUTED_VALUE"""),"2020-2024")</f>
        <v>2020-2024</v>
      </c>
      <c r="M575" s="9" t="str">
        <f ca="1">IFERROR(__xludf.DUMMYFUNCTION("""COMPUTED_VALUE"""),"S4: Student Certifications")</f>
        <v>S4: Student Certifications</v>
      </c>
      <c r="N575" s="9" t="str">
        <f ca="1">IFERROR(__xludf.DUMMYFUNCTION("""COMPUTED_VALUE"""),"jyothsnakavala2003@gmail.com")</f>
        <v>jyothsnakavala2003@gmail.com</v>
      </c>
      <c r="O575" s="9" t="str">
        <f ca="1">IFERROR(__xludf.DUMMYFUNCTION("""COMPUTED_VALUE"""),"SEM-4")</f>
        <v>SEM-4</v>
      </c>
      <c r="P575" s="9"/>
      <c r="Q575" s="9"/>
      <c r="R575" s="9"/>
      <c r="S575" s="9"/>
      <c r="T575" s="9"/>
      <c r="U575" s="9"/>
      <c r="V575" s="9"/>
      <c r="W575" s="9"/>
      <c r="X575" s="9"/>
      <c r="Y575" s="9"/>
    </row>
    <row r="576" spans="1:25" ht="26.25" customHeight="1" x14ac:dyDescent="0.15">
      <c r="A576" s="9" t="str">
        <f ca="1">IFERROR(__xludf.DUMMYFUNCTION("""COMPUTED_VALUE"""),"Sumanth Varma Dandu")</f>
        <v>Sumanth Varma Dandu</v>
      </c>
      <c r="B576" s="9" t="str">
        <f ca="1">IFERROR(__xludf.DUMMYFUNCTION("""COMPUTED_VALUE"""),"18331A0530")</f>
        <v>18331A0530</v>
      </c>
      <c r="C576" s="78" t="str">
        <f ca="1">IFERROR(__xludf.DUMMYFUNCTION("""COMPUTED_VALUE"""),"AWS Virtual Internship")</f>
        <v>AWS Virtual Internship</v>
      </c>
      <c r="D576" s="9" t="str">
        <f ca="1">IFERROR(__xludf.DUMMYFUNCTION("""COMPUTED_VALUE"""),"AWS")</f>
        <v>AWS</v>
      </c>
      <c r="E576" s="9" t="str">
        <f ca="1">IFERROR(__xludf.DUMMYFUNCTION("""COMPUTED_VALUE"""),"3 months")</f>
        <v>3 months</v>
      </c>
      <c r="F576" s="79">
        <f ca="1">IFERROR(__xludf.DUMMYFUNCTION("""COMPUTED_VALUE"""),44470)</f>
        <v>44470</v>
      </c>
      <c r="G576" s="79">
        <f ca="1">IFERROR(__xludf.DUMMYFUNCTION("""COMPUTED_VALUE"""),44561)</f>
        <v>44561</v>
      </c>
      <c r="H576" s="72">
        <f ca="1">IFERROR(__xludf.DUMMYFUNCTION("""COMPUTED_VALUE"""),44297)</f>
        <v>44297</v>
      </c>
      <c r="I576" s="80">
        <f ca="1">IFERROR(__xludf.DUMMYFUNCTION("""COMPUTED_VALUE"""),100)</f>
        <v>100</v>
      </c>
      <c r="J576" s="9" t="str">
        <f ca="1">IFERROR(__xludf.DUMMYFUNCTION("""COMPUTED_VALUE"""),"Dr. Ravi kiran Varma")</f>
        <v>Dr. Ravi kiran Varma</v>
      </c>
      <c r="K576" s="73" t="str">
        <f ca="1">IFERROR(__xludf.DUMMYFUNCTION("""COMPUTED_VALUE"""),"https://drive.google.com/open?id=19W1fVIBN315pgzRxfk00KUIixkX4M8-K")</f>
        <v>https://drive.google.com/open?id=19W1fVIBN315pgzRxfk00KUIixkX4M8-K</v>
      </c>
      <c r="L576" s="9" t="str">
        <f ca="1">IFERROR(__xludf.DUMMYFUNCTION("""COMPUTED_VALUE"""),"2018-2022")</f>
        <v>2018-2022</v>
      </c>
      <c r="M576" s="9" t="str">
        <f ca="1">IFERROR(__xludf.DUMMYFUNCTION("""COMPUTED_VALUE"""),"S4: Student Certifications")</f>
        <v>S4: Student Certifications</v>
      </c>
      <c r="N576" s="9" t="str">
        <f ca="1">IFERROR(__xludf.DUMMYFUNCTION("""COMPUTED_VALUE"""),"dsumanthvarma6@gmail.com")</f>
        <v>dsumanthvarma6@gmail.com</v>
      </c>
      <c r="O576" s="9" t="str">
        <f ca="1">IFERROR(__xludf.DUMMYFUNCTION("""COMPUTED_VALUE"""),"SEM-8")</f>
        <v>SEM-8</v>
      </c>
      <c r="P576" s="9"/>
      <c r="Q576" s="9"/>
      <c r="R576" s="9"/>
      <c r="S576" s="9"/>
      <c r="T576" s="9"/>
      <c r="U576" s="9"/>
      <c r="V576" s="9"/>
      <c r="W576" s="9"/>
      <c r="X576" s="9"/>
      <c r="Y576" s="9"/>
    </row>
    <row r="577" spans="1:25" ht="26.25" customHeight="1" x14ac:dyDescent="0.15">
      <c r="A577" s="9" t="str">
        <f ca="1">IFERROR(__xludf.DUMMYFUNCTION("""COMPUTED_VALUE"""),"B Prasad")</f>
        <v>B Prasad</v>
      </c>
      <c r="B577" s="9" t="str">
        <f ca="1">IFERROR(__xludf.DUMMYFUNCTION("""COMPUTED_VALUE"""),"18331A0514")</f>
        <v>18331A0514</v>
      </c>
      <c r="C577" s="78" t="str">
        <f ca="1">IFERROR(__xludf.DUMMYFUNCTION("""COMPUTED_VALUE"""),"PCAP PYTHON ESSENTIALS")</f>
        <v>PCAP PYTHON ESSENTIALS</v>
      </c>
      <c r="D577" s="9" t="str">
        <f ca="1">IFERROR(__xludf.DUMMYFUNCTION("""COMPUTED_VALUE"""),"Cisco")</f>
        <v>Cisco</v>
      </c>
      <c r="E577" s="9" t="str">
        <f ca="1">IFERROR(__xludf.DUMMYFUNCTION("""COMPUTED_VALUE"""),"2 months")</f>
        <v>2 months</v>
      </c>
      <c r="F577" s="79">
        <f ca="1">IFERROR(__xludf.DUMMYFUNCTION("""COMPUTED_VALUE"""),43993)</f>
        <v>43993</v>
      </c>
      <c r="G577" s="79">
        <f ca="1">IFERROR(__xludf.DUMMYFUNCTION("""COMPUTED_VALUE"""),44054)</f>
        <v>44054</v>
      </c>
      <c r="H577" s="72">
        <f ca="1">IFERROR(__xludf.DUMMYFUNCTION("""COMPUTED_VALUE"""),44057)</f>
        <v>44057</v>
      </c>
      <c r="I577" s="80">
        <f ca="1">IFERROR(__xludf.DUMMYFUNCTION("""COMPUTED_VALUE"""),0.85)</f>
        <v>0.85</v>
      </c>
      <c r="J577" s="9" t="str">
        <f ca="1">IFERROR(__xludf.DUMMYFUNCTION("""COMPUTED_VALUE"""),"Dr. Ravi kiran varma")</f>
        <v>Dr. Ravi kiran varma</v>
      </c>
      <c r="K577" s="73" t="str">
        <f ca="1">IFERROR(__xludf.DUMMYFUNCTION("""COMPUTED_VALUE"""),"https://drive.google.com/open?id=1k94jScnUdPRAllKESfy-MISeNFGATh6u")</f>
        <v>https://drive.google.com/open?id=1k94jScnUdPRAllKESfy-MISeNFGATh6u</v>
      </c>
      <c r="L577" s="9" t="str">
        <f ca="1">IFERROR(__xludf.DUMMYFUNCTION("""COMPUTED_VALUE"""),"2018-2022")</f>
        <v>2018-2022</v>
      </c>
      <c r="M577" s="9" t="str">
        <f ca="1">IFERROR(__xludf.DUMMYFUNCTION("""COMPUTED_VALUE"""),"S4: Student Certifications")</f>
        <v>S4: Student Certifications</v>
      </c>
      <c r="N577" s="9" t="str">
        <f ca="1">IFERROR(__xludf.DUMMYFUNCTION("""COMPUTED_VALUE"""),"nani.bhogapurapu1106@gmail.com")</f>
        <v>nani.bhogapurapu1106@gmail.com</v>
      </c>
      <c r="O577" s="9" t="str">
        <f ca="1">IFERROR(__xludf.DUMMYFUNCTION("""COMPUTED_VALUE"""),"SEM-6")</f>
        <v>SEM-6</v>
      </c>
      <c r="P577" s="9"/>
      <c r="Q577" s="9"/>
      <c r="R577" s="9"/>
      <c r="S577" s="9"/>
      <c r="T577" s="9"/>
      <c r="U577" s="9"/>
      <c r="V577" s="9"/>
      <c r="W577" s="9"/>
      <c r="X577" s="9"/>
      <c r="Y577" s="9"/>
    </row>
    <row r="578" spans="1:25" ht="26.25" customHeight="1" x14ac:dyDescent="0.15">
      <c r="A578" s="9" t="str">
        <f ca="1">IFERROR(__xludf.DUMMYFUNCTION("""COMPUTED_VALUE"""),"A TEJESWARA RAO ")</f>
        <v xml:space="preserve">A TEJESWARA RAO </v>
      </c>
      <c r="B578" s="9" t="str">
        <f ca="1">IFERROR(__xludf.DUMMYFUNCTION("""COMPUTED_VALUE"""),"18331A0505")</f>
        <v>18331A0505</v>
      </c>
      <c r="C578" s="78" t="str">
        <f ca="1">IFERROR(__xludf.DUMMYFUNCTION("""COMPUTED_VALUE"""),"Java and C++ and phython programming in complete course")</f>
        <v>Java and C++ and phython programming in complete course</v>
      </c>
      <c r="D578" s="9" t="str">
        <f ca="1">IFERROR(__xludf.DUMMYFUNCTION("""COMPUTED_VALUE"""),"Global code institute")</f>
        <v>Global code institute</v>
      </c>
      <c r="E578" s="9" t="str">
        <f ca="1">IFERROR(__xludf.DUMMYFUNCTION("""COMPUTED_VALUE"""),"2 days")</f>
        <v>2 days</v>
      </c>
      <c r="F578" s="79">
        <f ca="1">IFERROR(__xludf.DUMMYFUNCTION("""COMPUTED_VALUE"""),44658)</f>
        <v>44658</v>
      </c>
      <c r="G578" s="79">
        <f ca="1">IFERROR(__xludf.DUMMYFUNCTION("""COMPUTED_VALUE"""),44661)</f>
        <v>44661</v>
      </c>
      <c r="H578" s="72">
        <f ca="1">IFERROR(__xludf.DUMMYFUNCTION("""COMPUTED_VALUE"""),44661)</f>
        <v>44661</v>
      </c>
      <c r="I578" s="80">
        <f ca="1">IFERROR(__xludf.DUMMYFUNCTION("""COMPUTED_VALUE"""),0.75)</f>
        <v>0.75</v>
      </c>
      <c r="J578" s="9" t="str">
        <f ca="1">IFERROR(__xludf.DUMMYFUNCTION("""COMPUTED_VALUE"""),"Kalyana Chakravarthy ")</f>
        <v xml:space="preserve">Kalyana Chakravarthy </v>
      </c>
      <c r="K578" s="73" t="str">
        <f ca="1">IFERROR(__xludf.DUMMYFUNCTION("""COMPUTED_VALUE"""),"https://drive.google.com/open?id=107vLh-tHpLz0JFCbzy4bv8VfAWSobwvQ")</f>
        <v>https://drive.google.com/open?id=107vLh-tHpLz0JFCbzy4bv8VfAWSobwvQ</v>
      </c>
      <c r="L578" s="9" t="str">
        <f ca="1">IFERROR(__xludf.DUMMYFUNCTION("""COMPUTED_VALUE"""),"2018-2022")</f>
        <v>2018-2022</v>
      </c>
      <c r="M578" s="9" t="str">
        <f ca="1">IFERROR(__xludf.DUMMYFUNCTION("""COMPUTED_VALUE"""),"S4: Student Certifications")</f>
        <v>S4: Student Certifications</v>
      </c>
      <c r="N578" s="9" t="str">
        <f ca="1">IFERROR(__xludf.DUMMYFUNCTION("""COMPUTED_VALUE"""),"anakapallitejeswararao2000@gmail.com")</f>
        <v>anakapallitejeswararao2000@gmail.com</v>
      </c>
      <c r="O578" s="9" t="str">
        <f ca="1">IFERROR(__xludf.DUMMYFUNCTION("""COMPUTED_VALUE"""),"SEM-8")</f>
        <v>SEM-8</v>
      </c>
      <c r="P578" s="9"/>
      <c r="Q578" s="9"/>
      <c r="R578" s="9"/>
      <c r="S578" s="9"/>
      <c r="T578" s="9"/>
      <c r="U578" s="9"/>
      <c r="V578" s="9"/>
      <c r="W578" s="9"/>
      <c r="X578" s="9"/>
      <c r="Y578" s="9"/>
    </row>
    <row r="579" spans="1:25" ht="26.25" customHeight="1" x14ac:dyDescent="0.15">
      <c r="A579" s="69" t="str">
        <f ca="1">IFERROR(__xludf.DUMMYFUNCTION("""COMPUTED_VALUE"""),"Rithvik Reddy Chantigari")</f>
        <v>Rithvik Reddy Chantigari</v>
      </c>
      <c r="B579" s="69" t="str">
        <f ca="1">IFERROR(__xludf.DUMMYFUNCTION("""COMPUTED_VALUE"""),"18331A0525")</f>
        <v>18331A0525</v>
      </c>
      <c r="C579" s="81" t="str">
        <f ca="1">IFERROR(__xludf.DUMMYFUNCTION("""COMPUTED_VALUE"""),"Artifical Intelligence")</f>
        <v>Artifical Intelligence</v>
      </c>
      <c r="D579" s="69" t="str">
        <f ca="1">IFERROR(__xludf.DUMMYFUNCTION("""COMPUTED_VALUE"""),"IIT Hyderabad")</f>
        <v>IIT Hyderabad</v>
      </c>
      <c r="E579" s="69" t="str">
        <f ca="1">IFERROR(__xludf.DUMMYFUNCTION("""COMPUTED_VALUE"""),"2 days")</f>
        <v>2 days</v>
      </c>
      <c r="F579" s="82">
        <f ca="1">IFERROR(__xludf.DUMMYFUNCTION("""COMPUTED_VALUE"""),43715)</f>
        <v>43715</v>
      </c>
      <c r="G579" s="82">
        <f ca="1">IFERROR(__xludf.DUMMYFUNCTION("""COMPUTED_VALUE"""),43716)</f>
        <v>43716</v>
      </c>
      <c r="H579" s="74">
        <f ca="1">IFERROR(__xludf.DUMMYFUNCTION("""COMPUTED_VALUE"""),43716)</f>
        <v>43716</v>
      </c>
      <c r="I579" s="83">
        <f ca="1">IFERROR(__xludf.DUMMYFUNCTION("""COMPUTED_VALUE"""),100)</f>
        <v>100</v>
      </c>
      <c r="J579" s="69" t="str">
        <f ca="1">IFERROR(__xludf.DUMMYFUNCTION("""COMPUTED_VALUE"""),"Rishabh Mehta")</f>
        <v>Rishabh Mehta</v>
      </c>
      <c r="K579" s="75" t="str">
        <f ca="1">IFERROR(__xludf.DUMMYFUNCTION("""COMPUTED_VALUE"""),"https://drive.google.com/open?id=1TxqaqLjacyv5BFLhT_3QiJotOsS_nRQa")</f>
        <v>https://drive.google.com/open?id=1TxqaqLjacyv5BFLhT_3QiJotOsS_nRQa</v>
      </c>
      <c r="L579" s="69" t="str">
        <f ca="1">IFERROR(__xludf.DUMMYFUNCTION("""COMPUTED_VALUE"""),"2018-2022")</f>
        <v>2018-2022</v>
      </c>
      <c r="M579" s="69" t="str">
        <f ca="1">IFERROR(__xludf.DUMMYFUNCTION("""COMPUTED_VALUE"""),"S4: Student Certifications")</f>
        <v>S4: Student Certifications</v>
      </c>
      <c r="N579" s="69" t="str">
        <f ca="1">IFERROR(__xludf.DUMMYFUNCTION("""COMPUTED_VALUE"""),"rithvikreddychantigari@gmail.com")</f>
        <v>rithvikreddychantigari@gmail.com</v>
      </c>
      <c r="O579" s="69" t="str">
        <f ca="1">IFERROR(__xludf.DUMMYFUNCTION("""COMPUTED_VALUE"""),"SEM-8")</f>
        <v>SEM-8</v>
      </c>
      <c r="P579" s="69"/>
      <c r="Q579" s="69"/>
      <c r="R579" s="69"/>
      <c r="S579" s="69"/>
      <c r="T579" s="69"/>
      <c r="U579" s="69"/>
      <c r="V579" s="69"/>
      <c r="W579" s="69"/>
      <c r="X579" s="69"/>
      <c r="Y579" s="69"/>
    </row>
    <row r="580" spans="1:25" ht="26.25" customHeight="1" x14ac:dyDescent="0.15">
      <c r="A580" s="9" t="str">
        <f ca="1">IFERROR(__xludf.DUMMYFUNCTION("""COMPUTED_VALUE"""),"LOHITH VENKAT ANNAM ")</f>
        <v xml:space="preserve">LOHITH VENKAT ANNAM </v>
      </c>
      <c r="B580" s="9" t="str">
        <f ca="1">IFERROR(__xludf.DUMMYFUNCTION("""COMPUTED_VALUE"""),"18331A0506")</f>
        <v>18331A0506</v>
      </c>
      <c r="C580" s="78" t="str">
        <f ca="1">IFERROR(__xludf.DUMMYFUNCTION("""COMPUTED_VALUE"""),"Cyber security ")</f>
        <v xml:space="preserve">Cyber security </v>
      </c>
      <c r="D580" s="9" t="str">
        <f ca="1">IFERROR(__xludf.DUMMYFUNCTION("""COMPUTED_VALUE"""),"Palo Alto networks ")</f>
        <v xml:space="preserve">Palo Alto networks </v>
      </c>
      <c r="E580" s="9" t="str">
        <f ca="1">IFERROR(__xludf.DUMMYFUNCTION("""COMPUTED_VALUE"""),"4 weeks")</f>
        <v>4 weeks</v>
      </c>
      <c r="F580" s="79">
        <f ca="1">IFERROR(__xludf.DUMMYFUNCTION("""COMPUTED_VALUE"""),44357)</f>
        <v>44357</v>
      </c>
      <c r="G580" s="79">
        <f ca="1">IFERROR(__xludf.DUMMYFUNCTION("""COMPUTED_VALUE"""),44037)</f>
        <v>44037</v>
      </c>
      <c r="H580" s="72">
        <f ca="1">IFERROR(__xludf.DUMMYFUNCTION("""COMPUTED_VALUE"""),44767)</f>
        <v>44767</v>
      </c>
      <c r="I580" s="80">
        <f ca="1">IFERROR(__xludf.DUMMYFUNCTION("""COMPUTED_VALUE"""),100)</f>
        <v>100</v>
      </c>
      <c r="J580" s="9" t="str">
        <f ca="1">IFERROR(__xludf.DUMMYFUNCTION("""COMPUTED_VALUE"""),"Ravikiran varama ")</f>
        <v xml:space="preserve">Ravikiran varama </v>
      </c>
      <c r="K580" s="73" t="str">
        <f ca="1">IFERROR(__xludf.DUMMYFUNCTION("""COMPUTED_VALUE"""),"https://drive.google.com/open?id=1Nf0dS9oKIfRUR7U6PeBNEFsfkp5dW3Sh")</f>
        <v>https://drive.google.com/open?id=1Nf0dS9oKIfRUR7U6PeBNEFsfkp5dW3Sh</v>
      </c>
      <c r="L580" s="9" t="str">
        <f ca="1">IFERROR(__xludf.DUMMYFUNCTION("""COMPUTED_VALUE"""),"2018-2022")</f>
        <v>2018-2022</v>
      </c>
      <c r="M580" s="9" t="str">
        <f ca="1">IFERROR(__xludf.DUMMYFUNCTION("""COMPUTED_VALUE"""),"S4: Student Certifications")</f>
        <v>S4: Student Certifications</v>
      </c>
      <c r="N580" s="9" t="str">
        <f ca="1">IFERROR(__xludf.DUMMYFUNCTION("""COMPUTED_VALUE"""),"annam.venkat24a@gmail.com")</f>
        <v>annam.venkat24a@gmail.com</v>
      </c>
      <c r="O580" s="9" t="str">
        <f ca="1">IFERROR(__xludf.DUMMYFUNCTION("""COMPUTED_VALUE"""),"SEM-8")</f>
        <v>SEM-8</v>
      </c>
      <c r="P580" s="9"/>
      <c r="Q580" s="9"/>
      <c r="R580" s="9"/>
      <c r="S580" s="9"/>
      <c r="T580" s="9"/>
      <c r="U580" s="9"/>
      <c r="V580" s="9"/>
      <c r="W580" s="9"/>
      <c r="X580" s="9"/>
      <c r="Y580" s="9"/>
    </row>
    <row r="581" spans="1:25" ht="26.25" customHeight="1" x14ac:dyDescent="0.15">
      <c r="A581" s="9" t="str">
        <f ca="1">IFERROR(__xludf.DUMMYFUNCTION("""COMPUTED_VALUE"""),"A TEJESWARA RAO ")</f>
        <v xml:space="preserve">A TEJESWARA RAO </v>
      </c>
      <c r="B581" s="9" t="str">
        <f ca="1">IFERROR(__xludf.DUMMYFUNCTION("""COMPUTED_VALUE"""),"18331A0505")</f>
        <v>18331A0505</v>
      </c>
      <c r="C581" s="78" t="str">
        <f ca="1">IFERROR(__xludf.DUMMYFUNCTION("""COMPUTED_VALUE"""),"Graphic design certification legendary edition")</f>
        <v>Graphic design certification legendary edition</v>
      </c>
      <c r="D581" s="9" t="str">
        <f ca="1">IFERROR(__xludf.DUMMYFUNCTION("""COMPUTED_VALUE"""),"First look digital marketing solutions pvt.ltd")</f>
        <v>First look digital marketing solutions pvt.ltd</v>
      </c>
      <c r="E581" s="9" t="str">
        <f ca="1">IFERROR(__xludf.DUMMYFUNCTION("""COMPUTED_VALUE"""),"2")</f>
        <v>2</v>
      </c>
      <c r="F581" s="79">
        <f ca="1">IFERROR(__xludf.DUMMYFUNCTION("""COMPUTED_VALUE"""),44657)</f>
        <v>44657</v>
      </c>
      <c r="G581" s="79">
        <f ca="1">IFERROR(__xludf.DUMMYFUNCTION("""COMPUTED_VALUE"""),44659)</f>
        <v>44659</v>
      </c>
      <c r="H581" s="72">
        <f ca="1">IFERROR(__xludf.DUMMYFUNCTION("""COMPUTED_VALUE"""),44659)</f>
        <v>44659</v>
      </c>
      <c r="I581" s="80">
        <f ca="1">IFERROR(__xludf.DUMMYFUNCTION("""COMPUTED_VALUE"""),0.75)</f>
        <v>0.75</v>
      </c>
      <c r="J581" s="9" t="str">
        <f ca="1">IFERROR(__xludf.DUMMYFUNCTION("""COMPUTED_VALUE"""),"Kalyan chakravarthy ")</f>
        <v xml:space="preserve">Kalyan chakravarthy </v>
      </c>
      <c r="K581" s="73" t="str">
        <f ca="1">IFERROR(__xludf.DUMMYFUNCTION("""COMPUTED_VALUE"""),"https://drive.google.com/open?id=15KlORbmmEYat07-YtUl0ZAjbTM255VC9")</f>
        <v>https://drive.google.com/open?id=15KlORbmmEYat07-YtUl0ZAjbTM255VC9</v>
      </c>
      <c r="L581" s="9" t="str">
        <f ca="1">IFERROR(__xludf.DUMMYFUNCTION("""COMPUTED_VALUE"""),"2018-2022")</f>
        <v>2018-2022</v>
      </c>
      <c r="M581" s="9" t="str">
        <f ca="1">IFERROR(__xludf.DUMMYFUNCTION("""COMPUTED_VALUE"""),"S4: Student Certifications")</f>
        <v>S4: Student Certifications</v>
      </c>
      <c r="N581" s="9" t="str">
        <f ca="1">IFERROR(__xludf.DUMMYFUNCTION("""COMPUTED_VALUE"""),"anakapallitejeswararao2000@gmail.com")</f>
        <v>anakapallitejeswararao2000@gmail.com</v>
      </c>
      <c r="O581" s="9" t="str">
        <f ca="1">IFERROR(__xludf.DUMMYFUNCTION("""COMPUTED_VALUE"""),"SEM-8")</f>
        <v>SEM-8</v>
      </c>
      <c r="P581" s="9"/>
      <c r="Q581" s="9"/>
      <c r="R581" s="9"/>
      <c r="S581" s="9"/>
      <c r="T581" s="9"/>
      <c r="U581" s="9"/>
      <c r="V581" s="9"/>
      <c r="W581" s="9"/>
      <c r="X581" s="9"/>
      <c r="Y581" s="9"/>
    </row>
    <row r="582" spans="1:25" ht="26.25" customHeight="1" x14ac:dyDescent="0.15">
      <c r="A582" s="9" t="str">
        <f ca="1">IFERROR(__xludf.DUMMYFUNCTION("""COMPUTED_VALUE"""),"chandra sekhar naidu")</f>
        <v>chandra sekhar naidu</v>
      </c>
      <c r="B582" s="9" t="str">
        <f ca="1">IFERROR(__xludf.DUMMYFUNCTION("""COMPUTED_VALUE"""),"20331A05A8")</f>
        <v>20331A05A8</v>
      </c>
      <c r="C582" s="78" t="str">
        <f ca="1">IFERROR(__xludf.DUMMYFUNCTION("""COMPUTED_VALUE"""),"IT ESSENTIALS")</f>
        <v>IT ESSENTIALS</v>
      </c>
      <c r="D582" s="9" t="str">
        <f ca="1">IFERROR(__xludf.DUMMYFUNCTION("""COMPUTED_VALUE"""),"CISCO")</f>
        <v>CISCO</v>
      </c>
      <c r="E582" s="9" t="str">
        <f ca="1">IFERROR(__xludf.DUMMYFUNCTION("""COMPUTED_VALUE"""),"3 months")</f>
        <v>3 months</v>
      </c>
      <c r="F582" s="79">
        <f ca="1">IFERROR(__xludf.DUMMYFUNCTION("""COMPUTED_VALUE"""),44296)</f>
        <v>44296</v>
      </c>
      <c r="G582" s="79">
        <f ca="1">IFERROR(__xludf.DUMMYFUNCTION("""COMPUTED_VALUE"""),44387)</f>
        <v>44387</v>
      </c>
      <c r="H582" s="72">
        <f ca="1">IFERROR(__xludf.DUMMYFUNCTION("""COMPUTED_VALUE"""),44296)</f>
        <v>44296</v>
      </c>
      <c r="I582" s="80">
        <f ca="1">IFERROR(__xludf.DUMMYFUNCTION("""COMPUTED_VALUE"""),90)</f>
        <v>90</v>
      </c>
      <c r="J582" s="9" t="str">
        <f ca="1">IFERROR(__xludf.DUMMYFUNCTION("""COMPUTED_VALUE"""),"subba raju")</f>
        <v>subba raju</v>
      </c>
      <c r="K582" s="73" t="str">
        <f ca="1">IFERROR(__xludf.DUMMYFUNCTION("""COMPUTED_VALUE"""),"https://drive.google.com/open?id=10iRRL6oYzg9D17zZeW0XqU0pOWWcmdi0")</f>
        <v>https://drive.google.com/open?id=10iRRL6oYzg9D17zZeW0XqU0pOWWcmdi0</v>
      </c>
      <c r="L582" s="9" t="str">
        <f ca="1">IFERROR(__xludf.DUMMYFUNCTION("""COMPUTED_VALUE"""),"2020-2024")</f>
        <v>2020-2024</v>
      </c>
      <c r="M582" s="9" t="str">
        <f ca="1">IFERROR(__xludf.DUMMYFUNCTION("""COMPUTED_VALUE"""),"S4: Student Certifications")</f>
        <v>S4: Student Certifications</v>
      </c>
      <c r="N582" s="9" t="str">
        <f ca="1">IFERROR(__xludf.DUMMYFUNCTION("""COMPUTED_VALUE"""),"naiduchandrasekhar23@gmail.com")</f>
        <v>naiduchandrasekhar23@gmail.com</v>
      </c>
      <c r="O582" s="9" t="str">
        <f ca="1">IFERROR(__xludf.DUMMYFUNCTION("""COMPUTED_VALUE"""),"SEM-1")</f>
        <v>SEM-1</v>
      </c>
      <c r="P582" s="9"/>
      <c r="Q582" s="9"/>
      <c r="R582" s="9"/>
      <c r="S582" s="9"/>
      <c r="T582" s="9"/>
      <c r="U582" s="9"/>
      <c r="V582" s="9"/>
      <c r="W582" s="9"/>
      <c r="X582" s="9"/>
      <c r="Y582" s="9"/>
    </row>
    <row r="583" spans="1:25" ht="26.25" customHeight="1" x14ac:dyDescent="0.15">
      <c r="A583" s="9" t="str">
        <f ca="1">IFERROR(__xludf.DUMMYFUNCTION("""COMPUTED_VALUE"""),"chandra sekhar naidu")</f>
        <v>chandra sekhar naidu</v>
      </c>
      <c r="B583" s="9" t="str">
        <f ca="1">IFERROR(__xludf.DUMMYFUNCTION("""COMPUTED_VALUE"""),"20331A05A8")</f>
        <v>20331A05A8</v>
      </c>
      <c r="C583" s="78" t="str">
        <f ca="1">IFERROR(__xludf.DUMMYFUNCTION("""COMPUTED_VALUE"""),"NDG LINUX Essentials")</f>
        <v>NDG LINUX Essentials</v>
      </c>
      <c r="D583" s="9" t="str">
        <f ca="1">IFERROR(__xludf.DUMMYFUNCTION("""COMPUTED_VALUE"""),"CISCO")</f>
        <v>CISCO</v>
      </c>
      <c r="E583" s="9" t="str">
        <f ca="1">IFERROR(__xludf.DUMMYFUNCTION("""COMPUTED_VALUE"""),"4 MONTHS")</f>
        <v>4 MONTHS</v>
      </c>
      <c r="F583" s="79">
        <f ca="1">IFERROR(__xludf.DUMMYFUNCTION("""COMPUTED_VALUE"""),44479)</f>
        <v>44479</v>
      </c>
      <c r="G583" s="79">
        <f ca="1">IFERROR(__xludf.DUMMYFUNCTION("""COMPUTED_VALUE"""),44594)</f>
        <v>44594</v>
      </c>
      <c r="H583" s="72">
        <f ca="1">IFERROR(__xludf.DUMMYFUNCTION("""COMPUTED_VALUE"""),44594)</f>
        <v>44594</v>
      </c>
      <c r="I583" s="80">
        <f ca="1">IFERROR(__xludf.DUMMYFUNCTION("""COMPUTED_VALUE"""),90)</f>
        <v>90</v>
      </c>
      <c r="J583" s="9" t="str">
        <f ca="1">IFERROR(__xludf.DUMMYFUNCTION("""COMPUTED_VALUE"""),"SUBBA RAJU")</f>
        <v>SUBBA RAJU</v>
      </c>
      <c r="K583" s="73" t="str">
        <f ca="1">IFERROR(__xludf.DUMMYFUNCTION("""COMPUTED_VALUE"""),"https://drive.google.com/open?id=1p7w2l3SFw28Eb0ibzDAddGFhdRzJjgy2")</f>
        <v>https://drive.google.com/open?id=1p7w2l3SFw28Eb0ibzDAddGFhdRzJjgy2</v>
      </c>
      <c r="L583" s="9" t="str">
        <f ca="1">IFERROR(__xludf.DUMMYFUNCTION("""COMPUTED_VALUE"""),"2020-2024")</f>
        <v>2020-2024</v>
      </c>
      <c r="M583" s="9" t="str">
        <f ca="1">IFERROR(__xludf.DUMMYFUNCTION("""COMPUTED_VALUE"""),"S4: Student Certifications")</f>
        <v>S4: Student Certifications</v>
      </c>
      <c r="N583" s="9" t="str">
        <f ca="1">IFERROR(__xludf.DUMMYFUNCTION("""COMPUTED_VALUE"""),"naiduchandrasekhar23@gmail.com")</f>
        <v>naiduchandrasekhar23@gmail.com</v>
      </c>
      <c r="O583" s="9" t="str">
        <f ca="1">IFERROR(__xludf.DUMMYFUNCTION("""COMPUTED_VALUE"""),"SEM-2")</f>
        <v>SEM-2</v>
      </c>
      <c r="P583" s="9"/>
      <c r="Q583" s="9"/>
      <c r="R583" s="9"/>
      <c r="S583" s="9"/>
      <c r="T583" s="9"/>
      <c r="U583" s="9"/>
      <c r="V583" s="9"/>
      <c r="W583" s="9"/>
      <c r="X583" s="9"/>
      <c r="Y583" s="9"/>
    </row>
    <row r="584" spans="1:25" ht="26.25" customHeight="1" x14ac:dyDescent="0.15">
      <c r="A584" s="9" t="str">
        <f ca="1">IFERROR(__xludf.DUMMYFUNCTION("""COMPUTED_VALUE"""),"chandra sekhar naidu")</f>
        <v>chandra sekhar naidu</v>
      </c>
      <c r="B584" s="9" t="str">
        <f ca="1">IFERROR(__xludf.DUMMYFUNCTION("""COMPUTED_VALUE"""),"20331A05A8")</f>
        <v>20331A05A8</v>
      </c>
      <c r="C584" s="78" t="str">
        <f ca="1">IFERROR(__xludf.DUMMYFUNCTION("""COMPUTED_VALUE"""),"linux automation virtual program")</f>
        <v>linux automation virtual program</v>
      </c>
      <c r="D584" s="9" t="str">
        <f ca="1">IFERROR(__xludf.DUMMYFUNCTION("""COMPUTED_VALUE"""),"AICTE- red hat academy")</f>
        <v>AICTE- red hat academy</v>
      </c>
      <c r="E584" s="9" t="str">
        <f ca="1">IFERROR(__xludf.DUMMYFUNCTION("""COMPUTED_VALUE"""),"3 months")</f>
        <v>3 months</v>
      </c>
      <c r="F584" s="79">
        <f ca="1">IFERROR(__xludf.DUMMYFUNCTION("""COMPUTED_VALUE"""),44479)</f>
        <v>44479</v>
      </c>
      <c r="G584" s="79">
        <f ca="1">IFERROR(__xludf.DUMMYFUNCTION("""COMPUTED_VALUE"""),44540)</f>
        <v>44540</v>
      </c>
      <c r="H584" s="72">
        <f ca="1">IFERROR(__xludf.DUMMYFUNCTION("""COMPUTED_VALUE"""),44540)</f>
        <v>44540</v>
      </c>
      <c r="I584" s="80">
        <f ca="1">IFERROR(__xludf.DUMMYFUNCTION("""COMPUTED_VALUE"""),90)</f>
        <v>90</v>
      </c>
      <c r="J584" s="9" t="str">
        <f ca="1">IFERROR(__xludf.DUMMYFUNCTION("""COMPUTED_VALUE"""),"subba raju")</f>
        <v>subba raju</v>
      </c>
      <c r="K584" s="73" t="str">
        <f ca="1">IFERROR(__xludf.DUMMYFUNCTION("""COMPUTED_VALUE"""),"https://drive.google.com/open?id=1T4gMGUJ4XFABiYSCEBCvvtmcUDdii7k5")</f>
        <v>https://drive.google.com/open?id=1T4gMGUJ4XFABiYSCEBCvvtmcUDdii7k5</v>
      </c>
      <c r="L584" s="9" t="str">
        <f ca="1">IFERROR(__xludf.DUMMYFUNCTION("""COMPUTED_VALUE"""),"2020-2024")</f>
        <v>2020-2024</v>
      </c>
      <c r="M584" s="9" t="str">
        <f ca="1">IFERROR(__xludf.DUMMYFUNCTION("""COMPUTED_VALUE"""),"S4: Student Certifications")</f>
        <v>S4: Student Certifications</v>
      </c>
      <c r="N584" s="9" t="str">
        <f ca="1">IFERROR(__xludf.DUMMYFUNCTION("""COMPUTED_VALUE"""),"naiduchandrasekhar23@gmail.com")</f>
        <v>naiduchandrasekhar23@gmail.com</v>
      </c>
      <c r="O584" s="9" t="str">
        <f ca="1">IFERROR(__xludf.DUMMYFUNCTION("""COMPUTED_VALUE"""),"SEM-3")</f>
        <v>SEM-3</v>
      </c>
      <c r="P584" s="9"/>
      <c r="Q584" s="9"/>
      <c r="R584" s="9"/>
      <c r="S584" s="9"/>
      <c r="T584" s="9"/>
      <c r="U584" s="9"/>
      <c r="V584" s="9"/>
      <c r="W584" s="9"/>
      <c r="X584" s="9"/>
      <c r="Y584" s="9"/>
    </row>
    <row r="585" spans="1:25" ht="26.25" customHeight="1" x14ac:dyDescent="0.15">
      <c r="A585" s="9" t="str">
        <f ca="1">IFERROR(__xludf.DUMMYFUNCTION("""COMPUTED_VALUE"""),"TAMMINANA YASHWANTH")</f>
        <v>TAMMINANA YASHWANTH</v>
      </c>
      <c r="B585" s="9" t="str">
        <f ca="1">IFERROR(__xludf.DUMMYFUNCTION("""COMPUTED_VALUE"""),"18331A05F2")</f>
        <v>18331A05F2</v>
      </c>
      <c r="C585" s="78" t="str">
        <f ca="1">IFERROR(__xludf.DUMMYFUNCTION("""COMPUTED_VALUE""")," CCNA")</f>
        <v xml:space="preserve"> CCNA</v>
      </c>
      <c r="D585" s="9" t="str">
        <f ca="1">IFERROR(__xludf.DUMMYFUNCTION("""COMPUTED_VALUE"""),"CISCO")</f>
        <v>CISCO</v>
      </c>
      <c r="E585" s="9" t="str">
        <f ca="1">IFERROR(__xludf.DUMMYFUNCTION("""COMPUTED_VALUE"""),"2 Months")</f>
        <v>2 Months</v>
      </c>
      <c r="F585" s="79">
        <f ca="1">IFERROR(__xludf.DUMMYFUNCTION("""COMPUTED_VALUE"""),43871)</f>
        <v>43871</v>
      </c>
      <c r="G585" s="79">
        <f ca="1">IFERROR(__xludf.DUMMYFUNCTION("""COMPUTED_VALUE"""),43873)</f>
        <v>43873</v>
      </c>
      <c r="H585" s="72">
        <f ca="1">IFERROR(__xludf.DUMMYFUNCTION("""COMPUTED_VALUE"""),44242)</f>
        <v>44242</v>
      </c>
      <c r="I585" s="80">
        <f ca="1">IFERROR(__xludf.DUMMYFUNCTION("""COMPUTED_VALUE"""),100)</f>
        <v>100</v>
      </c>
      <c r="J585" s="9" t="str">
        <f ca="1">IFERROR(__xludf.DUMMYFUNCTION("""COMPUTED_VALUE"""),"SUBBA RAJU")</f>
        <v>SUBBA RAJU</v>
      </c>
      <c r="K585" s="73" t="str">
        <f ca="1">IFERROR(__xludf.DUMMYFUNCTION("""COMPUTED_VALUE"""),"https://drive.google.com/open?id=1wjZLp-d60u1u4pMLRVmZviNunuo4_dWL")</f>
        <v>https://drive.google.com/open?id=1wjZLp-d60u1u4pMLRVmZviNunuo4_dWL</v>
      </c>
      <c r="L585" s="9" t="str">
        <f ca="1">IFERROR(__xludf.DUMMYFUNCTION("""COMPUTED_VALUE"""),"2018-2022")</f>
        <v>2018-2022</v>
      </c>
      <c r="M585" s="9" t="str">
        <f ca="1">IFERROR(__xludf.DUMMYFUNCTION("""COMPUTED_VALUE"""),"S4: Student Certifications")</f>
        <v>S4: Student Certifications</v>
      </c>
      <c r="N585" s="9" t="str">
        <f ca="1">IFERROR(__xludf.DUMMYFUNCTION("""COMPUTED_VALUE"""),"tammineniyashwanth@gmail.com")</f>
        <v>tammineniyashwanth@gmail.com</v>
      </c>
      <c r="O585" s="9" t="str">
        <f ca="1">IFERROR(__xludf.DUMMYFUNCTION("""COMPUTED_VALUE"""),"SEM-8")</f>
        <v>SEM-8</v>
      </c>
      <c r="P585" s="9"/>
      <c r="Q585" s="9"/>
      <c r="R585" s="9"/>
      <c r="S585" s="9"/>
      <c r="T585" s="9"/>
      <c r="U585" s="9"/>
      <c r="V585" s="9"/>
      <c r="W585" s="9"/>
      <c r="X585" s="9"/>
      <c r="Y585" s="9"/>
    </row>
    <row r="586" spans="1:25" ht="26.25" customHeight="1" x14ac:dyDescent="0.15">
      <c r="A586" s="9" t="str">
        <f ca="1">IFERROR(__xludf.DUMMYFUNCTION("""COMPUTED_VALUE"""),"N Manikanta Sai Kumar ")</f>
        <v xml:space="preserve">N Manikanta Sai Kumar </v>
      </c>
      <c r="B586" s="9" t="str">
        <f ca="1">IFERROR(__xludf.DUMMYFUNCTION("""COMPUTED_VALUE"""),"20331A05C2")</f>
        <v>20331A05C2</v>
      </c>
      <c r="C586" s="78" t="str">
        <f ca="1">IFERROR(__xludf.DUMMYFUNCTION("""COMPUTED_VALUE"""),"IT Essentials")</f>
        <v>IT Essentials</v>
      </c>
      <c r="D586" s="9" t="str">
        <f ca="1">IFERROR(__xludf.DUMMYFUNCTION("""COMPUTED_VALUE"""),"Cisco Networking Academy ")</f>
        <v xml:space="preserve">Cisco Networking Academy </v>
      </c>
      <c r="E586" s="9" t="str">
        <f ca="1">IFERROR(__xludf.DUMMYFUNCTION("""COMPUTED_VALUE"""),"2 months")</f>
        <v>2 months</v>
      </c>
      <c r="F586" s="79">
        <f ca="1">IFERROR(__xludf.DUMMYFUNCTION("""COMPUTED_VALUE"""),44353)</f>
        <v>44353</v>
      </c>
      <c r="G586" s="79">
        <f ca="1">IFERROR(__xludf.DUMMYFUNCTION("""COMPUTED_VALUE"""),44414)</f>
        <v>44414</v>
      </c>
      <c r="H586" s="72">
        <f ca="1">IFERROR(__xludf.DUMMYFUNCTION("""COMPUTED_VALUE"""),44414)</f>
        <v>44414</v>
      </c>
      <c r="I586" s="80">
        <f ca="1">IFERROR(__xludf.DUMMYFUNCTION("""COMPUTED_VALUE"""),95)</f>
        <v>95</v>
      </c>
      <c r="J586" s="9" t="str">
        <f ca="1">IFERROR(__xludf.DUMMYFUNCTION("""COMPUTED_VALUE"""),"K.V.Subbaraju")</f>
        <v>K.V.Subbaraju</v>
      </c>
      <c r="K586" s="73" t="str">
        <f ca="1">IFERROR(__xludf.DUMMYFUNCTION("""COMPUTED_VALUE"""),"https://drive.google.com/open?id=1NBVg10eIJsd6sM7PNq1K_ESwEvl-1Z9j")</f>
        <v>https://drive.google.com/open?id=1NBVg10eIJsd6sM7PNq1K_ESwEvl-1Z9j</v>
      </c>
      <c r="L586" s="9" t="str">
        <f ca="1">IFERROR(__xludf.DUMMYFUNCTION("""COMPUTED_VALUE"""),"2020-2024")</f>
        <v>2020-2024</v>
      </c>
      <c r="M586" s="9" t="str">
        <f ca="1">IFERROR(__xludf.DUMMYFUNCTION("""COMPUTED_VALUE"""),"S4: Student Certifications")</f>
        <v>S4: Student Certifications</v>
      </c>
      <c r="N586" s="9" t="str">
        <f ca="1">IFERROR(__xludf.DUMMYFUNCTION("""COMPUTED_VALUE"""),"manikanta202nmk@gmail.com")</f>
        <v>manikanta202nmk@gmail.com</v>
      </c>
      <c r="O586" s="9" t="str">
        <f ca="1">IFERROR(__xludf.DUMMYFUNCTION("""COMPUTED_VALUE"""),"SEM-2")</f>
        <v>SEM-2</v>
      </c>
      <c r="P586" s="9"/>
      <c r="Q586" s="9"/>
      <c r="R586" s="9"/>
      <c r="S586" s="9"/>
      <c r="T586" s="9"/>
      <c r="U586" s="9"/>
      <c r="V586" s="9"/>
      <c r="W586" s="9"/>
      <c r="X586" s="9"/>
      <c r="Y586" s="9"/>
    </row>
    <row r="587" spans="1:25" ht="26.25" customHeight="1" x14ac:dyDescent="0.15">
      <c r="A587" s="9" t="str">
        <f ca="1">IFERROR(__xludf.DUMMYFUNCTION("""COMPUTED_VALUE"""),"Jammi Sri Sai Yeshwanth ")</f>
        <v xml:space="preserve">Jammi Sri Sai Yeshwanth </v>
      </c>
      <c r="B587" s="9" t="str">
        <f ca="1">IFERROR(__xludf.DUMMYFUNCTION("""COMPUTED_VALUE"""),"20331A0574")</f>
        <v>20331A0574</v>
      </c>
      <c r="C587" s="78" t="str">
        <f ca="1">IFERROR(__xludf.DUMMYFUNCTION("""COMPUTED_VALUE"""),"IT Essentials ")</f>
        <v xml:space="preserve">IT Essentials </v>
      </c>
      <c r="D587" s="9" t="str">
        <f ca="1">IFERROR(__xludf.DUMMYFUNCTION("""COMPUTED_VALUE"""),"Cisco Networking ")</f>
        <v xml:space="preserve">Cisco Networking </v>
      </c>
      <c r="E587" s="9" t="str">
        <f ca="1">IFERROR(__xludf.DUMMYFUNCTION("""COMPUTED_VALUE"""),"12 weeks")</f>
        <v>12 weeks</v>
      </c>
      <c r="F587" s="79">
        <f ca="1">IFERROR(__xludf.DUMMYFUNCTION("""COMPUTED_VALUE"""),44333)</f>
        <v>44333</v>
      </c>
      <c r="G587" s="79">
        <f ca="1">IFERROR(__xludf.DUMMYFUNCTION("""COMPUTED_VALUE"""),44754)</f>
        <v>44754</v>
      </c>
      <c r="H587" s="72">
        <f ca="1">IFERROR(__xludf.DUMMYFUNCTION("""COMPUTED_VALUE"""),44754)</f>
        <v>44754</v>
      </c>
      <c r="I587" s="80">
        <f ca="1">IFERROR(__xludf.DUMMYFUNCTION("""COMPUTED_VALUE"""),90)</f>
        <v>90</v>
      </c>
      <c r="J587" s="9" t="str">
        <f ca="1">IFERROR(__xludf.DUMMYFUNCTION("""COMPUTED_VALUE"""),"Dr KV Subba Raju")</f>
        <v>Dr KV Subba Raju</v>
      </c>
      <c r="K587" s="73" t="str">
        <f ca="1">IFERROR(__xludf.DUMMYFUNCTION("""COMPUTED_VALUE"""),"https://drive.google.com/open?id=13O7D2koIVXmXkx9n66CbjBhzklX6JNwE")</f>
        <v>https://drive.google.com/open?id=13O7D2koIVXmXkx9n66CbjBhzklX6JNwE</v>
      </c>
      <c r="L587" s="9" t="str">
        <f ca="1">IFERROR(__xludf.DUMMYFUNCTION("""COMPUTED_VALUE"""),"2020-2024")</f>
        <v>2020-2024</v>
      </c>
      <c r="M587" s="9" t="str">
        <f ca="1">IFERROR(__xludf.DUMMYFUNCTION("""COMPUTED_VALUE"""),"S4: Student Certifications")</f>
        <v>S4: Student Certifications</v>
      </c>
      <c r="N587" s="9" t="str">
        <f ca="1">IFERROR(__xludf.DUMMYFUNCTION("""COMPUTED_VALUE"""),"yeswanthjammi@gmail.com")</f>
        <v>yeswanthjammi@gmail.com</v>
      </c>
      <c r="O587" s="9" t="str">
        <f ca="1">IFERROR(__xludf.DUMMYFUNCTION("""COMPUTED_VALUE"""),"SEM-4")</f>
        <v>SEM-4</v>
      </c>
      <c r="P587" s="9"/>
      <c r="Q587" s="9"/>
      <c r="R587" s="9"/>
      <c r="S587" s="9"/>
      <c r="T587" s="9"/>
      <c r="U587" s="9"/>
      <c r="V587" s="9"/>
      <c r="W587" s="9"/>
      <c r="X587" s="9"/>
      <c r="Y587" s="9"/>
    </row>
    <row r="588" spans="1:25" ht="26.25" customHeight="1" x14ac:dyDescent="0.15">
      <c r="A588" s="9" t="str">
        <f ca="1">IFERROR(__xludf.DUMMYFUNCTION("""COMPUTED_VALUE"""),"Tadi Satish Reddy")</f>
        <v>Tadi Satish Reddy</v>
      </c>
      <c r="B588" s="9" t="str">
        <f ca="1">IFERROR(__xludf.DUMMYFUNCTION("""COMPUTED_VALUE"""),"18332A05F0")</f>
        <v>18332A05F0</v>
      </c>
      <c r="C588" s="78" t="str">
        <f ca="1">IFERROR(__xludf.DUMMYFUNCTION("""COMPUTED_VALUE"""),"C")</f>
        <v>C</v>
      </c>
      <c r="D588" s="9" t="str">
        <f ca="1">IFERROR(__xludf.DUMMYFUNCTION("""COMPUTED_VALUE"""),"Cisco")</f>
        <v>Cisco</v>
      </c>
      <c r="E588" s="9" t="str">
        <f ca="1">IFERROR(__xludf.DUMMYFUNCTION("""COMPUTED_VALUE"""),"1 month")</f>
        <v>1 month</v>
      </c>
      <c r="F588" s="79">
        <f ca="1">IFERROR(__xludf.DUMMYFUNCTION("""COMPUTED_VALUE"""),44550)</f>
        <v>44550</v>
      </c>
      <c r="G588" s="79">
        <f ca="1">IFERROR(__xludf.DUMMYFUNCTION("""COMPUTED_VALUE"""),44576)</f>
        <v>44576</v>
      </c>
      <c r="H588" s="72">
        <f ca="1">IFERROR(__xludf.DUMMYFUNCTION("""COMPUTED_VALUE"""),44573)</f>
        <v>44573</v>
      </c>
      <c r="I588" s="80">
        <f ca="1">IFERROR(__xludf.DUMMYFUNCTION("""COMPUTED_VALUE"""),95)</f>
        <v>95</v>
      </c>
      <c r="J588" s="9" t="str">
        <f ca="1">IFERROR(__xludf.DUMMYFUNCTION("""COMPUTED_VALUE"""),"Dr Ravi Kiran varma")</f>
        <v>Dr Ravi Kiran varma</v>
      </c>
      <c r="K588" s="73" t="str">
        <f ca="1">IFERROR(__xludf.DUMMYFUNCTION("""COMPUTED_VALUE"""),"https://drive.google.com/open?id=1Zb-15iaNboindLGRyqAmWXSM4jrarj4b")</f>
        <v>https://drive.google.com/open?id=1Zb-15iaNboindLGRyqAmWXSM4jrarj4b</v>
      </c>
      <c r="L588" s="9" t="str">
        <f ca="1">IFERROR(__xludf.DUMMYFUNCTION("""COMPUTED_VALUE"""),"2018-2022")</f>
        <v>2018-2022</v>
      </c>
      <c r="M588" s="9" t="str">
        <f ca="1">IFERROR(__xludf.DUMMYFUNCTION("""COMPUTED_VALUE"""),"S4: Student Certifications")</f>
        <v>S4: Student Certifications</v>
      </c>
      <c r="N588" s="9" t="str">
        <f ca="1">IFERROR(__xludf.DUMMYFUNCTION("""COMPUTED_VALUE"""),"tadisatishreddy2000@gmail.com")</f>
        <v>tadisatishreddy2000@gmail.com</v>
      </c>
      <c r="O588" s="9" t="str">
        <f ca="1">IFERROR(__xludf.DUMMYFUNCTION("""COMPUTED_VALUE"""),"SEM-8")</f>
        <v>SEM-8</v>
      </c>
      <c r="P588" s="9"/>
      <c r="Q588" s="9"/>
      <c r="R588" s="9"/>
      <c r="S588" s="9"/>
      <c r="T588" s="9"/>
      <c r="U588" s="9"/>
      <c r="V588" s="9"/>
      <c r="W588" s="9"/>
      <c r="X588" s="9"/>
      <c r="Y588" s="9"/>
    </row>
    <row r="589" spans="1:25" ht="26.25" customHeight="1" x14ac:dyDescent="0.15">
      <c r="A589" s="9" t="str">
        <f ca="1">IFERROR(__xludf.DUMMYFUNCTION("""COMPUTED_VALUE"""),"Tadi Satish Reddy")</f>
        <v>Tadi Satish Reddy</v>
      </c>
      <c r="B589" s="9" t="str">
        <f ca="1">IFERROR(__xludf.DUMMYFUNCTION("""COMPUTED_VALUE"""),"18331A05F0")</f>
        <v>18331A05F0</v>
      </c>
      <c r="C589" s="78" t="str">
        <f ca="1">IFERROR(__xludf.DUMMYFUNCTION("""COMPUTED_VALUE"""),"CCNA")</f>
        <v>CCNA</v>
      </c>
      <c r="D589" s="9" t="str">
        <f ca="1">IFERROR(__xludf.DUMMYFUNCTION("""COMPUTED_VALUE"""),"Cisco")</f>
        <v>Cisco</v>
      </c>
      <c r="E589" s="9" t="str">
        <f ca="1">IFERROR(__xludf.DUMMYFUNCTION("""COMPUTED_VALUE"""),"1 month")</f>
        <v>1 month</v>
      </c>
      <c r="F589" s="79">
        <f ca="1">IFERROR(__xludf.DUMMYFUNCTION("""COMPUTED_VALUE"""),44577)</f>
        <v>44577</v>
      </c>
      <c r="G589" s="79">
        <f ca="1">IFERROR(__xludf.DUMMYFUNCTION("""COMPUTED_VALUE"""),44607)</f>
        <v>44607</v>
      </c>
      <c r="H589" s="72">
        <f ca="1">IFERROR(__xludf.DUMMYFUNCTION("""COMPUTED_VALUE"""),44604)</f>
        <v>44604</v>
      </c>
      <c r="I589" s="80">
        <f ca="1">IFERROR(__xludf.DUMMYFUNCTION("""COMPUTED_VALUE"""),95)</f>
        <v>95</v>
      </c>
      <c r="J589" s="9" t="str">
        <f ca="1">IFERROR(__xludf.DUMMYFUNCTION("""COMPUTED_VALUE"""),"Dr. Ravi Kiran Verma")</f>
        <v>Dr. Ravi Kiran Verma</v>
      </c>
      <c r="K589" s="73" t="str">
        <f ca="1">IFERROR(__xludf.DUMMYFUNCTION("""COMPUTED_VALUE"""),"https://drive.google.com/open?id=1DhSnZ69qVniIEuIV6Sj5XL01lXVYCBSB")</f>
        <v>https://drive.google.com/open?id=1DhSnZ69qVniIEuIV6Sj5XL01lXVYCBSB</v>
      </c>
      <c r="L589" s="9" t="str">
        <f ca="1">IFERROR(__xludf.DUMMYFUNCTION("""COMPUTED_VALUE"""),"2018-2022")</f>
        <v>2018-2022</v>
      </c>
      <c r="M589" s="9" t="str">
        <f ca="1">IFERROR(__xludf.DUMMYFUNCTION("""COMPUTED_VALUE"""),"S4: Student Certifications")</f>
        <v>S4: Student Certifications</v>
      </c>
      <c r="N589" s="9" t="str">
        <f ca="1">IFERROR(__xludf.DUMMYFUNCTION("""COMPUTED_VALUE"""),"tadisatishreddy2000@gmail.com")</f>
        <v>tadisatishreddy2000@gmail.com</v>
      </c>
      <c r="O589" s="9" t="str">
        <f ca="1">IFERROR(__xludf.DUMMYFUNCTION("""COMPUTED_VALUE"""),"SEM-8")</f>
        <v>SEM-8</v>
      </c>
      <c r="P589" s="9"/>
      <c r="Q589" s="9"/>
      <c r="R589" s="9"/>
      <c r="S589" s="9"/>
      <c r="T589" s="9"/>
      <c r="U589" s="9"/>
      <c r="V589" s="9"/>
      <c r="W589" s="9"/>
      <c r="X589" s="9"/>
      <c r="Y589" s="9"/>
    </row>
    <row r="590" spans="1:25" ht="26.25" customHeight="1" x14ac:dyDescent="0.15">
      <c r="A590" s="9" t="str">
        <f ca="1">IFERROR(__xludf.DUMMYFUNCTION("""COMPUTED_VALUE"""),"Tadi Satish Reddy")</f>
        <v>Tadi Satish Reddy</v>
      </c>
      <c r="B590" s="9" t="str">
        <f ca="1">IFERROR(__xludf.DUMMYFUNCTION("""COMPUTED_VALUE"""),"18331A05F0")</f>
        <v>18331A05F0</v>
      </c>
      <c r="C590" s="78" t="str">
        <f ca="1">IFERROR(__xludf.DUMMYFUNCTION("""COMPUTED_VALUE"""),"CCNA")</f>
        <v>CCNA</v>
      </c>
      <c r="D590" s="9" t="str">
        <f ca="1">IFERROR(__xludf.DUMMYFUNCTION("""COMPUTED_VALUE"""),"Cisco")</f>
        <v>Cisco</v>
      </c>
      <c r="E590" s="9" t="str">
        <f ca="1">IFERROR(__xludf.DUMMYFUNCTION("""COMPUTED_VALUE"""),"1 month")</f>
        <v>1 month</v>
      </c>
      <c r="F590" s="79">
        <f ca="1">IFERROR(__xludf.DUMMYFUNCTION("""COMPUTED_VALUE"""),44608)</f>
        <v>44608</v>
      </c>
      <c r="G590" s="79">
        <f ca="1">IFERROR(__xludf.DUMMYFUNCTION("""COMPUTED_VALUE"""),44635)</f>
        <v>44635</v>
      </c>
      <c r="H590" s="72">
        <f ca="1">IFERROR(__xludf.DUMMYFUNCTION("""COMPUTED_VALUE"""),44632)</f>
        <v>44632</v>
      </c>
      <c r="I590" s="80">
        <f ca="1">IFERROR(__xludf.DUMMYFUNCTION("""COMPUTED_VALUE"""),95)</f>
        <v>95</v>
      </c>
      <c r="J590" s="9" t="str">
        <f ca="1">IFERROR(__xludf.DUMMYFUNCTION("""COMPUTED_VALUE"""),"Dr Ravi Kiran verma")</f>
        <v>Dr Ravi Kiran verma</v>
      </c>
      <c r="K590" s="73" t="str">
        <f ca="1">IFERROR(__xludf.DUMMYFUNCTION("""COMPUTED_VALUE"""),"https://drive.google.com/open?id=13lGdItF7uLb_QJuHbKFSTIT2NCFM2qOI")</f>
        <v>https://drive.google.com/open?id=13lGdItF7uLb_QJuHbKFSTIT2NCFM2qOI</v>
      </c>
      <c r="L590" s="9" t="str">
        <f ca="1">IFERROR(__xludf.DUMMYFUNCTION("""COMPUTED_VALUE"""),"2018-2022")</f>
        <v>2018-2022</v>
      </c>
      <c r="M590" s="9" t="str">
        <f ca="1">IFERROR(__xludf.DUMMYFUNCTION("""COMPUTED_VALUE"""),"S4: Student Certifications")</f>
        <v>S4: Student Certifications</v>
      </c>
      <c r="N590" s="9" t="str">
        <f ca="1">IFERROR(__xludf.DUMMYFUNCTION("""COMPUTED_VALUE"""),"tadisatishreddy2000@gmail.com")</f>
        <v>tadisatishreddy2000@gmail.com</v>
      </c>
      <c r="O590" s="9" t="str">
        <f ca="1">IFERROR(__xludf.DUMMYFUNCTION("""COMPUTED_VALUE"""),"SEM-8")</f>
        <v>SEM-8</v>
      </c>
      <c r="P590" s="9"/>
      <c r="Q590" s="9"/>
      <c r="R590" s="9"/>
      <c r="S590" s="9"/>
      <c r="T590" s="9"/>
      <c r="U590" s="9"/>
      <c r="V590" s="9"/>
      <c r="W590" s="9"/>
      <c r="X590" s="9"/>
      <c r="Y590" s="9"/>
    </row>
    <row r="591" spans="1:25" ht="26.25" customHeight="1" x14ac:dyDescent="0.15">
      <c r="A591" s="9" t="str">
        <f ca="1">IFERROR(__xludf.DUMMYFUNCTION("""COMPUTED_VALUE"""),"Tadi Satish Reddy")</f>
        <v>Tadi Satish Reddy</v>
      </c>
      <c r="B591" s="9" t="str">
        <f ca="1">IFERROR(__xludf.DUMMYFUNCTION("""COMPUTED_VALUE"""),"18331A05F0")</f>
        <v>18331A05F0</v>
      </c>
      <c r="C591" s="78" t="str">
        <f ca="1">IFERROR(__xludf.DUMMYFUNCTION("""COMPUTED_VALUE"""),"C")</f>
        <v>C</v>
      </c>
      <c r="D591" s="9" t="str">
        <f ca="1">IFERROR(__xludf.DUMMYFUNCTION("""COMPUTED_VALUE"""),"Cisco")</f>
        <v>Cisco</v>
      </c>
      <c r="E591" s="9" t="str">
        <f ca="1">IFERROR(__xludf.DUMMYFUNCTION("""COMPUTED_VALUE"""),"2 months")</f>
        <v>2 months</v>
      </c>
      <c r="F591" s="79">
        <f ca="1">IFERROR(__xludf.DUMMYFUNCTION("""COMPUTED_VALUE"""),44378)</f>
        <v>44378</v>
      </c>
      <c r="G591" s="79">
        <f ca="1">IFERROR(__xludf.DUMMYFUNCTION("""COMPUTED_VALUE"""),44439)</f>
        <v>44439</v>
      </c>
      <c r="H591" s="72">
        <f ca="1">IFERROR(__xludf.DUMMYFUNCTION("""COMPUTED_VALUE"""),44438)</f>
        <v>44438</v>
      </c>
      <c r="I591" s="80">
        <f ca="1">IFERROR(__xludf.DUMMYFUNCTION("""COMPUTED_VALUE"""),90)</f>
        <v>90</v>
      </c>
      <c r="J591" s="9" t="str">
        <f ca="1">IFERROR(__xludf.DUMMYFUNCTION("""COMPUTED_VALUE"""),"Dr Ravi Kiran Verma")</f>
        <v>Dr Ravi Kiran Verma</v>
      </c>
      <c r="K591" s="73" t="str">
        <f ca="1">IFERROR(__xludf.DUMMYFUNCTION("""COMPUTED_VALUE"""),"https://drive.google.com/open?id=1tXo0HN5OLkUMNJa9xtUoZ2zzgNTuxps5")</f>
        <v>https://drive.google.com/open?id=1tXo0HN5OLkUMNJa9xtUoZ2zzgNTuxps5</v>
      </c>
      <c r="L591" s="9" t="str">
        <f ca="1">IFERROR(__xludf.DUMMYFUNCTION("""COMPUTED_VALUE"""),"2018-2022")</f>
        <v>2018-2022</v>
      </c>
      <c r="M591" s="9" t="str">
        <f ca="1">IFERROR(__xludf.DUMMYFUNCTION("""COMPUTED_VALUE"""),"S4: Student Certifications")</f>
        <v>S4: Student Certifications</v>
      </c>
      <c r="N591" s="9" t="str">
        <f ca="1">IFERROR(__xludf.DUMMYFUNCTION("""COMPUTED_VALUE"""),"tadisatishreddy2000@gmail.com")</f>
        <v>tadisatishreddy2000@gmail.com</v>
      </c>
      <c r="O591" s="9" t="str">
        <f ca="1">IFERROR(__xludf.DUMMYFUNCTION("""COMPUTED_VALUE"""),"SEM-8")</f>
        <v>SEM-8</v>
      </c>
      <c r="P591" s="9"/>
      <c r="Q591" s="9"/>
      <c r="R591" s="9"/>
      <c r="S591" s="9"/>
      <c r="T591" s="9"/>
      <c r="U591" s="9"/>
      <c r="V591" s="9"/>
      <c r="W591" s="9"/>
      <c r="X591" s="9"/>
      <c r="Y591" s="9"/>
    </row>
    <row r="592" spans="1:25" ht="26.25" customHeight="1" x14ac:dyDescent="0.15">
      <c r="A592" s="9" t="str">
        <f ca="1">IFERROR(__xludf.DUMMYFUNCTION("""COMPUTED_VALUE"""),"Tadi Satish Reddy")</f>
        <v>Tadi Satish Reddy</v>
      </c>
      <c r="B592" s="9" t="str">
        <f ca="1">IFERROR(__xludf.DUMMYFUNCTION("""COMPUTED_VALUE"""),"18331A05F0")</f>
        <v>18331A05F0</v>
      </c>
      <c r="C592" s="78" t="str">
        <f ca="1">IFERROR(__xludf.DUMMYFUNCTION("""COMPUTED_VALUE"""),"C++")</f>
        <v>C++</v>
      </c>
      <c r="D592" s="9" t="str">
        <f ca="1">IFERROR(__xludf.DUMMYFUNCTION("""COMPUTED_VALUE"""),"Cisco")</f>
        <v>Cisco</v>
      </c>
      <c r="E592" s="9" t="str">
        <f ca="1">IFERROR(__xludf.DUMMYFUNCTION("""COMPUTED_VALUE"""),"2 months")</f>
        <v>2 months</v>
      </c>
      <c r="F592" s="79">
        <f ca="1">IFERROR(__xludf.DUMMYFUNCTION("""COMPUTED_VALUE"""),44440)</f>
        <v>44440</v>
      </c>
      <c r="G592" s="79">
        <f ca="1">IFERROR(__xludf.DUMMYFUNCTION("""COMPUTED_VALUE"""),44500)</f>
        <v>44500</v>
      </c>
      <c r="H592" s="72">
        <f ca="1">IFERROR(__xludf.DUMMYFUNCTION("""COMPUTED_VALUE"""),44499)</f>
        <v>44499</v>
      </c>
      <c r="I592" s="80">
        <f ca="1">IFERROR(__xludf.DUMMYFUNCTION("""COMPUTED_VALUE"""),90)</f>
        <v>90</v>
      </c>
      <c r="J592" s="9" t="str">
        <f ca="1">IFERROR(__xludf.DUMMYFUNCTION("""COMPUTED_VALUE"""),"Dr Ravi Kiran Verma")</f>
        <v>Dr Ravi Kiran Verma</v>
      </c>
      <c r="K592" s="73" t="str">
        <f ca="1">IFERROR(__xludf.DUMMYFUNCTION("""COMPUTED_VALUE"""),"https://drive.google.com/open?id=1X6ppzp2_RQtZH-sMapbdVUJFv8cshZ_0")</f>
        <v>https://drive.google.com/open?id=1X6ppzp2_RQtZH-sMapbdVUJFv8cshZ_0</v>
      </c>
      <c r="L592" s="9" t="str">
        <f ca="1">IFERROR(__xludf.DUMMYFUNCTION("""COMPUTED_VALUE"""),"2018-2022")</f>
        <v>2018-2022</v>
      </c>
      <c r="M592" s="9" t="str">
        <f ca="1">IFERROR(__xludf.DUMMYFUNCTION("""COMPUTED_VALUE"""),"S4: Student Certifications")</f>
        <v>S4: Student Certifications</v>
      </c>
      <c r="N592" s="9" t="str">
        <f ca="1">IFERROR(__xludf.DUMMYFUNCTION("""COMPUTED_VALUE"""),"tadisatishreddy2000@gmail.com")</f>
        <v>tadisatishreddy2000@gmail.com</v>
      </c>
      <c r="O592" s="9" t="str">
        <f ca="1">IFERROR(__xludf.DUMMYFUNCTION("""COMPUTED_VALUE"""),"SEM-8")</f>
        <v>SEM-8</v>
      </c>
      <c r="P592" s="9"/>
      <c r="Q592" s="9"/>
      <c r="R592" s="9"/>
      <c r="S592" s="9"/>
      <c r="T592" s="9"/>
      <c r="U592" s="9"/>
      <c r="V592" s="9"/>
      <c r="W592" s="9"/>
      <c r="X592" s="9"/>
      <c r="Y592" s="9"/>
    </row>
    <row r="593" spans="1:25" ht="26.25" customHeight="1" x14ac:dyDescent="0.15">
      <c r="A593" s="9" t="str">
        <f ca="1">IFERROR(__xludf.DUMMYFUNCTION("""COMPUTED_VALUE"""),"Tadi Satish Reddy")</f>
        <v>Tadi Satish Reddy</v>
      </c>
      <c r="B593" s="9" t="str">
        <f ca="1">IFERROR(__xludf.DUMMYFUNCTION("""COMPUTED_VALUE"""),"18331A05F0")</f>
        <v>18331A05F0</v>
      </c>
      <c r="C593" s="78" t="str">
        <f ca="1">IFERROR(__xludf.DUMMYFUNCTION("""COMPUTED_VALUE"""),"Python")</f>
        <v>Python</v>
      </c>
      <c r="D593" s="9" t="str">
        <f ca="1">IFERROR(__xludf.DUMMYFUNCTION("""COMPUTED_VALUE"""),"Cisco")</f>
        <v>Cisco</v>
      </c>
      <c r="E593" s="9" t="str">
        <f ca="1">IFERROR(__xludf.DUMMYFUNCTION("""COMPUTED_VALUE"""),"1 month")</f>
        <v>1 month</v>
      </c>
      <c r="F593" s="79">
        <f ca="1">IFERROR(__xludf.DUMMYFUNCTION("""COMPUTED_VALUE"""),44501)</f>
        <v>44501</v>
      </c>
      <c r="G593" s="79">
        <f ca="1">IFERROR(__xludf.DUMMYFUNCTION("""COMPUTED_VALUE"""),44530)</f>
        <v>44530</v>
      </c>
      <c r="H593" s="72">
        <f ca="1">IFERROR(__xludf.DUMMYFUNCTION("""COMPUTED_VALUE"""),44529)</f>
        <v>44529</v>
      </c>
      <c r="I593" s="80">
        <f ca="1">IFERROR(__xludf.DUMMYFUNCTION("""COMPUTED_VALUE"""),95)</f>
        <v>95</v>
      </c>
      <c r="J593" s="9" t="str">
        <f ca="1">IFERROR(__xludf.DUMMYFUNCTION("""COMPUTED_VALUE"""),"Dr Ravi Kiran Verma")</f>
        <v>Dr Ravi Kiran Verma</v>
      </c>
      <c r="K593" s="73" t="str">
        <f ca="1">IFERROR(__xludf.DUMMYFUNCTION("""COMPUTED_VALUE"""),"https://drive.google.com/open?id=1TTKuv1PMBM3byrFdrOA4RuavOgVPs5_j")</f>
        <v>https://drive.google.com/open?id=1TTKuv1PMBM3byrFdrOA4RuavOgVPs5_j</v>
      </c>
      <c r="L593" s="9" t="str">
        <f ca="1">IFERROR(__xludf.DUMMYFUNCTION("""COMPUTED_VALUE"""),"2018-2022")</f>
        <v>2018-2022</v>
      </c>
      <c r="M593" s="9" t="str">
        <f ca="1">IFERROR(__xludf.DUMMYFUNCTION("""COMPUTED_VALUE"""),"S4: Student Certifications")</f>
        <v>S4: Student Certifications</v>
      </c>
      <c r="N593" s="9" t="str">
        <f ca="1">IFERROR(__xludf.DUMMYFUNCTION("""COMPUTED_VALUE"""),"tadisatishreddy2000@gmail.com")</f>
        <v>tadisatishreddy2000@gmail.com</v>
      </c>
      <c r="O593" s="9" t="str">
        <f ca="1">IFERROR(__xludf.DUMMYFUNCTION("""COMPUTED_VALUE"""),"SEM-8")</f>
        <v>SEM-8</v>
      </c>
      <c r="P593" s="9"/>
      <c r="Q593" s="9"/>
      <c r="R593" s="9"/>
      <c r="S593" s="9"/>
      <c r="T593" s="9"/>
      <c r="U593" s="9"/>
      <c r="V593" s="9"/>
      <c r="W593" s="9"/>
      <c r="X593" s="9"/>
      <c r="Y593" s="9"/>
    </row>
    <row r="594" spans="1:25" ht="26.25" customHeight="1" x14ac:dyDescent="0.15">
      <c r="A594" s="9" t="str">
        <f ca="1">IFERROR(__xludf.DUMMYFUNCTION("""COMPUTED_VALUE"""),"Tadi Satish Reddy")</f>
        <v>Tadi Satish Reddy</v>
      </c>
      <c r="B594" s="9" t="str">
        <f ca="1">IFERROR(__xludf.DUMMYFUNCTION("""COMPUTED_VALUE"""),"18331A05F0")</f>
        <v>18331A05F0</v>
      </c>
      <c r="C594" s="78" t="str">
        <f ca="1">IFERROR(__xludf.DUMMYFUNCTION("""COMPUTED_VALUE"""),"Linux essentials")</f>
        <v>Linux essentials</v>
      </c>
      <c r="D594" s="9" t="str">
        <f ca="1">IFERROR(__xludf.DUMMYFUNCTION("""COMPUTED_VALUE"""),"Cisco")</f>
        <v>Cisco</v>
      </c>
      <c r="E594" s="9" t="str">
        <f ca="1">IFERROR(__xludf.DUMMYFUNCTION("""COMPUTED_VALUE"""),"2 months")</f>
        <v>2 months</v>
      </c>
      <c r="F594" s="79">
        <f ca="1">IFERROR(__xludf.DUMMYFUNCTION("""COMPUTED_VALUE"""),44440)</f>
        <v>44440</v>
      </c>
      <c r="G594" s="79">
        <f ca="1">IFERROR(__xludf.DUMMYFUNCTION("""COMPUTED_VALUE"""),44500)</f>
        <v>44500</v>
      </c>
      <c r="H594" s="72">
        <f ca="1">IFERROR(__xludf.DUMMYFUNCTION("""COMPUTED_VALUE"""),44499)</f>
        <v>44499</v>
      </c>
      <c r="I594" s="80">
        <f ca="1">IFERROR(__xludf.DUMMYFUNCTION("""COMPUTED_VALUE"""),90)</f>
        <v>90</v>
      </c>
      <c r="J594" s="9" t="str">
        <f ca="1">IFERROR(__xludf.DUMMYFUNCTION("""COMPUTED_VALUE"""),"Dr Ravi Kiran Verma")</f>
        <v>Dr Ravi Kiran Verma</v>
      </c>
      <c r="K594" s="73" t="str">
        <f ca="1">IFERROR(__xludf.DUMMYFUNCTION("""COMPUTED_VALUE"""),"https://drive.google.com/open?id=1yEpNi0SHGl5qQOLJpWfFDSVrtUwOq4Cb")</f>
        <v>https://drive.google.com/open?id=1yEpNi0SHGl5qQOLJpWfFDSVrtUwOq4Cb</v>
      </c>
      <c r="L594" s="9" t="str">
        <f ca="1">IFERROR(__xludf.DUMMYFUNCTION("""COMPUTED_VALUE"""),"2018-2022")</f>
        <v>2018-2022</v>
      </c>
      <c r="M594" s="9" t="str">
        <f ca="1">IFERROR(__xludf.DUMMYFUNCTION("""COMPUTED_VALUE"""),"S4: Student Certifications")</f>
        <v>S4: Student Certifications</v>
      </c>
      <c r="N594" s="9" t="str">
        <f ca="1">IFERROR(__xludf.DUMMYFUNCTION("""COMPUTED_VALUE"""),"tadisatishreddy2000@gmail.com")</f>
        <v>tadisatishreddy2000@gmail.com</v>
      </c>
      <c r="O594" s="9" t="str">
        <f ca="1">IFERROR(__xludf.DUMMYFUNCTION("""COMPUTED_VALUE"""),"SEM-8")</f>
        <v>SEM-8</v>
      </c>
      <c r="P594" s="9"/>
      <c r="Q594" s="9"/>
      <c r="R594" s="9"/>
      <c r="S594" s="9"/>
      <c r="T594" s="9"/>
      <c r="U594" s="9"/>
      <c r="V594" s="9"/>
      <c r="W594" s="9"/>
      <c r="X594" s="9"/>
      <c r="Y594" s="9"/>
    </row>
    <row r="595" spans="1:25" ht="26.25" customHeight="1" x14ac:dyDescent="0.15">
      <c r="A595" s="9" t="str">
        <f ca="1">IFERROR(__xludf.DUMMYFUNCTION("""COMPUTED_VALUE"""),"Tadi Satish Reddy")</f>
        <v>Tadi Satish Reddy</v>
      </c>
      <c r="B595" s="9" t="str">
        <f ca="1">IFERROR(__xludf.DUMMYFUNCTION("""COMPUTED_VALUE"""),"18331A05F0")</f>
        <v>18331A05F0</v>
      </c>
      <c r="C595" s="78" t="str">
        <f ca="1">IFERROR(__xludf.DUMMYFUNCTION("""COMPUTED_VALUE"""),"Iot")</f>
        <v>Iot</v>
      </c>
      <c r="D595" s="9" t="str">
        <f ca="1">IFERROR(__xludf.DUMMYFUNCTION("""COMPUTED_VALUE"""),"Cisco")</f>
        <v>Cisco</v>
      </c>
      <c r="E595" s="9" t="str">
        <f ca="1">IFERROR(__xludf.DUMMYFUNCTION("""COMPUTED_VALUE"""),"1 month")</f>
        <v>1 month</v>
      </c>
      <c r="F595" s="79">
        <f ca="1">IFERROR(__xludf.DUMMYFUNCTION("""COMPUTED_VALUE"""),44531)</f>
        <v>44531</v>
      </c>
      <c r="G595" s="79">
        <f ca="1">IFERROR(__xludf.DUMMYFUNCTION("""COMPUTED_VALUE"""),44561)</f>
        <v>44561</v>
      </c>
      <c r="H595" s="72">
        <f ca="1">IFERROR(__xludf.DUMMYFUNCTION("""COMPUTED_VALUE"""),44560)</f>
        <v>44560</v>
      </c>
      <c r="I595" s="80">
        <f ca="1">IFERROR(__xludf.DUMMYFUNCTION("""COMPUTED_VALUE"""),90)</f>
        <v>90</v>
      </c>
      <c r="J595" s="9" t="str">
        <f ca="1">IFERROR(__xludf.DUMMYFUNCTION("""COMPUTED_VALUE"""),"Dr Ravi Kiran Verma")</f>
        <v>Dr Ravi Kiran Verma</v>
      </c>
      <c r="K595" s="73" t="str">
        <f ca="1">IFERROR(__xludf.DUMMYFUNCTION("""COMPUTED_VALUE"""),"https://drive.google.com/open?id=1QKPXuKgvVlA0gZbYZnTSSi7gWTbDZr8t")</f>
        <v>https://drive.google.com/open?id=1QKPXuKgvVlA0gZbYZnTSSi7gWTbDZr8t</v>
      </c>
      <c r="L595" s="9" t="str">
        <f ca="1">IFERROR(__xludf.DUMMYFUNCTION("""COMPUTED_VALUE"""),"2018-2022")</f>
        <v>2018-2022</v>
      </c>
      <c r="M595" s="9" t="str">
        <f ca="1">IFERROR(__xludf.DUMMYFUNCTION("""COMPUTED_VALUE"""),"S4: Student Certifications")</f>
        <v>S4: Student Certifications</v>
      </c>
      <c r="N595" s="9" t="str">
        <f ca="1">IFERROR(__xludf.DUMMYFUNCTION("""COMPUTED_VALUE"""),"tadisatishreddy2000@gmail.com")</f>
        <v>tadisatishreddy2000@gmail.com</v>
      </c>
      <c r="O595" s="9" t="str">
        <f ca="1">IFERROR(__xludf.DUMMYFUNCTION("""COMPUTED_VALUE"""),"SEM-8")</f>
        <v>SEM-8</v>
      </c>
      <c r="P595" s="9"/>
      <c r="Q595" s="9"/>
      <c r="R595" s="9"/>
      <c r="S595" s="9"/>
      <c r="T595" s="9"/>
      <c r="U595" s="9"/>
      <c r="V595" s="9"/>
      <c r="W595" s="9"/>
      <c r="X595" s="9"/>
      <c r="Y595" s="9"/>
    </row>
    <row r="596" spans="1:25" ht="26.25" customHeight="1" x14ac:dyDescent="0.15">
      <c r="A596" s="9" t="str">
        <f ca="1">IFERROR(__xludf.DUMMYFUNCTION("""COMPUTED_VALUE"""),"Jaswanth Vajrapu")</f>
        <v>Jaswanth Vajrapu</v>
      </c>
      <c r="B596" s="9" t="str">
        <f ca="1">IFERROR(__xludf.DUMMYFUNCTION("""COMPUTED_VALUE"""),"1833A05G5")</f>
        <v>1833A05G5</v>
      </c>
      <c r="C596" s="78" t="str">
        <f ca="1">IFERROR(__xludf.DUMMYFUNCTION("""COMPUTED_VALUE"""),"Programming for Everybody (Getting Started with Python)")</f>
        <v>Programming for Everybody (Getting Started with Python)</v>
      </c>
      <c r="D596" s="9" t="str">
        <f ca="1">IFERROR(__xludf.DUMMYFUNCTION("""COMPUTED_VALUE"""),"Coursera")</f>
        <v>Coursera</v>
      </c>
      <c r="E596" s="9" t="str">
        <f ca="1">IFERROR(__xludf.DUMMYFUNCTION("""COMPUTED_VALUE"""),"4 weeks")</f>
        <v>4 weeks</v>
      </c>
      <c r="F596" s="79">
        <f ca="1">IFERROR(__xludf.DUMMYFUNCTION("""COMPUTED_VALUE"""),43925)</f>
        <v>43925</v>
      </c>
      <c r="G596" s="79">
        <f ca="1">IFERROR(__xludf.DUMMYFUNCTION("""COMPUTED_VALUE"""),43946)</f>
        <v>43946</v>
      </c>
      <c r="H596" s="72">
        <f ca="1">IFERROR(__xludf.DUMMYFUNCTION("""COMPUTED_VALUE"""),43947)</f>
        <v>43947</v>
      </c>
      <c r="I596" s="80"/>
      <c r="J596" s="9" t="str">
        <f ca="1">IFERROR(__xludf.DUMMYFUNCTION("""COMPUTED_VALUE"""),"Charles Severance")</f>
        <v>Charles Severance</v>
      </c>
      <c r="K596" s="73" t="str">
        <f ca="1">IFERROR(__xludf.DUMMYFUNCTION("""COMPUTED_VALUE"""),"https://drive.google.com/open?id=1Pdt8aypHVSwSzDIWguiP8nWMrEdB33h0")</f>
        <v>https://drive.google.com/open?id=1Pdt8aypHVSwSzDIWguiP8nWMrEdB33h0</v>
      </c>
      <c r="L596" s="9" t="str">
        <f ca="1">IFERROR(__xludf.DUMMYFUNCTION("""COMPUTED_VALUE"""),"2018-2022")</f>
        <v>2018-2022</v>
      </c>
      <c r="M596" s="9" t="str">
        <f ca="1">IFERROR(__xludf.DUMMYFUNCTION("""COMPUTED_VALUE"""),"S4: Student Certifications")</f>
        <v>S4: Student Certifications</v>
      </c>
      <c r="N596" s="9" t="str">
        <f ca="1">IFERROR(__xludf.DUMMYFUNCTION("""COMPUTED_VALUE"""),"jaswanth.vjp13@gmail.com")</f>
        <v>jaswanth.vjp13@gmail.com</v>
      </c>
      <c r="O596" s="9" t="str">
        <f ca="1">IFERROR(__xludf.DUMMYFUNCTION("""COMPUTED_VALUE"""),"SEM-4")</f>
        <v>SEM-4</v>
      </c>
      <c r="P596" s="9"/>
      <c r="Q596" s="9"/>
      <c r="R596" s="9"/>
      <c r="S596" s="9"/>
      <c r="T596" s="9"/>
      <c r="U596" s="9"/>
      <c r="V596" s="9"/>
      <c r="W596" s="9"/>
      <c r="X596" s="9"/>
      <c r="Y596" s="9"/>
    </row>
    <row r="597" spans="1:25" ht="26.25" customHeight="1" x14ac:dyDescent="0.15">
      <c r="A597" s="9" t="str">
        <f ca="1">IFERROR(__xludf.DUMMYFUNCTION("""COMPUTED_VALUE"""),"Jaswanth Vajrapu")</f>
        <v>Jaswanth Vajrapu</v>
      </c>
      <c r="B597" s="9" t="str">
        <f ca="1">IFERROR(__xludf.DUMMYFUNCTION("""COMPUTED_VALUE"""),"18331A05G5")</f>
        <v>18331A05G5</v>
      </c>
      <c r="C597" s="78" t="str">
        <f ca="1">IFERROR(__xludf.DUMMYFUNCTION("""COMPUTED_VALUE"""),"Management")</f>
        <v>Management</v>
      </c>
      <c r="D597" s="9" t="str">
        <f ca="1">IFERROR(__xludf.DUMMYFUNCTION("""COMPUTED_VALUE"""),"Drona")</f>
        <v>Drona</v>
      </c>
      <c r="E597" s="9" t="str">
        <f ca="1">IFERROR(__xludf.DUMMYFUNCTION("""COMPUTED_VALUE"""),"1 Day")</f>
        <v>1 Day</v>
      </c>
      <c r="F597" s="79">
        <f ca="1">IFERROR(__xludf.DUMMYFUNCTION("""COMPUTED_VALUE"""),43401)</f>
        <v>43401</v>
      </c>
      <c r="G597" s="79">
        <f ca="1">IFERROR(__xludf.DUMMYFUNCTION("""COMPUTED_VALUE"""),43401)</f>
        <v>43401</v>
      </c>
      <c r="H597" s="72">
        <f ca="1">IFERROR(__xludf.DUMMYFUNCTION("""COMPUTED_VALUE"""),43401)</f>
        <v>43401</v>
      </c>
      <c r="I597" s="80"/>
      <c r="J597" s="9" t="str">
        <f ca="1">IFERROR(__xludf.DUMMYFUNCTION("""COMPUTED_VALUE"""),"SIDHARTHAN ")</f>
        <v xml:space="preserve">SIDHARTHAN </v>
      </c>
      <c r="K597" s="73" t="str">
        <f ca="1">IFERROR(__xludf.DUMMYFUNCTION("""COMPUTED_VALUE"""),"https://drive.google.com/open?id=1iabDeur9k6QrEoaHZHRARPLPCSvizNGq")</f>
        <v>https://drive.google.com/open?id=1iabDeur9k6QrEoaHZHRARPLPCSvizNGq</v>
      </c>
      <c r="L597" s="9" t="str">
        <f ca="1">IFERROR(__xludf.DUMMYFUNCTION("""COMPUTED_VALUE"""),"2018-2022")</f>
        <v>2018-2022</v>
      </c>
      <c r="M597" s="9" t="str">
        <f ca="1">IFERROR(__xludf.DUMMYFUNCTION("""COMPUTED_VALUE"""),"S4: Student Certifications")</f>
        <v>S4: Student Certifications</v>
      </c>
      <c r="N597" s="9" t="str">
        <f ca="1">IFERROR(__xludf.DUMMYFUNCTION("""COMPUTED_VALUE"""),"jaswanth.vjp13@gmail.com")</f>
        <v>jaswanth.vjp13@gmail.com</v>
      </c>
      <c r="O597" s="9" t="str">
        <f ca="1">IFERROR(__xludf.DUMMYFUNCTION("""COMPUTED_VALUE"""),"SEM-1")</f>
        <v>SEM-1</v>
      </c>
      <c r="P597" s="9"/>
      <c r="Q597" s="9"/>
      <c r="R597" s="9"/>
      <c r="S597" s="9"/>
      <c r="T597" s="9"/>
      <c r="U597" s="9"/>
      <c r="V597" s="9"/>
      <c r="W597" s="9"/>
      <c r="X597" s="9"/>
      <c r="Y597" s="9"/>
    </row>
    <row r="598" spans="1:25" ht="26.25" customHeight="1" x14ac:dyDescent="0.15">
      <c r="A598" s="9" t="str">
        <f ca="1">IFERROR(__xludf.DUMMYFUNCTION("""COMPUTED_VALUE"""),"N Manikanta Sai Kumar ")</f>
        <v xml:space="preserve">N Manikanta Sai Kumar </v>
      </c>
      <c r="B598" s="9" t="str">
        <f ca="1">IFERROR(__xludf.DUMMYFUNCTION("""COMPUTED_VALUE"""),"20331A05C2")</f>
        <v>20331A05C2</v>
      </c>
      <c r="C598" s="78" t="str">
        <f ca="1">IFERROR(__xludf.DUMMYFUNCTION("""COMPUTED_VALUE"""),"Redhat Linux(RH-124)")</f>
        <v>Redhat Linux(RH-124)</v>
      </c>
      <c r="D598" s="9" t="str">
        <f ca="1">IFERROR(__xludf.DUMMYFUNCTION("""COMPUTED_VALUE"""),"Redhat System Administration")</f>
        <v>Redhat System Administration</v>
      </c>
      <c r="E598" s="9" t="str">
        <f ca="1">IFERROR(__xludf.DUMMYFUNCTION("""COMPUTED_VALUE"""),"2 months ")</f>
        <v xml:space="preserve">2 months </v>
      </c>
      <c r="F598" s="79">
        <f ca="1">IFERROR(__xludf.DUMMYFUNCTION("""COMPUTED_VALUE"""),44494)</f>
        <v>44494</v>
      </c>
      <c r="G598" s="79">
        <f ca="1">IFERROR(__xludf.DUMMYFUNCTION("""COMPUTED_VALUE"""),44555)</f>
        <v>44555</v>
      </c>
      <c r="H598" s="72">
        <f ca="1">IFERROR(__xludf.DUMMYFUNCTION("""COMPUTED_VALUE"""),44555)</f>
        <v>44555</v>
      </c>
      <c r="I598" s="80">
        <f ca="1">IFERROR(__xludf.DUMMYFUNCTION("""COMPUTED_VALUE"""),92)</f>
        <v>92</v>
      </c>
      <c r="J598" s="9" t="str">
        <f ca="1">IFERROR(__xludf.DUMMYFUNCTION("""COMPUTED_VALUE"""),"K.V.Subbaraju")</f>
        <v>K.V.Subbaraju</v>
      </c>
      <c r="K598" s="73" t="str">
        <f ca="1">IFERROR(__xludf.DUMMYFUNCTION("""COMPUTED_VALUE"""),"https://drive.google.com/open?id=1j1w0c2-FZYLuHintyze78-a8_CcCaP0D")</f>
        <v>https://drive.google.com/open?id=1j1w0c2-FZYLuHintyze78-a8_CcCaP0D</v>
      </c>
      <c r="L598" s="9" t="str">
        <f ca="1">IFERROR(__xludf.DUMMYFUNCTION("""COMPUTED_VALUE"""),"2020-2024")</f>
        <v>2020-2024</v>
      </c>
      <c r="M598" s="9" t="str">
        <f ca="1">IFERROR(__xludf.DUMMYFUNCTION("""COMPUTED_VALUE"""),"S4: Student Certifications")</f>
        <v>S4: Student Certifications</v>
      </c>
      <c r="N598" s="9" t="str">
        <f ca="1">IFERROR(__xludf.DUMMYFUNCTION("""COMPUTED_VALUE"""),"manikanta202nmk@gmail.com")</f>
        <v>manikanta202nmk@gmail.com</v>
      </c>
      <c r="O598" s="9" t="str">
        <f ca="1">IFERROR(__xludf.DUMMYFUNCTION("""COMPUTED_VALUE"""),"SEM-3")</f>
        <v>SEM-3</v>
      </c>
      <c r="P598" s="9"/>
      <c r="Q598" s="9"/>
      <c r="R598" s="9"/>
      <c r="S598" s="9"/>
      <c r="T598" s="9"/>
      <c r="U598" s="9"/>
      <c r="V598" s="9"/>
      <c r="W598" s="9"/>
      <c r="X598" s="9"/>
      <c r="Y598" s="9"/>
    </row>
    <row r="599" spans="1:25" ht="26.25" customHeight="1" x14ac:dyDescent="0.15">
      <c r="A599" s="9" t="str">
        <f ca="1">IFERROR(__xludf.DUMMYFUNCTION("""COMPUTED_VALUE"""),"Jaswanth Vajrapu")</f>
        <v>Jaswanth Vajrapu</v>
      </c>
      <c r="B599" s="9" t="str">
        <f ca="1">IFERROR(__xludf.DUMMYFUNCTION("""COMPUTED_VALUE"""),"18331A05G5")</f>
        <v>18331A05G5</v>
      </c>
      <c r="C599" s="78" t="str">
        <f ca="1">IFERROR(__xludf.DUMMYFUNCTION("""COMPUTED_VALUE"""),"SQL")</f>
        <v>SQL</v>
      </c>
      <c r="D599" s="9" t="str">
        <f ca="1">IFERROR(__xludf.DUMMYFUNCTION("""COMPUTED_VALUE"""),"Hacker Rank")</f>
        <v>Hacker Rank</v>
      </c>
      <c r="E599" s="9" t="str">
        <f ca="1">IFERROR(__xludf.DUMMYFUNCTION("""COMPUTED_VALUE"""),"3 weeks")</f>
        <v>3 weeks</v>
      </c>
      <c r="F599" s="79">
        <f ca="1">IFERROR(__xludf.DUMMYFUNCTION("""COMPUTED_VALUE"""),44290)</f>
        <v>44290</v>
      </c>
      <c r="G599" s="79">
        <f ca="1">IFERROR(__xludf.DUMMYFUNCTION("""COMPUTED_VALUE"""),44311)</f>
        <v>44311</v>
      </c>
      <c r="H599" s="72">
        <f ca="1">IFERROR(__xludf.DUMMYFUNCTION("""COMPUTED_VALUE"""),44315)</f>
        <v>44315</v>
      </c>
      <c r="I599" s="80"/>
      <c r="J599" s="9" t="str">
        <f ca="1">IFERROR(__xludf.DUMMYFUNCTION("""COMPUTED_VALUE"""),"Harishankaran.K")</f>
        <v>Harishankaran.K</v>
      </c>
      <c r="K599" s="73" t="str">
        <f ca="1">IFERROR(__xludf.DUMMYFUNCTION("""COMPUTED_VALUE"""),"https://drive.google.com/open?id=15ob4XbwSyJWO_uug8fiShIJkjG616DJV")</f>
        <v>https://drive.google.com/open?id=15ob4XbwSyJWO_uug8fiShIJkjG616DJV</v>
      </c>
      <c r="L599" s="9" t="str">
        <f ca="1">IFERROR(__xludf.DUMMYFUNCTION("""COMPUTED_VALUE"""),"2018-2022")</f>
        <v>2018-2022</v>
      </c>
      <c r="M599" s="9" t="str">
        <f ca="1">IFERROR(__xludf.DUMMYFUNCTION("""COMPUTED_VALUE"""),"S4: Student Certifications")</f>
        <v>S4: Student Certifications</v>
      </c>
      <c r="N599" s="9" t="str">
        <f ca="1">IFERROR(__xludf.DUMMYFUNCTION("""COMPUTED_VALUE"""),"jaswanth.vjp13@gmail.com")</f>
        <v>jaswanth.vjp13@gmail.com</v>
      </c>
      <c r="O599" s="9" t="str">
        <f ca="1">IFERROR(__xludf.DUMMYFUNCTION("""COMPUTED_VALUE"""),"SEM-5")</f>
        <v>SEM-5</v>
      </c>
      <c r="P599" s="9"/>
      <c r="Q599" s="9"/>
      <c r="R599" s="9"/>
      <c r="S599" s="9"/>
      <c r="T599" s="9"/>
      <c r="U599" s="9"/>
      <c r="V599" s="9"/>
      <c r="W599" s="9"/>
      <c r="X599" s="9"/>
      <c r="Y599" s="9"/>
    </row>
    <row r="600" spans="1:25" ht="26.25" customHeight="1" x14ac:dyDescent="0.15">
      <c r="A600" s="9" t="str">
        <f ca="1">IFERROR(__xludf.DUMMYFUNCTION("""COMPUTED_VALUE"""),"N Manikanta Sai Kumar ")</f>
        <v xml:space="preserve">N Manikanta Sai Kumar </v>
      </c>
      <c r="B600" s="9" t="str">
        <f ca="1">IFERROR(__xludf.DUMMYFUNCTION("""COMPUTED_VALUE"""),"20331A05C2")</f>
        <v>20331A05C2</v>
      </c>
      <c r="C600" s="78" t="str">
        <f ca="1">IFERROR(__xludf.DUMMYFUNCTION("""COMPUTED_VALUE"""),"Redhat Linux (RH-134)")</f>
        <v>Redhat Linux (RH-134)</v>
      </c>
      <c r="D600" s="9" t="str">
        <f ca="1">IFERROR(__xludf.DUMMYFUNCTION("""COMPUTED_VALUE"""),"Redhat System Administration")</f>
        <v>Redhat System Administration</v>
      </c>
      <c r="E600" s="9" t="str">
        <f ca="1">IFERROR(__xludf.DUMMYFUNCTION("""COMPUTED_VALUE"""),"2 months ")</f>
        <v xml:space="preserve">2 months </v>
      </c>
      <c r="F600" s="79">
        <f ca="1">IFERROR(__xludf.DUMMYFUNCTION("""COMPUTED_VALUE"""),44494)</f>
        <v>44494</v>
      </c>
      <c r="G600" s="79">
        <f ca="1">IFERROR(__xludf.DUMMYFUNCTION("""COMPUTED_VALUE"""),44555)</f>
        <v>44555</v>
      </c>
      <c r="H600" s="72">
        <f ca="1">IFERROR(__xludf.DUMMYFUNCTION("""COMPUTED_VALUE"""),44555)</f>
        <v>44555</v>
      </c>
      <c r="I600" s="80">
        <f ca="1">IFERROR(__xludf.DUMMYFUNCTION("""COMPUTED_VALUE"""),91)</f>
        <v>91</v>
      </c>
      <c r="J600" s="9" t="str">
        <f ca="1">IFERROR(__xludf.DUMMYFUNCTION("""COMPUTED_VALUE"""),"K.V.Subbaraju")</f>
        <v>K.V.Subbaraju</v>
      </c>
      <c r="K600" s="73" t="str">
        <f ca="1">IFERROR(__xludf.DUMMYFUNCTION("""COMPUTED_VALUE"""),"https://drive.google.com/open?id=1mQBFKyhqohX-jOzI2tnPUxJ-CqO5aJpf")</f>
        <v>https://drive.google.com/open?id=1mQBFKyhqohX-jOzI2tnPUxJ-CqO5aJpf</v>
      </c>
      <c r="L600" s="9" t="str">
        <f ca="1">IFERROR(__xludf.DUMMYFUNCTION("""COMPUTED_VALUE"""),"2020-2024")</f>
        <v>2020-2024</v>
      </c>
      <c r="M600" s="9" t="str">
        <f ca="1">IFERROR(__xludf.DUMMYFUNCTION("""COMPUTED_VALUE"""),"S4: Student Certifications")</f>
        <v>S4: Student Certifications</v>
      </c>
      <c r="N600" s="9" t="str">
        <f ca="1">IFERROR(__xludf.DUMMYFUNCTION("""COMPUTED_VALUE"""),"manikanta202nmk@gmail.com")</f>
        <v>manikanta202nmk@gmail.com</v>
      </c>
      <c r="O600" s="9" t="str">
        <f ca="1">IFERROR(__xludf.DUMMYFUNCTION("""COMPUTED_VALUE"""),"SEM-3")</f>
        <v>SEM-3</v>
      </c>
      <c r="P600" s="9"/>
      <c r="Q600" s="9"/>
      <c r="R600" s="9"/>
      <c r="S600" s="9"/>
      <c r="T600" s="9"/>
      <c r="U600" s="9"/>
      <c r="V600" s="9"/>
      <c r="W600" s="9"/>
      <c r="X600" s="9"/>
      <c r="Y600" s="9"/>
    </row>
    <row r="601" spans="1:25" ht="26.25" customHeight="1" x14ac:dyDescent="0.15">
      <c r="A601" s="9" t="str">
        <f ca="1">IFERROR(__xludf.DUMMYFUNCTION("""COMPUTED_VALUE"""),"N Manikanta Sai Kumar ")</f>
        <v xml:space="preserve">N Manikanta Sai Kumar </v>
      </c>
      <c r="B601" s="9" t="str">
        <f ca="1">IFERROR(__xludf.DUMMYFUNCTION("""COMPUTED_VALUE"""),"20331A05C2")</f>
        <v>20331A05C2</v>
      </c>
      <c r="C601" s="78" t="str">
        <f ca="1">IFERROR(__xludf.DUMMYFUNCTION("""COMPUTED_VALUE"""),"NDG Linux Essentials")</f>
        <v>NDG Linux Essentials</v>
      </c>
      <c r="D601" s="9" t="str">
        <f ca="1">IFERROR(__xludf.DUMMYFUNCTION("""COMPUTED_VALUE"""),"NDG")</f>
        <v>NDG</v>
      </c>
      <c r="E601" s="9" t="str">
        <f ca="1">IFERROR(__xludf.DUMMYFUNCTION("""COMPUTED_VALUE"""),"2 months ")</f>
        <v xml:space="preserve">2 months </v>
      </c>
      <c r="F601" s="79">
        <f ca="1">IFERROR(__xludf.DUMMYFUNCTION("""COMPUTED_VALUE"""),44494)</f>
        <v>44494</v>
      </c>
      <c r="G601" s="79">
        <f ca="1">IFERROR(__xludf.DUMMYFUNCTION("""COMPUTED_VALUE"""),44555)</f>
        <v>44555</v>
      </c>
      <c r="H601" s="72">
        <f ca="1">IFERROR(__xludf.DUMMYFUNCTION("""COMPUTED_VALUE"""),44555)</f>
        <v>44555</v>
      </c>
      <c r="I601" s="80">
        <f ca="1">IFERROR(__xludf.DUMMYFUNCTION("""COMPUTED_VALUE"""),95)</f>
        <v>95</v>
      </c>
      <c r="J601" s="9" t="str">
        <f ca="1">IFERROR(__xludf.DUMMYFUNCTION("""COMPUTED_VALUE"""),"K V.Subbaraju")</f>
        <v>K V.Subbaraju</v>
      </c>
      <c r="K601" s="73" t="str">
        <f ca="1">IFERROR(__xludf.DUMMYFUNCTION("""COMPUTED_VALUE"""),"https://drive.google.com/open?id=1pSs7zzy3eJi0Z95pmNnGfABCvWGgsb_H")</f>
        <v>https://drive.google.com/open?id=1pSs7zzy3eJi0Z95pmNnGfABCvWGgsb_H</v>
      </c>
      <c r="L601" s="9" t="str">
        <f ca="1">IFERROR(__xludf.DUMMYFUNCTION("""COMPUTED_VALUE"""),"2020-2024")</f>
        <v>2020-2024</v>
      </c>
      <c r="M601" s="9" t="str">
        <f ca="1">IFERROR(__xludf.DUMMYFUNCTION("""COMPUTED_VALUE"""),"S4: Student Certifications")</f>
        <v>S4: Student Certifications</v>
      </c>
      <c r="N601" s="9" t="str">
        <f ca="1">IFERROR(__xludf.DUMMYFUNCTION("""COMPUTED_VALUE"""),"manikanta202nmk@gmail.com")</f>
        <v>manikanta202nmk@gmail.com</v>
      </c>
      <c r="O601" s="9" t="str">
        <f ca="1">IFERROR(__xludf.DUMMYFUNCTION("""COMPUTED_VALUE"""),"SEM-3")</f>
        <v>SEM-3</v>
      </c>
      <c r="P601" s="9"/>
      <c r="Q601" s="9"/>
      <c r="R601" s="9"/>
      <c r="S601" s="9"/>
      <c r="T601" s="9"/>
      <c r="U601" s="9"/>
      <c r="V601" s="9"/>
      <c r="W601" s="9"/>
      <c r="X601" s="9"/>
      <c r="Y601" s="9"/>
    </row>
    <row r="602" spans="1:25" ht="26.25" customHeight="1" x14ac:dyDescent="0.15">
      <c r="A602" s="9" t="str">
        <f ca="1">IFERROR(__xludf.DUMMYFUNCTION("""COMPUTED_VALUE"""),"Jaswanth Vajrapu")</f>
        <v>Jaswanth Vajrapu</v>
      </c>
      <c r="B602" s="9" t="str">
        <f ca="1">IFERROR(__xludf.DUMMYFUNCTION("""COMPUTED_VALUE"""),"18331A05G5")</f>
        <v>18331A05G5</v>
      </c>
      <c r="C602" s="78" t="str">
        <f ca="1">IFERROR(__xludf.DUMMYFUNCTION("""COMPUTED_VALUE"""),"Python")</f>
        <v>Python</v>
      </c>
      <c r="D602" s="9" t="str">
        <f ca="1">IFERROR(__xludf.DUMMYFUNCTION("""COMPUTED_VALUE"""),"Hacker Rank")</f>
        <v>Hacker Rank</v>
      </c>
      <c r="E602" s="9" t="str">
        <f ca="1">IFERROR(__xludf.DUMMYFUNCTION("""COMPUTED_VALUE"""),"3 Weeks")</f>
        <v>3 Weeks</v>
      </c>
      <c r="F602" s="79">
        <f ca="1">IFERROR(__xludf.DUMMYFUNCTION("""COMPUTED_VALUE"""),44296)</f>
        <v>44296</v>
      </c>
      <c r="G602" s="79">
        <f ca="1">IFERROR(__xludf.DUMMYFUNCTION("""COMPUTED_VALUE"""),44310)</f>
        <v>44310</v>
      </c>
      <c r="H602" s="72">
        <f ca="1">IFERROR(__xludf.DUMMYFUNCTION("""COMPUTED_VALUE"""),44317)</f>
        <v>44317</v>
      </c>
      <c r="I602" s="80"/>
      <c r="J602" s="9" t="str">
        <f ca="1">IFERROR(__xludf.DUMMYFUNCTION("""COMPUTED_VALUE"""),"Harishankaran.K")</f>
        <v>Harishankaran.K</v>
      </c>
      <c r="K602" s="73" t="str">
        <f ca="1">IFERROR(__xludf.DUMMYFUNCTION("""COMPUTED_VALUE"""),"https://drive.google.com/open?id=1c5Y8DsJ-mMBKjKfPeXEF0JmLY5yb9AvC")</f>
        <v>https://drive.google.com/open?id=1c5Y8DsJ-mMBKjKfPeXEF0JmLY5yb9AvC</v>
      </c>
      <c r="L602" s="9" t="str">
        <f ca="1">IFERROR(__xludf.DUMMYFUNCTION("""COMPUTED_VALUE"""),"2018-2022")</f>
        <v>2018-2022</v>
      </c>
      <c r="M602" s="9" t="str">
        <f ca="1">IFERROR(__xludf.DUMMYFUNCTION("""COMPUTED_VALUE"""),"S4: Student Certifications")</f>
        <v>S4: Student Certifications</v>
      </c>
      <c r="N602" s="9" t="str">
        <f ca="1">IFERROR(__xludf.DUMMYFUNCTION("""COMPUTED_VALUE"""),"jaswanth.vjp13@gmail.com")</f>
        <v>jaswanth.vjp13@gmail.com</v>
      </c>
      <c r="O602" s="9" t="str">
        <f ca="1">IFERROR(__xludf.DUMMYFUNCTION("""COMPUTED_VALUE"""),"SEM-5")</f>
        <v>SEM-5</v>
      </c>
      <c r="P602" s="9"/>
      <c r="Q602" s="9"/>
      <c r="R602" s="9"/>
      <c r="S602" s="9"/>
      <c r="T602" s="9"/>
      <c r="U602" s="9"/>
      <c r="V602" s="9"/>
      <c r="W602" s="9"/>
      <c r="X602" s="9"/>
      <c r="Y602" s="9"/>
    </row>
    <row r="603" spans="1:25" ht="26.25" customHeight="1" x14ac:dyDescent="0.15">
      <c r="A603" s="9" t="str">
        <f ca="1">IFERROR(__xludf.DUMMYFUNCTION("""COMPUTED_VALUE"""),"Siripurapu Sandhya")</f>
        <v>Siripurapu Sandhya</v>
      </c>
      <c r="B603" s="9" t="str">
        <f ca="1">IFERROR(__xludf.DUMMYFUNCTION("""COMPUTED_VALUE"""),"19331A05F9 ")</f>
        <v xml:space="preserve">19331A05F9 </v>
      </c>
      <c r="C603" s="78" t="str">
        <f ca="1">IFERROR(__xludf.DUMMYFUNCTION("""COMPUTED_VALUE"""),"RPA")</f>
        <v>RPA</v>
      </c>
      <c r="D603" s="9" t="str">
        <f ca="1">IFERROR(__xludf.DUMMYFUNCTION("""COMPUTED_VALUE"""),"MVGR college Of engineering ")</f>
        <v xml:space="preserve">MVGR college Of engineering </v>
      </c>
      <c r="E603" s="9" t="str">
        <f ca="1">IFERROR(__xludf.DUMMYFUNCTION("""COMPUTED_VALUE"""),"2 months")</f>
        <v>2 months</v>
      </c>
      <c r="F603" s="79">
        <f ca="1">IFERROR(__xludf.DUMMYFUNCTION("""COMPUTED_VALUE"""),44480)</f>
        <v>44480</v>
      </c>
      <c r="G603" s="79">
        <f ca="1">IFERROR(__xludf.DUMMYFUNCTION("""COMPUTED_VALUE"""),44541)</f>
        <v>44541</v>
      </c>
      <c r="H603" s="72">
        <f ca="1">IFERROR(__xludf.DUMMYFUNCTION("""COMPUTED_VALUE"""),44541)</f>
        <v>44541</v>
      </c>
      <c r="I603" s="80"/>
      <c r="J603" s="9" t="str">
        <f ca="1">IFERROR(__xludf.DUMMYFUNCTION("""COMPUTED_VALUE"""),"Mr.P.Ram Santosh Naidu")</f>
        <v>Mr.P.Ram Santosh Naidu</v>
      </c>
      <c r="K603" s="73" t="str">
        <f ca="1">IFERROR(__xludf.DUMMYFUNCTION("""COMPUTED_VALUE"""),"https://drive.google.com/open?id=1wJBg05qypWnDdgAhRK0R2uvkoJeon6rR")</f>
        <v>https://drive.google.com/open?id=1wJBg05qypWnDdgAhRK0R2uvkoJeon6rR</v>
      </c>
      <c r="L603" s="9" t="str">
        <f ca="1">IFERROR(__xludf.DUMMYFUNCTION("""COMPUTED_VALUE"""),"2019-2023")</f>
        <v>2019-2023</v>
      </c>
      <c r="M603" s="9" t="str">
        <f ca="1">IFERROR(__xludf.DUMMYFUNCTION("""COMPUTED_VALUE"""),"S4: Student Certifications")</f>
        <v>S4: Student Certifications</v>
      </c>
      <c r="N603" s="9" t="str">
        <f ca="1">IFERROR(__xludf.DUMMYFUNCTION("""COMPUTED_VALUE"""),"siripurapusandhya15@gmail.com")</f>
        <v>siripurapusandhya15@gmail.com</v>
      </c>
      <c r="O603" s="9" t="str">
        <f ca="1">IFERROR(__xludf.DUMMYFUNCTION("""COMPUTED_VALUE"""),"SEM-6")</f>
        <v>SEM-6</v>
      </c>
      <c r="P603" s="9"/>
      <c r="Q603" s="9"/>
      <c r="R603" s="9"/>
      <c r="S603" s="9"/>
      <c r="T603" s="9"/>
      <c r="U603" s="9"/>
      <c r="V603" s="9"/>
      <c r="W603" s="9"/>
      <c r="X603" s="9"/>
      <c r="Y603" s="9"/>
    </row>
    <row r="604" spans="1:25" ht="26.25" customHeight="1" x14ac:dyDescent="0.15">
      <c r="A604" s="9" t="str">
        <f ca="1">IFERROR(__xludf.DUMMYFUNCTION("""COMPUTED_VALUE"""),"Jaswanth Vajrapu")</f>
        <v>Jaswanth Vajrapu</v>
      </c>
      <c r="B604" s="9" t="str">
        <f ca="1">IFERROR(__xludf.DUMMYFUNCTION("""COMPUTED_VALUE"""),"18331A05G5")</f>
        <v>18331A05G5</v>
      </c>
      <c r="C604" s="78" t="str">
        <f ca="1">IFERROR(__xludf.DUMMYFUNCTION("""COMPUTED_VALUE"""),"AWS Cloud ")</f>
        <v xml:space="preserve">AWS Cloud </v>
      </c>
      <c r="D604" s="9" t="str">
        <f ca="1">IFERROR(__xludf.DUMMYFUNCTION("""COMPUTED_VALUE"""),"AWS Academy")</f>
        <v>AWS Academy</v>
      </c>
      <c r="E604" s="9" t="str">
        <f ca="1">IFERROR(__xludf.DUMMYFUNCTION("""COMPUTED_VALUE"""),"1 moth")</f>
        <v>1 moth</v>
      </c>
      <c r="F604" s="79">
        <f ca="1">IFERROR(__xludf.DUMMYFUNCTION("""COMPUTED_VALUE"""),44484)</f>
        <v>44484</v>
      </c>
      <c r="G604" s="79">
        <f ca="1">IFERROR(__xludf.DUMMYFUNCTION("""COMPUTED_VALUE"""),44545)</f>
        <v>44545</v>
      </c>
      <c r="H604" s="72">
        <f ca="1">IFERROR(__xludf.DUMMYFUNCTION("""COMPUTED_VALUE"""),44550)</f>
        <v>44550</v>
      </c>
      <c r="I604" s="80"/>
      <c r="J604" s="9" t="str">
        <f ca="1">IFERROR(__xludf.DUMMYFUNCTION("""COMPUTED_VALUE"""),"P.Ravi Kiran Vara")</f>
        <v>P.Ravi Kiran Vara</v>
      </c>
      <c r="K604" s="73" t="str">
        <f ca="1">IFERROR(__xludf.DUMMYFUNCTION("""COMPUTED_VALUE"""),"https://drive.google.com/open?id=1ph83XLvX3vGd4A97E5ij08uGHbidKf49")</f>
        <v>https://drive.google.com/open?id=1ph83XLvX3vGd4A97E5ij08uGHbidKf49</v>
      </c>
      <c r="L604" s="9" t="str">
        <f ca="1">IFERROR(__xludf.DUMMYFUNCTION("""COMPUTED_VALUE"""),"2018-2022")</f>
        <v>2018-2022</v>
      </c>
      <c r="M604" s="9" t="str">
        <f ca="1">IFERROR(__xludf.DUMMYFUNCTION("""COMPUTED_VALUE"""),"S4: Student Certifications")</f>
        <v>S4: Student Certifications</v>
      </c>
      <c r="N604" s="9" t="str">
        <f ca="1">IFERROR(__xludf.DUMMYFUNCTION("""COMPUTED_VALUE"""),"jaswanth.vjp13@gmail.com")</f>
        <v>jaswanth.vjp13@gmail.com</v>
      </c>
      <c r="O604" s="9" t="str">
        <f ca="1">IFERROR(__xludf.DUMMYFUNCTION("""COMPUTED_VALUE"""),"SEM-7")</f>
        <v>SEM-7</v>
      </c>
      <c r="P604" s="9"/>
      <c r="Q604" s="9"/>
      <c r="R604" s="9"/>
      <c r="S604" s="9"/>
      <c r="T604" s="9"/>
      <c r="U604" s="9"/>
      <c r="V604" s="9"/>
      <c r="W604" s="9"/>
      <c r="X604" s="9"/>
      <c r="Y604" s="9"/>
    </row>
    <row r="605" spans="1:25" ht="26.25" customHeight="1" x14ac:dyDescent="0.15">
      <c r="A605" s="9" t="str">
        <f ca="1">IFERROR(__xludf.DUMMYFUNCTION("""COMPUTED_VALUE"""),"Jaswanth Vajrapu")</f>
        <v>Jaswanth Vajrapu</v>
      </c>
      <c r="B605" s="9" t="str">
        <f ca="1">IFERROR(__xludf.DUMMYFUNCTION("""COMPUTED_VALUE"""),"1833A05G5")</f>
        <v>1833A05G5</v>
      </c>
      <c r="C605" s="78" t="str">
        <f ca="1">IFERROR(__xludf.DUMMYFUNCTION("""COMPUTED_VALUE"""),"Successful Presentation")</f>
        <v>Successful Presentation</v>
      </c>
      <c r="D605" s="9" t="str">
        <f ca="1">IFERROR(__xludf.DUMMYFUNCTION("""COMPUTED_VALUE"""),"Coursera")</f>
        <v>Coursera</v>
      </c>
      <c r="E605" s="9" t="str">
        <f ca="1">IFERROR(__xludf.DUMMYFUNCTION("""COMPUTED_VALUE"""),"3 weeks")</f>
        <v>3 weeks</v>
      </c>
      <c r="F605" s="79">
        <f ca="1">IFERROR(__xludf.DUMMYFUNCTION("""COMPUTED_VALUE"""),44612)</f>
        <v>44612</v>
      </c>
      <c r="G605" s="79">
        <f ca="1">IFERROR(__xludf.DUMMYFUNCTION("""COMPUTED_VALUE"""),44655)</f>
        <v>44655</v>
      </c>
      <c r="H605" s="72">
        <f ca="1">IFERROR(__xludf.DUMMYFUNCTION("""COMPUTED_VALUE"""),44661)</f>
        <v>44661</v>
      </c>
      <c r="I605" s="80"/>
      <c r="J605" s="9" t="str">
        <f ca="1">IFERROR(__xludf.DUMMYFUNCTION("""COMPUTED_VALUE"""),"William Kuskin")</f>
        <v>William Kuskin</v>
      </c>
      <c r="K605" s="73" t="str">
        <f ca="1">IFERROR(__xludf.DUMMYFUNCTION("""COMPUTED_VALUE"""),"https://drive.google.com/open?id=1FnC69aIhT2LBAjYSJwvd29MN09KMBmLd")</f>
        <v>https://drive.google.com/open?id=1FnC69aIhT2LBAjYSJwvd29MN09KMBmLd</v>
      </c>
      <c r="L605" s="9" t="str">
        <f ca="1">IFERROR(__xludf.DUMMYFUNCTION("""COMPUTED_VALUE"""),"2018-2022")</f>
        <v>2018-2022</v>
      </c>
      <c r="M605" s="9" t="str">
        <f ca="1">IFERROR(__xludf.DUMMYFUNCTION("""COMPUTED_VALUE"""),"S4: Student Certifications")</f>
        <v>S4: Student Certifications</v>
      </c>
      <c r="N605" s="9" t="str">
        <f ca="1">IFERROR(__xludf.DUMMYFUNCTION("""COMPUTED_VALUE"""),"jaswanth.vjp13@gmail.com")</f>
        <v>jaswanth.vjp13@gmail.com</v>
      </c>
      <c r="O605" s="9" t="str">
        <f ca="1">IFERROR(__xludf.DUMMYFUNCTION("""COMPUTED_VALUE"""),"SEM-7")</f>
        <v>SEM-7</v>
      </c>
      <c r="P605" s="9"/>
      <c r="Q605" s="9"/>
      <c r="R605" s="9"/>
      <c r="S605" s="9"/>
      <c r="T605" s="9"/>
      <c r="U605" s="9"/>
      <c r="V605" s="9"/>
      <c r="W605" s="9"/>
      <c r="X605" s="9"/>
      <c r="Y605" s="9"/>
    </row>
    <row r="606" spans="1:25" ht="26.25" customHeight="1" x14ac:dyDescent="0.15">
      <c r="A606" s="9" t="str">
        <f ca="1">IFERROR(__xludf.DUMMYFUNCTION("""COMPUTED_VALUE"""),"Varada Naga praneetha")</f>
        <v>Varada Naga praneetha</v>
      </c>
      <c r="B606" s="9" t="str">
        <f ca="1">IFERROR(__xludf.DUMMYFUNCTION("""COMPUTED_VALUE"""),"19331A05I1 ")</f>
        <v xml:space="preserve">19331A05I1 </v>
      </c>
      <c r="C606" s="78" t="str">
        <f ca="1">IFERROR(__xludf.DUMMYFUNCTION("""COMPUTED_VALUE"""),"PCAP")</f>
        <v>PCAP</v>
      </c>
      <c r="D606" s="9" t="str">
        <f ca="1">IFERROR(__xludf.DUMMYFUNCTION("""COMPUTED_VALUE"""),"CISCO ")</f>
        <v xml:space="preserve">CISCO </v>
      </c>
      <c r="E606" s="9" t="str">
        <f ca="1">IFERROR(__xludf.DUMMYFUNCTION("""COMPUTED_VALUE"""),"1 month")</f>
        <v>1 month</v>
      </c>
      <c r="F606" s="79">
        <f ca="1">IFERROR(__xludf.DUMMYFUNCTION("""COMPUTED_VALUE"""),44294)</f>
        <v>44294</v>
      </c>
      <c r="G606" s="79">
        <f ca="1">IFERROR(__xludf.DUMMYFUNCTION("""COMPUTED_VALUE"""),44322)</f>
        <v>44322</v>
      </c>
      <c r="H606" s="72">
        <f ca="1">IFERROR(__xludf.DUMMYFUNCTION("""COMPUTED_VALUE"""),44321)</f>
        <v>44321</v>
      </c>
      <c r="I606" s="80"/>
      <c r="J606" s="9" t="str">
        <f ca="1">IFERROR(__xludf.DUMMYFUNCTION("""COMPUTED_VALUE""")," DR.Ravi kiran varma")</f>
        <v xml:space="preserve"> DR.Ravi kiran varma</v>
      </c>
      <c r="K606" s="73" t="str">
        <f ca="1">IFERROR(__xludf.DUMMYFUNCTION("""COMPUTED_VALUE"""),"https://drive.google.com/open?id=1u5W3xc7M36C7uqNkrMs988SSF17BWLHi")</f>
        <v>https://drive.google.com/open?id=1u5W3xc7M36C7uqNkrMs988SSF17BWLHi</v>
      </c>
      <c r="L606" s="9" t="str">
        <f ca="1">IFERROR(__xludf.DUMMYFUNCTION("""COMPUTED_VALUE"""),"2019-2023")</f>
        <v>2019-2023</v>
      </c>
      <c r="M606" s="9" t="str">
        <f ca="1">IFERROR(__xludf.DUMMYFUNCTION("""COMPUTED_VALUE"""),"S4: Student Certifications")</f>
        <v>S4: Student Certifications</v>
      </c>
      <c r="N606" s="9" t="str">
        <f ca="1">IFERROR(__xludf.DUMMYFUNCTION("""COMPUTED_VALUE"""),"praneetha.varada@gmail.com")</f>
        <v>praneetha.varada@gmail.com</v>
      </c>
      <c r="O606" s="9" t="str">
        <f ca="1">IFERROR(__xludf.DUMMYFUNCTION("""COMPUTED_VALUE"""),"SEM-6")</f>
        <v>SEM-6</v>
      </c>
      <c r="P606" s="9"/>
      <c r="Q606" s="9"/>
      <c r="R606" s="9"/>
      <c r="S606" s="9"/>
      <c r="T606" s="9"/>
      <c r="U606" s="9"/>
      <c r="V606" s="9"/>
      <c r="W606" s="9"/>
      <c r="X606" s="9"/>
      <c r="Y606" s="9"/>
    </row>
    <row r="607" spans="1:25" ht="26.25" customHeight="1" x14ac:dyDescent="0.15">
      <c r="A607" s="9" t="str">
        <f ca="1">IFERROR(__xludf.DUMMYFUNCTION("""COMPUTED_VALUE"""),"Varada Naga praneetha")</f>
        <v>Varada Naga praneetha</v>
      </c>
      <c r="B607" s="9" t="str">
        <f ca="1">IFERROR(__xludf.DUMMYFUNCTION("""COMPUTED_VALUE"""),"19331A05I1 ")</f>
        <v xml:space="preserve">19331A05I1 </v>
      </c>
      <c r="C607" s="78" t="str">
        <f ca="1">IFERROR(__xludf.DUMMYFUNCTION("""COMPUTED_VALUE"""),"CCNAv7 : Introduction to networks ")</f>
        <v xml:space="preserve">CCNAv7 : Introduction to networks </v>
      </c>
      <c r="D607" s="9" t="str">
        <f ca="1">IFERROR(__xludf.DUMMYFUNCTION("""COMPUTED_VALUE"""),"CISCO")</f>
        <v>CISCO</v>
      </c>
      <c r="E607" s="9" t="str">
        <f ca="1">IFERROR(__xludf.DUMMYFUNCTION("""COMPUTED_VALUE"""),"5 months")</f>
        <v>5 months</v>
      </c>
      <c r="F607" s="79">
        <f ca="1">IFERROR(__xludf.DUMMYFUNCTION("""COMPUTED_VALUE"""),44539)</f>
        <v>44539</v>
      </c>
      <c r="G607" s="79">
        <f ca="1">IFERROR(__xludf.DUMMYFUNCTION("""COMPUTED_VALUE"""),44372)</f>
        <v>44372</v>
      </c>
      <c r="H607" s="72">
        <f ca="1">IFERROR(__xludf.DUMMYFUNCTION("""COMPUTED_VALUE"""),44370)</f>
        <v>44370</v>
      </c>
      <c r="I607" s="80"/>
      <c r="J607" s="9" t="str">
        <f ca="1">IFERROR(__xludf.DUMMYFUNCTION("""COMPUTED_VALUE"""),"Dr. ravi kiran varma")</f>
        <v>Dr. ravi kiran varma</v>
      </c>
      <c r="K607" s="73" t="str">
        <f ca="1">IFERROR(__xludf.DUMMYFUNCTION("""COMPUTED_VALUE"""),"https://drive.google.com/open?id=1sLv63GFElaZzg0tPVD_8qw9BRyVWvQLV")</f>
        <v>https://drive.google.com/open?id=1sLv63GFElaZzg0tPVD_8qw9BRyVWvQLV</v>
      </c>
      <c r="L607" s="9" t="str">
        <f ca="1">IFERROR(__xludf.DUMMYFUNCTION("""COMPUTED_VALUE"""),"2019-2023")</f>
        <v>2019-2023</v>
      </c>
      <c r="M607" s="9" t="str">
        <f ca="1">IFERROR(__xludf.DUMMYFUNCTION("""COMPUTED_VALUE"""),"S4: Student Certifications")</f>
        <v>S4: Student Certifications</v>
      </c>
      <c r="N607" s="9" t="str">
        <f ca="1">IFERROR(__xludf.DUMMYFUNCTION("""COMPUTED_VALUE"""),"praneetha.varada@gmail.com")</f>
        <v>praneetha.varada@gmail.com</v>
      </c>
      <c r="O607" s="9" t="str">
        <f ca="1">IFERROR(__xludf.DUMMYFUNCTION("""COMPUTED_VALUE"""),"SEM-6")</f>
        <v>SEM-6</v>
      </c>
      <c r="P607" s="9"/>
      <c r="Q607" s="9"/>
      <c r="R607" s="9"/>
      <c r="S607" s="9"/>
      <c r="T607" s="9"/>
      <c r="U607" s="9"/>
      <c r="V607" s="9"/>
      <c r="W607" s="9"/>
      <c r="X607" s="9"/>
      <c r="Y607" s="9"/>
    </row>
    <row r="608" spans="1:25" ht="26.25" customHeight="1" x14ac:dyDescent="0.15">
      <c r="A608" s="9" t="str">
        <f ca="1">IFERROR(__xludf.DUMMYFUNCTION("""COMPUTED_VALUE"""),"Varada Naga praneetha")</f>
        <v>Varada Naga praneetha</v>
      </c>
      <c r="B608" s="9" t="str">
        <f ca="1">IFERROR(__xludf.DUMMYFUNCTION("""COMPUTED_VALUE"""),"19331A05I1 ")</f>
        <v xml:space="preserve">19331A05I1 </v>
      </c>
      <c r="C608" s="78" t="str">
        <f ca="1">IFERROR(__xludf.DUMMYFUNCTION("""COMPUTED_VALUE"""),"CCNAv7 : SRWE")</f>
        <v>CCNAv7 : SRWE</v>
      </c>
      <c r="D608" s="9" t="str">
        <f ca="1">IFERROR(__xludf.DUMMYFUNCTION("""COMPUTED_VALUE"""),"CISCO")</f>
        <v>CISCO</v>
      </c>
      <c r="E608" s="9" t="str">
        <f ca="1">IFERROR(__xludf.DUMMYFUNCTION("""COMPUTED_VALUE"""),"5 months")</f>
        <v>5 months</v>
      </c>
      <c r="F608" s="79">
        <f ca="1">IFERROR(__xludf.DUMMYFUNCTION("""COMPUTED_VALUE"""),44443)</f>
        <v>44443</v>
      </c>
      <c r="G608" s="79">
        <f ca="1">IFERROR(__xludf.DUMMYFUNCTION("""COMPUTED_VALUE"""),44604)</f>
        <v>44604</v>
      </c>
      <c r="H608" s="72">
        <f ca="1">IFERROR(__xludf.DUMMYFUNCTION("""COMPUTED_VALUE"""),44601)</f>
        <v>44601</v>
      </c>
      <c r="I608" s="80"/>
      <c r="J608" s="9" t="str">
        <f ca="1">IFERROR(__xludf.DUMMYFUNCTION("""COMPUTED_VALUE"""),"Dr. Ravi kiran varma")</f>
        <v>Dr. Ravi kiran varma</v>
      </c>
      <c r="K608" s="73" t="str">
        <f ca="1">IFERROR(__xludf.DUMMYFUNCTION("""COMPUTED_VALUE"""),"https://drive.google.com/open?id=1syo7UaH687D-JpxJyPvut1j1pK3BMbje")</f>
        <v>https://drive.google.com/open?id=1syo7UaH687D-JpxJyPvut1j1pK3BMbje</v>
      </c>
      <c r="L608" s="9" t="str">
        <f ca="1">IFERROR(__xludf.DUMMYFUNCTION("""COMPUTED_VALUE"""),"2019-2023")</f>
        <v>2019-2023</v>
      </c>
      <c r="M608" s="9" t="str">
        <f ca="1">IFERROR(__xludf.DUMMYFUNCTION("""COMPUTED_VALUE"""),"S4: Student Certifications")</f>
        <v>S4: Student Certifications</v>
      </c>
      <c r="N608" s="9" t="str">
        <f ca="1">IFERROR(__xludf.DUMMYFUNCTION("""COMPUTED_VALUE"""),"praneetha.varada@gmail.com")</f>
        <v>praneetha.varada@gmail.com</v>
      </c>
      <c r="O608" s="9" t="str">
        <f ca="1">IFERROR(__xludf.DUMMYFUNCTION("""COMPUTED_VALUE"""),"SEM-6")</f>
        <v>SEM-6</v>
      </c>
      <c r="P608" s="9"/>
      <c r="Q608" s="9"/>
      <c r="R608" s="9"/>
      <c r="S608" s="9"/>
      <c r="T608" s="9"/>
      <c r="U608" s="9"/>
      <c r="V608" s="9"/>
      <c r="W608" s="9"/>
      <c r="X608" s="9"/>
      <c r="Y608" s="9"/>
    </row>
    <row r="609" spans="1:25" ht="26.25" customHeight="1" x14ac:dyDescent="0.15">
      <c r="A609" s="9" t="str">
        <f ca="1">IFERROR(__xludf.DUMMYFUNCTION("""COMPUTED_VALUE"""),"CAROLINE CHRISTY THANDU")</f>
        <v>CAROLINE CHRISTY THANDU</v>
      </c>
      <c r="B609" s="9" t="str">
        <f ca="1">IFERROR(__xludf.DUMMYFUNCTION("""COMPUTED_VALUE"""),"18331A05F4")</f>
        <v>18331A05F4</v>
      </c>
      <c r="C609" s="78" t="str">
        <f ca="1">IFERROR(__xludf.DUMMYFUNCTION("""COMPUTED_VALUE"""),"PROGRAMMING ESSENTIALS IN PYTHON")</f>
        <v>PROGRAMMING ESSENTIALS IN PYTHON</v>
      </c>
      <c r="D609" s="9" t="str">
        <f ca="1">IFERROR(__xludf.DUMMYFUNCTION("""COMPUTED_VALUE"""),"CISCO ")</f>
        <v xml:space="preserve">CISCO </v>
      </c>
      <c r="E609" s="9" t="str">
        <f ca="1">IFERROR(__xludf.DUMMYFUNCTION("""COMPUTED_VALUE"""),"2 MONTHS")</f>
        <v>2 MONTHS</v>
      </c>
      <c r="F609" s="79">
        <f ca="1">IFERROR(__xludf.DUMMYFUNCTION("""COMPUTED_VALUE"""),44323)</f>
        <v>44323</v>
      </c>
      <c r="G609" s="79">
        <f ca="1">IFERROR(__xludf.DUMMYFUNCTION("""COMPUTED_VALUE"""),44376)</f>
        <v>44376</v>
      </c>
      <c r="H609" s="72">
        <f ca="1">IFERROR(__xludf.DUMMYFUNCTION("""COMPUTED_VALUE"""),44379)</f>
        <v>44379</v>
      </c>
      <c r="I609" s="80">
        <f ca="1">IFERROR(__xludf.DUMMYFUNCTION("""COMPUTED_VALUE"""),100)</f>
        <v>100</v>
      </c>
      <c r="J609" s="9" t="str">
        <f ca="1">IFERROR(__xludf.DUMMYFUNCTION("""COMPUTED_VALUE"""),"SUBBA RAJU K V")</f>
        <v>SUBBA RAJU K V</v>
      </c>
      <c r="K609" s="73" t="str">
        <f ca="1">IFERROR(__xludf.DUMMYFUNCTION("""COMPUTED_VALUE"""),"https://drive.google.com/open?id=1bEEb_67tfTUMaadwqxyH1kLGgXu06L-o")</f>
        <v>https://drive.google.com/open?id=1bEEb_67tfTUMaadwqxyH1kLGgXu06L-o</v>
      </c>
      <c r="L609" s="9" t="str">
        <f ca="1">IFERROR(__xludf.DUMMYFUNCTION("""COMPUTED_VALUE"""),"2018-2022")</f>
        <v>2018-2022</v>
      </c>
      <c r="M609" s="9" t="str">
        <f ca="1">IFERROR(__xludf.DUMMYFUNCTION("""COMPUTED_VALUE"""),"S4: Student Certifications")</f>
        <v>S4: Student Certifications</v>
      </c>
      <c r="N609" s="9" t="str">
        <f ca="1">IFERROR(__xludf.DUMMYFUNCTION("""COMPUTED_VALUE"""),"thanducarolinechristy@gmail.com")</f>
        <v>thanducarolinechristy@gmail.com</v>
      </c>
      <c r="O609" s="9" t="str">
        <f ca="1">IFERROR(__xludf.DUMMYFUNCTION("""COMPUTED_VALUE"""),"SEM-3")</f>
        <v>SEM-3</v>
      </c>
      <c r="P609" s="9"/>
      <c r="Q609" s="9"/>
      <c r="R609" s="9"/>
      <c r="S609" s="9"/>
      <c r="T609" s="9"/>
      <c r="U609" s="9"/>
      <c r="V609" s="9"/>
      <c r="W609" s="9"/>
      <c r="X609" s="9"/>
      <c r="Y609" s="9"/>
    </row>
    <row r="610" spans="1:25" ht="26.25" customHeight="1" x14ac:dyDescent="0.15">
      <c r="A610" s="9" t="str">
        <f ca="1">IFERROR(__xludf.DUMMYFUNCTION("""COMPUTED_VALUE"""),"THANDU CAROLINE CHRISTY")</f>
        <v>THANDU CAROLINE CHRISTY</v>
      </c>
      <c r="B610" s="9" t="str">
        <f ca="1">IFERROR(__xludf.DUMMYFUNCTION("""COMPUTED_VALUE"""),"18331A05F4")</f>
        <v>18331A05F4</v>
      </c>
      <c r="C610" s="78" t="str">
        <f ca="1">IFERROR(__xludf.DUMMYFUNCTION("""COMPUTED_VALUE"""),"CLA: Programming essentials with c")</f>
        <v>CLA: Programming essentials with c</v>
      </c>
      <c r="D610" s="9" t="str">
        <f ca="1">IFERROR(__xludf.DUMMYFUNCTION("""COMPUTED_VALUE"""),"CISCO")</f>
        <v>CISCO</v>
      </c>
      <c r="E610" s="9" t="str">
        <f ca="1">IFERROR(__xludf.DUMMYFUNCTION("""COMPUTED_VALUE"""),"4 MONTHS")</f>
        <v>4 MONTHS</v>
      </c>
      <c r="F610" s="79">
        <f ca="1">IFERROR(__xludf.DUMMYFUNCTION("""COMPUTED_VALUE"""),43647)</f>
        <v>43647</v>
      </c>
      <c r="G610" s="79">
        <f ca="1">IFERROR(__xludf.DUMMYFUNCTION("""COMPUTED_VALUE"""),43681)</f>
        <v>43681</v>
      </c>
      <c r="H610" s="72">
        <f ca="1">IFERROR(__xludf.DUMMYFUNCTION("""COMPUTED_VALUE"""),43803)</f>
        <v>43803</v>
      </c>
      <c r="I610" s="80">
        <f ca="1">IFERROR(__xludf.DUMMYFUNCTION("""COMPUTED_VALUE"""),0.84)</f>
        <v>0.84</v>
      </c>
      <c r="J610" s="9" t="str">
        <f ca="1">IFERROR(__xludf.DUMMYFUNCTION("""COMPUTED_VALUE"""),"DR. P. RAVI KIRAN VARMA")</f>
        <v>DR. P. RAVI KIRAN VARMA</v>
      </c>
      <c r="K610" s="73" t="str">
        <f ca="1">IFERROR(__xludf.DUMMYFUNCTION("""COMPUTED_VALUE"""),"https://drive.google.com/open?id=1eC1pDXpm6Na2Yw9X6EHoZDI1_VQx9eSV")</f>
        <v>https://drive.google.com/open?id=1eC1pDXpm6Na2Yw9X6EHoZDI1_VQx9eSV</v>
      </c>
      <c r="L610" s="9" t="str">
        <f ca="1">IFERROR(__xludf.DUMMYFUNCTION("""COMPUTED_VALUE"""),"2018-2022")</f>
        <v>2018-2022</v>
      </c>
      <c r="M610" s="9" t="str">
        <f ca="1">IFERROR(__xludf.DUMMYFUNCTION("""COMPUTED_VALUE"""),"S4: Student Certifications")</f>
        <v>S4: Student Certifications</v>
      </c>
      <c r="N610" s="9" t="str">
        <f ca="1">IFERROR(__xludf.DUMMYFUNCTION("""COMPUTED_VALUE"""),"thanducarolinechristy@gmail.com")</f>
        <v>thanducarolinechristy@gmail.com</v>
      </c>
      <c r="O610" s="9" t="str">
        <f ca="1">IFERROR(__xludf.DUMMYFUNCTION("""COMPUTED_VALUE"""),"SEM-1")</f>
        <v>SEM-1</v>
      </c>
      <c r="P610" s="9"/>
      <c r="Q610" s="9"/>
      <c r="R610" s="9"/>
      <c r="S610" s="9"/>
      <c r="T610" s="9"/>
      <c r="U610" s="9"/>
      <c r="V610" s="9"/>
      <c r="W610" s="9"/>
      <c r="X610" s="9"/>
      <c r="Y610" s="9"/>
    </row>
    <row r="611" spans="1:25" ht="26.25" customHeight="1" x14ac:dyDescent="0.15">
      <c r="A611" s="9" t="str">
        <f ca="1">IFERROR(__xludf.DUMMYFUNCTION("""COMPUTED_VALUE"""),"CAROLINE CHRISTY THANDU")</f>
        <v>CAROLINE CHRISTY THANDU</v>
      </c>
      <c r="B611" s="9" t="str">
        <f ca="1">IFERROR(__xludf.DUMMYFUNCTION("""COMPUTED_VALUE"""),"18331A05F4")</f>
        <v>18331A05F4</v>
      </c>
      <c r="C611" s="78" t="str">
        <f ca="1">IFERROR(__xludf.DUMMYFUNCTION("""COMPUTED_VALUE"""),"CYBERSECURITY ESSENTIALS")</f>
        <v>CYBERSECURITY ESSENTIALS</v>
      </c>
      <c r="D611" s="9" t="str">
        <f ca="1">IFERROR(__xludf.DUMMYFUNCTION("""COMPUTED_VALUE"""),"CISCO")</f>
        <v>CISCO</v>
      </c>
      <c r="E611" s="9" t="str">
        <f ca="1">IFERROR(__xludf.DUMMYFUNCTION("""COMPUTED_VALUE"""),"90 DAYS")</f>
        <v>90 DAYS</v>
      </c>
      <c r="F611" s="79">
        <f ca="1">IFERROR(__xludf.DUMMYFUNCTION("""COMPUTED_VALUE"""),43525)</f>
        <v>43525</v>
      </c>
      <c r="G611" s="79">
        <f ca="1">IFERROR(__xludf.DUMMYFUNCTION("""COMPUTED_VALUE"""),43646)</f>
        <v>43646</v>
      </c>
      <c r="H611" s="72">
        <f ca="1">IFERROR(__xludf.DUMMYFUNCTION("""COMPUTED_VALUE"""),43675)</f>
        <v>43675</v>
      </c>
      <c r="I611" s="80">
        <f ca="1">IFERROR(__xludf.DUMMYFUNCTION("""COMPUTED_VALUE"""),1)</f>
        <v>1</v>
      </c>
      <c r="J611" s="9" t="str">
        <f ca="1">IFERROR(__xludf.DUMMYFUNCTION("""COMPUTED_VALUE"""),"DR. P. RAVI KIRAN VARMA")</f>
        <v>DR. P. RAVI KIRAN VARMA</v>
      </c>
      <c r="K611" s="73" t="str">
        <f ca="1">IFERROR(__xludf.DUMMYFUNCTION("""COMPUTED_VALUE"""),"https://drive.google.com/open?id=1foONca1k4A6XjEfgyT-fpPpAfD8E744q")</f>
        <v>https://drive.google.com/open?id=1foONca1k4A6XjEfgyT-fpPpAfD8E744q</v>
      </c>
      <c r="L611" s="9" t="str">
        <f ca="1">IFERROR(__xludf.DUMMYFUNCTION("""COMPUTED_VALUE"""),"2018-2022")</f>
        <v>2018-2022</v>
      </c>
      <c r="M611" s="9" t="str">
        <f ca="1">IFERROR(__xludf.DUMMYFUNCTION("""COMPUTED_VALUE"""),"S4: Student Certifications")</f>
        <v>S4: Student Certifications</v>
      </c>
      <c r="N611" s="9" t="str">
        <f ca="1">IFERROR(__xludf.DUMMYFUNCTION("""COMPUTED_VALUE"""),"thanducarolinechristy@gmail.com")</f>
        <v>thanducarolinechristy@gmail.com</v>
      </c>
      <c r="O611" s="9" t="str">
        <f ca="1">IFERROR(__xludf.DUMMYFUNCTION("""COMPUTED_VALUE"""),"SEM-2")</f>
        <v>SEM-2</v>
      </c>
      <c r="P611" s="9"/>
      <c r="Q611" s="9"/>
      <c r="R611" s="9"/>
      <c r="S611" s="9"/>
      <c r="T611" s="9"/>
      <c r="U611" s="9"/>
      <c r="V611" s="9"/>
      <c r="W611" s="9"/>
      <c r="X611" s="9"/>
      <c r="Y611" s="9"/>
    </row>
    <row r="612" spans="1:25" ht="26.25" customHeight="1" x14ac:dyDescent="0.15">
      <c r="A612" s="9" t="str">
        <f ca="1">IFERROR(__xludf.DUMMYFUNCTION("""COMPUTED_VALUE"""),"CAROLINE CHRISTY THANDU")</f>
        <v>CAROLINE CHRISTY THANDU</v>
      </c>
      <c r="B612" s="9" t="str">
        <f ca="1">IFERROR(__xludf.DUMMYFUNCTION("""COMPUTED_VALUE"""),"18331A05F4")</f>
        <v>18331A05F4</v>
      </c>
      <c r="C612" s="78" t="str">
        <f ca="1">IFERROR(__xludf.DUMMYFUNCTION("""COMPUTED_VALUE"""),"INTRODUCTION TO NETWORKS")</f>
        <v>INTRODUCTION TO NETWORKS</v>
      </c>
      <c r="D612" s="9" t="str">
        <f ca="1">IFERROR(__xludf.DUMMYFUNCTION("""COMPUTED_VALUE"""),"CISCO")</f>
        <v>CISCO</v>
      </c>
      <c r="E612" s="9" t="str">
        <f ca="1">IFERROR(__xludf.DUMMYFUNCTION("""COMPUTED_VALUE"""),"1 MONTH")</f>
        <v>1 MONTH</v>
      </c>
      <c r="F612" s="79">
        <f ca="1">IFERROR(__xludf.DUMMYFUNCTION("""COMPUTED_VALUE"""),43933)</f>
        <v>43933</v>
      </c>
      <c r="G612" s="79">
        <f ca="1">IFERROR(__xludf.DUMMYFUNCTION("""COMPUTED_VALUE"""),43963)</f>
        <v>43963</v>
      </c>
      <c r="H612" s="72">
        <f ca="1">IFERROR(__xludf.DUMMYFUNCTION("""COMPUTED_VALUE"""),43965)</f>
        <v>43965</v>
      </c>
      <c r="I612" s="80">
        <f ca="1">IFERROR(__xludf.DUMMYFUNCTION("""COMPUTED_VALUE"""),0.9)</f>
        <v>0.9</v>
      </c>
      <c r="J612" s="9" t="str">
        <f ca="1">IFERROR(__xludf.DUMMYFUNCTION("""COMPUTED_VALUE"""),"DR. P. RAVI KIRAN VARMA")</f>
        <v>DR. P. RAVI KIRAN VARMA</v>
      </c>
      <c r="K612" s="73" t="str">
        <f ca="1">IFERROR(__xludf.DUMMYFUNCTION("""COMPUTED_VALUE"""),"https://drive.google.com/open?id=1UR6VzrlXN7BED6ACISPUMmROl_Ggh1qz")</f>
        <v>https://drive.google.com/open?id=1UR6VzrlXN7BED6ACISPUMmROl_Ggh1qz</v>
      </c>
      <c r="L612" s="9" t="str">
        <f ca="1">IFERROR(__xludf.DUMMYFUNCTION("""COMPUTED_VALUE"""),"2018-2022")</f>
        <v>2018-2022</v>
      </c>
      <c r="M612" s="9" t="str">
        <f ca="1">IFERROR(__xludf.DUMMYFUNCTION("""COMPUTED_VALUE"""),"S4: Student Certifications")</f>
        <v>S4: Student Certifications</v>
      </c>
      <c r="N612" s="9" t="str">
        <f ca="1">IFERROR(__xludf.DUMMYFUNCTION("""COMPUTED_VALUE"""),"thanducarolinechristy@gmail.com")</f>
        <v>thanducarolinechristy@gmail.com</v>
      </c>
      <c r="O612" s="9" t="str">
        <f ca="1">IFERROR(__xludf.DUMMYFUNCTION("""COMPUTED_VALUE"""),"SEM-4")</f>
        <v>SEM-4</v>
      </c>
      <c r="P612" s="9"/>
      <c r="Q612" s="9"/>
      <c r="R612" s="9"/>
      <c r="S612" s="9"/>
      <c r="T612" s="9"/>
      <c r="U612" s="9"/>
      <c r="V612" s="9"/>
      <c r="W612" s="9"/>
      <c r="X612" s="9"/>
      <c r="Y612" s="9"/>
    </row>
    <row r="613" spans="1:25" ht="26.25" customHeight="1" x14ac:dyDescent="0.15">
      <c r="A613" s="9" t="str">
        <f ca="1">IFERROR(__xludf.DUMMYFUNCTION("""COMPUTED_VALUE"""),"Jaswanth Vajrapu")</f>
        <v>Jaswanth Vajrapu</v>
      </c>
      <c r="B613" s="9" t="str">
        <f ca="1">IFERROR(__xludf.DUMMYFUNCTION("""COMPUTED_VALUE"""),"18331A05G5")</f>
        <v>18331A05G5</v>
      </c>
      <c r="C613" s="78" t="str">
        <f ca="1">IFERROR(__xludf.DUMMYFUNCTION("""COMPUTED_VALUE"""),"Introduction to Cybersecurity")</f>
        <v>Introduction to Cybersecurity</v>
      </c>
      <c r="D613" s="9" t="str">
        <f ca="1">IFERROR(__xludf.DUMMYFUNCTION("""COMPUTED_VALUE"""),"Cisco")</f>
        <v>Cisco</v>
      </c>
      <c r="E613" s="9" t="str">
        <f ca="1">IFERROR(__xludf.DUMMYFUNCTION("""COMPUTED_VALUE"""),"4 Weeks")</f>
        <v>4 Weeks</v>
      </c>
      <c r="F613" s="79">
        <f ca="1">IFERROR(__xludf.DUMMYFUNCTION("""COMPUTED_VALUE"""),43513)</f>
        <v>43513</v>
      </c>
      <c r="G613" s="79">
        <f ca="1">IFERROR(__xludf.DUMMYFUNCTION("""COMPUTED_VALUE"""),43649)</f>
        <v>43649</v>
      </c>
      <c r="H613" s="72">
        <f ca="1">IFERROR(__xludf.DUMMYFUNCTION("""COMPUTED_VALUE"""),44745)</f>
        <v>44745</v>
      </c>
      <c r="I613" s="80"/>
      <c r="J613" s="9" t="str">
        <f ca="1">IFERROR(__xludf.DUMMYFUNCTION("""COMPUTED_VALUE"""),"P.Ravi Kiran Varma")</f>
        <v>P.Ravi Kiran Varma</v>
      </c>
      <c r="K613" s="73" t="str">
        <f ca="1">IFERROR(__xludf.DUMMYFUNCTION("""COMPUTED_VALUE"""),"https://drive.google.com/open?id=1pe3p-2freuWa5Y6VlateFoOG8VVzNEWA")</f>
        <v>https://drive.google.com/open?id=1pe3p-2freuWa5Y6VlateFoOG8VVzNEWA</v>
      </c>
      <c r="L613" s="9" t="str">
        <f ca="1">IFERROR(__xludf.DUMMYFUNCTION("""COMPUTED_VALUE"""),"2018-2022")</f>
        <v>2018-2022</v>
      </c>
      <c r="M613" s="9" t="str">
        <f ca="1">IFERROR(__xludf.DUMMYFUNCTION("""COMPUTED_VALUE"""),"S4: Student Certifications")</f>
        <v>S4: Student Certifications</v>
      </c>
      <c r="N613" s="9" t="str">
        <f ca="1">IFERROR(__xludf.DUMMYFUNCTION("""COMPUTED_VALUE"""),"jaswanth.vjp13@gmail.com")</f>
        <v>jaswanth.vjp13@gmail.com</v>
      </c>
      <c r="O613" s="9" t="str">
        <f ca="1">IFERROR(__xludf.DUMMYFUNCTION("""COMPUTED_VALUE"""),"SEM-3")</f>
        <v>SEM-3</v>
      </c>
      <c r="P613" s="9"/>
      <c r="Q613" s="9"/>
      <c r="R613" s="9"/>
      <c r="S613" s="9"/>
      <c r="T613" s="9"/>
      <c r="U613" s="9"/>
      <c r="V613" s="9"/>
      <c r="W613" s="9"/>
      <c r="X613" s="9"/>
      <c r="Y613" s="9"/>
    </row>
    <row r="614" spans="1:25" ht="26.25" customHeight="1" x14ac:dyDescent="0.15">
      <c r="A614" s="9" t="str">
        <f ca="1">IFERROR(__xludf.DUMMYFUNCTION("""COMPUTED_VALUE"""),"CAROLINE CHRISTY THANDU")</f>
        <v>CAROLINE CHRISTY THANDU</v>
      </c>
      <c r="B614" s="9" t="str">
        <f ca="1">IFERROR(__xludf.DUMMYFUNCTION("""COMPUTED_VALUE"""),"18331A05F4")</f>
        <v>18331A05F4</v>
      </c>
      <c r="C614" s="78" t="str">
        <f ca="1">IFERROR(__xludf.DUMMYFUNCTION("""COMPUTED_VALUE"""),"SWITCHING ROUTING AND WIRELESS ESSENTIALS")</f>
        <v>SWITCHING ROUTING AND WIRELESS ESSENTIALS</v>
      </c>
      <c r="D614" s="9" t="str">
        <f ca="1">IFERROR(__xludf.DUMMYFUNCTION("""COMPUTED_VALUE"""),"CISCO")</f>
        <v>CISCO</v>
      </c>
      <c r="E614" s="9" t="str">
        <f ca="1">IFERROR(__xludf.DUMMYFUNCTION("""COMPUTED_VALUE"""),"1 MONTH")</f>
        <v>1 MONTH</v>
      </c>
      <c r="F614" s="79">
        <f ca="1">IFERROR(__xludf.DUMMYFUNCTION("""COMPUTED_VALUE"""),43957)</f>
        <v>43957</v>
      </c>
      <c r="G614" s="79">
        <f ca="1">IFERROR(__xludf.DUMMYFUNCTION("""COMPUTED_VALUE"""),43988)</f>
        <v>43988</v>
      </c>
      <c r="H614" s="72">
        <f ca="1">IFERROR(__xludf.DUMMYFUNCTION("""COMPUTED_VALUE"""),43989)</f>
        <v>43989</v>
      </c>
      <c r="I614" s="80">
        <f ca="1">IFERROR(__xludf.DUMMYFUNCTION("""COMPUTED_VALUE"""),1)</f>
        <v>1</v>
      </c>
      <c r="J614" s="9" t="str">
        <f ca="1">IFERROR(__xludf.DUMMYFUNCTION("""COMPUTED_VALUE"""),"DR. P. RAVI KIRAN VARMA")</f>
        <v>DR. P. RAVI KIRAN VARMA</v>
      </c>
      <c r="K614" s="73" t="str">
        <f ca="1">IFERROR(__xludf.DUMMYFUNCTION("""COMPUTED_VALUE"""),"https://drive.google.com/open?id=19pm2_Q5iWB3TaA9W5JNLMBYNbUk4cqmc")</f>
        <v>https://drive.google.com/open?id=19pm2_Q5iWB3TaA9W5JNLMBYNbUk4cqmc</v>
      </c>
      <c r="L614" s="9" t="str">
        <f ca="1">IFERROR(__xludf.DUMMYFUNCTION("""COMPUTED_VALUE"""),"2018-2022")</f>
        <v>2018-2022</v>
      </c>
      <c r="M614" s="9" t="str">
        <f ca="1">IFERROR(__xludf.DUMMYFUNCTION("""COMPUTED_VALUE"""),"S4: Student Certifications")</f>
        <v>S4: Student Certifications</v>
      </c>
      <c r="N614" s="9" t="str">
        <f ca="1">IFERROR(__xludf.DUMMYFUNCTION("""COMPUTED_VALUE"""),"thanducarolinechristy@gmail.com")</f>
        <v>thanducarolinechristy@gmail.com</v>
      </c>
      <c r="O614" s="9" t="str">
        <f ca="1">IFERROR(__xludf.DUMMYFUNCTION("""COMPUTED_VALUE"""),"SEM-4")</f>
        <v>SEM-4</v>
      </c>
      <c r="P614" s="9"/>
      <c r="Q614" s="9"/>
      <c r="R614" s="9"/>
      <c r="S614" s="9"/>
      <c r="T614" s="9"/>
      <c r="U614" s="9"/>
      <c r="V614" s="9"/>
      <c r="W614" s="9"/>
      <c r="X614" s="9"/>
      <c r="Y614" s="9"/>
    </row>
    <row r="615" spans="1:25" ht="26.25" customHeight="1" x14ac:dyDescent="0.15">
      <c r="A615" s="9" t="str">
        <f ca="1">IFERROR(__xludf.DUMMYFUNCTION("""COMPUTED_VALUE"""),"Kalyampudi Sravani")</f>
        <v>Kalyampudi Sravani</v>
      </c>
      <c r="B615" s="9" t="str">
        <f ca="1">IFERROR(__xludf.DUMMYFUNCTION("""COMPUTED_VALUE"""),"20331A0579")</f>
        <v>20331A0579</v>
      </c>
      <c r="C615" s="78" t="str">
        <f ca="1">IFERROR(__xludf.DUMMYFUNCTION("""COMPUTED_VALUE"""),"IT Essentials")</f>
        <v>IT Essentials</v>
      </c>
      <c r="D615" s="9" t="str">
        <f ca="1">IFERROR(__xludf.DUMMYFUNCTION("""COMPUTED_VALUE"""),"Cisco")</f>
        <v>Cisco</v>
      </c>
      <c r="E615" s="9" t="str">
        <f ca="1">IFERROR(__xludf.DUMMYFUNCTION("""COMPUTED_VALUE"""),"2 months")</f>
        <v>2 months</v>
      </c>
      <c r="F615" s="79">
        <f ca="1">IFERROR(__xludf.DUMMYFUNCTION("""COMPUTED_VALUE"""),44378)</f>
        <v>44378</v>
      </c>
      <c r="G615" s="79">
        <f ca="1">IFERROR(__xludf.DUMMYFUNCTION("""COMPUTED_VALUE"""),44440)</f>
        <v>44440</v>
      </c>
      <c r="H615" s="72">
        <f ca="1">IFERROR(__xludf.DUMMYFUNCTION("""COMPUTED_VALUE"""),44440)</f>
        <v>44440</v>
      </c>
      <c r="I615" s="80">
        <f ca="1">IFERROR(__xludf.DUMMYFUNCTION("""COMPUTED_VALUE"""),91)</f>
        <v>91</v>
      </c>
      <c r="J615" s="9" t="str">
        <f ca="1">IFERROR(__xludf.DUMMYFUNCTION("""COMPUTED_VALUE"""),"K.Subbaraju")</f>
        <v>K.Subbaraju</v>
      </c>
      <c r="K615" s="73" t="str">
        <f ca="1">IFERROR(__xludf.DUMMYFUNCTION("""COMPUTED_VALUE"""),"https://drive.google.com/open?id=1DdtP4Jce1Hzh89cx91TIYbMBw-Eoyw6i")</f>
        <v>https://drive.google.com/open?id=1DdtP4Jce1Hzh89cx91TIYbMBw-Eoyw6i</v>
      </c>
      <c r="L615" s="9" t="str">
        <f ca="1">IFERROR(__xludf.DUMMYFUNCTION("""COMPUTED_VALUE"""),"2020-2024")</f>
        <v>2020-2024</v>
      </c>
      <c r="M615" s="9" t="str">
        <f ca="1">IFERROR(__xludf.DUMMYFUNCTION("""COMPUTED_VALUE"""),"S4: Student Certifications")</f>
        <v>S4: Student Certifications</v>
      </c>
      <c r="N615" s="9" t="str">
        <f ca="1">IFERROR(__xludf.DUMMYFUNCTION("""COMPUTED_VALUE"""),"sravanikalyampudi@gmail.com")</f>
        <v>sravanikalyampudi@gmail.com</v>
      </c>
      <c r="O615" s="9" t="str">
        <f ca="1">IFERROR(__xludf.DUMMYFUNCTION("""COMPUTED_VALUE"""),"SEM-4")</f>
        <v>SEM-4</v>
      </c>
      <c r="P615" s="9"/>
      <c r="Q615" s="9"/>
      <c r="R615" s="9"/>
      <c r="S615" s="9"/>
      <c r="T615" s="9"/>
      <c r="U615" s="9"/>
      <c r="V615" s="9"/>
      <c r="W615" s="9"/>
      <c r="X615" s="9"/>
      <c r="Y615" s="9"/>
    </row>
    <row r="616" spans="1:25" ht="26.25" customHeight="1" x14ac:dyDescent="0.15">
      <c r="A616" s="9" t="str">
        <f ca="1">IFERROR(__xludf.DUMMYFUNCTION("""COMPUTED_VALUE"""),"Kalyampudi Sravani")</f>
        <v>Kalyampudi Sravani</v>
      </c>
      <c r="B616" s="9" t="str">
        <f ca="1">IFERROR(__xludf.DUMMYFUNCTION("""COMPUTED_VALUE"""),"20331A0579")</f>
        <v>20331A0579</v>
      </c>
      <c r="C616" s="78" t="str">
        <f ca="1">IFERROR(__xludf.DUMMYFUNCTION("""COMPUTED_VALUE"""),"NDG linux")</f>
        <v>NDG linux</v>
      </c>
      <c r="D616" s="9" t="str">
        <f ca="1">IFERROR(__xludf.DUMMYFUNCTION("""COMPUTED_VALUE"""),"Cisco")</f>
        <v>Cisco</v>
      </c>
      <c r="E616" s="9" t="str">
        <f ca="1">IFERROR(__xludf.DUMMYFUNCTION("""COMPUTED_VALUE"""),"2 months")</f>
        <v>2 months</v>
      </c>
      <c r="F616" s="79">
        <f ca="1">IFERROR(__xludf.DUMMYFUNCTION("""COMPUTED_VALUE"""),44596)</f>
        <v>44596</v>
      </c>
      <c r="G616" s="79">
        <f ca="1">IFERROR(__xludf.DUMMYFUNCTION("""COMPUTED_VALUE"""),44655)</f>
        <v>44655</v>
      </c>
      <c r="H616" s="72">
        <f ca="1">IFERROR(__xludf.DUMMYFUNCTION("""COMPUTED_VALUE"""),44655)</f>
        <v>44655</v>
      </c>
      <c r="I616" s="80">
        <f ca="1">IFERROR(__xludf.DUMMYFUNCTION("""COMPUTED_VALUE"""),90)</f>
        <v>90</v>
      </c>
      <c r="J616" s="9" t="str">
        <f ca="1">IFERROR(__xludf.DUMMYFUNCTION("""COMPUTED_VALUE"""),"K.Subbaraju")</f>
        <v>K.Subbaraju</v>
      </c>
      <c r="K616" s="73" t="str">
        <f ca="1">IFERROR(__xludf.DUMMYFUNCTION("""COMPUTED_VALUE"""),"https://drive.google.com/open?id=1Ezod3LTtx06q8Nryu-0ZbTaoweFYbeQy")</f>
        <v>https://drive.google.com/open?id=1Ezod3LTtx06q8Nryu-0ZbTaoweFYbeQy</v>
      </c>
      <c r="L616" s="9" t="str">
        <f ca="1">IFERROR(__xludf.DUMMYFUNCTION("""COMPUTED_VALUE"""),"2020-2024")</f>
        <v>2020-2024</v>
      </c>
      <c r="M616" s="9" t="str">
        <f ca="1">IFERROR(__xludf.DUMMYFUNCTION("""COMPUTED_VALUE"""),"S4: Student Certifications")</f>
        <v>S4: Student Certifications</v>
      </c>
      <c r="N616" s="9" t="str">
        <f ca="1">IFERROR(__xludf.DUMMYFUNCTION("""COMPUTED_VALUE"""),"sravanikalyampudi@gmail.com")</f>
        <v>sravanikalyampudi@gmail.com</v>
      </c>
      <c r="O616" s="9" t="str">
        <f ca="1">IFERROR(__xludf.DUMMYFUNCTION("""COMPUTED_VALUE"""),"SEM-4")</f>
        <v>SEM-4</v>
      </c>
      <c r="P616" s="9"/>
      <c r="Q616" s="9"/>
      <c r="R616" s="9"/>
      <c r="S616" s="9"/>
      <c r="T616" s="9"/>
      <c r="U616" s="9"/>
      <c r="V616" s="9"/>
      <c r="W616" s="9"/>
      <c r="X616" s="9"/>
      <c r="Y616" s="9"/>
    </row>
    <row r="617" spans="1:25" ht="26.25" customHeight="1" x14ac:dyDescent="0.15">
      <c r="A617" s="9" t="str">
        <f ca="1">IFERROR(__xludf.DUMMYFUNCTION("""COMPUTED_VALUE"""),"Jaswanth Vajrapu")</f>
        <v>Jaswanth Vajrapu</v>
      </c>
      <c r="B617" s="9" t="str">
        <f ca="1">IFERROR(__xludf.DUMMYFUNCTION("""COMPUTED_VALUE"""),"18331A05G5")</f>
        <v>18331A05G5</v>
      </c>
      <c r="C617" s="78" t="str">
        <f ca="1">IFERROR(__xludf.DUMMYFUNCTION("""COMPUTED_VALUE"""),"CLA: Programming Essentials in C")</f>
        <v>CLA: Programming Essentials in C</v>
      </c>
      <c r="D617" s="9" t="str">
        <f ca="1">IFERROR(__xludf.DUMMYFUNCTION("""COMPUTED_VALUE"""),"CISCO")</f>
        <v>CISCO</v>
      </c>
      <c r="E617" s="9" t="str">
        <f ca="1">IFERROR(__xludf.DUMMYFUNCTION("""COMPUTED_VALUE"""),"3 WEEKS")</f>
        <v>3 WEEKS</v>
      </c>
      <c r="F617" s="79">
        <f ca="1">IFERROR(__xludf.DUMMYFUNCTION("""COMPUTED_VALUE"""),43547)</f>
        <v>43547</v>
      </c>
      <c r="G617" s="79">
        <f ca="1">IFERROR(__xludf.DUMMYFUNCTION("""COMPUTED_VALUE"""),43585)</f>
        <v>43585</v>
      </c>
      <c r="H617" s="72">
        <f ca="1">IFERROR(__xludf.DUMMYFUNCTION("""COMPUTED_VALUE"""),43585)</f>
        <v>43585</v>
      </c>
      <c r="I617" s="80"/>
      <c r="J617" s="9" t="str">
        <f ca="1">IFERROR(__xludf.DUMMYFUNCTION("""COMPUTED_VALUE"""),"P.Ravi Kiran Varma")</f>
        <v>P.Ravi Kiran Varma</v>
      </c>
      <c r="K617" s="73" t="str">
        <f ca="1">IFERROR(__xludf.DUMMYFUNCTION("""COMPUTED_VALUE"""),"https://drive.google.com/open?id=1RTtyq3k-N2F7MeRaIQQUEPr2Q6jliTEQ")</f>
        <v>https://drive.google.com/open?id=1RTtyq3k-N2F7MeRaIQQUEPr2Q6jliTEQ</v>
      </c>
      <c r="L617" s="9" t="str">
        <f ca="1">IFERROR(__xludf.DUMMYFUNCTION("""COMPUTED_VALUE"""),"2018-2022")</f>
        <v>2018-2022</v>
      </c>
      <c r="M617" s="9" t="str">
        <f ca="1">IFERROR(__xludf.DUMMYFUNCTION("""COMPUTED_VALUE"""),"S4: Student Certifications")</f>
        <v>S4: Student Certifications</v>
      </c>
      <c r="N617" s="9" t="str">
        <f ca="1">IFERROR(__xludf.DUMMYFUNCTION("""COMPUTED_VALUE"""),"jaswanth.vjp13@gmail.com")</f>
        <v>jaswanth.vjp13@gmail.com</v>
      </c>
      <c r="O617" s="9" t="str">
        <f ca="1">IFERROR(__xludf.DUMMYFUNCTION("""COMPUTED_VALUE"""),"SEM-2")</f>
        <v>SEM-2</v>
      </c>
      <c r="P617" s="9"/>
      <c r="Q617" s="9"/>
      <c r="R617" s="9"/>
      <c r="S617" s="9"/>
      <c r="T617" s="9"/>
      <c r="U617" s="9"/>
      <c r="V617" s="9"/>
      <c r="W617" s="9"/>
      <c r="X617" s="9"/>
      <c r="Y617" s="9"/>
    </row>
    <row r="618" spans="1:25" ht="26.25" customHeight="1" x14ac:dyDescent="0.15">
      <c r="A618" s="9" t="str">
        <f ca="1">IFERROR(__xludf.DUMMYFUNCTION("""COMPUTED_VALUE"""),"chanamalla venkata sai vivek")</f>
        <v>chanamalla venkata sai vivek</v>
      </c>
      <c r="B618" s="9" t="str">
        <f ca="1">IFERROR(__xludf.DUMMYFUNCTION("""COMPUTED_VALUE"""),"18331a05h3")</f>
        <v>18331a05h3</v>
      </c>
      <c r="C618" s="78" t="str">
        <f ca="1">IFERROR(__xludf.DUMMYFUNCTION("""COMPUTED_VALUE"""),"python complete course for python beginners")</f>
        <v>python complete course for python beginners</v>
      </c>
      <c r="D618" s="9" t="str">
        <f ca="1">IFERROR(__xludf.DUMMYFUNCTION("""COMPUTED_VALUE"""),"udemy")</f>
        <v>udemy</v>
      </c>
      <c r="E618" s="9" t="str">
        <f ca="1">IFERROR(__xludf.DUMMYFUNCTION("""COMPUTED_VALUE"""),"7.5 hours")</f>
        <v>7.5 hours</v>
      </c>
      <c r="F618" s="79">
        <f ca="1">IFERROR(__xludf.DUMMYFUNCTION("""COMPUTED_VALUE"""),44654)</f>
        <v>44654</v>
      </c>
      <c r="G618" s="79">
        <f ca="1">IFERROR(__xludf.DUMMYFUNCTION("""COMPUTED_VALUE"""),44659)</f>
        <v>44659</v>
      </c>
      <c r="H618" s="72">
        <f ca="1">IFERROR(__xludf.DUMMYFUNCTION("""COMPUTED_VALUE"""),44663)</f>
        <v>44663</v>
      </c>
      <c r="I618" s="80">
        <f ca="1">IFERROR(__xludf.DUMMYFUNCTION("""COMPUTED_VALUE"""),90)</f>
        <v>90</v>
      </c>
      <c r="J618" s="9" t="str">
        <f ca="1">IFERROR(__xludf.DUMMYFUNCTION("""COMPUTED_VALUE"""),"horizon tech")</f>
        <v>horizon tech</v>
      </c>
      <c r="K618" s="73" t="str">
        <f ca="1">IFERROR(__xludf.DUMMYFUNCTION("""COMPUTED_VALUE"""),"https://drive.google.com/open?id=1ZjUgIOn4CrJjrvYAAfjeeemjC-MPDfNq")</f>
        <v>https://drive.google.com/open?id=1ZjUgIOn4CrJjrvYAAfjeeemjC-MPDfNq</v>
      </c>
      <c r="L618" s="9" t="str">
        <f ca="1">IFERROR(__xludf.DUMMYFUNCTION("""COMPUTED_VALUE"""),"2018-2022")</f>
        <v>2018-2022</v>
      </c>
      <c r="M618" s="9" t="str">
        <f ca="1">IFERROR(__xludf.DUMMYFUNCTION("""COMPUTED_VALUE"""),"S4: Student Certifications")</f>
        <v>S4: Student Certifications</v>
      </c>
      <c r="N618" s="9" t="str">
        <f ca="1">IFERROR(__xludf.DUMMYFUNCTION("""COMPUTED_VALUE"""),"venkatsaivivek007@gmail.com")</f>
        <v>venkatsaivivek007@gmail.com</v>
      </c>
      <c r="O618" s="9" t="str">
        <f ca="1">IFERROR(__xludf.DUMMYFUNCTION("""COMPUTED_VALUE"""),"SEM-8")</f>
        <v>SEM-8</v>
      </c>
      <c r="P618" s="9"/>
      <c r="Q618" s="9"/>
      <c r="R618" s="9"/>
      <c r="S618" s="9"/>
      <c r="T618" s="9"/>
      <c r="U618" s="9"/>
      <c r="V618" s="9"/>
      <c r="W618" s="9"/>
      <c r="X618" s="9"/>
      <c r="Y618" s="9"/>
    </row>
    <row r="619" spans="1:25" ht="26.25" customHeight="1" x14ac:dyDescent="0.15">
      <c r="A619" s="9" t="str">
        <f ca="1">IFERROR(__xludf.DUMMYFUNCTION("""COMPUTED_VALUE"""),"chanamalla venkata sai vivek")</f>
        <v>chanamalla venkata sai vivek</v>
      </c>
      <c r="B619" s="9" t="str">
        <f ca="1">IFERROR(__xludf.DUMMYFUNCTION("""COMPUTED_VALUE"""),"18331a05h3")</f>
        <v>18331a05h3</v>
      </c>
      <c r="C619" s="78" t="str">
        <f ca="1">IFERROR(__xludf.DUMMYFUNCTION("""COMPUTED_VALUE"""),"computer architecture &amp; computer organisation")</f>
        <v>computer architecture &amp; computer organisation</v>
      </c>
      <c r="D619" s="9" t="str">
        <f ca="1">IFERROR(__xludf.DUMMYFUNCTION("""COMPUTED_VALUE"""),"udemy")</f>
        <v>udemy</v>
      </c>
      <c r="E619" s="9" t="str">
        <f ca="1">IFERROR(__xludf.DUMMYFUNCTION("""COMPUTED_VALUE"""),"12.5hrs")</f>
        <v>12.5hrs</v>
      </c>
      <c r="F619" s="79">
        <f ca="1">IFERROR(__xludf.DUMMYFUNCTION("""COMPUTED_VALUE"""),44654)</f>
        <v>44654</v>
      </c>
      <c r="G619" s="79">
        <f ca="1">IFERROR(__xludf.DUMMYFUNCTION("""COMPUTED_VALUE"""),44663)</f>
        <v>44663</v>
      </c>
      <c r="H619" s="72">
        <f ca="1">IFERROR(__xludf.DUMMYFUNCTION("""COMPUTED_VALUE"""),44663)</f>
        <v>44663</v>
      </c>
      <c r="I619" s="80">
        <f ca="1">IFERROR(__xludf.DUMMYFUNCTION("""COMPUTED_VALUE"""),91)</f>
        <v>91</v>
      </c>
      <c r="J619" s="9" t="str">
        <f ca="1">IFERROR(__xludf.DUMMYFUNCTION("""COMPUTED_VALUE"""),"yasas sri wickramasinghe")</f>
        <v>yasas sri wickramasinghe</v>
      </c>
      <c r="K619" s="73" t="str">
        <f ca="1">IFERROR(__xludf.DUMMYFUNCTION("""COMPUTED_VALUE"""),"https://drive.google.com/open?id=1fOz66l3-hJZ8uJ9WTF7kYbv6x4urVCfn")</f>
        <v>https://drive.google.com/open?id=1fOz66l3-hJZ8uJ9WTF7kYbv6x4urVCfn</v>
      </c>
      <c r="L619" s="9" t="str">
        <f ca="1">IFERROR(__xludf.DUMMYFUNCTION("""COMPUTED_VALUE"""),"2018-2022")</f>
        <v>2018-2022</v>
      </c>
      <c r="M619" s="9" t="str">
        <f ca="1">IFERROR(__xludf.DUMMYFUNCTION("""COMPUTED_VALUE"""),"S4: Student Certifications")</f>
        <v>S4: Student Certifications</v>
      </c>
      <c r="N619" s="9" t="str">
        <f ca="1">IFERROR(__xludf.DUMMYFUNCTION("""COMPUTED_VALUE"""),"venkatsaivivek007@gmail.com")</f>
        <v>venkatsaivivek007@gmail.com</v>
      </c>
      <c r="O619" s="9" t="str">
        <f ca="1">IFERROR(__xludf.DUMMYFUNCTION("""COMPUTED_VALUE"""),"SEM-8")</f>
        <v>SEM-8</v>
      </c>
      <c r="P619" s="9"/>
      <c r="Q619" s="9"/>
      <c r="R619" s="9"/>
      <c r="S619" s="9"/>
      <c r="T619" s="9"/>
      <c r="U619" s="9"/>
      <c r="V619" s="9"/>
      <c r="W619" s="9"/>
      <c r="X619" s="9"/>
      <c r="Y619" s="9"/>
    </row>
    <row r="620" spans="1:25" ht="26.25" customHeight="1" x14ac:dyDescent="0.15">
      <c r="A620" s="9" t="str">
        <f ca="1">IFERROR(__xludf.DUMMYFUNCTION("""COMPUTED_VALUE"""),"Lekkala Pavani")</f>
        <v>Lekkala Pavani</v>
      </c>
      <c r="B620" s="9" t="str">
        <f ca="1">IFERROR(__xludf.DUMMYFUNCTION("""COMPUTED_VALUE"""),"20331A05A2 ")</f>
        <v xml:space="preserve">20331A05A2 </v>
      </c>
      <c r="C620" s="78" t="str">
        <f ca="1">IFERROR(__xludf.DUMMYFUNCTION("""COMPUTED_VALUE"""),"IT Essentials ")</f>
        <v xml:space="preserve">IT Essentials </v>
      </c>
      <c r="D620" s="9" t="str">
        <f ca="1">IFERROR(__xludf.DUMMYFUNCTION("""COMPUTED_VALUE"""),"Cisco")</f>
        <v>Cisco</v>
      </c>
      <c r="E620" s="9" t="str">
        <f ca="1">IFERROR(__xludf.DUMMYFUNCTION("""COMPUTED_VALUE"""),"2 months")</f>
        <v>2 months</v>
      </c>
      <c r="F620" s="79">
        <f ca="1">IFERROR(__xludf.DUMMYFUNCTION("""COMPUTED_VALUE"""),44378)</f>
        <v>44378</v>
      </c>
      <c r="G620" s="79">
        <f ca="1">IFERROR(__xludf.DUMMYFUNCTION("""COMPUTED_VALUE"""),44440)</f>
        <v>44440</v>
      </c>
      <c r="H620" s="72">
        <f ca="1">IFERROR(__xludf.DUMMYFUNCTION("""COMPUTED_VALUE"""),44440)</f>
        <v>44440</v>
      </c>
      <c r="I620" s="80">
        <f ca="1">IFERROR(__xludf.DUMMYFUNCTION("""COMPUTED_VALUE"""),95)</f>
        <v>95</v>
      </c>
      <c r="J620" s="9" t="str">
        <f ca="1">IFERROR(__xludf.DUMMYFUNCTION("""COMPUTED_VALUE"""),"K.Subbaraju")</f>
        <v>K.Subbaraju</v>
      </c>
      <c r="K620" s="73" t="str">
        <f ca="1">IFERROR(__xludf.DUMMYFUNCTION("""COMPUTED_VALUE"""),"https://drive.google.com/open?id=1-s6hUkyyPvazo85I9mZCbqlJIFZTi6sR")</f>
        <v>https://drive.google.com/open?id=1-s6hUkyyPvazo85I9mZCbqlJIFZTi6sR</v>
      </c>
      <c r="L620" s="9" t="str">
        <f ca="1">IFERROR(__xludf.DUMMYFUNCTION("""COMPUTED_VALUE"""),"2020-2024")</f>
        <v>2020-2024</v>
      </c>
      <c r="M620" s="9" t="str">
        <f ca="1">IFERROR(__xludf.DUMMYFUNCTION("""COMPUTED_VALUE"""),"S4: Student Certifications")</f>
        <v>S4: Student Certifications</v>
      </c>
      <c r="N620" s="9" t="str">
        <f ca="1">IFERROR(__xludf.DUMMYFUNCTION("""COMPUTED_VALUE"""),"pavani.leela15@gmail.com")</f>
        <v>pavani.leela15@gmail.com</v>
      </c>
      <c r="O620" s="9" t="str">
        <f ca="1">IFERROR(__xludf.DUMMYFUNCTION("""COMPUTED_VALUE"""),"SEM-4")</f>
        <v>SEM-4</v>
      </c>
      <c r="P620" s="9"/>
      <c r="Q620" s="9"/>
      <c r="R620" s="9"/>
      <c r="S620" s="9"/>
      <c r="T620" s="9"/>
      <c r="U620" s="9"/>
      <c r="V620" s="9"/>
      <c r="W620" s="9"/>
      <c r="X620" s="9"/>
      <c r="Y620" s="9"/>
    </row>
    <row r="621" spans="1:25" ht="26.25" customHeight="1" x14ac:dyDescent="0.15">
      <c r="A621" s="9" t="str">
        <f ca="1">IFERROR(__xludf.DUMMYFUNCTION("""COMPUTED_VALUE"""),"chanamalla venkata sai vivek")</f>
        <v>chanamalla venkata sai vivek</v>
      </c>
      <c r="B621" s="9" t="str">
        <f ca="1">IFERROR(__xludf.DUMMYFUNCTION("""COMPUTED_VALUE"""),"18331a05h3")</f>
        <v>18331a05h3</v>
      </c>
      <c r="C621" s="78" t="str">
        <f ca="1">IFERROR(__xludf.DUMMYFUNCTION("""COMPUTED_VALUE"""),"a complete website development tool without programming")</f>
        <v>a complete website development tool without programming</v>
      </c>
      <c r="D621" s="9" t="str">
        <f ca="1">IFERROR(__xludf.DUMMYFUNCTION("""COMPUTED_VALUE"""),"udemy")</f>
        <v>udemy</v>
      </c>
      <c r="E621" s="9" t="str">
        <f ca="1">IFERROR(__xludf.DUMMYFUNCTION("""COMPUTED_VALUE"""),"1.5 hrs")</f>
        <v>1.5 hrs</v>
      </c>
      <c r="F621" s="79">
        <f ca="1">IFERROR(__xludf.DUMMYFUNCTION("""COMPUTED_VALUE"""),44661)</f>
        <v>44661</v>
      </c>
      <c r="G621" s="79">
        <f ca="1">IFERROR(__xludf.DUMMYFUNCTION("""COMPUTED_VALUE"""),44663)</f>
        <v>44663</v>
      </c>
      <c r="H621" s="72">
        <f ca="1">IFERROR(__xludf.DUMMYFUNCTION("""COMPUTED_VALUE"""),44663)</f>
        <v>44663</v>
      </c>
      <c r="I621" s="80">
        <f ca="1">IFERROR(__xludf.DUMMYFUNCTION("""COMPUTED_VALUE"""),93)</f>
        <v>93</v>
      </c>
      <c r="J621" s="9" t="str">
        <f ca="1">IFERROR(__xludf.DUMMYFUNCTION("""COMPUTED_VALUE"""),"mahesh pratapwar")</f>
        <v>mahesh pratapwar</v>
      </c>
      <c r="K621" s="73" t="str">
        <f ca="1">IFERROR(__xludf.DUMMYFUNCTION("""COMPUTED_VALUE"""),"https://drive.google.com/open?id=1jEjFpyfV984wjTf7K6bTamn6PHOO9whM")</f>
        <v>https://drive.google.com/open?id=1jEjFpyfV984wjTf7K6bTamn6PHOO9whM</v>
      </c>
      <c r="L621" s="9" t="str">
        <f ca="1">IFERROR(__xludf.DUMMYFUNCTION("""COMPUTED_VALUE"""),"2018-2022")</f>
        <v>2018-2022</v>
      </c>
      <c r="M621" s="9" t="str">
        <f ca="1">IFERROR(__xludf.DUMMYFUNCTION("""COMPUTED_VALUE"""),"S4: Student Certifications")</f>
        <v>S4: Student Certifications</v>
      </c>
      <c r="N621" s="9" t="str">
        <f ca="1">IFERROR(__xludf.DUMMYFUNCTION("""COMPUTED_VALUE"""),"venkatsaivivek007@gmail.com")</f>
        <v>venkatsaivivek007@gmail.com</v>
      </c>
      <c r="O621" s="9" t="str">
        <f ca="1">IFERROR(__xludf.DUMMYFUNCTION("""COMPUTED_VALUE"""),"SEM-8")</f>
        <v>SEM-8</v>
      </c>
      <c r="P621" s="9"/>
      <c r="Q621" s="9"/>
      <c r="R621" s="9"/>
      <c r="S621" s="9"/>
      <c r="T621" s="9"/>
      <c r="U621" s="9"/>
      <c r="V621" s="9"/>
      <c r="W621" s="9"/>
      <c r="X621" s="9"/>
      <c r="Y621" s="9"/>
    </row>
    <row r="622" spans="1:25" ht="26.25" customHeight="1" x14ac:dyDescent="0.15">
      <c r="A622" s="9" t="str">
        <f ca="1">IFERROR(__xludf.DUMMYFUNCTION("""COMPUTED_VALUE"""),"Lekkala Pavani ")</f>
        <v xml:space="preserve">Lekkala Pavani </v>
      </c>
      <c r="B622" s="9" t="str">
        <f ca="1">IFERROR(__xludf.DUMMYFUNCTION("""COMPUTED_VALUE"""),"20331A05A2 ")</f>
        <v xml:space="preserve">20331A05A2 </v>
      </c>
      <c r="C622" s="78" t="str">
        <f ca="1">IFERROR(__xludf.DUMMYFUNCTION("""COMPUTED_VALUE"""),"NDG Linux")</f>
        <v>NDG Linux</v>
      </c>
      <c r="D622" s="9" t="str">
        <f ca="1">IFERROR(__xludf.DUMMYFUNCTION("""COMPUTED_VALUE"""),"Cisco")</f>
        <v>Cisco</v>
      </c>
      <c r="E622" s="9" t="str">
        <f ca="1">IFERROR(__xludf.DUMMYFUNCTION("""COMPUTED_VALUE"""),"2 months")</f>
        <v>2 months</v>
      </c>
      <c r="F622" s="79">
        <f ca="1">IFERROR(__xludf.DUMMYFUNCTION("""COMPUTED_VALUE"""),44594)</f>
        <v>44594</v>
      </c>
      <c r="G622" s="79">
        <f ca="1">IFERROR(__xludf.DUMMYFUNCTION("""COMPUTED_VALUE"""),44655)</f>
        <v>44655</v>
      </c>
      <c r="H622" s="72">
        <f ca="1">IFERROR(__xludf.DUMMYFUNCTION("""COMPUTED_VALUE"""),44655)</f>
        <v>44655</v>
      </c>
      <c r="I622" s="80">
        <f ca="1">IFERROR(__xludf.DUMMYFUNCTION("""COMPUTED_VALUE"""),95)</f>
        <v>95</v>
      </c>
      <c r="J622" s="9" t="str">
        <f ca="1">IFERROR(__xludf.DUMMYFUNCTION("""COMPUTED_VALUE"""),"K.Subbaraju")</f>
        <v>K.Subbaraju</v>
      </c>
      <c r="K622" s="73" t="str">
        <f ca="1">IFERROR(__xludf.DUMMYFUNCTION("""COMPUTED_VALUE"""),"https://drive.google.com/open?id=1eKMg0MuP3auzH31G2IsRDH1H5c5-rriI")</f>
        <v>https://drive.google.com/open?id=1eKMg0MuP3auzH31G2IsRDH1H5c5-rriI</v>
      </c>
      <c r="L622" s="9" t="str">
        <f ca="1">IFERROR(__xludf.DUMMYFUNCTION("""COMPUTED_VALUE"""),"2020-2024")</f>
        <v>2020-2024</v>
      </c>
      <c r="M622" s="9" t="str">
        <f ca="1">IFERROR(__xludf.DUMMYFUNCTION("""COMPUTED_VALUE"""),"S4: Student Certifications")</f>
        <v>S4: Student Certifications</v>
      </c>
      <c r="N622" s="9" t="str">
        <f ca="1">IFERROR(__xludf.DUMMYFUNCTION("""COMPUTED_VALUE"""),"pavani.leela15@gmail.com")</f>
        <v>pavani.leela15@gmail.com</v>
      </c>
      <c r="O622" s="9" t="str">
        <f ca="1">IFERROR(__xludf.DUMMYFUNCTION("""COMPUTED_VALUE"""),"SEM-4")</f>
        <v>SEM-4</v>
      </c>
      <c r="P622" s="9"/>
      <c r="Q622" s="9"/>
      <c r="R622" s="9"/>
      <c r="S622" s="9"/>
      <c r="T622" s="9"/>
      <c r="U622" s="9"/>
      <c r="V622" s="9"/>
      <c r="W622" s="9"/>
      <c r="X622" s="9"/>
      <c r="Y622" s="9"/>
    </row>
    <row r="623" spans="1:25" ht="26.25" customHeight="1" x14ac:dyDescent="0.15">
      <c r="A623" s="9" t="str">
        <f ca="1">IFERROR(__xludf.DUMMYFUNCTION("""COMPUTED_VALUE"""),"Jaswanth Vajrapu")</f>
        <v>Jaswanth Vajrapu</v>
      </c>
      <c r="B623" s="9" t="str">
        <f ca="1">IFERROR(__xludf.DUMMYFUNCTION("""COMPUTED_VALUE"""),"18331A05G5")</f>
        <v>18331A05G5</v>
      </c>
      <c r="C623" s="78" t="str">
        <f ca="1">IFERROR(__xludf.DUMMYFUNCTION("""COMPUTED_VALUE"""),"CCNAv7: Enterprise Networking, Security, and Automation")</f>
        <v>CCNAv7: Enterprise Networking, Security, and Automation</v>
      </c>
      <c r="D623" s="9" t="str">
        <f ca="1">IFERROR(__xludf.DUMMYFUNCTION("""COMPUTED_VALUE"""),"CISCO")</f>
        <v>CISCO</v>
      </c>
      <c r="E623" s="9" t="str">
        <f ca="1">IFERROR(__xludf.DUMMYFUNCTION("""COMPUTED_VALUE"""),"3 WEEKS")</f>
        <v>3 WEEKS</v>
      </c>
      <c r="F623" s="79">
        <f ca="1">IFERROR(__xludf.DUMMYFUNCTION("""COMPUTED_VALUE"""),44008)</f>
        <v>44008</v>
      </c>
      <c r="G623" s="79">
        <f ca="1">IFERROR(__xludf.DUMMYFUNCTION("""COMPUTED_VALUE"""),44024)</f>
        <v>44024</v>
      </c>
      <c r="H623" s="72">
        <f ca="1">IFERROR(__xludf.DUMMYFUNCTION("""COMPUTED_VALUE"""),44024)</f>
        <v>44024</v>
      </c>
      <c r="I623" s="80"/>
      <c r="J623" s="9" t="str">
        <f ca="1">IFERROR(__xludf.DUMMYFUNCTION("""COMPUTED_VALUE"""),"P.Ravi Kiran Varma")</f>
        <v>P.Ravi Kiran Varma</v>
      </c>
      <c r="K623" s="73" t="str">
        <f ca="1">IFERROR(__xludf.DUMMYFUNCTION("""COMPUTED_VALUE"""),"https://drive.google.com/open?id=1l0vq1U6sdFw3l4NRBTGo5zxgvr-9dRuI")</f>
        <v>https://drive.google.com/open?id=1l0vq1U6sdFw3l4NRBTGo5zxgvr-9dRuI</v>
      </c>
      <c r="L623" s="9" t="str">
        <f ca="1">IFERROR(__xludf.DUMMYFUNCTION("""COMPUTED_VALUE"""),"2018-2022")</f>
        <v>2018-2022</v>
      </c>
      <c r="M623" s="9" t="str">
        <f ca="1">IFERROR(__xludf.DUMMYFUNCTION("""COMPUTED_VALUE"""),"S4: Student Certifications")</f>
        <v>S4: Student Certifications</v>
      </c>
      <c r="N623" s="9" t="str">
        <f ca="1">IFERROR(__xludf.DUMMYFUNCTION("""COMPUTED_VALUE"""),"jaswanth.vjp13@gmail.com")</f>
        <v>jaswanth.vjp13@gmail.com</v>
      </c>
      <c r="O623" s="9" t="str">
        <f ca="1">IFERROR(__xludf.DUMMYFUNCTION("""COMPUTED_VALUE"""),"SEM-5")</f>
        <v>SEM-5</v>
      </c>
      <c r="P623" s="9"/>
      <c r="Q623" s="9"/>
      <c r="R623" s="9"/>
      <c r="S623" s="9"/>
      <c r="T623" s="9"/>
      <c r="U623" s="9"/>
      <c r="V623" s="9"/>
      <c r="W623" s="9"/>
      <c r="X623" s="9"/>
      <c r="Y623" s="9"/>
    </row>
    <row r="624" spans="1:25" ht="26.25" customHeight="1" x14ac:dyDescent="0.15">
      <c r="A624" s="9" t="str">
        <f ca="1">IFERROR(__xludf.DUMMYFUNCTION("""COMPUTED_VALUE"""),"Jaswanth Vajrapu")</f>
        <v>Jaswanth Vajrapu</v>
      </c>
      <c r="B624" s="9" t="str">
        <f ca="1">IFERROR(__xludf.DUMMYFUNCTION("""COMPUTED_VALUE"""),"18331A05G5")</f>
        <v>18331A05G5</v>
      </c>
      <c r="C624" s="78" t="str">
        <f ca="1">IFERROR(__xludf.DUMMYFUNCTION("""COMPUTED_VALUE"""),"CCNAv7: Switching, Routing, and Wireless Essentials")</f>
        <v>CCNAv7: Switching, Routing, and Wireless Essentials</v>
      </c>
      <c r="D624" s="9" t="str">
        <f ca="1">IFERROR(__xludf.DUMMYFUNCTION("""COMPUTED_VALUE"""),"CISCO")</f>
        <v>CISCO</v>
      </c>
      <c r="E624" s="9" t="str">
        <f ca="1">IFERROR(__xludf.DUMMYFUNCTION("""COMPUTED_VALUE"""),"4 WEEKS")</f>
        <v>4 WEEKS</v>
      </c>
      <c r="F624" s="79">
        <f ca="1">IFERROR(__xludf.DUMMYFUNCTION("""COMPUTED_VALUE"""),43977)</f>
        <v>43977</v>
      </c>
      <c r="G624" s="79">
        <f ca="1">IFERROR(__xludf.DUMMYFUNCTION("""COMPUTED_VALUE"""),43991)</f>
        <v>43991</v>
      </c>
      <c r="H624" s="72">
        <f ca="1">IFERROR(__xludf.DUMMYFUNCTION("""COMPUTED_VALUE"""),43991)</f>
        <v>43991</v>
      </c>
      <c r="I624" s="80">
        <f ca="1">IFERROR(__xludf.DUMMYFUNCTION("""COMPUTED_VALUE"""),100)</f>
        <v>100</v>
      </c>
      <c r="J624" s="9" t="str">
        <f ca="1">IFERROR(__xludf.DUMMYFUNCTION("""COMPUTED_VALUE"""),"P.Ravi Kiran Varma")</f>
        <v>P.Ravi Kiran Varma</v>
      </c>
      <c r="K624" s="73" t="str">
        <f ca="1">IFERROR(__xludf.DUMMYFUNCTION("""COMPUTED_VALUE"""),"https://drive.google.com/open?id=18qymJHQtd7_s6vxpDGKyC3Av6MtUIRUq")</f>
        <v>https://drive.google.com/open?id=18qymJHQtd7_s6vxpDGKyC3Av6MtUIRUq</v>
      </c>
      <c r="L624" s="9" t="str">
        <f ca="1">IFERROR(__xludf.DUMMYFUNCTION("""COMPUTED_VALUE"""),"2018-2022")</f>
        <v>2018-2022</v>
      </c>
      <c r="M624" s="9" t="str">
        <f ca="1">IFERROR(__xludf.DUMMYFUNCTION("""COMPUTED_VALUE"""),"S4: Student Certifications")</f>
        <v>S4: Student Certifications</v>
      </c>
      <c r="N624" s="9" t="str">
        <f ca="1">IFERROR(__xludf.DUMMYFUNCTION("""COMPUTED_VALUE"""),"jaswanth.vjp13@gmail.com")</f>
        <v>jaswanth.vjp13@gmail.com</v>
      </c>
      <c r="O624" s="9" t="str">
        <f ca="1">IFERROR(__xludf.DUMMYFUNCTION("""COMPUTED_VALUE"""),"SEM-5")</f>
        <v>SEM-5</v>
      </c>
      <c r="P624" s="9"/>
      <c r="Q624" s="9"/>
      <c r="R624" s="9"/>
      <c r="S624" s="9"/>
      <c r="T624" s="9"/>
      <c r="U624" s="9"/>
      <c r="V624" s="9"/>
      <c r="W624" s="9"/>
      <c r="X624" s="9"/>
      <c r="Y624" s="9"/>
    </row>
    <row r="625" spans="1:25" ht="26.25" customHeight="1" x14ac:dyDescent="0.15">
      <c r="A625" s="9" t="str">
        <f ca="1">IFERROR(__xludf.DUMMYFUNCTION("""COMPUTED_VALUE"""),"Jaswanth Vajrapu")</f>
        <v>Jaswanth Vajrapu</v>
      </c>
      <c r="B625" s="9" t="str">
        <f ca="1">IFERROR(__xludf.DUMMYFUNCTION("""COMPUTED_VALUE"""),"18331A05G5")</f>
        <v>18331A05G5</v>
      </c>
      <c r="C625" s="78" t="str">
        <f ca="1">IFERROR(__xludf.DUMMYFUNCTION("""COMPUTED_VALUE"""),"Introduction to Packet Tracer")</f>
        <v>Introduction to Packet Tracer</v>
      </c>
      <c r="D625" s="9" t="str">
        <f ca="1">IFERROR(__xludf.DUMMYFUNCTION("""COMPUTED_VALUE"""),"CISCO")</f>
        <v>CISCO</v>
      </c>
      <c r="E625" s="9" t="str">
        <f ca="1">IFERROR(__xludf.DUMMYFUNCTION("""COMPUTED_VALUE"""),"3 WEEKS")</f>
        <v>3 WEEKS</v>
      </c>
      <c r="F625" s="79">
        <f ca="1">IFERROR(__xludf.DUMMYFUNCTION("""COMPUTED_VALUE"""),44307)</f>
        <v>44307</v>
      </c>
      <c r="G625" s="79">
        <f ca="1">IFERROR(__xludf.DUMMYFUNCTION("""COMPUTED_VALUE"""),44321)</f>
        <v>44321</v>
      </c>
      <c r="H625" s="72">
        <f ca="1">IFERROR(__xludf.DUMMYFUNCTION("""COMPUTED_VALUE"""),44322)</f>
        <v>44322</v>
      </c>
      <c r="I625" s="80">
        <f ca="1">IFERROR(__xludf.DUMMYFUNCTION("""COMPUTED_VALUE"""),100)</f>
        <v>100</v>
      </c>
      <c r="J625" s="9" t="str">
        <f ca="1">IFERROR(__xludf.DUMMYFUNCTION("""COMPUTED_VALUE"""),"P.Ravi Kiran Varma")</f>
        <v>P.Ravi Kiran Varma</v>
      </c>
      <c r="K625" s="73" t="str">
        <f ca="1">IFERROR(__xludf.DUMMYFUNCTION("""COMPUTED_VALUE"""),"https://drive.google.com/open?id=15uViMoGjxNAkEyV4Y1Q8HhaRwq88LVNU")</f>
        <v>https://drive.google.com/open?id=15uViMoGjxNAkEyV4Y1Q8HhaRwq88LVNU</v>
      </c>
      <c r="L625" s="9" t="str">
        <f ca="1">IFERROR(__xludf.DUMMYFUNCTION("""COMPUTED_VALUE"""),"2018-2022")</f>
        <v>2018-2022</v>
      </c>
      <c r="M625" s="9" t="str">
        <f ca="1">IFERROR(__xludf.DUMMYFUNCTION("""COMPUTED_VALUE"""),"S4: Student Certifications")</f>
        <v>S4: Student Certifications</v>
      </c>
      <c r="N625" s="9" t="str">
        <f ca="1">IFERROR(__xludf.DUMMYFUNCTION("""COMPUTED_VALUE"""),"jaswanth.vjp13@gmail.com")</f>
        <v>jaswanth.vjp13@gmail.com</v>
      </c>
      <c r="O625" s="9" t="str">
        <f ca="1">IFERROR(__xludf.DUMMYFUNCTION("""COMPUTED_VALUE"""),"SEM-6")</f>
        <v>SEM-6</v>
      </c>
      <c r="P625" s="9"/>
      <c r="Q625" s="9"/>
      <c r="R625" s="9"/>
      <c r="S625" s="9"/>
      <c r="T625" s="9"/>
      <c r="U625" s="9"/>
      <c r="V625" s="9"/>
      <c r="W625" s="9"/>
      <c r="X625" s="9"/>
      <c r="Y625" s="9"/>
    </row>
    <row r="626" spans="1:25" ht="26.25" customHeight="1" x14ac:dyDescent="0.15">
      <c r="A626" s="9" t="str">
        <f ca="1">IFERROR(__xludf.DUMMYFUNCTION("""COMPUTED_VALUE"""),"Jaswanth Vajrapu")</f>
        <v>Jaswanth Vajrapu</v>
      </c>
      <c r="B626" s="9" t="str">
        <f ca="1">IFERROR(__xludf.DUMMYFUNCTION("""COMPUTED_VALUE"""),"18331A05G5")</f>
        <v>18331A05G5</v>
      </c>
      <c r="C626" s="78" t="str">
        <f ca="1">IFERROR(__xludf.DUMMYFUNCTION("""COMPUTED_VALUE"""),"CCNAv7: Introduction to Networks")</f>
        <v>CCNAv7: Introduction to Networks</v>
      </c>
      <c r="D626" s="9" t="str">
        <f ca="1">IFERROR(__xludf.DUMMYFUNCTION("""COMPUTED_VALUE"""),"CISCO")</f>
        <v>CISCO</v>
      </c>
      <c r="E626" s="9" t="str">
        <f ca="1">IFERROR(__xludf.DUMMYFUNCTION("""COMPUTED_VALUE"""),"4 WEEKS")</f>
        <v>4 WEEKS</v>
      </c>
      <c r="F626" s="79">
        <f ca="1">IFERROR(__xludf.DUMMYFUNCTION("""COMPUTED_VALUE"""),43954)</f>
        <v>43954</v>
      </c>
      <c r="G626" s="79">
        <f ca="1">IFERROR(__xludf.DUMMYFUNCTION("""COMPUTED_VALUE"""),43968)</f>
        <v>43968</v>
      </c>
      <c r="H626" s="72">
        <f ca="1">IFERROR(__xludf.DUMMYFUNCTION("""COMPUTED_VALUE"""),43969)</f>
        <v>43969</v>
      </c>
      <c r="I626" s="80">
        <f ca="1">IFERROR(__xludf.DUMMYFUNCTION("""COMPUTED_VALUE"""),100)</f>
        <v>100</v>
      </c>
      <c r="J626" s="9" t="str">
        <f ca="1">IFERROR(__xludf.DUMMYFUNCTION("""COMPUTED_VALUE"""),"P.Ravi Kiran Varma")</f>
        <v>P.Ravi Kiran Varma</v>
      </c>
      <c r="K626" s="73" t="str">
        <f ca="1">IFERROR(__xludf.DUMMYFUNCTION("""COMPUTED_VALUE"""),"https://drive.google.com/open?id=1FfDpT2xxMiSopeSUAR15TtLoVpZTPc4Q")</f>
        <v>https://drive.google.com/open?id=1FfDpT2xxMiSopeSUAR15TtLoVpZTPc4Q</v>
      </c>
      <c r="L626" s="9" t="str">
        <f ca="1">IFERROR(__xludf.DUMMYFUNCTION("""COMPUTED_VALUE"""),"2018-2022")</f>
        <v>2018-2022</v>
      </c>
      <c r="M626" s="9" t="str">
        <f ca="1">IFERROR(__xludf.DUMMYFUNCTION("""COMPUTED_VALUE"""),"S4: Student Certifications")</f>
        <v>S4: Student Certifications</v>
      </c>
      <c r="N626" s="9" t="str">
        <f ca="1">IFERROR(__xludf.DUMMYFUNCTION("""COMPUTED_VALUE"""),"jaswanth.vjp13@gmail.com")</f>
        <v>jaswanth.vjp13@gmail.com</v>
      </c>
      <c r="O626" s="9" t="str">
        <f ca="1">IFERROR(__xludf.DUMMYFUNCTION("""COMPUTED_VALUE"""),"SEM-5")</f>
        <v>SEM-5</v>
      </c>
      <c r="P626" s="9"/>
      <c r="Q626" s="9"/>
      <c r="R626" s="9"/>
      <c r="S626" s="9"/>
      <c r="T626" s="9"/>
      <c r="U626" s="9"/>
      <c r="V626" s="9"/>
      <c r="W626" s="9"/>
      <c r="X626" s="9"/>
      <c r="Y626" s="9"/>
    </row>
    <row r="627" spans="1:25" ht="26.25" customHeight="1" x14ac:dyDescent="0.15">
      <c r="A627" s="9" t="str">
        <f ca="1">IFERROR(__xludf.DUMMYFUNCTION("""COMPUTED_VALUE"""),"Jaswanth Vajrapu")</f>
        <v>Jaswanth Vajrapu</v>
      </c>
      <c r="B627" s="9" t="str">
        <f ca="1">IFERROR(__xludf.DUMMYFUNCTION("""COMPUTED_VALUE"""),"18331A05G5")</f>
        <v>18331A05G5</v>
      </c>
      <c r="C627" s="78" t="str">
        <f ca="1">IFERROR(__xludf.DUMMYFUNCTION("""COMPUTED_VALUE"""),"Cybersecurity Essentials")</f>
        <v>Cybersecurity Essentials</v>
      </c>
      <c r="D627" s="9" t="str">
        <f ca="1">IFERROR(__xludf.DUMMYFUNCTION("""COMPUTED_VALUE"""),"CISCO")</f>
        <v>CISCO</v>
      </c>
      <c r="E627" s="9" t="str">
        <f ca="1">IFERROR(__xludf.DUMMYFUNCTION("""COMPUTED_VALUE"""),"3 WEEKS")</f>
        <v>3 WEEKS</v>
      </c>
      <c r="F627" s="79">
        <f ca="1">IFERROR(__xludf.DUMMYFUNCTION("""COMPUTED_VALUE"""),43655)</f>
        <v>43655</v>
      </c>
      <c r="G627" s="79">
        <f ca="1">IFERROR(__xludf.DUMMYFUNCTION("""COMPUTED_VALUE"""),43675)</f>
        <v>43675</v>
      </c>
      <c r="H627" s="72">
        <f ca="1">IFERROR(__xludf.DUMMYFUNCTION("""COMPUTED_VALUE"""),43676)</f>
        <v>43676</v>
      </c>
      <c r="I627" s="80">
        <f ca="1">IFERROR(__xludf.DUMMYFUNCTION("""COMPUTED_VALUE"""),100)</f>
        <v>100</v>
      </c>
      <c r="J627" s="9" t="str">
        <f ca="1">IFERROR(__xludf.DUMMYFUNCTION("""COMPUTED_VALUE"""),"P.Ravi Kiran Varma")</f>
        <v>P.Ravi Kiran Varma</v>
      </c>
      <c r="K627" s="73" t="str">
        <f ca="1">IFERROR(__xludf.DUMMYFUNCTION("""COMPUTED_VALUE"""),"https://drive.google.com/open?id=1qbg09HWRvHvWMuQIuQSJ6sD4O5Mao3IC")</f>
        <v>https://drive.google.com/open?id=1qbg09HWRvHvWMuQIuQSJ6sD4O5Mao3IC</v>
      </c>
      <c r="L627" s="9" t="str">
        <f ca="1">IFERROR(__xludf.DUMMYFUNCTION("""COMPUTED_VALUE"""),"2018-2022")</f>
        <v>2018-2022</v>
      </c>
      <c r="M627" s="9" t="str">
        <f ca="1">IFERROR(__xludf.DUMMYFUNCTION("""COMPUTED_VALUE"""),"S4: Student Certifications")</f>
        <v>S4: Student Certifications</v>
      </c>
      <c r="N627" s="9" t="str">
        <f ca="1">IFERROR(__xludf.DUMMYFUNCTION("""COMPUTED_VALUE"""),"jaswanth.vjp13@gmail.com")</f>
        <v>jaswanth.vjp13@gmail.com</v>
      </c>
      <c r="O627" s="9" t="str">
        <f ca="1">IFERROR(__xludf.DUMMYFUNCTION("""COMPUTED_VALUE"""),"SEM-3")</f>
        <v>SEM-3</v>
      </c>
      <c r="P627" s="9"/>
      <c r="Q627" s="9"/>
      <c r="R627" s="9"/>
      <c r="S627" s="9"/>
      <c r="T627" s="9"/>
      <c r="U627" s="9"/>
      <c r="V627" s="9"/>
      <c r="W627" s="9"/>
      <c r="X627" s="9"/>
      <c r="Y627" s="9"/>
    </row>
    <row r="628" spans="1:25" ht="26.25" customHeight="1" x14ac:dyDescent="0.15">
      <c r="A628" s="9" t="str">
        <f ca="1">IFERROR(__xludf.DUMMYFUNCTION("""COMPUTED_VALUE"""),"CAROLINE CHRISTY THANDU")</f>
        <v>CAROLINE CHRISTY THANDU</v>
      </c>
      <c r="B628" s="9" t="str">
        <f ca="1">IFERROR(__xludf.DUMMYFUNCTION("""COMPUTED_VALUE"""),"18331A05F4")</f>
        <v>18331A05F4</v>
      </c>
      <c r="C628" s="78" t="str">
        <f ca="1">IFERROR(__xludf.DUMMYFUNCTION("""COMPUTED_VALUE"""),"CYBERSECURITY FOUNDATION")</f>
        <v>CYBERSECURITY FOUNDATION</v>
      </c>
      <c r="D628" s="9" t="str">
        <f ca="1">IFERROR(__xludf.DUMMYFUNCTION("""COMPUTED_VALUE"""),"PALO ALTO NETWORKING ACADEMY")</f>
        <v>PALO ALTO NETWORKING ACADEMY</v>
      </c>
      <c r="E628" s="9" t="str">
        <f ca="1">IFERROR(__xludf.DUMMYFUNCTION("""COMPUTED_VALUE"""),"90 DAYS")</f>
        <v>90 DAYS</v>
      </c>
      <c r="F628" s="79">
        <f ca="1">IFERROR(__xludf.DUMMYFUNCTION("""COMPUTED_VALUE"""),44256)</f>
        <v>44256</v>
      </c>
      <c r="G628" s="79">
        <f ca="1">IFERROR(__xludf.DUMMYFUNCTION("""COMPUTED_VALUE"""),44377)</f>
        <v>44377</v>
      </c>
      <c r="H628" s="72">
        <f ca="1">IFERROR(__xludf.DUMMYFUNCTION("""COMPUTED_VALUE"""),44402)</f>
        <v>44402</v>
      </c>
      <c r="I628" s="80">
        <f ca="1">IFERROR(__xludf.DUMMYFUNCTION("""COMPUTED_VALUE"""),100)</f>
        <v>100</v>
      </c>
      <c r="J628" s="9" t="str">
        <f ca="1">IFERROR(__xludf.DUMMYFUNCTION("""COMPUTED_VALUE"""),"DR.P. RAVI KIRAN VARMA")</f>
        <v>DR.P. RAVI KIRAN VARMA</v>
      </c>
      <c r="K628" s="73" t="str">
        <f ca="1">IFERROR(__xludf.DUMMYFUNCTION("""COMPUTED_VALUE"""),"https://drive.google.com/open?id=1EvXscih3t8GNcIkdo5_8G4zI0SWazPz8")</f>
        <v>https://drive.google.com/open?id=1EvXscih3t8GNcIkdo5_8G4zI0SWazPz8</v>
      </c>
      <c r="L628" s="9" t="str">
        <f ca="1">IFERROR(__xludf.DUMMYFUNCTION("""COMPUTED_VALUE"""),"2018-2022")</f>
        <v>2018-2022</v>
      </c>
      <c r="M628" s="9" t="str">
        <f ca="1">IFERROR(__xludf.DUMMYFUNCTION("""COMPUTED_VALUE"""),"S4: Student Certifications")</f>
        <v>S4: Student Certifications</v>
      </c>
      <c r="N628" s="9" t="str">
        <f ca="1">IFERROR(__xludf.DUMMYFUNCTION("""COMPUTED_VALUE"""),"thanducarolinechristy@gmail.com")</f>
        <v>thanducarolinechristy@gmail.com</v>
      </c>
      <c r="O628" s="9" t="str">
        <f ca="1">IFERROR(__xludf.DUMMYFUNCTION("""COMPUTED_VALUE"""),"SEM-5")</f>
        <v>SEM-5</v>
      </c>
      <c r="P628" s="9"/>
      <c r="Q628" s="9"/>
      <c r="R628" s="9"/>
      <c r="S628" s="9"/>
      <c r="T628" s="9"/>
      <c r="U628" s="9"/>
      <c r="V628" s="9"/>
      <c r="W628" s="9"/>
      <c r="X628" s="9"/>
      <c r="Y628" s="9"/>
    </row>
    <row r="629" spans="1:25" ht="26.25" customHeight="1" x14ac:dyDescent="0.15">
      <c r="A629" s="9" t="str">
        <f ca="1">IFERROR(__xludf.DUMMYFUNCTION("""COMPUTED_VALUE"""),"Jaswanth Vajrapu")</f>
        <v>Jaswanth Vajrapu</v>
      </c>
      <c r="B629" s="9" t="str">
        <f ca="1">IFERROR(__xludf.DUMMYFUNCTION("""COMPUTED_VALUE"""),"18331A05G5")</f>
        <v>18331A05G5</v>
      </c>
      <c r="C629" s="78" t="str">
        <f ca="1">IFERROR(__xludf.DUMMYFUNCTION("""COMPUTED_VALUE"""),"PCAP: Programming Essentials in Python")</f>
        <v>PCAP: Programming Essentials in Python</v>
      </c>
      <c r="D629" s="9" t="str">
        <f ca="1">IFERROR(__xludf.DUMMYFUNCTION("""COMPUTED_VALUE"""),"CISCO")</f>
        <v>CISCO</v>
      </c>
      <c r="E629" s="9" t="str">
        <f ca="1">IFERROR(__xludf.DUMMYFUNCTION("""COMPUTED_VALUE"""),"4 WEEKS")</f>
        <v>4 WEEKS</v>
      </c>
      <c r="F629" s="79">
        <f ca="1">IFERROR(__xludf.DUMMYFUNCTION("""COMPUTED_VALUE"""),43927)</f>
        <v>43927</v>
      </c>
      <c r="G629" s="79">
        <f ca="1">IFERROR(__xludf.DUMMYFUNCTION("""COMPUTED_VALUE"""),43948)</f>
        <v>43948</v>
      </c>
      <c r="H629" s="72">
        <f ca="1">IFERROR(__xludf.DUMMYFUNCTION("""COMPUTED_VALUE"""),43949)</f>
        <v>43949</v>
      </c>
      <c r="I629" s="80">
        <f ca="1">IFERROR(__xludf.DUMMYFUNCTION("""COMPUTED_VALUE"""),100)</f>
        <v>100</v>
      </c>
      <c r="J629" s="9" t="str">
        <f ca="1">IFERROR(__xludf.DUMMYFUNCTION("""COMPUTED_VALUE"""),"P.Ravi Kiran Varma")</f>
        <v>P.Ravi Kiran Varma</v>
      </c>
      <c r="K629" s="73" t="str">
        <f ca="1">IFERROR(__xludf.DUMMYFUNCTION("""COMPUTED_VALUE"""),"https://drive.google.com/open?id=1RZJGkxLxMIWCLo4siZnkp-f5pBgLSxfj")</f>
        <v>https://drive.google.com/open?id=1RZJGkxLxMIWCLo4siZnkp-f5pBgLSxfj</v>
      </c>
      <c r="L629" s="9" t="str">
        <f ca="1">IFERROR(__xludf.DUMMYFUNCTION("""COMPUTED_VALUE"""),"2018-2022")</f>
        <v>2018-2022</v>
      </c>
      <c r="M629" s="9" t="str">
        <f ca="1">IFERROR(__xludf.DUMMYFUNCTION("""COMPUTED_VALUE"""),"S4: Student Certifications")</f>
        <v>S4: Student Certifications</v>
      </c>
      <c r="N629" s="9" t="str">
        <f ca="1">IFERROR(__xludf.DUMMYFUNCTION("""COMPUTED_VALUE"""),"jaswanth.vjp13@gmail.com")</f>
        <v>jaswanth.vjp13@gmail.com</v>
      </c>
      <c r="O629" s="9" t="str">
        <f ca="1">IFERROR(__xludf.DUMMYFUNCTION("""COMPUTED_VALUE"""),"SEM-4")</f>
        <v>SEM-4</v>
      </c>
      <c r="P629" s="9"/>
      <c r="Q629" s="9"/>
      <c r="R629" s="9"/>
      <c r="S629" s="9"/>
      <c r="T629" s="9"/>
      <c r="U629" s="9"/>
      <c r="V629" s="9"/>
      <c r="W629" s="9"/>
      <c r="X629" s="9"/>
      <c r="Y629" s="9"/>
    </row>
    <row r="630" spans="1:25" ht="26.25" customHeight="1" x14ac:dyDescent="0.15">
      <c r="A630" s="9" t="str">
        <f ca="1">IFERROR(__xludf.DUMMYFUNCTION("""COMPUTED_VALUE"""),"CAROLINE CHRISTY THANDU")</f>
        <v>CAROLINE CHRISTY THANDU</v>
      </c>
      <c r="B630" s="9" t="str">
        <f ca="1">IFERROR(__xludf.DUMMYFUNCTION("""COMPUTED_VALUE"""),"18331A05F4")</f>
        <v>18331A05F4</v>
      </c>
      <c r="C630" s="78" t="str">
        <f ca="1">IFERROR(__xludf.DUMMYFUNCTION("""COMPUTED_VALUE"""),"AWS CLOUD FOUNDATIONS")</f>
        <v>AWS CLOUD FOUNDATIONS</v>
      </c>
      <c r="D630" s="9" t="str">
        <f ca="1">IFERROR(__xludf.DUMMYFUNCTION("""COMPUTED_VALUE"""),"AICTE")</f>
        <v>AICTE</v>
      </c>
      <c r="E630" s="9" t="str">
        <f ca="1">IFERROR(__xludf.DUMMYFUNCTION("""COMPUTED_VALUE"""),"2 MONTHS")</f>
        <v>2 MONTHS</v>
      </c>
      <c r="F630" s="79">
        <f ca="1">IFERROR(__xludf.DUMMYFUNCTION("""COMPUTED_VALUE"""),44482)</f>
        <v>44482</v>
      </c>
      <c r="G630" s="79">
        <f ca="1">IFERROR(__xludf.DUMMYFUNCTION("""COMPUTED_VALUE"""),44554)</f>
        <v>44554</v>
      </c>
      <c r="H630" s="72">
        <f ca="1">IFERROR(__xludf.DUMMYFUNCTION("""COMPUTED_VALUE"""),44554)</f>
        <v>44554</v>
      </c>
      <c r="I630" s="80">
        <f ca="1">IFERROR(__xludf.DUMMYFUNCTION("""COMPUTED_VALUE"""),90)</f>
        <v>90</v>
      </c>
      <c r="J630" s="9" t="str">
        <f ca="1">IFERROR(__xludf.DUMMYFUNCTION("""COMPUTED_VALUE"""),"DR. P. RAVI KIFRA VARMA")</f>
        <v>DR. P. RAVI KIFRA VARMA</v>
      </c>
      <c r="K630" s="73" t="str">
        <f ca="1">IFERROR(__xludf.DUMMYFUNCTION("""COMPUTED_VALUE"""),"https://drive.google.com/open?id=1CDQp-PBZmfOaWRAP94IsgsbraIKHtdWL")</f>
        <v>https://drive.google.com/open?id=1CDQp-PBZmfOaWRAP94IsgsbraIKHtdWL</v>
      </c>
      <c r="L630" s="9" t="str">
        <f ca="1">IFERROR(__xludf.DUMMYFUNCTION("""COMPUTED_VALUE"""),"2018-2022")</f>
        <v>2018-2022</v>
      </c>
      <c r="M630" s="9" t="str">
        <f ca="1">IFERROR(__xludf.DUMMYFUNCTION("""COMPUTED_VALUE"""),"S4: Student Certifications")</f>
        <v>S4: Student Certifications</v>
      </c>
      <c r="N630" s="9" t="str">
        <f ca="1">IFERROR(__xludf.DUMMYFUNCTION("""COMPUTED_VALUE"""),"thanducarolinechristy@gmail.com")</f>
        <v>thanducarolinechristy@gmail.com</v>
      </c>
      <c r="O630" s="9" t="str">
        <f ca="1">IFERROR(__xludf.DUMMYFUNCTION("""COMPUTED_VALUE"""),"SEM-7")</f>
        <v>SEM-7</v>
      </c>
      <c r="P630" s="9"/>
      <c r="Q630" s="9"/>
      <c r="R630" s="9"/>
      <c r="S630" s="9"/>
      <c r="T630" s="9"/>
      <c r="U630" s="9"/>
      <c r="V630" s="9"/>
      <c r="W630" s="9"/>
      <c r="X630" s="9"/>
      <c r="Y630" s="9"/>
    </row>
    <row r="631" spans="1:25" ht="26.25" customHeight="1" x14ac:dyDescent="0.15">
      <c r="A631" s="9" t="str">
        <f ca="1">IFERROR(__xludf.DUMMYFUNCTION("""COMPUTED_VALUE"""),"Harshit Dhanuka")</f>
        <v>Harshit Dhanuka</v>
      </c>
      <c r="B631" s="9" t="str">
        <f ca="1">IFERROR(__xludf.DUMMYFUNCTION("""COMPUTED_VALUE"""),"20331A0571")</f>
        <v>20331A0571</v>
      </c>
      <c r="C631" s="78" t="str">
        <f ca="1">IFERROR(__xludf.DUMMYFUNCTION("""COMPUTED_VALUE"""),"It Essentials")</f>
        <v>It Essentials</v>
      </c>
      <c r="D631" s="9" t="str">
        <f ca="1">IFERROR(__xludf.DUMMYFUNCTION("""COMPUTED_VALUE"""),"Cisco Networking Academy")</f>
        <v>Cisco Networking Academy</v>
      </c>
      <c r="E631" s="9" t="str">
        <f ca="1">IFERROR(__xludf.DUMMYFUNCTION("""COMPUTED_VALUE"""),"2months 2weeks")</f>
        <v>2months 2weeks</v>
      </c>
      <c r="F631" s="79">
        <f ca="1">IFERROR(__xludf.DUMMYFUNCTION("""COMPUTED_VALUE"""),44321)</f>
        <v>44321</v>
      </c>
      <c r="G631" s="79">
        <f ca="1">IFERROR(__xludf.DUMMYFUNCTION("""COMPUTED_VALUE"""),44393)</f>
        <v>44393</v>
      </c>
      <c r="H631" s="72">
        <f ca="1">IFERROR(__xludf.DUMMYFUNCTION("""COMPUTED_VALUE"""),44393)</f>
        <v>44393</v>
      </c>
      <c r="I631" s="80">
        <f ca="1">IFERROR(__xludf.DUMMYFUNCTION("""COMPUTED_VALUE"""),90)</f>
        <v>90</v>
      </c>
      <c r="J631" s="9" t="str">
        <f ca="1">IFERROR(__xludf.DUMMYFUNCTION("""COMPUTED_VALUE"""),"K V Subbaraju")</f>
        <v>K V Subbaraju</v>
      </c>
      <c r="K631" s="73" t="str">
        <f ca="1">IFERROR(__xludf.DUMMYFUNCTION("""COMPUTED_VALUE"""),"https://drive.google.com/open?id=1V0NQc24We23LH8EhxU-DoWWBxbWP-qw8")</f>
        <v>https://drive.google.com/open?id=1V0NQc24We23LH8EhxU-DoWWBxbWP-qw8</v>
      </c>
      <c r="L631" s="9" t="str">
        <f ca="1">IFERROR(__xludf.DUMMYFUNCTION("""COMPUTED_VALUE"""),"2020-2024")</f>
        <v>2020-2024</v>
      </c>
      <c r="M631" s="9" t="str">
        <f ca="1">IFERROR(__xludf.DUMMYFUNCTION("""COMPUTED_VALUE"""),"S4: Student Certifications")</f>
        <v>S4: Student Certifications</v>
      </c>
      <c r="N631" s="9" t="str">
        <f ca="1">IFERROR(__xludf.DUMMYFUNCTION("""COMPUTED_VALUE"""),"harshitdhanuka92@gmail.com")</f>
        <v>harshitdhanuka92@gmail.com</v>
      </c>
      <c r="O631" s="9" t="str">
        <f ca="1">IFERROR(__xludf.DUMMYFUNCTION("""COMPUTED_VALUE"""),"SEM-4")</f>
        <v>SEM-4</v>
      </c>
      <c r="P631" s="9"/>
      <c r="Q631" s="9"/>
      <c r="R631" s="9"/>
      <c r="S631" s="9"/>
      <c r="T631" s="9"/>
      <c r="U631" s="9"/>
      <c r="V631" s="9"/>
      <c r="W631" s="9"/>
      <c r="X631" s="9"/>
      <c r="Y631" s="9"/>
    </row>
    <row r="632" spans="1:25" ht="26.25" customHeight="1" x14ac:dyDescent="0.15">
      <c r="A632" s="9" t="str">
        <f ca="1">IFERROR(__xludf.DUMMYFUNCTION("""COMPUTED_VALUE"""),"Gayathri Gondi")</f>
        <v>Gayathri Gondi</v>
      </c>
      <c r="B632" s="9" t="str">
        <f ca="1">IFERROR(__xludf.DUMMYFUNCTION("""COMPUTED_VALUE"""),"19331A0553")</f>
        <v>19331A0553</v>
      </c>
      <c r="C632" s="78" t="str">
        <f ca="1">IFERROR(__xludf.DUMMYFUNCTION("""COMPUTED_VALUE"""),"CLA - Programming Essentials in C")</f>
        <v>CLA - Programming Essentials in C</v>
      </c>
      <c r="D632" s="9" t="str">
        <f ca="1">IFERROR(__xludf.DUMMYFUNCTION("""COMPUTED_VALUE"""),"Cisco Networking Academy")</f>
        <v>Cisco Networking Academy</v>
      </c>
      <c r="E632" s="9" t="str">
        <f ca="1">IFERROR(__xludf.DUMMYFUNCTION("""COMPUTED_VALUE"""),"70 hours")</f>
        <v>70 hours</v>
      </c>
      <c r="F632" s="79">
        <f ca="1">IFERROR(__xludf.DUMMYFUNCTION("""COMPUTED_VALUE"""),43931)</f>
        <v>43931</v>
      </c>
      <c r="G632" s="79">
        <f ca="1">IFERROR(__xludf.DUMMYFUNCTION("""COMPUTED_VALUE"""),43981)</f>
        <v>43981</v>
      </c>
      <c r="H632" s="72">
        <f ca="1">IFERROR(__xludf.DUMMYFUNCTION("""COMPUTED_VALUE"""),43981)</f>
        <v>43981</v>
      </c>
      <c r="I632" s="80"/>
      <c r="J632" s="9" t="str">
        <f ca="1">IFERROR(__xludf.DUMMYFUNCTION("""COMPUTED_VALUE"""),"Subba Raju K V")</f>
        <v>Subba Raju K V</v>
      </c>
      <c r="K632" s="73" t="str">
        <f ca="1">IFERROR(__xludf.DUMMYFUNCTION("""COMPUTED_VALUE"""),"https://drive.google.com/open?id=1L9EdbAfI7EPrI4X-M6NqXT4KXwvZicpg")</f>
        <v>https://drive.google.com/open?id=1L9EdbAfI7EPrI4X-M6NqXT4KXwvZicpg</v>
      </c>
      <c r="L632" s="9" t="str">
        <f ca="1">IFERROR(__xludf.DUMMYFUNCTION("""COMPUTED_VALUE"""),"2019-2023")</f>
        <v>2019-2023</v>
      </c>
      <c r="M632" s="9" t="str">
        <f ca="1">IFERROR(__xludf.DUMMYFUNCTION("""COMPUTED_VALUE"""),"S4: Student Certifications")</f>
        <v>S4: Student Certifications</v>
      </c>
      <c r="N632" s="9" t="str">
        <f ca="1">IFERROR(__xludf.DUMMYFUNCTION("""COMPUTED_VALUE"""),"gayathrigondi2204@gmail.com")</f>
        <v>gayathrigondi2204@gmail.com</v>
      </c>
      <c r="O632" s="9" t="str">
        <f ca="1">IFERROR(__xludf.DUMMYFUNCTION("""COMPUTED_VALUE"""),"SEM-6")</f>
        <v>SEM-6</v>
      </c>
      <c r="P632" s="9"/>
      <c r="Q632" s="9"/>
      <c r="R632" s="9"/>
      <c r="S632" s="9"/>
      <c r="T632" s="9"/>
      <c r="U632" s="9"/>
      <c r="V632" s="9"/>
      <c r="W632" s="9"/>
      <c r="X632" s="9"/>
      <c r="Y632" s="9"/>
    </row>
    <row r="633" spans="1:25" ht="26.25" customHeight="1" x14ac:dyDescent="0.15">
      <c r="A633" s="9" t="str">
        <f ca="1">IFERROR(__xludf.DUMMYFUNCTION("""COMPUTED_VALUE"""),"Gayathri Gondi")</f>
        <v>Gayathri Gondi</v>
      </c>
      <c r="B633" s="9" t="str">
        <f ca="1">IFERROR(__xludf.DUMMYFUNCTION("""COMPUTED_VALUE"""),"19331a0553")</f>
        <v>19331a0553</v>
      </c>
      <c r="C633" s="78" t="str">
        <f ca="1">IFERROR(__xludf.DUMMYFUNCTION("""COMPUTED_VALUE"""),"T Essentials: PC Hardware and Software")</f>
        <v>T Essentials: PC Hardware and Software</v>
      </c>
      <c r="D633" s="9" t="str">
        <f ca="1">IFERROR(__xludf.DUMMYFUNCTION("""COMPUTED_VALUE"""),"Cisco Networking Academy")</f>
        <v>Cisco Networking Academy</v>
      </c>
      <c r="E633" s="9" t="str">
        <f ca="1">IFERROR(__xludf.DUMMYFUNCTION("""COMPUTED_VALUE"""),"70 hours")</f>
        <v>70 hours</v>
      </c>
      <c r="F633" s="79">
        <f ca="1">IFERROR(__xludf.DUMMYFUNCTION("""COMPUTED_VALUE"""),44036)</f>
        <v>44036</v>
      </c>
      <c r="G633" s="79">
        <f ca="1">IFERROR(__xludf.DUMMYFUNCTION("""COMPUTED_VALUE"""),44072)</f>
        <v>44072</v>
      </c>
      <c r="H633" s="72">
        <f ca="1">IFERROR(__xludf.DUMMYFUNCTION("""COMPUTED_VALUE"""),44072)</f>
        <v>44072</v>
      </c>
      <c r="I633" s="80"/>
      <c r="J633" s="9" t="str">
        <f ca="1">IFERROR(__xludf.DUMMYFUNCTION("""COMPUTED_VALUE"""),"Dr. Suvarna Kumar Gogula")</f>
        <v>Dr. Suvarna Kumar Gogula</v>
      </c>
      <c r="K633" s="73" t="str">
        <f ca="1">IFERROR(__xludf.DUMMYFUNCTION("""COMPUTED_VALUE"""),"https://drive.google.com/open?id=1jZqgHUFv77c-1WLKoijFh6ALBy9Ux1It")</f>
        <v>https://drive.google.com/open?id=1jZqgHUFv77c-1WLKoijFh6ALBy9Ux1It</v>
      </c>
      <c r="L633" s="9" t="str">
        <f ca="1">IFERROR(__xludf.DUMMYFUNCTION("""COMPUTED_VALUE"""),"2019-2023")</f>
        <v>2019-2023</v>
      </c>
      <c r="M633" s="9" t="str">
        <f ca="1">IFERROR(__xludf.DUMMYFUNCTION("""COMPUTED_VALUE"""),"S4: Student Certifications")</f>
        <v>S4: Student Certifications</v>
      </c>
      <c r="N633" s="9" t="str">
        <f ca="1">IFERROR(__xludf.DUMMYFUNCTION("""COMPUTED_VALUE"""),"gayathrigondi2204@gmail.com")</f>
        <v>gayathrigondi2204@gmail.com</v>
      </c>
      <c r="O633" s="9" t="str">
        <f ca="1">IFERROR(__xludf.DUMMYFUNCTION("""COMPUTED_VALUE"""),"SEM-6")</f>
        <v>SEM-6</v>
      </c>
      <c r="P633" s="9"/>
      <c r="Q633" s="9"/>
      <c r="R633" s="9"/>
      <c r="S633" s="9"/>
      <c r="T633" s="9"/>
      <c r="U633" s="9"/>
      <c r="V633" s="9"/>
      <c r="W633" s="9"/>
      <c r="X633" s="9"/>
      <c r="Y633" s="9"/>
    </row>
    <row r="634" spans="1:25" ht="26.25" customHeight="1" x14ac:dyDescent="0.15">
      <c r="A634" s="9" t="str">
        <f ca="1">IFERROR(__xludf.DUMMYFUNCTION("""COMPUTED_VALUE"""),"Gayathri Gondi")</f>
        <v>Gayathri Gondi</v>
      </c>
      <c r="B634" s="9" t="str">
        <f ca="1">IFERROR(__xludf.DUMMYFUNCTION("""COMPUTED_VALUE"""),"19331a0553")</f>
        <v>19331a0553</v>
      </c>
      <c r="C634" s="78" t="str">
        <f ca="1">IFERROR(__xludf.DUMMYFUNCTION("""COMPUTED_VALUE"""),"Python 2019-23 III Sem CSE Sec A")</f>
        <v>Python 2019-23 III Sem CSE Sec A</v>
      </c>
      <c r="D634" s="9" t="str">
        <f ca="1">IFERROR(__xludf.DUMMYFUNCTION("""COMPUTED_VALUE"""),"Cisco Networking Academy")</f>
        <v>Cisco Networking Academy</v>
      </c>
      <c r="E634" s="9" t="str">
        <f ca="1">IFERROR(__xludf.DUMMYFUNCTION("""COMPUTED_VALUE"""),"75 hours")</f>
        <v>75 hours</v>
      </c>
      <c r="F634" s="79">
        <f ca="1">IFERROR(__xludf.DUMMYFUNCTION("""COMPUTED_VALUE"""),44270)</f>
        <v>44270</v>
      </c>
      <c r="G634" s="79">
        <f ca="1">IFERROR(__xludf.DUMMYFUNCTION("""COMPUTED_VALUE"""),44308)</f>
        <v>44308</v>
      </c>
      <c r="H634" s="72">
        <f ca="1">IFERROR(__xludf.DUMMYFUNCTION("""COMPUTED_VALUE"""),44308)</f>
        <v>44308</v>
      </c>
      <c r="I634" s="80"/>
      <c r="J634" s="9" t="str">
        <f ca="1">IFERROR(__xludf.DUMMYFUNCTION("""COMPUTED_VALUE""")," JAYASRI SAI VENKATA ANGARA")</f>
        <v xml:space="preserve"> JAYASRI SAI VENKATA ANGARA</v>
      </c>
      <c r="K634" s="73" t="str">
        <f ca="1">IFERROR(__xludf.DUMMYFUNCTION("""COMPUTED_VALUE"""),"https://drive.google.com/open?id=1FE0_HvNkyx3uHLZDuU658DZshp-63E4t")</f>
        <v>https://drive.google.com/open?id=1FE0_HvNkyx3uHLZDuU658DZshp-63E4t</v>
      </c>
      <c r="L634" s="9" t="str">
        <f ca="1">IFERROR(__xludf.DUMMYFUNCTION("""COMPUTED_VALUE"""),"2019-2023")</f>
        <v>2019-2023</v>
      </c>
      <c r="M634" s="9" t="str">
        <f ca="1">IFERROR(__xludf.DUMMYFUNCTION("""COMPUTED_VALUE"""),"S4: Student Certifications")</f>
        <v>S4: Student Certifications</v>
      </c>
      <c r="N634" s="9" t="str">
        <f ca="1">IFERROR(__xludf.DUMMYFUNCTION("""COMPUTED_VALUE"""),"gayathrigondi2204@gmail.com")</f>
        <v>gayathrigondi2204@gmail.com</v>
      </c>
      <c r="O634" s="9" t="str">
        <f ca="1">IFERROR(__xludf.DUMMYFUNCTION("""COMPUTED_VALUE"""),"SEM-6")</f>
        <v>SEM-6</v>
      </c>
      <c r="P634" s="9"/>
      <c r="Q634" s="9"/>
      <c r="R634" s="9"/>
      <c r="S634" s="9"/>
      <c r="T634" s="9"/>
      <c r="U634" s="9"/>
      <c r="V634" s="9"/>
      <c r="W634" s="9"/>
      <c r="X634" s="9"/>
      <c r="Y634" s="9"/>
    </row>
    <row r="635" spans="1:25" ht="26.25" customHeight="1" x14ac:dyDescent="0.15">
      <c r="A635" s="9" t="str">
        <f ca="1">IFERROR(__xludf.DUMMYFUNCTION("""COMPUTED_VALUE"""),"KADAMANTI SRAVAN")</f>
        <v>KADAMANTI SRAVAN</v>
      </c>
      <c r="B635" s="9" t="str">
        <f ca="1">IFERROR(__xludf.DUMMYFUNCTION("""COMPUTED_VALUE"""),"20331A0577")</f>
        <v>20331A0577</v>
      </c>
      <c r="C635" s="78" t="str">
        <f ca="1">IFERROR(__xludf.DUMMYFUNCTION("""COMPUTED_VALUE"""),"IT ESSENTIALS")</f>
        <v>IT ESSENTIALS</v>
      </c>
      <c r="D635" s="9" t="str">
        <f ca="1">IFERROR(__xludf.DUMMYFUNCTION("""COMPUTED_VALUE"""),"CISCO NETWORKING ACADEMY")</f>
        <v>CISCO NETWORKING ACADEMY</v>
      </c>
      <c r="E635" s="9" t="str">
        <f ca="1">IFERROR(__xludf.DUMMYFUNCTION("""COMPUTED_VALUE"""),"2 MONTHS")</f>
        <v>2 MONTHS</v>
      </c>
      <c r="F635" s="79">
        <f ca="1">IFERROR(__xludf.DUMMYFUNCTION("""COMPUTED_VALUE"""),44334)</f>
        <v>44334</v>
      </c>
      <c r="G635" s="79">
        <f ca="1">IFERROR(__xludf.DUMMYFUNCTION("""COMPUTED_VALUE"""),44395)</f>
        <v>44395</v>
      </c>
      <c r="H635" s="72">
        <f ca="1">IFERROR(__xludf.DUMMYFUNCTION("""COMPUTED_VALUE"""),44394)</f>
        <v>44394</v>
      </c>
      <c r="I635" s="80">
        <f ca="1">IFERROR(__xludf.DUMMYFUNCTION("""COMPUTED_VALUE"""),94)</f>
        <v>94</v>
      </c>
      <c r="J635" s="9" t="str">
        <f ca="1">IFERROR(__xludf.DUMMYFUNCTION("""COMPUTED_VALUE"""),"KV SUBBA RAJU ")</f>
        <v xml:space="preserve">KV SUBBA RAJU </v>
      </c>
      <c r="K635" s="73" t="str">
        <f ca="1">IFERROR(__xludf.DUMMYFUNCTION("""COMPUTED_VALUE"""),"https://drive.google.com/open?id=1m23VxHdX4Zs3AvCLywt75uFllkTGKKTd")</f>
        <v>https://drive.google.com/open?id=1m23VxHdX4Zs3AvCLywt75uFllkTGKKTd</v>
      </c>
      <c r="L635" s="9" t="str">
        <f ca="1">IFERROR(__xludf.DUMMYFUNCTION("""COMPUTED_VALUE"""),"2020-2024")</f>
        <v>2020-2024</v>
      </c>
      <c r="M635" s="9" t="str">
        <f ca="1">IFERROR(__xludf.DUMMYFUNCTION("""COMPUTED_VALUE"""),"S4: Student Certifications")</f>
        <v>S4: Student Certifications</v>
      </c>
      <c r="N635" s="9" t="str">
        <f ca="1">IFERROR(__xludf.DUMMYFUNCTION("""COMPUTED_VALUE"""),"kadamantisravan10@gmail.com")</f>
        <v>kadamantisravan10@gmail.com</v>
      </c>
      <c r="O635" s="9" t="str">
        <f ca="1">IFERROR(__xludf.DUMMYFUNCTION("""COMPUTED_VALUE"""),"SEM-4")</f>
        <v>SEM-4</v>
      </c>
      <c r="P635" s="9"/>
      <c r="Q635" s="9"/>
      <c r="R635" s="9"/>
      <c r="S635" s="9"/>
      <c r="T635" s="9"/>
      <c r="U635" s="9"/>
      <c r="V635" s="9"/>
      <c r="W635" s="9"/>
      <c r="X635" s="9"/>
      <c r="Y635" s="9"/>
    </row>
    <row r="636" spans="1:25" ht="26.25" customHeight="1" x14ac:dyDescent="0.15">
      <c r="A636" s="9" t="str">
        <f ca="1">IFERROR(__xludf.DUMMYFUNCTION("""COMPUTED_VALUE"""),"KADAMANTI SRAVAN")</f>
        <v>KADAMANTI SRAVAN</v>
      </c>
      <c r="B636" s="9" t="str">
        <f ca="1">IFERROR(__xludf.DUMMYFUNCTION("""COMPUTED_VALUE"""),"20331A0577")</f>
        <v>20331A0577</v>
      </c>
      <c r="C636" s="78" t="str">
        <f ca="1">IFERROR(__xludf.DUMMYFUNCTION("""COMPUTED_VALUE"""),"RED HAT LINUX ADMINSTRATION (RH134)")</f>
        <v>RED HAT LINUX ADMINSTRATION (RH134)</v>
      </c>
      <c r="D636" s="9" t="str">
        <f ca="1">IFERROR(__xludf.DUMMYFUNCTION("""COMPUTED_VALUE"""),"AICT ")</f>
        <v xml:space="preserve">AICT </v>
      </c>
      <c r="E636" s="9" t="str">
        <f ca="1">IFERROR(__xludf.DUMMYFUNCTION("""COMPUTED_VALUE"""),"2MONTHS")</f>
        <v>2MONTHS</v>
      </c>
      <c r="F636" s="79">
        <f ca="1">IFERROR(__xludf.DUMMYFUNCTION("""COMPUTED_VALUE"""),44603)</f>
        <v>44603</v>
      </c>
      <c r="G636" s="79">
        <f ca="1">IFERROR(__xludf.DUMMYFUNCTION("""COMPUTED_VALUE"""),44662)</f>
        <v>44662</v>
      </c>
      <c r="H636" s="72">
        <f ca="1">IFERROR(__xludf.DUMMYFUNCTION("""COMPUTED_VALUE"""),44652)</f>
        <v>44652</v>
      </c>
      <c r="I636" s="80">
        <f ca="1">IFERROR(__xludf.DUMMYFUNCTION("""COMPUTED_VALUE"""),94)</f>
        <v>94</v>
      </c>
      <c r="J636" s="9" t="str">
        <f ca="1">IFERROR(__xludf.DUMMYFUNCTION("""COMPUTED_VALUE"""),"KV SUBBA RAJU")</f>
        <v>KV SUBBA RAJU</v>
      </c>
      <c r="K636" s="73" t="str">
        <f ca="1">IFERROR(__xludf.DUMMYFUNCTION("""COMPUTED_VALUE"""),"https://drive.google.com/open?id=18UCOVjctEmUkeWvKSK3EwxxqYBTuhM8l")</f>
        <v>https://drive.google.com/open?id=18UCOVjctEmUkeWvKSK3EwxxqYBTuhM8l</v>
      </c>
      <c r="L636" s="9" t="str">
        <f ca="1">IFERROR(__xludf.DUMMYFUNCTION("""COMPUTED_VALUE"""),"2020-2024")</f>
        <v>2020-2024</v>
      </c>
      <c r="M636" s="9" t="str">
        <f ca="1">IFERROR(__xludf.DUMMYFUNCTION("""COMPUTED_VALUE"""),"S4: Student Certifications")</f>
        <v>S4: Student Certifications</v>
      </c>
      <c r="N636" s="9" t="str">
        <f ca="1">IFERROR(__xludf.DUMMYFUNCTION("""COMPUTED_VALUE"""),"kadamantisravan10@gmail.com")</f>
        <v>kadamantisravan10@gmail.com</v>
      </c>
      <c r="O636" s="9" t="str">
        <f ca="1">IFERROR(__xludf.DUMMYFUNCTION("""COMPUTED_VALUE"""),"SEM-4")</f>
        <v>SEM-4</v>
      </c>
      <c r="P636" s="9"/>
      <c r="Q636" s="9"/>
      <c r="R636" s="9"/>
      <c r="S636" s="9"/>
      <c r="T636" s="9"/>
      <c r="U636" s="9"/>
      <c r="V636" s="9"/>
      <c r="W636" s="9"/>
      <c r="X636" s="9"/>
      <c r="Y636" s="9"/>
    </row>
    <row r="637" spans="1:25" ht="26.25" customHeight="1" x14ac:dyDescent="0.15">
      <c r="A637" s="9" t="str">
        <f ca="1">IFERROR(__xludf.DUMMYFUNCTION("""COMPUTED_VALUE"""),"KADAMANTI SRAVAN")</f>
        <v>KADAMANTI SRAVAN</v>
      </c>
      <c r="B637" s="9" t="str">
        <f ca="1">IFERROR(__xludf.DUMMYFUNCTION("""COMPUTED_VALUE"""),"20331A0577")</f>
        <v>20331A0577</v>
      </c>
      <c r="C637" s="78" t="str">
        <f ca="1">IFERROR(__xludf.DUMMYFUNCTION("""COMPUTED_VALUE"""),"RED HAT LINUX ADMINSTRATION (RH124)")</f>
        <v>RED HAT LINUX ADMINSTRATION (RH124)</v>
      </c>
      <c r="D637" s="9" t="str">
        <f ca="1">IFERROR(__xludf.DUMMYFUNCTION("""COMPUTED_VALUE"""),"AICT")</f>
        <v>AICT</v>
      </c>
      <c r="E637" s="9" t="str">
        <f ca="1">IFERROR(__xludf.DUMMYFUNCTION("""COMPUTED_VALUE"""),"2MONTHS")</f>
        <v>2MONTHS</v>
      </c>
      <c r="F637" s="79">
        <f ca="1">IFERROR(__xludf.DUMMYFUNCTION("""COMPUTED_VALUE"""),44603)</f>
        <v>44603</v>
      </c>
      <c r="G637" s="79">
        <f ca="1">IFERROR(__xludf.DUMMYFUNCTION("""COMPUTED_VALUE"""),44662)</f>
        <v>44662</v>
      </c>
      <c r="H637" s="72">
        <f ca="1">IFERROR(__xludf.DUMMYFUNCTION("""COMPUTED_VALUE"""),44652)</f>
        <v>44652</v>
      </c>
      <c r="I637" s="80">
        <f ca="1">IFERROR(__xludf.DUMMYFUNCTION("""COMPUTED_VALUE"""),94)</f>
        <v>94</v>
      </c>
      <c r="J637" s="9" t="str">
        <f ca="1">IFERROR(__xludf.DUMMYFUNCTION("""COMPUTED_VALUE"""),"KV SUBBA RAJU ")</f>
        <v xml:space="preserve">KV SUBBA RAJU </v>
      </c>
      <c r="K637" s="73" t="str">
        <f ca="1">IFERROR(__xludf.DUMMYFUNCTION("""COMPUTED_VALUE"""),"https://drive.google.com/open?id=1Br9osdp4Z29Y2syRxU08Ud0JMlMK7QRZ")</f>
        <v>https://drive.google.com/open?id=1Br9osdp4Z29Y2syRxU08Ud0JMlMK7QRZ</v>
      </c>
      <c r="L637" s="9" t="str">
        <f ca="1">IFERROR(__xludf.DUMMYFUNCTION("""COMPUTED_VALUE"""),"2020-2024")</f>
        <v>2020-2024</v>
      </c>
      <c r="M637" s="9" t="str">
        <f ca="1">IFERROR(__xludf.DUMMYFUNCTION("""COMPUTED_VALUE"""),"S4: Student Certifications")</f>
        <v>S4: Student Certifications</v>
      </c>
      <c r="N637" s="9" t="str">
        <f ca="1">IFERROR(__xludf.DUMMYFUNCTION("""COMPUTED_VALUE"""),"kadamantisravan10@gmail.com")</f>
        <v>kadamantisravan10@gmail.com</v>
      </c>
      <c r="O637" s="9" t="str">
        <f ca="1">IFERROR(__xludf.DUMMYFUNCTION("""COMPUTED_VALUE"""),"SEM-4")</f>
        <v>SEM-4</v>
      </c>
      <c r="P637" s="9"/>
      <c r="Q637" s="9"/>
      <c r="R637" s="9"/>
      <c r="S637" s="9"/>
      <c r="T637" s="9"/>
      <c r="U637" s="9"/>
      <c r="V637" s="9"/>
      <c r="W637" s="9"/>
      <c r="X637" s="9"/>
      <c r="Y637" s="9"/>
    </row>
    <row r="638" spans="1:25" ht="26.25" customHeight="1" x14ac:dyDescent="0.15">
      <c r="A638" s="9" t="str">
        <f ca="1">IFERROR(__xludf.DUMMYFUNCTION("""COMPUTED_VALUE"""),"Nakkina Visrutha")</f>
        <v>Nakkina Visrutha</v>
      </c>
      <c r="B638" s="9" t="str">
        <f ca="1">IFERROR(__xludf.DUMMYFUNCTION("""COMPUTED_VALUE"""),"18331A05A6")</f>
        <v>18331A05A6</v>
      </c>
      <c r="C638" s="78" t="str">
        <f ca="1">IFERROR(__xludf.DUMMYFUNCTION("""COMPUTED_VALUE"""),"Cybersecurity Essentials")</f>
        <v>Cybersecurity Essentials</v>
      </c>
      <c r="D638" s="9" t="str">
        <f ca="1">IFERROR(__xludf.DUMMYFUNCTION("""COMPUTED_VALUE"""),"Cisco")</f>
        <v>Cisco</v>
      </c>
      <c r="E638" s="9" t="str">
        <f ca="1">IFERROR(__xludf.DUMMYFUNCTION("""COMPUTED_VALUE"""),"2 months")</f>
        <v>2 months</v>
      </c>
      <c r="F638" s="79">
        <f ca="1">IFERROR(__xludf.DUMMYFUNCTION("""COMPUTED_VALUE"""),43611)</f>
        <v>43611</v>
      </c>
      <c r="G638" s="79">
        <f ca="1">IFERROR(__xludf.DUMMYFUNCTION("""COMPUTED_VALUE"""),43674)</f>
        <v>43674</v>
      </c>
      <c r="H638" s="72">
        <f ca="1">IFERROR(__xludf.DUMMYFUNCTION("""COMPUTED_VALUE"""),43675)</f>
        <v>43675</v>
      </c>
      <c r="I638" s="80">
        <f ca="1">IFERROR(__xludf.DUMMYFUNCTION("""COMPUTED_VALUE"""),0.74)</f>
        <v>0.74</v>
      </c>
      <c r="J638" s="9" t="str">
        <f ca="1">IFERROR(__xludf.DUMMYFUNCTION("""COMPUTED_VALUE"""),"Ravi Kiran Varma")</f>
        <v>Ravi Kiran Varma</v>
      </c>
      <c r="K638" s="73" t="str">
        <f ca="1">IFERROR(__xludf.DUMMYFUNCTION("""COMPUTED_VALUE"""),"https://drive.google.com/open?id=1j4dQCVh65KHXq89qFXkKzrxq4tCfzD-j")</f>
        <v>https://drive.google.com/open?id=1j4dQCVh65KHXq89qFXkKzrxq4tCfzD-j</v>
      </c>
      <c r="L638" s="9" t="str">
        <f ca="1">IFERROR(__xludf.DUMMYFUNCTION("""COMPUTED_VALUE"""),"2018-2022")</f>
        <v>2018-2022</v>
      </c>
      <c r="M638" s="9" t="str">
        <f ca="1">IFERROR(__xludf.DUMMYFUNCTION("""COMPUTED_VALUE"""),"S4: Student Certifications")</f>
        <v>S4: Student Certifications</v>
      </c>
      <c r="N638" s="9" t="str">
        <f ca="1">IFERROR(__xludf.DUMMYFUNCTION("""COMPUTED_VALUE"""),"visrutha2001@gmail.com")</f>
        <v>visrutha2001@gmail.com</v>
      </c>
      <c r="O638" s="9" t="str">
        <f ca="1">IFERROR(__xludf.DUMMYFUNCTION("""COMPUTED_VALUE"""),"SEM-3")</f>
        <v>SEM-3</v>
      </c>
      <c r="P638" s="9"/>
      <c r="Q638" s="9"/>
      <c r="R638" s="9"/>
      <c r="S638" s="9"/>
      <c r="T638" s="9"/>
      <c r="U638" s="9"/>
      <c r="V638" s="9"/>
      <c r="W638" s="9"/>
      <c r="X638" s="9"/>
      <c r="Y638" s="9"/>
    </row>
    <row r="639" spans="1:25" ht="26.25" customHeight="1" x14ac:dyDescent="0.15">
      <c r="A639" s="9" t="str">
        <f ca="1">IFERROR(__xludf.DUMMYFUNCTION("""COMPUTED_VALUE"""),"Nakkina Visrutha")</f>
        <v>Nakkina Visrutha</v>
      </c>
      <c r="B639" s="9" t="str">
        <f ca="1">IFERROR(__xludf.DUMMYFUNCTION("""COMPUTED_VALUE"""),"18331A05A6")</f>
        <v>18331A05A6</v>
      </c>
      <c r="C639" s="78" t="str">
        <f ca="1">IFERROR(__xludf.DUMMYFUNCTION("""COMPUTED_VALUE"""),"CPA - Programming Essentials in C++")</f>
        <v>CPA - Programming Essentials in C++</v>
      </c>
      <c r="D639" s="9" t="str">
        <f ca="1">IFERROR(__xludf.DUMMYFUNCTION("""COMPUTED_VALUE"""),"Cisco")</f>
        <v>Cisco</v>
      </c>
      <c r="E639" s="9" t="str">
        <f ca="1">IFERROR(__xludf.DUMMYFUNCTION("""COMPUTED_VALUE"""),"1 month")</f>
        <v>1 month</v>
      </c>
      <c r="F639" s="79">
        <f ca="1">IFERROR(__xludf.DUMMYFUNCTION("""COMPUTED_VALUE"""),43910)</f>
        <v>43910</v>
      </c>
      <c r="G639" s="79">
        <f ca="1">IFERROR(__xludf.DUMMYFUNCTION("""COMPUTED_VALUE"""),43942)</f>
        <v>43942</v>
      </c>
      <c r="H639" s="72">
        <f ca="1">IFERROR(__xludf.DUMMYFUNCTION("""COMPUTED_VALUE"""),43943)</f>
        <v>43943</v>
      </c>
      <c r="I639" s="80">
        <f ca="1">IFERROR(__xludf.DUMMYFUNCTION("""COMPUTED_VALUE"""),0.87)</f>
        <v>0.87</v>
      </c>
      <c r="J639" s="9" t="str">
        <f ca="1">IFERROR(__xludf.DUMMYFUNCTION("""COMPUTED_VALUE"""),"Subba Raju K V")</f>
        <v>Subba Raju K V</v>
      </c>
      <c r="K639" s="73" t="str">
        <f ca="1">IFERROR(__xludf.DUMMYFUNCTION("""COMPUTED_VALUE"""),"https://drive.google.com/open?id=1Gk5FuNyOEn3ZKyId4GWfgMUKEX9yMALO")</f>
        <v>https://drive.google.com/open?id=1Gk5FuNyOEn3ZKyId4GWfgMUKEX9yMALO</v>
      </c>
      <c r="L639" s="9" t="str">
        <f ca="1">IFERROR(__xludf.DUMMYFUNCTION("""COMPUTED_VALUE"""),"2018-2022")</f>
        <v>2018-2022</v>
      </c>
      <c r="M639" s="9" t="str">
        <f ca="1">IFERROR(__xludf.DUMMYFUNCTION("""COMPUTED_VALUE"""),"S4: Student Certifications")</f>
        <v>S4: Student Certifications</v>
      </c>
      <c r="N639" s="9" t="str">
        <f ca="1">IFERROR(__xludf.DUMMYFUNCTION("""COMPUTED_VALUE"""),"visrutha2001@gmail.com")</f>
        <v>visrutha2001@gmail.com</v>
      </c>
      <c r="O639" s="9" t="str">
        <f ca="1">IFERROR(__xludf.DUMMYFUNCTION("""COMPUTED_VALUE"""),"SEM-4")</f>
        <v>SEM-4</v>
      </c>
      <c r="P639" s="9"/>
      <c r="Q639" s="9"/>
      <c r="R639" s="9"/>
      <c r="S639" s="9"/>
      <c r="T639" s="9"/>
      <c r="U639" s="9"/>
      <c r="V639" s="9"/>
      <c r="W639" s="9"/>
      <c r="X639" s="9"/>
      <c r="Y639" s="9"/>
    </row>
    <row r="640" spans="1:25" ht="26.25" customHeight="1" x14ac:dyDescent="0.15">
      <c r="A640" s="9" t="str">
        <f ca="1">IFERROR(__xludf.DUMMYFUNCTION("""COMPUTED_VALUE"""),"Nakkina Visrutha")</f>
        <v>Nakkina Visrutha</v>
      </c>
      <c r="B640" s="9" t="str">
        <f ca="1">IFERROR(__xludf.DUMMYFUNCTION("""COMPUTED_VALUE"""),"18331A05A6")</f>
        <v>18331A05A6</v>
      </c>
      <c r="C640" s="78" t="str">
        <f ca="1">IFERROR(__xludf.DUMMYFUNCTION("""COMPUTED_VALUE"""),"Linux Essentials")</f>
        <v>Linux Essentials</v>
      </c>
      <c r="D640" s="9" t="str">
        <f ca="1">IFERROR(__xludf.DUMMYFUNCTION("""COMPUTED_VALUE"""),"Cisco")</f>
        <v>Cisco</v>
      </c>
      <c r="E640" s="9" t="str">
        <f ca="1">IFERROR(__xludf.DUMMYFUNCTION("""COMPUTED_VALUE"""),"1 month")</f>
        <v>1 month</v>
      </c>
      <c r="F640" s="79">
        <f ca="1">IFERROR(__xludf.DUMMYFUNCTION("""COMPUTED_VALUE"""),43917)</f>
        <v>43917</v>
      </c>
      <c r="G640" s="79">
        <f ca="1">IFERROR(__xludf.DUMMYFUNCTION("""COMPUTED_VALUE"""),43949)</f>
        <v>43949</v>
      </c>
      <c r="H640" s="72">
        <f ca="1">IFERROR(__xludf.DUMMYFUNCTION("""COMPUTED_VALUE"""),43950)</f>
        <v>43950</v>
      </c>
      <c r="I640" s="80">
        <f ca="1">IFERROR(__xludf.DUMMYFUNCTION("""COMPUTED_VALUE"""),0.93)</f>
        <v>0.93</v>
      </c>
      <c r="J640" s="9" t="str">
        <f ca="1">IFERROR(__xludf.DUMMYFUNCTION("""COMPUTED_VALUE"""),"Ravi Kiran Varma")</f>
        <v>Ravi Kiran Varma</v>
      </c>
      <c r="K640" s="73" t="str">
        <f ca="1">IFERROR(__xludf.DUMMYFUNCTION("""COMPUTED_VALUE"""),"https://drive.google.com/open?id=16FQHEBK1Sq5igP7cNRw9fRLyPnYvM-ms")</f>
        <v>https://drive.google.com/open?id=16FQHEBK1Sq5igP7cNRw9fRLyPnYvM-ms</v>
      </c>
      <c r="L640" s="9" t="str">
        <f ca="1">IFERROR(__xludf.DUMMYFUNCTION("""COMPUTED_VALUE"""),"2018-2022")</f>
        <v>2018-2022</v>
      </c>
      <c r="M640" s="9" t="str">
        <f ca="1">IFERROR(__xludf.DUMMYFUNCTION("""COMPUTED_VALUE"""),"S4: Student Certifications")</f>
        <v>S4: Student Certifications</v>
      </c>
      <c r="N640" s="9" t="str">
        <f ca="1">IFERROR(__xludf.DUMMYFUNCTION("""COMPUTED_VALUE"""),"visrutha2001@gmail.com")</f>
        <v>visrutha2001@gmail.com</v>
      </c>
      <c r="O640" s="9" t="str">
        <f ca="1">IFERROR(__xludf.DUMMYFUNCTION("""COMPUTED_VALUE"""),"SEM-4")</f>
        <v>SEM-4</v>
      </c>
      <c r="P640" s="9"/>
      <c r="Q640" s="9"/>
      <c r="R640" s="9"/>
      <c r="S640" s="9"/>
      <c r="T640" s="9"/>
      <c r="U640" s="9"/>
      <c r="V640" s="9"/>
      <c r="W640" s="9"/>
      <c r="X640" s="9"/>
      <c r="Y640" s="9"/>
    </row>
    <row r="641" spans="1:25" ht="26.25" customHeight="1" x14ac:dyDescent="0.15">
      <c r="A641" s="9" t="str">
        <f ca="1">IFERROR(__xludf.DUMMYFUNCTION("""COMPUTED_VALUE"""),"Nakkina Visrutha")</f>
        <v>Nakkina Visrutha</v>
      </c>
      <c r="B641" s="9" t="str">
        <f ca="1">IFERROR(__xludf.DUMMYFUNCTION("""COMPUTED_VALUE"""),"18331A05A6")</f>
        <v>18331A05A6</v>
      </c>
      <c r="C641" s="78" t="str">
        <f ca="1">IFERROR(__xludf.DUMMYFUNCTION("""COMPUTED_VALUE"""),"Introduction to Cybersecurity")</f>
        <v>Introduction to Cybersecurity</v>
      </c>
      <c r="D641" s="9" t="str">
        <f ca="1">IFERROR(__xludf.DUMMYFUNCTION("""COMPUTED_VALUE"""),"Cisco")</f>
        <v>Cisco</v>
      </c>
      <c r="E641" s="9" t="str">
        <f ca="1">IFERROR(__xludf.DUMMYFUNCTION("""COMPUTED_VALUE"""),"1 month")</f>
        <v>1 month</v>
      </c>
      <c r="F641" s="79">
        <f ca="1">IFERROR(__xludf.DUMMYFUNCTION("""COMPUTED_VALUE"""),44289)</f>
        <v>44289</v>
      </c>
      <c r="G641" s="79">
        <f ca="1">IFERROR(__xludf.DUMMYFUNCTION("""COMPUTED_VALUE"""),44320)</f>
        <v>44320</v>
      </c>
      <c r="H641" s="72">
        <f ca="1">IFERROR(__xludf.DUMMYFUNCTION("""COMPUTED_VALUE"""),44321)</f>
        <v>44321</v>
      </c>
      <c r="I641" s="80">
        <f ca="1">IFERROR(__xludf.DUMMYFUNCTION("""COMPUTED_VALUE"""),0.93)</f>
        <v>0.93</v>
      </c>
      <c r="J641" s="9" t="str">
        <f ca="1">IFERROR(__xludf.DUMMYFUNCTION("""COMPUTED_VALUE"""),"Subba Raju K V")</f>
        <v>Subba Raju K V</v>
      </c>
      <c r="K641" s="73" t="str">
        <f ca="1">IFERROR(__xludf.DUMMYFUNCTION("""COMPUTED_VALUE"""),"https://drive.google.com/open?id=1TUdexaEHNdOiYPHV3Cha4uQbX5XqPZhW")</f>
        <v>https://drive.google.com/open?id=1TUdexaEHNdOiYPHV3Cha4uQbX5XqPZhW</v>
      </c>
      <c r="L641" s="9" t="str">
        <f ca="1">IFERROR(__xludf.DUMMYFUNCTION("""COMPUTED_VALUE"""),"2018-2022")</f>
        <v>2018-2022</v>
      </c>
      <c r="M641" s="9" t="str">
        <f ca="1">IFERROR(__xludf.DUMMYFUNCTION("""COMPUTED_VALUE"""),"S4: Student Certifications")</f>
        <v>S4: Student Certifications</v>
      </c>
      <c r="N641" s="9" t="str">
        <f ca="1">IFERROR(__xludf.DUMMYFUNCTION("""COMPUTED_VALUE"""),"visrutha2001@gmail.com")</f>
        <v>visrutha2001@gmail.com</v>
      </c>
      <c r="O641" s="9" t="str">
        <f ca="1">IFERROR(__xludf.DUMMYFUNCTION("""COMPUTED_VALUE"""),"SEM-5")</f>
        <v>SEM-5</v>
      </c>
      <c r="P641" s="9"/>
      <c r="Q641" s="9"/>
      <c r="R641" s="9"/>
      <c r="S641" s="9"/>
      <c r="T641" s="9"/>
      <c r="U641" s="9"/>
      <c r="V641" s="9"/>
      <c r="W641" s="9"/>
      <c r="X641" s="9"/>
      <c r="Y641" s="9"/>
    </row>
    <row r="642" spans="1:25" ht="26.25" customHeight="1" x14ac:dyDescent="0.15">
      <c r="A642" s="9" t="str">
        <f ca="1">IFERROR(__xludf.DUMMYFUNCTION("""COMPUTED_VALUE"""),"Nakkina Visrutha")</f>
        <v>Nakkina Visrutha</v>
      </c>
      <c r="B642" s="9" t="str">
        <f ca="1">IFERROR(__xludf.DUMMYFUNCTION("""COMPUTED_VALUE"""),"18331A05A6")</f>
        <v>18331A05A6</v>
      </c>
      <c r="C642" s="78" t="str">
        <f ca="1">IFERROR(__xludf.DUMMYFUNCTION("""COMPUTED_VALUE"""),"Introduction to Packet Tracer")</f>
        <v>Introduction to Packet Tracer</v>
      </c>
      <c r="D642" s="9" t="str">
        <f ca="1">IFERROR(__xludf.DUMMYFUNCTION("""COMPUTED_VALUE"""),"Cisco")</f>
        <v>Cisco</v>
      </c>
      <c r="E642" s="9" t="str">
        <f ca="1">IFERROR(__xludf.DUMMYFUNCTION("""COMPUTED_VALUE"""),"3 weeks")</f>
        <v>3 weeks</v>
      </c>
      <c r="F642" s="79">
        <f ca="1">IFERROR(__xludf.DUMMYFUNCTION("""COMPUTED_VALUE"""),44299)</f>
        <v>44299</v>
      </c>
      <c r="G642" s="79">
        <f ca="1">IFERROR(__xludf.DUMMYFUNCTION("""COMPUTED_VALUE"""),44322)</f>
        <v>44322</v>
      </c>
      <c r="H642" s="72">
        <f ca="1">IFERROR(__xludf.DUMMYFUNCTION("""COMPUTED_VALUE"""),44323)</f>
        <v>44323</v>
      </c>
      <c r="I642" s="80">
        <f ca="1">IFERROR(__xludf.DUMMYFUNCTION("""COMPUTED_VALUE"""),1)</f>
        <v>1</v>
      </c>
      <c r="J642" s="9" t="str">
        <f ca="1">IFERROR(__xludf.DUMMYFUNCTION("""COMPUTED_VALUE"""),"Ravi Kiran Varma")</f>
        <v>Ravi Kiran Varma</v>
      </c>
      <c r="K642" s="73" t="str">
        <f ca="1">IFERROR(__xludf.DUMMYFUNCTION("""COMPUTED_VALUE"""),"https://drive.google.com/open?id=1pfY5xSV0Jpjkm30jccWxoPYm0rBdu9_6")</f>
        <v>https://drive.google.com/open?id=1pfY5xSV0Jpjkm30jccWxoPYm0rBdu9_6</v>
      </c>
      <c r="L642" s="9" t="str">
        <f ca="1">IFERROR(__xludf.DUMMYFUNCTION("""COMPUTED_VALUE"""),"2018-2022")</f>
        <v>2018-2022</v>
      </c>
      <c r="M642" s="9" t="str">
        <f ca="1">IFERROR(__xludf.DUMMYFUNCTION("""COMPUTED_VALUE"""),"S4: Student Certifications")</f>
        <v>S4: Student Certifications</v>
      </c>
      <c r="N642" s="9" t="str">
        <f ca="1">IFERROR(__xludf.DUMMYFUNCTION("""COMPUTED_VALUE"""),"visrutha2001@gmail.com")</f>
        <v>visrutha2001@gmail.com</v>
      </c>
      <c r="O642" s="9" t="str">
        <f ca="1">IFERROR(__xludf.DUMMYFUNCTION("""COMPUTED_VALUE"""),"SEM-5")</f>
        <v>SEM-5</v>
      </c>
      <c r="P642" s="9"/>
      <c r="Q642" s="9"/>
      <c r="R642" s="9"/>
      <c r="S642" s="9"/>
      <c r="T642" s="9"/>
      <c r="U642" s="9"/>
      <c r="V642" s="9"/>
      <c r="W642" s="9"/>
      <c r="X642" s="9"/>
      <c r="Y642" s="9"/>
    </row>
    <row r="643" spans="1:25" ht="26.25" customHeight="1" x14ac:dyDescent="0.15">
      <c r="A643" s="9" t="str">
        <f ca="1">IFERROR(__xludf.DUMMYFUNCTION("""COMPUTED_VALUE"""),"Nakkina Visrutha")</f>
        <v>Nakkina Visrutha</v>
      </c>
      <c r="B643" s="9" t="str">
        <f ca="1">IFERROR(__xludf.DUMMYFUNCTION("""COMPUTED_VALUE"""),"18331A05A6")</f>
        <v>18331A05A6</v>
      </c>
      <c r="C643" s="78" t="str">
        <f ca="1">IFERROR(__xludf.DUMMYFUNCTION("""COMPUTED_VALUE"""),"CCNA V7.02 Introduction to Networks")</f>
        <v>CCNA V7.02 Introduction to Networks</v>
      </c>
      <c r="D643" s="9" t="str">
        <f ca="1">IFERROR(__xludf.DUMMYFUNCTION("""COMPUTED_VALUE"""),"Cisco")</f>
        <v>Cisco</v>
      </c>
      <c r="E643" s="9" t="str">
        <f ca="1">IFERROR(__xludf.DUMMYFUNCTION("""COMPUTED_VALUE"""),"1 month")</f>
        <v>1 month</v>
      </c>
      <c r="F643" s="79">
        <f ca="1">IFERROR(__xludf.DUMMYFUNCTION("""COMPUTED_VALUE"""),44348)</f>
        <v>44348</v>
      </c>
      <c r="G643" s="79">
        <f ca="1">IFERROR(__xludf.DUMMYFUNCTION("""COMPUTED_VALUE"""),44380)</f>
        <v>44380</v>
      </c>
      <c r="H643" s="72">
        <f ca="1">IFERROR(__xludf.DUMMYFUNCTION("""COMPUTED_VALUE"""),44381)</f>
        <v>44381</v>
      </c>
      <c r="I643" s="80">
        <f ca="1">IFERROR(__xludf.DUMMYFUNCTION("""COMPUTED_VALUE"""),0.82)</f>
        <v>0.82</v>
      </c>
      <c r="J643" s="9" t="str">
        <f ca="1">IFERROR(__xludf.DUMMYFUNCTION("""COMPUTED_VALUE"""),"Ravi Kiran Varma")</f>
        <v>Ravi Kiran Varma</v>
      </c>
      <c r="K643" s="73" t="str">
        <f ca="1">IFERROR(__xludf.DUMMYFUNCTION("""COMPUTED_VALUE"""),"https://drive.google.com/open?id=1Ue1zY6fmjTuNMCQ1eMzNM_hDW5JfeMAS")</f>
        <v>https://drive.google.com/open?id=1Ue1zY6fmjTuNMCQ1eMzNM_hDW5JfeMAS</v>
      </c>
      <c r="L643" s="9" t="str">
        <f ca="1">IFERROR(__xludf.DUMMYFUNCTION("""COMPUTED_VALUE"""),"2018-2022")</f>
        <v>2018-2022</v>
      </c>
      <c r="M643" s="9" t="str">
        <f ca="1">IFERROR(__xludf.DUMMYFUNCTION("""COMPUTED_VALUE"""),"S4: Student Certifications")</f>
        <v>S4: Student Certifications</v>
      </c>
      <c r="N643" s="9" t="str">
        <f ca="1">IFERROR(__xludf.DUMMYFUNCTION("""COMPUTED_VALUE"""),"visrutha2001@gmail.com")</f>
        <v>visrutha2001@gmail.com</v>
      </c>
      <c r="O643" s="9" t="str">
        <f ca="1">IFERROR(__xludf.DUMMYFUNCTION("""COMPUTED_VALUE"""),"SEM-6")</f>
        <v>SEM-6</v>
      </c>
      <c r="P643" s="9"/>
      <c r="Q643" s="9"/>
      <c r="R643" s="9"/>
      <c r="S643" s="9"/>
      <c r="T643" s="9"/>
      <c r="U643" s="9"/>
      <c r="V643" s="9"/>
      <c r="W643" s="9"/>
      <c r="X643" s="9"/>
      <c r="Y643" s="9"/>
    </row>
    <row r="644" spans="1:25" ht="26.25" customHeight="1" x14ac:dyDescent="0.15">
      <c r="A644" s="9" t="str">
        <f ca="1">IFERROR(__xludf.DUMMYFUNCTION("""COMPUTED_VALUE"""),"Nakkina Visrutha")</f>
        <v>Nakkina Visrutha</v>
      </c>
      <c r="B644" s="9" t="str">
        <f ca="1">IFERROR(__xludf.DUMMYFUNCTION("""COMPUTED_VALUE"""),"18331A05A6")</f>
        <v>18331A05A6</v>
      </c>
      <c r="C644" s="78" t="str">
        <f ca="1">IFERROR(__xludf.DUMMYFUNCTION("""COMPUTED_VALUE"""),"PCAP - Programming Essentials in Python ")</f>
        <v xml:space="preserve">PCAP - Programming Essentials in Python </v>
      </c>
      <c r="D644" s="9" t="str">
        <f ca="1">IFERROR(__xludf.DUMMYFUNCTION("""COMPUTED_VALUE"""),"Cisco")</f>
        <v>Cisco</v>
      </c>
      <c r="E644" s="9" t="str">
        <f ca="1">IFERROR(__xludf.DUMMYFUNCTION("""COMPUTED_VALUE"""),"1 month")</f>
        <v>1 month</v>
      </c>
      <c r="F644" s="79">
        <f ca="1">IFERROR(__xludf.DUMMYFUNCTION("""COMPUTED_VALUE"""),44352)</f>
        <v>44352</v>
      </c>
      <c r="G644" s="79">
        <f ca="1">IFERROR(__xludf.DUMMYFUNCTION("""COMPUTED_VALUE"""),44385)</f>
        <v>44385</v>
      </c>
      <c r="H644" s="72">
        <f ca="1">IFERROR(__xludf.DUMMYFUNCTION("""COMPUTED_VALUE"""),44386)</f>
        <v>44386</v>
      </c>
      <c r="I644" s="80">
        <f ca="1">IFERROR(__xludf.DUMMYFUNCTION("""COMPUTED_VALUE"""),0.9)</f>
        <v>0.9</v>
      </c>
      <c r="J644" s="9" t="str">
        <f ca="1">IFERROR(__xludf.DUMMYFUNCTION("""COMPUTED_VALUE"""),"Ravi Kiran Varma")</f>
        <v>Ravi Kiran Varma</v>
      </c>
      <c r="K644" s="73" t="str">
        <f ca="1">IFERROR(__xludf.DUMMYFUNCTION("""COMPUTED_VALUE"""),"https://drive.google.com/open?id=1vIBeMPhSVPqi4P2p2StgeIVMPCBYCVJX")</f>
        <v>https://drive.google.com/open?id=1vIBeMPhSVPqi4P2p2StgeIVMPCBYCVJX</v>
      </c>
      <c r="L644" s="9" t="str">
        <f ca="1">IFERROR(__xludf.DUMMYFUNCTION("""COMPUTED_VALUE"""),"2018-2022")</f>
        <v>2018-2022</v>
      </c>
      <c r="M644" s="9" t="str">
        <f ca="1">IFERROR(__xludf.DUMMYFUNCTION("""COMPUTED_VALUE"""),"S4: Student Certifications")</f>
        <v>S4: Student Certifications</v>
      </c>
      <c r="N644" s="9" t="str">
        <f ca="1">IFERROR(__xludf.DUMMYFUNCTION("""COMPUTED_VALUE"""),"visrutha2001@gmail.com")</f>
        <v>visrutha2001@gmail.com</v>
      </c>
      <c r="O644" s="9" t="str">
        <f ca="1">IFERROR(__xludf.DUMMYFUNCTION("""COMPUTED_VALUE"""),"SEM-6")</f>
        <v>SEM-6</v>
      </c>
      <c r="P644" s="9"/>
      <c r="Q644" s="9"/>
      <c r="R644" s="9"/>
      <c r="S644" s="9"/>
      <c r="T644" s="9"/>
      <c r="U644" s="9"/>
      <c r="V644" s="9"/>
      <c r="W644" s="9"/>
      <c r="X644" s="9"/>
      <c r="Y644" s="9"/>
    </row>
    <row r="645" spans="1:25" ht="26.25" customHeight="1" x14ac:dyDescent="0.15">
      <c r="A645" s="9" t="str">
        <f ca="1">IFERROR(__xludf.DUMMYFUNCTION("""COMPUTED_VALUE"""),"Nakkina Visrutha")</f>
        <v>Nakkina Visrutha</v>
      </c>
      <c r="B645" s="9" t="str">
        <f ca="1">IFERROR(__xludf.DUMMYFUNCTION("""COMPUTED_VALUE"""),"18331A05A6")</f>
        <v>18331A05A6</v>
      </c>
      <c r="C645" s="78" t="str">
        <f ca="1">IFERROR(__xludf.DUMMYFUNCTION("""COMPUTED_VALUE"""),"Web Development")</f>
        <v>Web Development</v>
      </c>
      <c r="D645" s="9" t="str">
        <f ca="1">IFERROR(__xludf.DUMMYFUNCTION("""COMPUTED_VALUE"""),"Internshala")</f>
        <v>Internshala</v>
      </c>
      <c r="E645" s="9" t="str">
        <f ca="1">IFERROR(__xludf.DUMMYFUNCTION("""COMPUTED_VALUE"""),"6 weeks")</f>
        <v>6 weeks</v>
      </c>
      <c r="F645" s="79">
        <f ca="1">IFERROR(__xludf.DUMMYFUNCTION("""COMPUTED_VALUE"""),44291)</f>
        <v>44291</v>
      </c>
      <c r="G645" s="79">
        <f ca="1">IFERROR(__xludf.DUMMYFUNCTION("""COMPUTED_VALUE"""),44335)</f>
        <v>44335</v>
      </c>
      <c r="H645" s="72">
        <f ca="1">IFERROR(__xludf.DUMMYFUNCTION("""COMPUTED_VALUE"""),44336)</f>
        <v>44336</v>
      </c>
      <c r="I645" s="80">
        <f ca="1">IFERROR(__xludf.DUMMYFUNCTION("""COMPUTED_VALUE"""),0.54)</f>
        <v>0.54</v>
      </c>
      <c r="J645" s="9" t="str">
        <f ca="1">IFERROR(__xludf.DUMMYFUNCTION("""COMPUTED_VALUE"""),"Sarvesh Agarwal")</f>
        <v>Sarvesh Agarwal</v>
      </c>
      <c r="K645" s="73" t="str">
        <f ca="1">IFERROR(__xludf.DUMMYFUNCTION("""COMPUTED_VALUE"""),"https://drive.google.com/open?id=1c29JlK1hYarwHb69KZRXURiOigcjghFZ")</f>
        <v>https://drive.google.com/open?id=1c29JlK1hYarwHb69KZRXURiOigcjghFZ</v>
      </c>
      <c r="L645" s="9" t="str">
        <f ca="1">IFERROR(__xludf.DUMMYFUNCTION("""COMPUTED_VALUE"""),"2018-2022")</f>
        <v>2018-2022</v>
      </c>
      <c r="M645" s="9" t="str">
        <f ca="1">IFERROR(__xludf.DUMMYFUNCTION("""COMPUTED_VALUE"""),"S4: Student Certifications")</f>
        <v>S4: Student Certifications</v>
      </c>
      <c r="N645" s="9" t="str">
        <f ca="1">IFERROR(__xludf.DUMMYFUNCTION("""COMPUTED_VALUE"""),"visrutha2001@gmail.com")</f>
        <v>visrutha2001@gmail.com</v>
      </c>
      <c r="O645" s="9" t="str">
        <f ca="1">IFERROR(__xludf.DUMMYFUNCTION("""COMPUTED_VALUE"""),"SEM-6")</f>
        <v>SEM-6</v>
      </c>
      <c r="P645" s="9"/>
      <c r="Q645" s="9"/>
      <c r="R645" s="9"/>
      <c r="S645" s="9"/>
      <c r="T645" s="9"/>
      <c r="U645" s="9"/>
      <c r="V645" s="9"/>
      <c r="W645" s="9"/>
      <c r="X645" s="9"/>
      <c r="Y645" s="9"/>
    </row>
    <row r="646" spans="1:25" ht="26.25" customHeight="1" x14ac:dyDescent="0.15">
      <c r="A646" s="9" t="str">
        <f ca="1">IFERROR(__xludf.DUMMYFUNCTION("""COMPUTED_VALUE"""),"Gorsa Uma Mahesh")</f>
        <v>Gorsa Uma Mahesh</v>
      </c>
      <c r="B646" s="9" t="str">
        <f ca="1">IFERROR(__xludf.DUMMYFUNCTION("""COMPUTED_VALUE"""),"18331A0550")</f>
        <v>18331A0550</v>
      </c>
      <c r="C646" s="78" t="str">
        <f ca="1">IFERROR(__xludf.DUMMYFUNCTION("""COMPUTED_VALUE"""),"Cybersecurity Essentials")</f>
        <v>Cybersecurity Essentials</v>
      </c>
      <c r="D646" s="9" t="str">
        <f ca="1">IFERROR(__xludf.DUMMYFUNCTION("""COMPUTED_VALUE"""),"Cisco")</f>
        <v>Cisco</v>
      </c>
      <c r="E646" s="9" t="str">
        <f ca="1">IFERROR(__xludf.DUMMYFUNCTION("""COMPUTED_VALUE"""),"90 days")</f>
        <v>90 days</v>
      </c>
      <c r="F646" s="79">
        <f ca="1">IFERROR(__xludf.DUMMYFUNCTION("""COMPUTED_VALUE"""),43581)</f>
        <v>43581</v>
      </c>
      <c r="G646" s="79">
        <f ca="1">IFERROR(__xludf.DUMMYFUNCTION("""COMPUTED_VALUE"""),43672)</f>
        <v>43672</v>
      </c>
      <c r="H646" s="72">
        <f ca="1">IFERROR(__xludf.DUMMYFUNCTION("""COMPUTED_VALUE"""),43672)</f>
        <v>43672</v>
      </c>
      <c r="I646" s="80">
        <f ca="1">IFERROR(__xludf.DUMMYFUNCTION("""COMPUTED_VALUE"""),100)</f>
        <v>100</v>
      </c>
      <c r="J646" s="9" t="str">
        <f ca="1">IFERROR(__xludf.DUMMYFUNCTION("""COMPUTED_VALUE"""),"Dr. Ravi Kiran Varma Penmatsa")</f>
        <v>Dr. Ravi Kiran Varma Penmatsa</v>
      </c>
      <c r="K646" s="73" t="str">
        <f ca="1">IFERROR(__xludf.DUMMYFUNCTION("""COMPUTED_VALUE"""),"https://drive.google.com/open?id=1DtxFggTTAZr71CIcaovN-iBadE1uZmlF")</f>
        <v>https://drive.google.com/open?id=1DtxFggTTAZr71CIcaovN-iBadE1uZmlF</v>
      </c>
      <c r="L646" s="9" t="str">
        <f ca="1">IFERROR(__xludf.DUMMYFUNCTION("""COMPUTED_VALUE"""),"2018-2022")</f>
        <v>2018-2022</v>
      </c>
      <c r="M646" s="9" t="str">
        <f ca="1">IFERROR(__xludf.DUMMYFUNCTION("""COMPUTED_VALUE"""),"S4: Student Certifications")</f>
        <v>S4: Student Certifications</v>
      </c>
      <c r="N646" s="9" t="str">
        <f ca="1">IFERROR(__xludf.DUMMYFUNCTION("""COMPUTED_VALUE"""),"gorsaumamahesh@gmail.com")</f>
        <v>gorsaumamahesh@gmail.com</v>
      </c>
      <c r="O646" s="9" t="str">
        <f ca="1">IFERROR(__xludf.DUMMYFUNCTION("""COMPUTED_VALUE"""),"SEM-8")</f>
        <v>SEM-8</v>
      </c>
      <c r="P646" s="9"/>
      <c r="Q646" s="9"/>
      <c r="R646" s="9"/>
      <c r="S646" s="9"/>
      <c r="T646" s="9"/>
      <c r="U646" s="9"/>
      <c r="V646" s="9"/>
      <c r="W646" s="9"/>
      <c r="X646" s="9"/>
      <c r="Y646" s="9"/>
    </row>
    <row r="647" spans="1:25" ht="26.25" customHeight="1" x14ac:dyDescent="0.15">
      <c r="A647" s="9" t="str">
        <f ca="1">IFERROR(__xludf.DUMMYFUNCTION("""COMPUTED_VALUE"""),"Killadi.shyam")</f>
        <v>Killadi.shyam</v>
      </c>
      <c r="B647" s="9" t="str">
        <f ca="1">IFERROR(__xludf.DUMMYFUNCTION("""COMPUTED_VALUE"""),"20331A0583")</f>
        <v>20331A0583</v>
      </c>
      <c r="C647" s="78" t="str">
        <f ca="1">IFERROR(__xludf.DUMMYFUNCTION("""COMPUTED_VALUE"""),"IT essentials")</f>
        <v>IT essentials</v>
      </c>
      <c r="D647" s="9" t="str">
        <f ca="1">IFERROR(__xludf.DUMMYFUNCTION("""COMPUTED_VALUE"""),"Cisco")</f>
        <v>Cisco</v>
      </c>
      <c r="E647" s="9" t="str">
        <f ca="1">IFERROR(__xludf.DUMMYFUNCTION("""COMPUTED_VALUE"""),"3 months")</f>
        <v>3 months</v>
      </c>
      <c r="F647" s="79">
        <f ca="1">IFERROR(__xludf.DUMMYFUNCTION("""COMPUTED_VALUE"""),44265)</f>
        <v>44265</v>
      </c>
      <c r="G647" s="79">
        <f ca="1">IFERROR(__xludf.DUMMYFUNCTION("""COMPUTED_VALUE"""),44387)</f>
        <v>44387</v>
      </c>
      <c r="H647" s="72">
        <f ca="1">IFERROR(__xludf.DUMMYFUNCTION("""COMPUTED_VALUE"""),44387)</f>
        <v>44387</v>
      </c>
      <c r="I647" s="80">
        <f ca="1">IFERROR(__xludf.DUMMYFUNCTION("""COMPUTED_VALUE"""),90)</f>
        <v>90</v>
      </c>
      <c r="J647" s="9" t="str">
        <f ca="1">IFERROR(__xludf.DUMMYFUNCTION("""COMPUTED_VALUE"""),"Subba raju")</f>
        <v>Subba raju</v>
      </c>
      <c r="K647" s="73" t="str">
        <f ca="1">IFERROR(__xludf.DUMMYFUNCTION("""COMPUTED_VALUE"""),"https://drive.google.com/open?id=1og0LMMSqRPdxLyrHtf_XEsnDTBkDJ4pD")</f>
        <v>https://drive.google.com/open?id=1og0LMMSqRPdxLyrHtf_XEsnDTBkDJ4pD</v>
      </c>
      <c r="L647" s="9" t="str">
        <f ca="1">IFERROR(__xludf.DUMMYFUNCTION("""COMPUTED_VALUE"""),"2020-2024")</f>
        <v>2020-2024</v>
      </c>
      <c r="M647" s="9" t="str">
        <f ca="1">IFERROR(__xludf.DUMMYFUNCTION("""COMPUTED_VALUE"""),"S4: Student Certifications")</f>
        <v>S4: Student Certifications</v>
      </c>
      <c r="N647" s="9" t="str">
        <f ca="1">IFERROR(__xludf.DUMMYFUNCTION("""COMPUTED_VALUE"""),"shyamkiladi56@gmail.com")</f>
        <v>shyamkiladi56@gmail.com</v>
      </c>
      <c r="O647" s="9" t="str">
        <f ca="1">IFERROR(__xludf.DUMMYFUNCTION("""COMPUTED_VALUE"""),"SEM-1")</f>
        <v>SEM-1</v>
      </c>
      <c r="P647" s="9"/>
      <c r="Q647" s="9"/>
      <c r="R647" s="9"/>
      <c r="S647" s="9"/>
      <c r="T647" s="9"/>
      <c r="U647" s="9"/>
      <c r="V647" s="9"/>
      <c r="W647" s="9"/>
      <c r="X647" s="9"/>
      <c r="Y647" s="9"/>
    </row>
    <row r="648" spans="1:25" ht="26.25" customHeight="1" x14ac:dyDescent="0.15">
      <c r="A648" s="9" t="str">
        <f ca="1">IFERROR(__xludf.DUMMYFUNCTION("""COMPUTED_VALUE"""),"Mopada Pavithra")</f>
        <v>Mopada Pavithra</v>
      </c>
      <c r="B648" s="9" t="str">
        <f ca="1">IFERROR(__xludf.DUMMYFUNCTION("""COMPUTED_VALUE"""),"18331A0599")</f>
        <v>18331A0599</v>
      </c>
      <c r="C648" s="78" t="str">
        <f ca="1">IFERROR(__xludf.DUMMYFUNCTION("""COMPUTED_VALUE"""),"Cybersecurity")</f>
        <v>Cybersecurity</v>
      </c>
      <c r="D648" s="9" t="str">
        <f ca="1">IFERROR(__xludf.DUMMYFUNCTION("""COMPUTED_VALUE"""),"Cisco")</f>
        <v>Cisco</v>
      </c>
      <c r="E648" s="9" t="str">
        <f ca="1">IFERROR(__xludf.DUMMYFUNCTION("""COMPUTED_VALUE"""),"70 hrs")</f>
        <v>70 hrs</v>
      </c>
      <c r="F648" s="79">
        <f ca="1">IFERROR(__xludf.DUMMYFUNCTION("""COMPUTED_VALUE"""),43642)</f>
        <v>43642</v>
      </c>
      <c r="G648" s="79">
        <f ca="1">IFERROR(__xludf.DUMMYFUNCTION("""COMPUTED_VALUE"""),43672)</f>
        <v>43672</v>
      </c>
      <c r="H648" s="72">
        <f ca="1">IFERROR(__xludf.DUMMYFUNCTION("""COMPUTED_VALUE"""),43672)</f>
        <v>43672</v>
      </c>
      <c r="I648" s="80">
        <f ca="1">IFERROR(__xludf.DUMMYFUNCTION("""COMPUTED_VALUE"""),90)</f>
        <v>90</v>
      </c>
      <c r="J648" s="9" t="str">
        <f ca="1">IFERROR(__xludf.DUMMYFUNCTION("""COMPUTED_VALUE"""),"Dr.Ravi Kiran Varma penmatsa")</f>
        <v>Dr.Ravi Kiran Varma penmatsa</v>
      </c>
      <c r="K648" s="73" t="str">
        <f ca="1">IFERROR(__xludf.DUMMYFUNCTION("""COMPUTED_VALUE"""),"https://drive.google.com/open?id=1pXQ52xlKblkbSofigaUXkxIeYb6x4PYn")</f>
        <v>https://drive.google.com/open?id=1pXQ52xlKblkbSofigaUXkxIeYb6x4PYn</v>
      </c>
      <c r="L648" s="9" t="str">
        <f ca="1">IFERROR(__xludf.DUMMYFUNCTION("""COMPUTED_VALUE"""),"2018-2022")</f>
        <v>2018-2022</v>
      </c>
      <c r="M648" s="9" t="str">
        <f ca="1">IFERROR(__xludf.DUMMYFUNCTION("""COMPUTED_VALUE"""),"S4: Student Certifications")</f>
        <v>S4: Student Certifications</v>
      </c>
      <c r="N648" s="9" t="str">
        <f ca="1">IFERROR(__xludf.DUMMYFUNCTION("""COMPUTED_VALUE"""),"pavithramopada2001@gmail.com")</f>
        <v>pavithramopada2001@gmail.com</v>
      </c>
      <c r="O648" s="9" t="str">
        <f ca="1">IFERROR(__xludf.DUMMYFUNCTION("""COMPUTED_VALUE"""),"SEM-3")</f>
        <v>SEM-3</v>
      </c>
      <c r="P648" s="9"/>
      <c r="Q648" s="9"/>
      <c r="R648" s="9"/>
      <c r="S648" s="9"/>
      <c r="T648" s="9"/>
      <c r="U648" s="9"/>
      <c r="V648" s="9"/>
      <c r="W648" s="9"/>
      <c r="X648" s="9"/>
      <c r="Y648" s="9"/>
    </row>
    <row r="649" spans="1:25" ht="26.25" customHeight="1" x14ac:dyDescent="0.15">
      <c r="A649" s="9" t="str">
        <f ca="1">IFERROR(__xludf.DUMMYFUNCTION("""COMPUTED_VALUE"""),"Naguru Jyothsna Priya Chandrika ")</f>
        <v xml:space="preserve">Naguru Jyothsna Priya Chandrika </v>
      </c>
      <c r="B649" s="9" t="str">
        <f ca="1">IFERROR(__xludf.DUMMYFUNCTION("""COMPUTED_VALUE"""),"18331A05A5")</f>
        <v>18331A05A5</v>
      </c>
      <c r="C649" s="78" t="str">
        <f ca="1">IFERROR(__xludf.DUMMYFUNCTION("""COMPUTED_VALUE"""),"Cybersecurity ")</f>
        <v xml:space="preserve">Cybersecurity </v>
      </c>
      <c r="D649" s="9" t="str">
        <f ca="1">IFERROR(__xludf.DUMMYFUNCTION("""COMPUTED_VALUE"""),"Cisco")</f>
        <v>Cisco</v>
      </c>
      <c r="E649" s="9" t="str">
        <f ca="1">IFERROR(__xludf.DUMMYFUNCTION("""COMPUTED_VALUE"""),"10 hours")</f>
        <v>10 hours</v>
      </c>
      <c r="F649" s="79">
        <f ca="1">IFERROR(__xludf.DUMMYFUNCTION("""COMPUTED_VALUE"""),43656)</f>
        <v>43656</v>
      </c>
      <c r="G649" s="79">
        <f ca="1">IFERROR(__xludf.DUMMYFUNCTION("""COMPUTED_VALUE"""),43672)</f>
        <v>43672</v>
      </c>
      <c r="H649" s="72">
        <f ca="1">IFERROR(__xludf.DUMMYFUNCTION("""COMPUTED_VALUE"""),43672)</f>
        <v>43672</v>
      </c>
      <c r="I649" s="80">
        <f ca="1">IFERROR(__xludf.DUMMYFUNCTION("""COMPUTED_VALUE"""),0.78)</f>
        <v>0.78</v>
      </c>
      <c r="J649" s="9" t="str">
        <f ca="1">IFERROR(__xludf.DUMMYFUNCTION("""COMPUTED_VALUE"""),"Dr. Ravi Kiran Varma Penmatsa")</f>
        <v>Dr. Ravi Kiran Varma Penmatsa</v>
      </c>
      <c r="K649" s="73" t="str">
        <f ca="1">IFERROR(__xludf.DUMMYFUNCTION("""COMPUTED_VALUE"""),"https://drive.google.com/open?id=1G1RlYV30pCbXGPQFAePsPFOPnByNKUBj")</f>
        <v>https://drive.google.com/open?id=1G1RlYV30pCbXGPQFAePsPFOPnByNKUBj</v>
      </c>
      <c r="L649" s="9" t="str">
        <f ca="1">IFERROR(__xludf.DUMMYFUNCTION("""COMPUTED_VALUE"""),"2018-2022")</f>
        <v>2018-2022</v>
      </c>
      <c r="M649" s="9" t="str">
        <f ca="1">IFERROR(__xludf.DUMMYFUNCTION("""COMPUTED_VALUE"""),"S4: Student Certifications")</f>
        <v>S4: Student Certifications</v>
      </c>
      <c r="N649" s="9" t="str">
        <f ca="1">IFERROR(__xludf.DUMMYFUNCTION("""COMPUTED_VALUE"""),"jyothsnanaguru@gmail.com")</f>
        <v>jyothsnanaguru@gmail.com</v>
      </c>
      <c r="O649" s="9" t="str">
        <f ca="1">IFERROR(__xludf.DUMMYFUNCTION("""COMPUTED_VALUE"""),"SEM-2")</f>
        <v>SEM-2</v>
      </c>
      <c r="P649" s="9"/>
      <c r="Q649" s="9"/>
      <c r="R649" s="9"/>
      <c r="S649" s="9"/>
      <c r="T649" s="9"/>
      <c r="U649" s="9"/>
      <c r="V649" s="9"/>
      <c r="W649" s="9"/>
      <c r="X649" s="9"/>
      <c r="Y649" s="9"/>
    </row>
    <row r="650" spans="1:25" ht="26.25" customHeight="1" x14ac:dyDescent="0.15">
      <c r="A650" s="9" t="str">
        <f ca="1">IFERROR(__xludf.DUMMYFUNCTION("""COMPUTED_VALUE"""),"Jaswanth Kumar Nanubala")</f>
        <v>Jaswanth Kumar Nanubala</v>
      </c>
      <c r="B650" s="9" t="str">
        <f ca="1">IFERROR(__xludf.DUMMYFUNCTION("""COMPUTED_VALUE"""),"18331A05B0")</f>
        <v>18331A05B0</v>
      </c>
      <c r="C650" s="78" t="str">
        <f ca="1">IFERROR(__xludf.DUMMYFUNCTION("""COMPUTED_VALUE"""),"Nanubala Jaswanth Kumar ")</f>
        <v xml:space="preserve">Nanubala Jaswanth Kumar </v>
      </c>
      <c r="D650" s="9" t="str">
        <f ca="1">IFERROR(__xludf.DUMMYFUNCTION("""COMPUTED_VALUE"""),"CISCO")</f>
        <v>CISCO</v>
      </c>
      <c r="E650" s="9" t="str">
        <f ca="1">IFERROR(__xludf.DUMMYFUNCTION("""COMPUTED_VALUE"""),"70 hours")</f>
        <v>70 hours</v>
      </c>
      <c r="F650" s="79">
        <f ca="1">IFERROR(__xludf.DUMMYFUNCTION("""COMPUTED_VALUE"""),43641)</f>
        <v>43641</v>
      </c>
      <c r="G650" s="79">
        <f ca="1">IFERROR(__xludf.DUMMYFUNCTION("""COMPUTED_VALUE"""),43671)</f>
        <v>43671</v>
      </c>
      <c r="H650" s="72">
        <f ca="1">IFERROR(__xludf.DUMMYFUNCTION("""COMPUTED_VALUE"""),43672)</f>
        <v>43672</v>
      </c>
      <c r="I650" s="80">
        <f ca="1">IFERROR(__xludf.DUMMYFUNCTION("""COMPUTED_VALUE"""),0.85)</f>
        <v>0.85</v>
      </c>
      <c r="J650" s="9" t="str">
        <f ca="1">IFERROR(__xludf.DUMMYFUNCTION("""COMPUTED_VALUE"""),"DR. RAVI KUMAR KIRAN VARMA PEMMATSA")</f>
        <v>DR. RAVI KUMAR KIRAN VARMA PEMMATSA</v>
      </c>
      <c r="K650" s="73" t="str">
        <f ca="1">IFERROR(__xludf.DUMMYFUNCTION("""COMPUTED_VALUE"""),"https://drive.google.com/open?id=1iWb8zN9FhCMzxE4WZdSAZflQ-SsHEGZ3")</f>
        <v>https://drive.google.com/open?id=1iWb8zN9FhCMzxE4WZdSAZflQ-SsHEGZ3</v>
      </c>
      <c r="L650" s="9" t="str">
        <f ca="1">IFERROR(__xludf.DUMMYFUNCTION("""COMPUTED_VALUE"""),"2018-2022")</f>
        <v>2018-2022</v>
      </c>
      <c r="M650" s="9" t="str">
        <f ca="1">IFERROR(__xludf.DUMMYFUNCTION("""COMPUTED_VALUE"""),"S4: Student Certifications")</f>
        <v>S4: Student Certifications</v>
      </c>
      <c r="N650" s="9" t="str">
        <f ca="1">IFERROR(__xludf.DUMMYFUNCTION("""COMPUTED_VALUE"""),"jaswanthsaisubhkar@gmail.com")</f>
        <v>jaswanthsaisubhkar@gmail.com</v>
      </c>
      <c r="O650" s="9" t="str">
        <f ca="1">IFERROR(__xludf.DUMMYFUNCTION("""COMPUTED_VALUE"""),"SEM-3")</f>
        <v>SEM-3</v>
      </c>
      <c r="P650" s="9"/>
      <c r="Q650" s="9"/>
      <c r="R650" s="9"/>
      <c r="S650" s="9"/>
      <c r="T650" s="9"/>
      <c r="U650" s="9"/>
      <c r="V650" s="9"/>
      <c r="W650" s="9"/>
      <c r="X650" s="9"/>
      <c r="Y650" s="9"/>
    </row>
    <row r="651" spans="1:25" ht="26.25" customHeight="1" x14ac:dyDescent="0.15">
      <c r="A651" s="9" t="str">
        <f ca="1">IFERROR(__xludf.DUMMYFUNCTION("""COMPUTED_VALUE"""),"Pathivada Sai jahnavi")</f>
        <v>Pathivada Sai jahnavi</v>
      </c>
      <c r="B651" s="9" t="str">
        <f ca="1">IFERROR(__xludf.DUMMYFUNCTION("""COMPUTED_VALUE"""),"18331A05B5")</f>
        <v>18331A05B5</v>
      </c>
      <c r="C651" s="78" t="str">
        <f ca="1">IFERROR(__xludf.DUMMYFUNCTION("""COMPUTED_VALUE"""),"CLA: programming essentials in C")</f>
        <v>CLA: programming essentials in C</v>
      </c>
      <c r="D651" s="9" t="str">
        <f ca="1">IFERROR(__xludf.DUMMYFUNCTION("""COMPUTED_VALUE"""),"Cisco")</f>
        <v>Cisco</v>
      </c>
      <c r="E651" s="9" t="str">
        <f ca="1">IFERROR(__xludf.DUMMYFUNCTION("""COMPUTED_VALUE"""),"70 hours")</f>
        <v>70 hours</v>
      </c>
      <c r="F651" s="79">
        <f ca="1">IFERROR(__xludf.DUMMYFUNCTION("""COMPUTED_VALUE"""),43636)</f>
        <v>43636</v>
      </c>
      <c r="G651" s="79">
        <f ca="1">IFERROR(__xludf.DUMMYFUNCTION("""COMPUTED_VALUE"""),43676)</f>
        <v>43676</v>
      </c>
      <c r="H651" s="72">
        <f ca="1">IFERROR(__xludf.DUMMYFUNCTION("""COMPUTED_VALUE"""),43675)</f>
        <v>43675</v>
      </c>
      <c r="I651" s="80">
        <f ca="1">IFERROR(__xludf.DUMMYFUNCTION("""COMPUTED_VALUE"""),85)</f>
        <v>85</v>
      </c>
      <c r="J651" s="9" t="str">
        <f ca="1">IFERROR(__xludf.DUMMYFUNCTION("""COMPUTED_VALUE"""),"Subba Raju kV")</f>
        <v>Subba Raju kV</v>
      </c>
      <c r="K651" s="73" t="str">
        <f ca="1">IFERROR(__xludf.DUMMYFUNCTION("""COMPUTED_VALUE"""),"https://drive.google.com/open?id=1_837iaXdqKZSRBHMpo4hYm5uxdJYxCes")</f>
        <v>https://drive.google.com/open?id=1_837iaXdqKZSRBHMpo4hYm5uxdJYxCes</v>
      </c>
      <c r="L651" s="9" t="str">
        <f ca="1">IFERROR(__xludf.DUMMYFUNCTION("""COMPUTED_VALUE"""),"2018-2022")</f>
        <v>2018-2022</v>
      </c>
      <c r="M651" s="9" t="str">
        <f ca="1">IFERROR(__xludf.DUMMYFUNCTION("""COMPUTED_VALUE"""),"S4: Student Certifications")</f>
        <v>S4: Student Certifications</v>
      </c>
      <c r="N651" s="9" t="str">
        <f ca="1">IFERROR(__xludf.DUMMYFUNCTION("""COMPUTED_VALUE"""),"jahnavipathivada123@gmail.com")</f>
        <v>jahnavipathivada123@gmail.com</v>
      </c>
      <c r="O651" s="9" t="str">
        <f ca="1">IFERROR(__xludf.DUMMYFUNCTION("""COMPUTED_VALUE"""),"SEM-3")</f>
        <v>SEM-3</v>
      </c>
      <c r="P651" s="9"/>
      <c r="Q651" s="9"/>
      <c r="R651" s="9"/>
      <c r="S651" s="9"/>
      <c r="T651" s="9"/>
      <c r="U651" s="9"/>
      <c r="V651" s="9"/>
      <c r="W651" s="9"/>
      <c r="X651" s="9"/>
      <c r="Y651" s="9"/>
    </row>
    <row r="652" spans="1:25" ht="26.25" customHeight="1" x14ac:dyDescent="0.15">
      <c r="A652" s="9" t="str">
        <f ca="1">IFERROR(__xludf.DUMMYFUNCTION("""COMPUTED_VALUE"""),"Varsha Mamidipaka")</f>
        <v>Varsha Mamidipaka</v>
      </c>
      <c r="B652" s="9" t="str">
        <f ca="1">IFERROR(__xludf.DUMMYFUNCTION("""COMPUTED_VALUE"""),"18331A0592")</f>
        <v>18331A0592</v>
      </c>
      <c r="C652" s="78" t="str">
        <f ca="1">IFERROR(__xludf.DUMMYFUNCTION("""COMPUTED_VALUE"""),"CLA: Programming Essentials in C")</f>
        <v>CLA: Programming Essentials in C</v>
      </c>
      <c r="D652" s="9" t="str">
        <f ca="1">IFERROR(__xludf.DUMMYFUNCTION("""COMPUTED_VALUE"""),"Cisco")</f>
        <v>Cisco</v>
      </c>
      <c r="E652" s="9" t="str">
        <f ca="1">IFERROR(__xludf.DUMMYFUNCTION("""COMPUTED_VALUE"""),"70hours")</f>
        <v>70hours</v>
      </c>
      <c r="F652" s="79">
        <f ca="1">IFERROR(__xludf.DUMMYFUNCTION("""COMPUTED_VALUE"""),43636)</f>
        <v>43636</v>
      </c>
      <c r="G652" s="79">
        <f ca="1">IFERROR(__xludf.DUMMYFUNCTION("""COMPUTED_VALUE"""),43675)</f>
        <v>43675</v>
      </c>
      <c r="H652" s="72">
        <f ca="1">IFERROR(__xludf.DUMMYFUNCTION("""COMPUTED_VALUE"""),43675)</f>
        <v>43675</v>
      </c>
      <c r="I652" s="80">
        <f ca="1">IFERROR(__xludf.DUMMYFUNCTION("""COMPUTED_VALUE"""),75)</f>
        <v>75</v>
      </c>
      <c r="J652" s="9" t="str">
        <f ca="1">IFERROR(__xludf.DUMMYFUNCTION("""COMPUTED_VALUE"""),"Subba Raju K V")</f>
        <v>Subba Raju K V</v>
      </c>
      <c r="K652" s="73" t="str">
        <f ca="1">IFERROR(__xludf.DUMMYFUNCTION("""COMPUTED_VALUE"""),"https://drive.google.com/open?id=17S0nuZ621-AqdZ9vMxAoKdI3ofBUA95x")</f>
        <v>https://drive.google.com/open?id=17S0nuZ621-AqdZ9vMxAoKdI3ofBUA95x</v>
      </c>
      <c r="L652" s="9" t="str">
        <f ca="1">IFERROR(__xludf.DUMMYFUNCTION("""COMPUTED_VALUE"""),"2018-2022")</f>
        <v>2018-2022</v>
      </c>
      <c r="M652" s="9" t="str">
        <f ca="1">IFERROR(__xludf.DUMMYFUNCTION("""COMPUTED_VALUE"""),"S4: Student Certifications")</f>
        <v>S4: Student Certifications</v>
      </c>
      <c r="N652" s="9" t="str">
        <f ca="1">IFERROR(__xludf.DUMMYFUNCTION("""COMPUTED_VALUE"""),"bhuvanavarsha7701@gmail.com")</f>
        <v>bhuvanavarsha7701@gmail.com</v>
      </c>
      <c r="O652" s="9" t="str">
        <f ca="1">IFERROR(__xludf.DUMMYFUNCTION("""COMPUTED_VALUE"""),"SEM-3")</f>
        <v>SEM-3</v>
      </c>
      <c r="P652" s="9"/>
      <c r="Q652" s="9"/>
      <c r="R652" s="9"/>
      <c r="S652" s="9"/>
      <c r="T652" s="9"/>
      <c r="U652" s="9"/>
      <c r="V652" s="9"/>
      <c r="W652" s="9"/>
      <c r="X652" s="9"/>
      <c r="Y652" s="9"/>
    </row>
    <row r="653" spans="1:25" ht="26.25" customHeight="1" x14ac:dyDescent="0.15">
      <c r="A653" s="9" t="str">
        <f ca="1">IFERROR(__xludf.DUMMYFUNCTION("""COMPUTED_VALUE"""),"Nandella Pranavi Prathyusha")</f>
        <v>Nandella Pranavi Prathyusha</v>
      </c>
      <c r="B653" s="9" t="str">
        <f ca="1">IFERROR(__xludf.DUMMYFUNCTION("""COMPUTED_VALUE"""),"18331A05A8")</f>
        <v>18331A05A8</v>
      </c>
      <c r="C653" s="78" t="str">
        <f ca="1">IFERROR(__xludf.DUMMYFUNCTION("""COMPUTED_VALUE"""),"CLA: Programming Essentials in C")</f>
        <v>CLA: Programming Essentials in C</v>
      </c>
      <c r="D653" s="9" t="str">
        <f ca="1">IFERROR(__xludf.DUMMYFUNCTION("""COMPUTED_VALUE"""),"Cisco")</f>
        <v>Cisco</v>
      </c>
      <c r="E653" s="9" t="str">
        <f ca="1">IFERROR(__xludf.DUMMYFUNCTION("""COMPUTED_VALUE"""),"70 hours")</f>
        <v>70 hours</v>
      </c>
      <c r="F653" s="79">
        <f ca="1">IFERROR(__xludf.DUMMYFUNCTION("""COMPUTED_VALUE"""),43636)</f>
        <v>43636</v>
      </c>
      <c r="G653" s="79">
        <f ca="1">IFERROR(__xludf.DUMMYFUNCTION("""COMPUTED_VALUE"""),43675)</f>
        <v>43675</v>
      </c>
      <c r="H653" s="72">
        <f ca="1">IFERROR(__xludf.DUMMYFUNCTION("""COMPUTED_VALUE"""),43676)</f>
        <v>43676</v>
      </c>
      <c r="I653" s="80">
        <f ca="1">IFERROR(__xludf.DUMMYFUNCTION("""COMPUTED_VALUE"""),70)</f>
        <v>70</v>
      </c>
      <c r="J653" s="9" t="str">
        <f ca="1">IFERROR(__xludf.DUMMYFUNCTION("""COMPUTED_VALUE"""),"Subba Raju K V")</f>
        <v>Subba Raju K V</v>
      </c>
      <c r="K653" s="73" t="str">
        <f ca="1">IFERROR(__xludf.DUMMYFUNCTION("""COMPUTED_VALUE"""),"https://drive.google.com/open?id=1vJQH7fGPhFeeAZJ54BPjtBO_OabI-2vI")</f>
        <v>https://drive.google.com/open?id=1vJQH7fGPhFeeAZJ54BPjtBO_OabI-2vI</v>
      </c>
      <c r="L653" s="9" t="str">
        <f ca="1">IFERROR(__xludf.DUMMYFUNCTION("""COMPUTED_VALUE"""),"2018-2022")</f>
        <v>2018-2022</v>
      </c>
      <c r="M653" s="9" t="str">
        <f ca="1">IFERROR(__xludf.DUMMYFUNCTION("""COMPUTED_VALUE"""),"S4: Student Certifications")</f>
        <v>S4: Student Certifications</v>
      </c>
      <c r="N653" s="9" t="str">
        <f ca="1">IFERROR(__xludf.DUMMYFUNCTION("""COMPUTED_VALUE"""),"pranaviprathyusha1@gmail.com")</f>
        <v>pranaviprathyusha1@gmail.com</v>
      </c>
      <c r="O653" s="9" t="str">
        <f ca="1">IFERROR(__xludf.DUMMYFUNCTION("""COMPUTED_VALUE"""),"SEM-3")</f>
        <v>SEM-3</v>
      </c>
      <c r="P653" s="9"/>
      <c r="Q653" s="9"/>
      <c r="R653" s="9"/>
      <c r="S653" s="9"/>
      <c r="T653" s="9"/>
      <c r="U653" s="9"/>
      <c r="V653" s="9"/>
      <c r="W653" s="9"/>
      <c r="X653" s="9"/>
      <c r="Y653" s="9"/>
    </row>
    <row r="654" spans="1:25" ht="26.25" customHeight="1" x14ac:dyDescent="0.15">
      <c r="A654" s="9" t="str">
        <f ca="1">IFERROR(__xludf.DUMMYFUNCTION("""COMPUTED_VALUE"""),"Naguru Jyothsna Priya Chandrika")</f>
        <v>Naguru Jyothsna Priya Chandrika</v>
      </c>
      <c r="B654" s="9" t="str">
        <f ca="1">IFERROR(__xludf.DUMMYFUNCTION("""COMPUTED_VALUE"""),"18331A05A5")</f>
        <v>18331A05A5</v>
      </c>
      <c r="C654" s="78" t="str">
        <f ca="1">IFERROR(__xludf.DUMMYFUNCTION("""COMPUTED_VALUE"""),"SQL quiz")</f>
        <v>SQL quiz</v>
      </c>
      <c r="D654" s="9" t="str">
        <f ca="1">IFERROR(__xludf.DUMMYFUNCTION("""COMPUTED_VALUE"""),"Vignan's institute of engineering ")</f>
        <v xml:space="preserve">Vignan's institute of engineering </v>
      </c>
      <c r="E654" s="9" t="str">
        <f ca="1">IFERROR(__xludf.DUMMYFUNCTION("""COMPUTED_VALUE"""),"3 hours")</f>
        <v>3 hours</v>
      </c>
      <c r="F654" s="79">
        <f ca="1">IFERROR(__xludf.DUMMYFUNCTION("""COMPUTED_VALUE"""),43979)</f>
        <v>43979</v>
      </c>
      <c r="G654" s="79">
        <f ca="1">IFERROR(__xludf.DUMMYFUNCTION("""COMPUTED_VALUE"""),43979)</f>
        <v>43979</v>
      </c>
      <c r="H654" s="72">
        <f ca="1">IFERROR(__xludf.DUMMYFUNCTION("""COMPUTED_VALUE"""),43979)</f>
        <v>43979</v>
      </c>
      <c r="I654" s="80">
        <f ca="1">IFERROR(__xludf.DUMMYFUNCTION("""COMPUTED_VALUE"""),0.84)</f>
        <v>0.84</v>
      </c>
      <c r="J654" s="9" t="str">
        <f ca="1">IFERROR(__xludf.DUMMYFUNCTION("""COMPUTED_VALUE"""),"Aruna kumari")</f>
        <v>Aruna kumari</v>
      </c>
      <c r="K654" s="73" t="str">
        <f ca="1">IFERROR(__xludf.DUMMYFUNCTION("""COMPUTED_VALUE"""),"https://drive.google.com/open?id=1-90Ka40C2sh_JsPUKuWSPnoEThIkJSYD")</f>
        <v>https://drive.google.com/open?id=1-90Ka40C2sh_JsPUKuWSPnoEThIkJSYD</v>
      </c>
      <c r="L654" s="9" t="str">
        <f ca="1">IFERROR(__xludf.DUMMYFUNCTION("""COMPUTED_VALUE"""),"2018-2022")</f>
        <v>2018-2022</v>
      </c>
      <c r="M654" s="9" t="str">
        <f ca="1">IFERROR(__xludf.DUMMYFUNCTION("""COMPUTED_VALUE"""),"S4: Student Certifications")</f>
        <v>S4: Student Certifications</v>
      </c>
      <c r="N654" s="9" t="str">
        <f ca="1">IFERROR(__xludf.DUMMYFUNCTION("""COMPUTED_VALUE"""),"jyothsnanaguru@gmail.com")</f>
        <v>jyothsnanaguru@gmail.com</v>
      </c>
      <c r="O654" s="9" t="str">
        <f ca="1">IFERROR(__xludf.DUMMYFUNCTION("""COMPUTED_VALUE"""),"SEM-4")</f>
        <v>SEM-4</v>
      </c>
      <c r="P654" s="9"/>
      <c r="Q654" s="9"/>
      <c r="R654" s="9"/>
      <c r="S654" s="9"/>
      <c r="T654" s="9"/>
      <c r="U654" s="9"/>
      <c r="V654" s="9"/>
      <c r="W654" s="9"/>
      <c r="X654" s="9"/>
      <c r="Y654" s="9"/>
    </row>
    <row r="655" spans="1:25" ht="26.25" customHeight="1" x14ac:dyDescent="0.15">
      <c r="A655" s="9" t="str">
        <f ca="1">IFERROR(__xludf.DUMMYFUNCTION("""COMPUTED_VALUE"""),"Pathivada Sai Jahnavi")</f>
        <v>Pathivada Sai Jahnavi</v>
      </c>
      <c r="B655" s="9" t="str">
        <f ca="1">IFERROR(__xludf.DUMMYFUNCTION("""COMPUTED_VALUE"""),"18331A05B5")</f>
        <v>18331A05B5</v>
      </c>
      <c r="C655" s="78" t="str">
        <f ca="1">IFERROR(__xludf.DUMMYFUNCTION("""COMPUTED_VALUE"""),"Cybersecurity Essentials")</f>
        <v>Cybersecurity Essentials</v>
      </c>
      <c r="D655" s="9" t="str">
        <f ca="1">IFERROR(__xludf.DUMMYFUNCTION("""COMPUTED_VALUE"""),"Cisco")</f>
        <v>Cisco</v>
      </c>
      <c r="E655" s="9" t="str">
        <f ca="1">IFERROR(__xludf.DUMMYFUNCTION("""COMPUTED_VALUE"""),"30 hours")</f>
        <v>30 hours</v>
      </c>
      <c r="F655" s="79">
        <f ca="1">IFERROR(__xludf.DUMMYFUNCTION("""COMPUTED_VALUE"""),43647)</f>
        <v>43647</v>
      </c>
      <c r="G655" s="79">
        <f ca="1">IFERROR(__xludf.DUMMYFUNCTION("""COMPUTED_VALUE"""),43672)</f>
        <v>43672</v>
      </c>
      <c r="H655" s="72">
        <f ca="1">IFERROR(__xludf.DUMMYFUNCTION("""COMPUTED_VALUE"""),43672)</f>
        <v>43672</v>
      </c>
      <c r="I655" s="80">
        <f ca="1">IFERROR(__xludf.DUMMYFUNCTION("""COMPUTED_VALUE"""),85)</f>
        <v>85</v>
      </c>
      <c r="J655" s="9" t="str">
        <f ca="1">IFERROR(__xludf.DUMMYFUNCTION("""COMPUTED_VALUE"""),"DR. Ravi Kiran Varma Penmatsa")</f>
        <v>DR. Ravi Kiran Varma Penmatsa</v>
      </c>
      <c r="K655" s="73" t="str">
        <f ca="1">IFERROR(__xludf.DUMMYFUNCTION("""COMPUTED_VALUE"""),"https://drive.google.com/open?id=1wIkb9l78C23oE0wK1jzdByx3n-fv8k0S")</f>
        <v>https://drive.google.com/open?id=1wIkb9l78C23oE0wK1jzdByx3n-fv8k0S</v>
      </c>
      <c r="L655" s="9" t="str">
        <f ca="1">IFERROR(__xludf.DUMMYFUNCTION("""COMPUTED_VALUE"""),"2018-2022")</f>
        <v>2018-2022</v>
      </c>
      <c r="M655" s="9" t="str">
        <f ca="1">IFERROR(__xludf.DUMMYFUNCTION("""COMPUTED_VALUE"""),"S4: Student Certifications")</f>
        <v>S4: Student Certifications</v>
      </c>
      <c r="N655" s="9" t="str">
        <f ca="1">IFERROR(__xludf.DUMMYFUNCTION("""COMPUTED_VALUE"""),"jahnavipathivada123@gmail.com")</f>
        <v>jahnavipathivada123@gmail.com</v>
      </c>
      <c r="O655" s="9" t="str">
        <f ca="1">IFERROR(__xludf.DUMMYFUNCTION("""COMPUTED_VALUE"""),"SEM-3")</f>
        <v>SEM-3</v>
      </c>
      <c r="P655" s="9"/>
      <c r="Q655" s="9"/>
      <c r="R655" s="9"/>
      <c r="S655" s="9"/>
      <c r="T655" s="9"/>
      <c r="U655" s="9"/>
      <c r="V655" s="9"/>
      <c r="W655" s="9"/>
      <c r="X655" s="9"/>
      <c r="Y655" s="9"/>
    </row>
    <row r="656" spans="1:25" ht="26.25" customHeight="1" x14ac:dyDescent="0.15">
      <c r="A656" s="9" t="str">
        <f ca="1">IFERROR(__xludf.DUMMYFUNCTION("""COMPUTED_VALUE"""),"Varsha Mamidipaka")</f>
        <v>Varsha Mamidipaka</v>
      </c>
      <c r="B656" s="9" t="str">
        <f ca="1">IFERROR(__xludf.DUMMYFUNCTION("""COMPUTED_VALUE"""),"18331A0592")</f>
        <v>18331A0592</v>
      </c>
      <c r="C656" s="78" t="str">
        <f ca="1">IFERROR(__xludf.DUMMYFUNCTION("""COMPUTED_VALUE"""),"Cybersecurity Essentials")</f>
        <v>Cybersecurity Essentials</v>
      </c>
      <c r="D656" s="9" t="str">
        <f ca="1">IFERROR(__xludf.DUMMYFUNCTION("""COMPUTED_VALUE"""),"Cisco")</f>
        <v>Cisco</v>
      </c>
      <c r="E656" s="9" t="str">
        <f ca="1">IFERROR(__xludf.DUMMYFUNCTION("""COMPUTED_VALUE"""),"30 hours")</f>
        <v>30 hours</v>
      </c>
      <c r="F656" s="79">
        <f ca="1">IFERROR(__xludf.DUMMYFUNCTION("""COMPUTED_VALUE"""),43647)</f>
        <v>43647</v>
      </c>
      <c r="G656" s="79">
        <f ca="1">IFERROR(__xludf.DUMMYFUNCTION("""COMPUTED_VALUE"""),43672)</f>
        <v>43672</v>
      </c>
      <c r="H656" s="72">
        <f ca="1">IFERROR(__xludf.DUMMYFUNCTION("""COMPUTED_VALUE"""),43672)</f>
        <v>43672</v>
      </c>
      <c r="I656" s="80">
        <f ca="1">IFERROR(__xludf.DUMMYFUNCTION("""COMPUTED_VALUE"""),85)</f>
        <v>85</v>
      </c>
      <c r="J656" s="9" t="str">
        <f ca="1">IFERROR(__xludf.DUMMYFUNCTION("""COMPUTED_VALUE"""),"DR. Ravi Kiran Varma Penmatsa")</f>
        <v>DR. Ravi Kiran Varma Penmatsa</v>
      </c>
      <c r="K656" s="73" t="str">
        <f ca="1">IFERROR(__xludf.DUMMYFUNCTION("""COMPUTED_VALUE"""),"https://drive.google.com/open?id=14AuT_Gvb74eDAlwEuQ8_yb8X9RlK6cAF")</f>
        <v>https://drive.google.com/open?id=14AuT_Gvb74eDAlwEuQ8_yb8X9RlK6cAF</v>
      </c>
      <c r="L656" s="9" t="str">
        <f ca="1">IFERROR(__xludf.DUMMYFUNCTION("""COMPUTED_VALUE"""),"2018-2022")</f>
        <v>2018-2022</v>
      </c>
      <c r="M656" s="9" t="str">
        <f ca="1">IFERROR(__xludf.DUMMYFUNCTION("""COMPUTED_VALUE"""),"S4: Student Certifications")</f>
        <v>S4: Student Certifications</v>
      </c>
      <c r="N656" s="9" t="str">
        <f ca="1">IFERROR(__xludf.DUMMYFUNCTION("""COMPUTED_VALUE"""),"bhuvanavarsha7701@gmail.com")</f>
        <v>bhuvanavarsha7701@gmail.com</v>
      </c>
      <c r="O656" s="9" t="str">
        <f ca="1">IFERROR(__xludf.DUMMYFUNCTION("""COMPUTED_VALUE"""),"SEM-3")</f>
        <v>SEM-3</v>
      </c>
      <c r="P656" s="9"/>
      <c r="Q656" s="9"/>
      <c r="R656" s="9"/>
      <c r="S656" s="9"/>
      <c r="T656" s="9"/>
      <c r="U656" s="9"/>
      <c r="V656" s="9"/>
      <c r="W656" s="9"/>
      <c r="X656" s="9"/>
      <c r="Y656" s="9"/>
    </row>
    <row r="657" spans="1:25" ht="26.25" customHeight="1" x14ac:dyDescent="0.15">
      <c r="A657" s="9" t="str">
        <f ca="1">IFERROR(__xludf.DUMMYFUNCTION("""COMPUTED_VALUE"""),"Nandella pranavi prathyusha")</f>
        <v>Nandella pranavi prathyusha</v>
      </c>
      <c r="B657" s="9" t="str">
        <f ca="1">IFERROR(__xludf.DUMMYFUNCTION("""COMPUTED_VALUE"""),"18331A05A8")</f>
        <v>18331A05A8</v>
      </c>
      <c r="C657" s="78" t="str">
        <f ca="1">IFERROR(__xludf.DUMMYFUNCTION("""COMPUTED_VALUE"""),"Cybersecurity essentials")</f>
        <v>Cybersecurity essentials</v>
      </c>
      <c r="D657" s="9" t="str">
        <f ca="1">IFERROR(__xludf.DUMMYFUNCTION("""COMPUTED_VALUE"""),"Cisco")</f>
        <v>Cisco</v>
      </c>
      <c r="E657" s="9" t="str">
        <f ca="1">IFERROR(__xludf.DUMMYFUNCTION("""COMPUTED_VALUE"""),"30 hours")</f>
        <v>30 hours</v>
      </c>
      <c r="F657" s="79">
        <f ca="1">IFERROR(__xludf.DUMMYFUNCTION("""COMPUTED_VALUE"""),43647)</f>
        <v>43647</v>
      </c>
      <c r="G657" s="79">
        <f ca="1">IFERROR(__xludf.DUMMYFUNCTION("""COMPUTED_VALUE"""),43671)</f>
        <v>43671</v>
      </c>
      <c r="H657" s="72">
        <f ca="1">IFERROR(__xludf.DUMMYFUNCTION("""COMPUTED_VALUE"""),43672)</f>
        <v>43672</v>
      </c>
      <c r="I657" s="80">
        <f ca="1">IFERROR(__xludf.DUMMYFUNCTION("""COMPUTED_VALUE"""),70)</f>
        <v>70</v>
      </c>
      <c r="J657" s="9" t="str">
        <f ca="1">IFERROR(__xludf.DUMMYFUNCTION("""COMPUTED_VALUE"""),"Subba Raju K V")</f>
        <v>Subba Raju K V</v>
      </c>
      <c r="K657" s="73" t="str">
        <f ca="1">IFERROR(__xludf.DUMMYFUNCTION("""COMPUTED_VALUE"""),"https://drive.google.com/open?id=1F73gH2TnGuGRWSf3wNPieF-hlO86hBUO")</f>
        <v>https://drive.google.com/open?id=1F73gH2TnGuGRWSf3wNPieF-hlO86hBUO</v>
      </c>
      <c r="L657" s="9" t="str">
        <f ca="1">IFERROR(__xludf.DUMMYFUNCTION("""COMPUTED_VALUE"""),"2018-2022")</f>
        <v>2018-2022</v>
      </c>
      <c r="M657" s="9" t="str">
        <f ca="1">IFERROR(__xludf.DUMMYFUNCTION("""COMPUTED_VALUE"""),"S4: Student Certifications")</f>
        <v>S4: Student Certifications</v>
      </c>
      <c r="N657" s="9" t="str">
        <f ca="1">IFERROR(__xludf.DUMMYFUNCTION("""COMPUTED_VALUE"""),"pranaviprathyusha1@gmail.com")</f>
        <v>pranaviprathyusha1@gmail.com</v>
      </c>
      <c r="O657" s="9" t="str">
        <f ca="1">IFERROR(__xludf.DUMMYFUNCTION("""COMPUTED_VALUE"""),"SEM-3")</f>
        <v>SEM-3</v>
      </c>
      <c r="P657" s="9"/>
      <c r="Q657" s="9"/>
      <c r="R657" s="9"/>
      <c r="S657" s="9"/>
      <c r="T657" s="9"/>
      <c r="U657" s="9"/>
      <c r="V657" s="9"/>
      <c r="W657" s="9"/>
      <c r="X657" s="9"/>
      <c r="Y657" s="9"/>
    </row>
    <row r="658" spans="1:25" ht="26.25" customHeight="1" x14ac:dyDescent="0.15">
      <c r="A658" s="9" t="str">
        <f ca="1">IFERROR(__xludf.DUMMYFUNCTION("""COMPUTED_VALUE"""),"Pathivada Sai Jahnavi")</f>
        <v>Pathivada Sai Jahnavi</v>
      </c>
      <c r="B658" s="9" t="str">
        <f ca="1">IFERROR(__xludf.DUMMYFUNCTION("""COMPUTED_VALUE"""),"18331A05B5")</f>
        <v>18331A05B5</v>
      </c>
      <c r="C658" s="78" t="str">
        <f ca="1">IFERROR(__xludf.DUMMYFUNCTION("""COMPUTED_VALUE"""),"SQL Quiz ")</f>
        <v xml:space="preserve">SQL Quiz </v>
      </c>
      <c r="D658" s="9" t="str">
        <f ca="1">IFERROR(__xludf.DUMMYFUNCTION("""COMPUTED_VALUE"""),"VIGNAN'S INSTITUTE OF ENGINEERING FOR WOMEN")</f>
        <v>VIGNAN'S INSTITUTE OF ENGINEERING FOR WOMEN</v>
      </c>
      <c r="E658" s="9" t="str">
        <f ca="1">IFERROR(__xludf.DUMMYFUNCTION("""COMPUTED_VALUE"""),"1 HOUR")</f>
        <v>1 HOUR</v>
      </c>
      <c r="F658" s="79">
        <f ca="1">IFERROR(__xludf.DUMMYFUNCTION("""COMPUTED_VALUE"""),43979)</f>
        <v>43979</v>
      </c>
      <c r="G658" s="79">
        <f ca="1">IFERROR(__xludf.DUMMYFUNCTION("""COMPUTED_VALUE"""),43979)</f>
        <v>43979</v>
      </c>
      <c r="H658" s="72">
        <f ca="1">IFERROR(__xludf.DUMMYFUNCTION("""COMPUTED_VALUE"""),43979)</f>
        <v>43979</v>
      </c>
      <c r="I658" s="80">
        <f ca="1">IFERROR(__xludf.DUMMYFUNCTION("""COMPUTED_VALUE"""),0.8)</f>
        <v>0.8</v>
      </c>
      <c r="J658" s="9" t="str">
        <f ca="1">IFERROR(__xludf.DUMMYFUNCTION("""COMPUTED_VALUE"""),"Aruna Kumari")</f>
        <v>Aruna Kumari</v>
      </c>
      <c r="K658" s="73" t="str">
        <f ca="1">IFERROR(__xludf.DUMMYFUNCTION("""COMPUTED_VALUE"""),"https://drive.google.com/open?id=1wGDKh6_IAgs70gC199Ruzn6O_l4R_sjR")</f>
        <v>https://drive.google.com/open?id=1wGDKh6_IAgs70gC199Ruzn6O_l4R_sjR</v>
      </c>
      <c r="L658" s="9" t="str">
        <f ca="1">IFERROR(__xludf.DUMMYFUNCTION("""COMPUTED_VALUE"""),"2018-2022")</f>
        <v>2018-2022</v>
      </c>
      <c r="M658" s="9" t="str">
        <f ca="1">IFERROR(__xludf.DUMMYFUNCTION("""COMPUTED_VALUE"""),"S4: Student Certifications")</f>
        <v>S4: Student Certifications</v>
      </c>
      <c r="N658" s="9" t="str">
        <f ca="1">IFERROR(__xludf.DUMMYFUNCTION("""COMPUTED_VALUE"""),"jahnavipathivada123@gmail.com")</f>
        <v>jahnavipathivada123@gmail.com</v>
      </c>
      <c r="O658" s="9" t="str">
        <f ca="1">IFERROR(__xludf.DUMMYFUNCTION("""COMPUTED_VALUE"""),"SEM-4")</f>
        <v>SEM-4</v>
      </c>
      <c r="P658" s="9"/>
      <c r="Q658" s="9"/>
      <c r="R658" s="9"/>
      <c r="S658" s="9"/>
      <c r="T658" s="9"/>
      <c r="U658" s="9"/>
      <c r="V658" s="9"/>
      <c r="W658" s="9"/>
      <c r="X658" s="9"/>
      <c r="Y658" s="9"/>
    </row>
    <row r="659" spans="1:25" ht="26.25" customHeight="1" x14ac:dyDescent="0.15">
      <c r="A659" s="9" t="str">
        <f ca="1">IFERROR(__xludf.DUMMYFUNCTION("""COMPUTED_VALUE"""),"Veera pavan kumar Narla")</f>
        <v>Veera pavan kumar Narla</v>
      </c>
      <c r="B659" s="9" t="str">
        <f ca="1">IFERROR(__xludf.DUMMYFUNCTION("""COMPUTED_VALUE"""),"18331A05B1")</f>
        <v>18331A05B1</v>
      </c>
      <c r="C659" s="78" t="str">
        <f ca="1">IFERROR(__xludf.DUMMYFUNCTION("""COMPUTED_VALUE"""),"cybersecurity")</f>
        <v>cybersecurity</v>
      </c>
      <c r="D659" s="9" t="str">
        <f ca="1">IFERROR(__xludf.DUMMYFUNCTION("""COMPUTED_VALUE"""),"cisco")</f>
        <v>cisco</v>
      </c>
      <c r="E659" s="9" t="str">
        <f ca="1">IFERROR(__xludf.DUMMYFUNCTION("""COMPUTED_VALUE"""),"30 hours")</f>
        <v>30 hours</v>
      </c>
      <c r="F659" s="79">
        <f ca="1">IFERROR(__xludf.DUMMYFUNCTION("""COMPUTED_VALUE"""),43647)</f>
        <v>43647</v>
      </c>
      <c r="G659" s="79">
        <f ca="1">IFERROR(__xludf.DUMMYFUNCTION("""COMPUTED_VALUE"""),43672)</f>
        <v>43672</v>
      </c>
      <c r="H659" s="72">
        <f ca="1">IFERROR(__xludf.DUMMYFUNCTION("""COMPUTED_VALUE"""),43675)</f>
        <v>43675</v>
      </c>
      <c r="I659" s="80">
        <f ca="1">IFERROR(__xludf.DUMMYFUNCTION("""COMPUTED_VALUE"""),70)</f>
        <v>70</v>
      </c>
      <c r="J659" s="9" t="str">
        <f ca="1">IFERROR(__xludf.DUMMYFUNCTION("""COMPUTED_VALUE"""),"dr.ravi kiran varma penumatsa")</f>
        <v>dr.ravi kiran varma penumatsa</v>
      </c>
      <c r="K659" s="73" t="str">
        <f ca="1">IFERROR(__xludf.DUMMYFUNCTION("""COMPUTED_VALUE"""),"https://drive.google.com/open?id=1xHihBp9ffEgJqHIj-0yVXJ4us0-ljW7f")</f>
        <v>https://drive.google.com/open?id=1xHihBp9ffEgJqHIj-0yVXJ4us0-ljW7f</v>
      </c>
      <c r="L659" s="9" t="str">
        <f ca="1">IFERROR(__xludf.DUMMYFUNCTION("""COMPUTED_VALUE"""),"2018-2022")</f>
        <v>2018-2022</v>
      </c>
      <c r="M659" s="9" t="str">
        <f ca="1">IFERROR(__xludf.DUMMYFUNCTION("""COMPUTED_VALUE"""),"S4: Student Certifications")</f>
        <v>S4: Student Certifications</v>
      </c>
      <c r="N659" s="9" t="str">
        <f ca="1">IFERROR(__xludf.DUMMYFUNCTION("""COMPUTED_VALUE"""),"narlaveerapavankumar@gmail.com")</f>
        <v>narlaveerapavankumar@gmail.com</v>
      </c>
      <c r="O659" s="9" t="str">
        <f ca="1">IFERROR(__xludf.DUMMYFUNCTION("""COMPUTED_VALUE"""),"SEM-8")</f>
        <v>SEM-8</v>
      </c>
      <c r="P659" s="9"/>
      <c r="Q659" s="9"/>
      <c r="R659" s="9"/>
      <c r="S659" s="9"/>
      <c r="T659" s="9"/>
      <c r="U659" s="9"/>
      <c r="V659" s="9"/>
      <c r="W659" s="9"/>
      <c r="X659" s="9"/>
      <c r="Y659" s="9"/>
    </row>
    <row r="660" spans="1:25" ht="26.25" customHeight="1" x14ac:dyDescent="0.15">
      <c r="A660" s="9" t="str">
        <f ca="1">IFERROR(__xludf.DUMMYFUNCTION("""COMPUTED_VALUE"""),"Mopada Pavithra")</f>
        <v>Mopada Pavithra</v>
      </c>
      <c r="B660" s="9" t="str">
        <f ca="1">IFERROR(__xludf.DUMMYFUNCTION("""COMPUTED_VALUE"""),"18331A0599")</f>
        <v>18331A0599</v>
      </c>
      <c r="C660" s="78" t="str">
        <f ca="1">IFERROR(__xludf.DUMMYFUNCTION("""COMPUTED_VALUE"""),"SQL")</f>
        <v>SQL</v>
      </c>
      <c r="D660" s="9" t="str">
        <f ca="1">IFERROR(__xludf.DUMMYFUNCTION("""COMPUTED_VALUE"""),"Vignan's institute of engineering for women")</f>
        <v>Vignan's institute of engineering for women</v>
      </c>
      <c r="E660" s="9" t="str">
        <f ca="1">IFERROR(__xludf.DUMMYFUNCTION("""COMPUTED_VALUE"""),"1 hr")</f>
        <v>1 hr</v>
      </c>
      <c r="F660" s="79">
        <f ca="1">IFERROR(__xludf.DUMMYFUNCTION("""COMPUTED_VALUE"""),43979)</f>
        <v>43979</v>
      </c>
      <c r="G660" s="79">
        <f ca="1">IFERROR(__xludf.DUMMYFUNCTION("""COMPUTED_VALUE"""),43979)</f>
        <v>43979</v>
      </c>
      <c r="H660" s="72">
        <f ca="1">IFERROR(__xludf.DUMMYFUNCTION("""COMPUTED_VALUE"""),43979)</f>
        <v>43979</v>
      </c>
      <c r="I660" s="80">
        <f ca="1">IFERROR(__xludf.DUMMYFUNCTION("""COMPUTED_VALUE"""),0.84)</f>
        <v>0.84</v>
      </c>
      <c r="J660" s="9" t="str">
        <f ca="1">IFERROR(__xludf.DUMMYFUNCTION("""COMPUTED_VALUE"""),"B.Aruna kumari")</f>
        <v>B.Aruna kumari</v>
      </c>
      <c r="K660" s="73" t="str">
        <f ca="1">IFERROR(__xludf.DUMMYFUNCTION("""COMPUTED_VALUE"""),"https://drive.google.com/open?id=1bQZN1sdfANiS5a7TIxmGbUcEMHCKl7ad")</f>
        <v>https://drive.google.com/open?id=1bQZN1sdfANiS5a7TIxmGbUcEMHCKl7ad</v>
      </c>
      <c r="L660" s="9" t="str">
        <f ca="1">IFERROR(__xludf.DUMMYFUNCTION("""COMPUTED_VALUE"""),"2018-2022")</f>
        <v>2018-2022</v>
      </c>
      <c r="M660" s="9" t="str">
        <f ca="1">IFERROR(__xludf.DUMMYFUNCTION("""COMPUTED_VALUE"""),"S4: Student Certifications")</f>
        <v>S4: Student Certifications</v>
      </c>
      <c r="N660" s="9" t="str">
        <f ca="1">IFERROR(__xludf.DUMMYFUNCTION("""COMPUTED_VALUE"""),"pavithramopada2001@gmail.com")</f>
        <v>pavithramopada2001@gmail.com</v>
      </c>
      <c r="O660" s="9" t="str">
        <f ca="1">IFERROR(__xludf.DUMMYFUNCTION("""COMPUTED_VALUE"""),"SEM-4")</f>
        <v>SEM-4</v>
      </c>
      <c r="P660" s="9"/>
      <c r="Q660" s="9"/>
      <c r="R660" s="9"/>
      <c r="S660" s="9"/>
      <c r="T660" s="9"/>
      <c r="U660" s="9"/>
      <c r="V660" s="9"/>
      <c r="W660" s="9"/>
      <c r="X660" s="9"/>
      <c r="Y660" s="9"/>
    </row>
    <row r="661" spans="1:25" ht="26.25" customHeight="1" x14ac:dyDescent="0.15">
      <c r="A661" s="9" t="str">
        <f ca="1">IFERROR(__xludf.DUMMYFUNCTION("""COMPUTED_VALUE"""),"NANUBALA JASWANTH KUMAR ")</f>
        <v xml:space="preserve">NANUBALA JASWANTH KUMAR </v>
      </c>
      <c r="B661" s="9" t="str">
        <f ca="1">IFERROR(__xludf.DUMMYFUNCTION("""COMPUTED_VALUE"""),"18331A05B0")</f>
        <v>18331A05B0</v>
      </c>
      <c r="C661" s="78" t="str">
        <f ca="1">IFERROR(__xludf.DUMMYFUNCTION("""COMPUTED_VALUE"""),"Nanubala Jaswanth Kumar ")</f>
        <v xml:space="preserve">Nanubala Jaswanth Kumar </v>
      </c>
      <c r="D661" s="9" t="str">
        <f ca="1">IFERROR(__xludf.DUMMYFUNCTION("""COMPUTED_VALUE"""),"VIGNAN'S INSTITUTE OF ENGINEERING ")</f>
        <v xml:space="preserve">VIGNAN'S INSTITUTE OF ENGINEERING </v>
      </c>
      <c r="E661" s="9" t="str">
        <f ca="1">IFERROR(__xludf.DUMMYFUNCTION("""COMPUTED_VALUE"""),"10 hours ")</f>
        <v xml:space="preserve">10 hours </v>
      </c>
      <c r="F661" s="79">
        <f ca="1">IFERROR(__xludf.DUMMYFUNCTION("""COMPUTED_VALUE"""),43979)</f>
        <v>43979</v>
      </c>
      <c r="G661" s="79">
        <f ca="1">IFERROR(__xludf.DUMMYFUNCTION("""COMPUTED_VALUE"""),43979)</f>
        <v>43979</v>
      </c>
      <c r="H661" s="72">
        <f ca="1">IFERROR(__xludf.DUMMYFUNCTION("""COMPUTED_VALUE"""),43979)</f>
        <v>43979</v>
      </c>
      <c r="I661" s="80">
        <f ca="1">IFERROR(__xludf.DUMMYFUNCTION("""COMPUTED_VALUE"""),0.96)</f>
        <v>0.96</v>
      </c>
      <c r="J661" s="9" t="str">
        <f ca="1">IFERROR(__xludf.DUMMYFUNCTION("""COMPUTED_VALUE"""),"B. ARUNA KUMARI ")</f>
        <v xml:space="preserve">B. ARUNA KUMARI </v>
      </c>
      <c r="K661" s="73" t="str">
        <f ca="1">IFERROR(__xludf.DUMMYFUNCTION("""COMPUTED_VALUE"""),"https://drive.google.com/open?id=1benE_3z7zTx6AB3LHanz1gZmijC1bplb")</f>
        <v>https://drive.google.com/open?id=1benE_3z7zTx6AB3LHanz1gZmijC1bplb</v>
      </c>
      <c r="L661" s="9" t="str">
        <f ca="1">IFERROR(__xludf.DUMMYFUNCTION("""COMPUTED_VALUE"""),"2018-2022")</f>
        <v>2018-2022</v>
      </c>
      <c r="M661" s="9" t="str">
        <f ca="1">IFERROR(__xludf.DUMMYFUNCTION("""COMPUTED_VALUE"""),"S4: Student Certifications")</f>
        <v>S4: Student Certifications</v>
      </c>
      <c r="N661" s="9" t="str">
        <f ca="1">IFERROR(__xludf.DUMMYFUNCTION("""COMPUTED_VALUE"""),"jaswanthsaisubhkar@gmail.com")</f>
        <v>jaswanthsaisubhkar@gmail.com</v>
      </c>
      <c r="O661" s="9" t="str">
        <f ca="1">IFERROR(__xludf.DUMMYFUNCTION("""COMPUTED_VALUE"""),"SEM-4")</f>
        <v>SEM-4</v>
      </c>
      <c r="P661" s="9"/>
      <c r="Q661" s="9"/>
      <c r="R661" s="9"/>
      <c r="S661" s="9"/>
      <c r="T661" s="9"/>
      <c r="U661" s="9"/>
      <c r="V661" s="9"/>
      <c r="W661" s="9"/>
      <c r="X661" s="9"/>
      <c r="Y661" s="9"/>
    </row>
    <row r="662" spans="1:25" ht="26.25" customHeight="1" x14ac:dyDescent="0.15">
      <c r="A662" s="9" t="str">
        <f ca="1">IFERROR(__xludf.DUMMYFUNCTION("""COMPUTED_VALUE"""),"Varsha Mamidipaka")</f>
        <v>Varsha Mamidipaka</v>
      </c>
      <c r="B662" s="9" t="str">
        <f ca="1">IFERROR(__xludf.DUMMYFUNCTION("""COMPUTED_VALUE"""),"18331A0592")</f>
        <v>18331A0592</v>
      </c>
      <c r="C662" s="78" t="str">
        <f ca="1">IFERROR(__xludf.DUMMYFUNCTION("""COMPUTED_VALUE"""),"Introduction to Html5")</f>
        <v>Introduction to Html5</v>
      </c>
      <c r="D662" s="9" t="str">
        <f ca="1">IFERROR(__xludf.DUMMYFUNCTION("""COMPUTED_VALUE"""),"coursera")</f>
        <v>coursera</v>
      </c>
      <c r="E662" s="9" t="str">
        <f ca="1">IFERROR(__xludf.DUMMYFUNCTION("""COMPUTED_VALUE"""),"3months")</f>
        <v>3months</v>
      </c>
      <c r="F662" s="79">
        <f ca="1">IFERROR(__xludf.DUMMYFUNCTION("""COMPUTED_VALUE"""),43891)</f>
        <v>43891</v>
      </c>
      <c r="G662" s="79">
        <f ca="1">IFERROR(__xludf.DUMMYFUNCTION("""COMPUTED_VALUE"""),43981)</f>
        <v>43981</v>
      </c>
      <c r="H662" s="72">
        <f ca="1">IFERROR(__xludf.DUMMYFUNCTION("""COMPUTED_VALUE"""),43981)</f>
        <v>43981</v>
      </c>
      <c r="I662" s="80">
        <f ca="1">IFERROR(__xludf.DUMMYFUNCTION("""COMPUTED_VALUE"""),95.33)</f>
        <v>95.33</v>
      </c>
      <c r="J662" s="9" t="str">
        <f ca="1">IFERROR(__xludf.DUMMYFUNCTION("""COMPUTED_VALUE"""),"Self learning")</f>
        <v>Self learning</v>
      </c>
      <c r="K662" s="73" t="str">
        <f ca="1">IFERROR(__xludf.DUMMYFUNCTION("""COMPUTED_VALUE"""),"https://drive.google.com/open?id=1zdKVzFpKrRvN7sqZM-u0JVTBml7nW9-l")</f>
        <v>https://drive.google.com/open?id=1zdKVzFpKrRvN7sqZM-u0JVTBml7nW9-l</v>
      </c>
      <c r="L662" s="9" t="str">
        <f ca="1">IFERROR(__xludf.DUMMYFUNCTION("""COMPUTED_VALUE"""),"2018-2022")</f>
        <v>2018-2022</v>
      </c>
      <c r="M662" s="9" t="str">
        <f ca="1">IFERROR(__xludf.DUMMYFUNCTION("""COMPUTED_VALUE"""),"S4: Student Certifications")</f>
        <v>S4: Student Certifications</v>
      </c>
      <c r="N662" s="9" t="str">
        <f ca="1">IFERROR(__xludf.DUMMYFUNCTION("""COMPUTED_VALUE"""),"bhuvanavarsha7701@gmail.com")</f>
        <v>bhuvanavarsha7701@gmail.com</v>
      </c>
      <c r="O662" s="9" t="str">
        <f ca="1">IFERROR(__xludf.DUMMYFUNCTION("""COMPUTED_VALUE"""),"SEM-4")</f>
        <v>SEM-4</v>
      </c>
      <c r="P662" s="9"/>
      <c r="Q662" s="9"/>
      <c r="R662" s="9"/>
      <c r="S662" s="9"/>
      <c r="T662" s="9"/>
      <c r="U662" s="9"/>
      <c r="V662" s="9"/>
      <c r="W662" s="9"/>
      <c r="X662" s="9"/>
      <c r="Y662" s="9"/>
    </row>
    <row r="663" spans="1:25" ht="26.25" customHeight="1" x14ac:dyDescent="0.15">
      <c r="A663" s="9" t="str">
        <f ca="1">IFERROR(__xludf.DUMMYFUNCTION("""COMPUTED_VALUE"""),"Varsha Mamidipaka")</f>
        <v>Varsha Mamidipaka</v>
      </c>
      <c r="B663" s="9" t="str">
        <f ca="1">IFERROR(__xludf.DUMMYFUNCTION("""COMPUTED_VALUE"""),"18331A0592")</f>
        <v>18331A0592</v>
      </c>
      <c r="C663" s="78" t="str">
        <f ca="1">IFERROR(__xludf.DUMMYFUNCTION("""COMPUTED_VALUE"""),"AI For Everyone")</f>
        <v>AI For Everyone</v>
      </c>
      <c r="D663" s="9" t="str">
        <f ca="1">IFERROR(__xludf.DUMMYFUNCTION("""COMPUTED_VALUE"""),"Cisco")</f>
        <v>Cisco</v>
      </c>
      <c r="E663" s="9" t="str">
        <f ca="1">IFERROR(__xludf.DUMMYFUNCTION("""COMPUTED_VALUE"""),"3months")</f>
        <v>3months</v>
      </c>
      <c r="F663" s="79">
        <f ca="1">IFERROR(__xludf.DUMMYFUNCTION("""COMPUTED_VALUE"""),43922)</f>
        <v>43922</v>
      </c>
      <c r="G663" s="79">
        <f ca="1">IFERROR(__xludf.DUMMYFUNCTION("""COMPUTED_VALUE"""),44012)</f>
        <v>44012</v>
      </c>
      <c r="H663" s="72">
        <f ca="1">IFERROR(__xludf.DUMMYFUNCTION("""COMPUTED_VALUE"""),44012)</f>
        <v>44012</v>
      </c>
      <c r="I663" s="80">
        <f ca="1">IFERROR(__xludf.DUMMYFUNCTION("""COMPUTED_VALUE"""),92.5)</f>
        <v>92.5</v>
      </c>
      <c r="J663" s="9" t="str">
        <f ca="1">IFERROR(__xludf.DUMMYFUNCTION("""COMPUTED_VALUE"""),"Self learning")</f>
        <v>Self learning</v>
      </c>
      <c r="K663" s="73" t="str">
        <f ca="1">IFERROR(__xludf.DUMMYFUNCTION("""COMPUTED_VALUE"""),"https://drive.google.com/open?id=1IXNg6qLnKfWsK2iqSCIwl14UWLZf5Gng")</f>
        <v>https://drive.google.com/open?id=1IXNg6qLnKfWsK2iqSCIwl14UWLZf5Gng</v>
      </c>
      <c r="L663" s="9" t="str">
        <f ca="1">IFERROR(__xludf.DUMMYFUNCTION("""COMPUTED_VALUE"""),"2018-2022")</f>
        <v>2018-2022</v>
      </c>
      <c r="M663" s="9" t="str">
        <f ca="1">IFERROR(__xludf.DUMMYFUNCTION("""COMPUTED_VALUE"""),"S4: Student Certifications")</f>
        <v>S4: Student Certifications</v>
      </c>
      <c r="N663" s="9" t="str">
        <f ca="1">IFERROR(__xludf.DUMMYFUNCTION("""COMPUTED_VALUE"""),"bhuvanavarsha7701@gmail.com")</f>
        <v>bhuvanavarsha7701@gmail.com</v>
      </c>
      <c r="O663" s="9" t="str">
        <f ca="1">IFERROR(__xludf.DUMMYFUNCTION("""COMPUTED_VALUE"""),"SEM-4")</f>
        <v>SEM-4</v>
      </c>
      <c r="P663" s="9"/>
      <c r="Q663" s="9"/>
      <c r="R663" s="9"/>
      <c r="S663" s="9"/>
      <c r="T663" s="9"/>
      <c r="U663" s="9"/>
      <c r="V663" s="9"/>
      <c r="W663" s="9"/>
      <c r="X663" s="9"/>
      <c r="Y663" s="9"/>
    </row>
    <row r="664" spans="1:25" ht="26.25" customHeight="1" x14ac:dyDescent="0.15">
      <c r="A664" s="9" t="str">
        <f ca="1">IFERROR(__xludf.DUMMYFUNCTION("""COMPUTED_VALUE"""),"Pathivada Sai Jahnavi")</f>
        <v>Pathivada Sai Jahnavi</v>
      </c>
      <c r="B664" s="9" t="str">
        <f ca="1">IFERROR(__xludf.DUMMYFUNCTION("""COMPUTED_VALUE"""),"18331A05B5")</f>
        <v>18331A05B5</v>
      </c>
      <c r="C664" s="78" t="str">
        <f ca="1">IFERROR(__xludf.DUMMYFUNCTION("""COMPUTED_VALUE"""),"AWS Academy Cloud Foundations")</f>
        <v>AWS Academy Cloud Foundations</v>
      </c>
      <c r="D664" s="9" t="str">
        <f ca="1">IFERROR(__xludf.DUMMYFUNCTION("""COMPUTED_VALUE"""),"AWS Academy Graduate")</f>
        <v>AWS Academy Graduate</v>
      </c>
      <c r="E664" s="9" t="str">
        <f ca="1">IFERROR(__xludf.DUMMYFUNCTION("""COMPUTED_VALUE"""),"20 hours")</f>
        <v>20 hours</v>
      </c>
      <c r="F664" s="79">
        <f ca="1">IFERROR(__xludf.DUMMYFUNCTION("""COMPUTED_VALUE"""),44512)</f>
        <v>44512</v>
      </c>
      <c r="G664" s="79">
        <f ca="1">IFERROR(__xludf.DUMMYFUNCTION("""COMPUTED_VALUE"""),44541)</f>
        <v>44541</v>
      </c>
      <c r="H664" s="72">
        <f ca="1">IFERROR(__xludf.DUMMYFUNCTION("""COMPUTED_VALUE"""),44542)</f>
        <v>44542</v>
      </c>
      <c r="I664" s="80">
        <f ca="1">IFERROR(__xludf.DUMMYFUNCTION("""COMPUTED_VALUE"""),80)</f>
        <v>80</v>
      </c>
      <c r="J664" s="9" t="str">
        <f ca="1">IFERROR(__xludf.DUMMYFUNCTION("""COMPUTED_VALUE"""),"DR. Ravi KIran Varma Penmatsa")</f>
        <v>DR. Ravi KIran Varma Penmatsa</v>
      </c>
      <c r="K664" s="73" t="str">
        <f ca="1">IFERROR(__xludf.DUMMYFUNCTION("""COMPUTED_VALUE"""),"https://drive.google.com/open?id=1s4rTgaYg372hFb6Ef0SbSzDyX97adY06")</f>
        <v>https://drive.google.com/open?id=1s4rTgaYg372hFb6Ef0SbSzDyX97adY06</v>
      </c>
      <c r="L664" s="9" t="str">
        <f ca="1">IFERROR(__xludf.DUMMYFUNCTION("""COMPUTED_VALUE"""),"2018-2022")</f>
        <v>2018-2022</v>
      </c>
      <c r="M664" s="9" t="str">
        <f ca="1">IFERROR(__xludf.DUMMYFUNCTION("""COMPUTED_VALUE"""),"S4: Student Certifications")</f>
        <v>S4: Student Certifications</v>
      </c>
      <c r="N664" s="9" t="str">
        <f ca="1">IFERROR(__xludf.DUMMYFUNCTION("""COMPUTED_VALUE"""),"jahnavipathivada123@gmail.com")</f>
        <v>jahnavipathivada123@gmail.com</v>
      </c>
      <c r="O664" s="9" t="str">
        <f ca="1">IFERROR(__xludf.DUMMYFUNCTION("""COMPUTED_VALUE"""),"SEM-7")</f>
        <v>SEM-7</v>
      </c>
      <c r="P664" s="9"/>
      <c r="Q664" s="9"/>
      <c r="R664" s="9"/>
      <c r="S664" s="9"/>
      <c r="T664" s="9"/>
      <c r="U664" s="9"/>
      <c r="V664" s="9"/>
      <c r="W664" s="9"/>
      <c r="X664" s="9"/>
      <c r="Y664" s="9"/>
    </row>
    <row r="665" spans="1:25" ht="26.25" customHeight="1" x14ac:dyDescent="0.15">
      <c r="A665" s="9" t="str">
        <f ca="1">IFERROR(__xludf.DUMMYFUNCTION("""COMPUTED_VALUE"""),"Veera pavan kumar Narla")</f>
        <v>Veera pavan kumar Narla</v>
      </c>
      <c r="B665" s="9" t="str">
        <f ca="1">IFERROR(__xludf.DUMMYFUNCTION("""COMPUTED_VALUE"""),"18331A05B1")</f>
        <v>18331A05B1</v>
      </c>
      <c r="C665" s="78" t="str">
        <f ca="1">IFERROR(__xludf.DUMMYFUNCTION("""COMPUTED_VALUE"""),"SQL")</f>
        <v>SQL</v>
      </c>
      <c r="D665" s="9" t="str">
        <f ca="1">IFERROR(__xludf.DUMMYFUNCTION("""COMPUTED_VALUE"""),"VIGNAN INSTITUTE OF ENGINEERING FOR WOMEN")</f>
        <v>VIGNAN INSTITUTE OF ENGINEERING FOR WOMEN</v>
      </c>
      <c r="E665" s="9" t="str">
        <f ca="1">IFERROR(__xludf.DUMMYFUNCTION("""COMPUTED_VALUE"""),"1 HOUR")</f>
        <v>1 HOUR</v>
      </c>
      <c r="F665" s="79">
        <f ca="1">IFERROR(__xludf.DUMMYFUNCTION("""COMPUTED_VALUE"""),43977)</f>
        <v>43977</v>
      </c>
      <c r="G665" s="79">
        <f ca="1">IFERROR(__xludf.DUMMYFUNCTION("""COMPUTED_VALUE"""),43979)</f>
        <v>43979</v>
      </c>
      <c r="H665" s="72">
        <f ca="1">IFERROR(__xludf.DUMMYFUNCTION("""COMPUTED_VALUE"""),43979)</f>
        <v>43979</v>
      </c>
      <c r="I665" s="80">
        <f ca="1">IFERROR(__xludf.DUMMYFUNCTION("""COMPUTED_VALUE"""),76)</f>
        <v>76</v>
      </c>
      <c r="J665" s="9" t="str">
        <f ca="1">IFERROR(__xludf.DUMMYFUNCTION("""COMPUTED_VALUE"""),"ARUNA KUAMRI")</f>
        <v>ARUNA KUAMRI</v>
      </c>
      <c r="K665" s="73" t="str">
        <f ca="1">IFERROR(__xludf.DUMMYFUNCTION("""COMPUTED_VALUE"""),"https://drive.google.com/open?id=1DJ9AuQ01JXB1hfVVa6krufEJTLEmmFqF")</f>
        <v>https://drive.google.com/open?id=1DJ9AuQ01JXB1hfVVa6krufEJTLEmmFqF</v>
      </c>
      <c r="L665" s="9" t="str">
        <f ca="1">IFERROR(__xludf.DUMMYFUNCTION("""COMPUTED_VALUE"""),"2018-2022")</f>
        <v>2018-2022</v>
      </c>
      <c r="M665" s="9" t="str">
        <f ca="1">IFERROR(__xludf.DUMMYFUNCTION("""COMPUTED_VALUE"""),"S4: Student Certifications")</f>
        <v>S4: Student Certifications</v>
      </c>
      <c r="N665" s="9" t="str">
        <f ca="1">IFERROR(__xludf.DUMMYFUNCTION("""COMPUTED_VALUE"""),"narlaveerapavankumar@gmail.com")</f>
        <v>narlaveerapavankumar@gmail.com</v>
      </c>
      <c r="O665" s="9" t="str">
        <f ca="1">IFERROR(__xludf.DUMMYFUNCTION("""COMPUTED_VALUE"""),"SEM-4")</f>
        <v>SEM-4</v>
      </c>
      <c r="P665" s="9"/>
      <c r="Q665" s="9"/>
      <c r="R665" s="9"/>
      <c r="S665" s="9"/>
      <c r="T665" s="9"/>
      <c r="U665" s="9"/>
      <c r="V665" s="9"/>
      <c r="W665" s="9"/>
      <c r="X665" s="9"/>
      <c r="Y665" s="9"/>
    </row>
    <row r="666" spans="1:25" ht="26.25" customHeight="1" x14ac:dyDescent="0.15">
      <c r="A666" s="9" t="str">
        <f ca="1">IFERROR(__xludf.DUMMYFUNCTION("""COMPUTED_VALUE"""),"Nandella Pranavi Prathyusha")</f>
        <v>Nandella Pranavi Prathyusha</v>
      </c>
      <c r="B666" s="9" t="str">
        <f ca="1">IFERROR(__xludf.DUMMYFUNCTION("""COMPUTED_VALUE"""),"18331A05A8")</f>
        <v>18331A05A8</v>
      </c>
      <c r="C666" s="78" t="str">
        <f ca="1">IFERROR(__xludf.DUMMYFUNCTION("""COMPUTED_VALUE"""),"SQL")</f>
        <v>SQL</v>
      </c>
      <c r="D666" s="9" t="str">
        <f ca="1">IFERROR(__xludf.DUMMYFUNCTION("""COMPUTED_VALUE"""),"VIGNAN'S Institute of engineering for women")</f>
        <v>VIGNAN'S Institute of engineering for women</v>
      </c>
      <c r="E666" s="9" t="str">
        <f ca="1">IFERROR(__xludf.DUMMYFUNCTION("""COMPUTED_VALUE"""),"1 hour")</f>
        <v>1 hour</v>
      </c>
      <c r="F666" s="79">
        <f ca="1">IFERROR(__xludf.DUMMYFUNCTION("""COMPUTED_VALUE"""),43979)</f>
        <v>43979</v>
      </c>
      <c r="G666" s="79">
        <f ca="1">IFERROR(__xludf.DUMMYFUNCTION("""COMPUTED_VALUE"""),43979)</f>
        <v>43979</v>
      </c>
      <c r="H666" s="72">
        <f ca="1">IFERROR(__xludf.DUMMYFUNCTION("""COMPUTED_VALUE"""),43979)</f>
        <v>43979</v>
      </c>
      <c r="I666" s="80">
        <f ca="1">IFERROR(__xludf.DUMMYFUNCTION("""COMPUTED_VALUE"""),52)</f>
        <v>52</v>
      </c>
      <c r="J666" s="9" t="str">
        <f ca="1">IFERROR(__xludf.DUMMYFUNCTION("""COMPUTED_VALUE"""),"Aruna Kumari mam")</f>
        <v>Aruna Kumari mam</v>
      </c>
      <c r="K666" s="73" t="str">
        <f ca="1">IFERROR(__xludf.DUMMYFUNCTION("""COMPUTED_VALUE"""),"https://drive.google.com/open?id=1B9ct4MPV1Vcd-RGJ3roeiFas5NsBB8jn")</f>
        <v>https://drive.google.com/open?id=1B9ct4MPV1Vcd-RGJ3roeiFas5NsBB8jn</v>
      </c>
      <c r="L666" s="9" t="str">
        <f ca="1">IFERROR(__xludf.DUMMYFUNCTION("""COMPUTED_VALUE"""),"2018-2022")</f>
        <v>2018-2022</v>
      </c>
      <c r="M666" s="9" t="str">
        <f ca="1">IFERROR(__xludf.DUMMYFUNCTION("""COMPUTED_VALUE"""),"S4: Student Certifications")</f>
        <v>S4: Student Certifications</v>
      </c>
      <c r="N666" s="9" t="str">
        <f ca="1">IFERROR(__xludf.DUMMYFUNCTION("""COMPUTED_VALUE"""),"pranaviprathyusha1@gmail.com")</f>
        <v>pranaviprathyusha1@gmail.com</v>
      </c>
      <c r="O666" s="9" t="str">
        <f ca="1">IFERROR(__xludf.DUMMYFUNCTION("""COMPUTED_VALUE"""),"SEM-4")</f>
        <v>SEM-4</v>
      </c>
      <c r="P666" s="9"/>
      <c r="Q666" s="9"/>
      <c r="R666" s="9"/>
      <c r="S666" s="9"/>
      <c r="T666" s="9"/>
      <c r="U666" s="9"/>
      <c r="V666" s="9"/>
      <c r="W666" s="9"/>
      <c r="X666" s="9"/>
      <c r="Y666" s="9"/>
    </row>
    <row r="667" spans="1:25" ht="26.25" customHeight="1" x14ac:dyDescent="0.15">
      <c r="A667" s="9" t="str">
        <f ca="1">IFERROR(__xludf.DUMMYFUNCTION("""COMPUTED_VALUE"""),"varsha mamidipaka")</f>
        <v>varsha mamidipaka</v>
      </c>
      <c r="B667" s="9" t="str">
        <f ca="1">IFERROR(__xludf.DUMMYFUNCTION("""COMPUTED_VALUE"""),"18331A0592")</f>
        <v>18331A0592</v>
      </c>
      <c r="C667" s="78" t="str">
        <f ca="1">IFERROR(__xludf.DUMMYFUNCTION("""COMPUTED_VALUE"""),"SQL")</f>
        <v>SQL</v>
      </c>
      <c r="D667" s="9" t="str">
        <f ca="1">IFERROR(__xludf.DUMMYFUNCTION("""COMPUTED_VALUE"""),"Vignan  institute of engineering for women")</f>
        <v>Vignan  institute of engineering for women</v>
      </c>
      <c r="E667" s="9" t="str">
        <f ca="1">IFERROR(__xludf.DUMMYFUNCTION("""COMPUTED_VALUE"""),"1hour")</f>
        <v>1hour</v>
      </c>
      <c r="F667" s="79">
        <f ca="1">IFERROR(__xludf.DUMMYFUNCTION("""COMPUTED_VALUE"""),43979)</f>
        <v>43979</v>
      </c>
      <c r="G667" s="79">
        <f ca="1">IFERROR(__xludf.DUMMYFUNCTION("""COMPUTED_VALUE"""),43979)</f>
        <v>43979</v>
      </c>
      <c r="H667" s="72">
        <f ca="1">IFERROR(__xludf.DUMMYFUNCTION("""COMPUTED_VALUE"""),43979)</f>
        <v>43979</v>
      </c>
      <c r="I667" s="80">
        <f ca="1">IFERROR(__xludf.DUMMYFUNCTION("""COMPUTED_VALUE"""),92)</f>
        <v>92</v>
      </c>
      <c r="J667" s="9" t="str">
        <f ca="1">IFERROR(__xludf.DUMMYFUNCTION("""COMPUTED_VALUE"""),"B.Aruna Kumari")</f>
        <v>B.Aruna Kumari</v>
      </c>
      <c r="K667" s="73" t="str">
        <f ca="1">IFERROR(__xludf.DUMMYFUNCTION("""COMPUTED_VALUE"""),"https://drive.google.com/open?id=1twtW4Nmwd1QXFtq_YqRwnnhHTCc_X3wn")</f>
        <v>https://drive.google.com/open?id=1twtW4Nmwd1QXFtq_YqRwnnhHTCc_X3wn</v>
      </c>
      <c r="L667" s="9" t="str">
        <f ca="1">IFERROR(__xludf.DUMMYFUNCTION("""COMPUTED_VALUE"""),"2018-2022")</f>
        <v>2018-2022</v>
      </c>
      <c r="M667" s="9" t="str">
        <f ca="1">IFERROR(__xludf.DUMMYFUNCTION("""COMPUTED_VALUE"""),"S4: Student Certifications")</f>
        <v>S4: Student Certifications</v>
      </c>
      <c r="N667" s="9" t="str">
        <f ca="1">IFERROR(__xludf.DUMMYFUNCTION("""COMPUTED_VALUE"""),"bhuvanavarsha7701@gmail.com")</f>
        <v>bhuvanavarsha7701@gmail.com</v>
      </c>
      <c r="O667" s="9" t="str">
        <f ca="1">IFERROR(__xludf.DUMMYFUNCTION("""COMPUTED_VALUE"""),"SEM-4")</f>
        <v>SEM-4</v>
      </c>
      <c r="P667" s="9"/>
      <c r="Q667" s="9"/>
      <c r="R667" s="9"/>
      <c r="S667" s="9"/>
      <c r="T667" s="9"/>
      <c r="U667" s="9"/>
      <c r="V667" s="9"/>
      <c r="W667" s="9"/>
      <c r="X667" s="9"/>
      <c r="Y667" s="9"/>
    </row>
    <row r="668" spans="1:25" ht="26.25" customHeight="1" x14ac:dyDescent="0.15">
      <c r="A668" s="9" t="str">
        <f ca="1">IFERROR(__xludf.DUMMYFUNCTION("""COMPUTED_VALUE"""),"Varsha Mamidipaka")</f>
        <v>Varsha Mamidipaka</v>
      </c>
      <c r="B668" s="9" t="str">
        <f ca="1">IFERROR(__xludf.DUMMYFUNCTION("""COMPUTED_VALUE"""),"18331A0592")</f>
        <v>18331A0592</v>
      </c>
      <c r="C668" s="78" t="str">
        <f ca="1">IFERROR(__xludf.DUMMYFUNCTION("""COMPUTED_VALUE"""),"Introduction to Cloud Identity")</f>
        <v>Introduction to Cloud Identity</v>
      </c>
      <c r="D668" s="9" t="str">
        <f ca="1">IFERROR(__xludf.DUMMYFUNCTION("""COMPUTED_VALUE"""),"coursera")</f>
        <v>coursera</v>
      </c>
      <c r="E668" s="9" t="str">
        <f ca="1">IFERROR(__xludf.DUMMYFUNCTION("""COMPUTED_VALUE"""),"3months")</f>
        <v>3months</v>
      </c>
      <c r="F668" s="79">
        <f ca="1">IFERROR(__xludf.DUMMYFUNCTION("""COMPUTED_VALUE"""),43956)</f>
        <v>43956</v>
      </c>
      <c r="G668" s="79">
        <f ca="1">IFERROR(__xludf.DUMMYFUNCTION("""COMPUTED_VALUE"""),44016)</f>
        <v>44016</v>
      </c>
      <c r="H668" s="72">
        <f ca="1">IFERROR(__xludf.DUMMYFUNCTION("""COMPUTED_VALUE"""),44018)</f>
        <v>44018</v>
      </c>
      <c r="I668" s="80">
        <f ca="1">IFERROR(__xludf.DUMMYFUNCTION("""COMPUTED_VALUE"""),86.5)</f>
        <v>86.5</v>
      </c>
      <c r="J668" s="9" t="str">
        <f ca="1">IFERROR(__xludf.DUMMYFUNCTION("""COMPUTED_VALUE"""),"Self learning")</f>
        <v>Self learning</v>
      </c>
      <c r="K668" s="73" t="str">
        <f ca="1">IFERROR(__xludf.DUMMYFUNCTION("""COMPUTED_VALUE"""),"https://drive.google.com/open?id=1HE_sU7ihsjFY9Zn7HSqOddJpEYLzlZUs")</f>
        <v>https://drive.google.com/open?id=1HE_sU7ihsjFY9Zn7HSqOddJpEYLzlZUs</v>
      </c>
      <c r="L668" s="9" t="str">
        <f ca="1">IFERROR(__xludf.DUMMYFUNCTION("""COMPUTED_VALUE"""),"2018-2022")</f>
        <v>2018-2022</v>
      </c>
      <c r="M668" s="9" t="str">
        <f ca="1">IFERROR(__xludf.DUMMYFUNCTION("""COMPUTED_VALUE"""),"S4: Student Certifications")</f>
        <v>S4: Student Certifications</v>
      </c>
      <c r="N668" s="9" t="str">
        <f ca="1">IFERROR(__xludf.DUMMYFUNCTION("""COMPUTED_VALUE"""),"bhuvanavarsha7701@gmail.com")</f>
        <v>bhuvanavarsha7701@gmail.com</v>
      </c>
      <c r="O668" s="9" t="str">
        <f ca="1">IFERROR(__xludf.DUMMYFUNCTION("""COMPUTED_VALUE"""),"SEM-4")</f>
        <v>SEM-4</v>
      </c>
      <c r="P668" s="9"/>
      <c r="Q668" s="9"/>
      <c r="R668" s="9"/>
      <c r="S668" s="9"/>
      <c r="T668" s="9"/>
      <c r="U668" s="9"/>
      <c r="V668" s="9"/>
      <c r="W668" s="9"/>
      <c r="X668" s="9"/>
      <c r="Y668" s="9"/>
    </row>
    <row r="669" spans="1:25" ht="26.25" customHeight="1" x14ac:dyDescent="0.15">
      <c r="A669" s="9" t="str">
        <f ca="1">IFERROR(__xludf.DUMMYFUNCTION("""COMPUTED_VALUE"""),"KILLI SARATHKUMAR")</f>
        <v>KILLI SARATHKUMAR</v>
      </c>
      <c r="B669" s="9" t="str">
        <f ca="1">IFERROR(__xludf.DUMMYFUNCTION("""COMPUTED_VALUE"""),"20331A0584")</f>
        <v>20331A0584</v>
      </c>
      <c r="C669" s="78" t="str">
        <f ca="1">IFERROR(__xludf.DUMMYFUNCTION("""COMPUTED_VALUE"""),"IT Essentials")</f>
        <v>IT Essentials</v>
      </c>
      <c r="D669" s="9" t="str">
        <f ca="1">IFERROR(__xludf.DUMMYFUNCTION("""COMPUTED_VALUE"""),"Cisco")</f>
        <v>Cisco</v>
      </c>
      <c r="E669" s="9" t="str">
        <f ca="1">IFERROR(__xludf.DUMMYFUNCTION("""COMPUTED_VALUE"""),"10 weeks")</f>
        <v>10 weeks</v>
      </c>
      <c r="F669" s="79">
        <f ca="1">IFERROR(__xludf.DUMMYFUNCTION("""COMPUTED_VALUE"""),44321)</f>
        <v>44321</v>
      </c>
      <c r="G669" s="79">
        <f ca="1">IFERROR(__xludf.DUMMYFUNCTION("""COMPUTED_VALUE"""),44394)</f>
        <v>44394</v>
      </c>
      <c r="H669" s="72">
        <f ca="1">IFERROR(__xludf.DUMMYFUNCTION("""COMPUTED_VALUE"""),44561)</f>
        <v>44561</v>
      </c>
      <c r="I669" s="80">
        <f ca="1">IFERROR(__xludf.DUMMYFUNCTION("""COMPUTED_VALUE"""),90)</f>
        <v>90</v>
      </c>
      <c r="J669" s="9" t="str">
        <f ca="1">IFERROR(__xludf.DUMMYFUNCTION("""COMPUTED_VALUE"""),"KV SUBBARAJU")</f>
        <v>KV SUBBARAJU</v>
      </c>
      <c r="K669" s="73" t="str">
        <f ca="1">IFERROR(__xludf.DUMMYFUNCTION("""COMPUTED_VALUE"""),"https://drive.google.com/open?id=19V65fDAsmzYsKtW_7ul6jlT-GZPbdWXF")</f>
        <v>https://drive.google.com/open?id=19V65fDAsmzYsKtW_7ul6jlT-GZPbdWXF</v>
      </c>
      <c r="L669" s="9" t="str">
        <f ca="1">IFERROR(__xludf.DUMMYFUNCTION("""COMPUTED_VALUE"""),"2020-2024")</f>
        <v>2020-2024</v>
      </c>
      <c r="M669" s="9" t="str">
        <f ca="1">IFERROR(__xludf.DUMMYFUNCTION("""COMPUTED_VALUE"""),"S4: Student Certifications")</f>
        <v>S4: Student Certifications</v>
      </c>
      <c r="N669" s="9" t="str">
        <f ca="1">IFERROR(__xludf.DUMMYFUNCTION("""COMPUTED_VALUE"""),"sarathramkilli2003@gmail.com")</f>
        <v>sarathramkilli2003@gmail.com</v>
      </c>
      <c r="O669" s="9" t="str">
        <f ca="1">IFERROR(__xludf.DUMMYFUNCTION("""COMPUTED_VALUE"""),"SEM-4")</f>
        <v>SEM-4</v>
      </c>
      <c r="P669" s="9"/>
      <c r="Q669" s="9"/>
      <c r="R669" s="9"/>
      <c r="S669" s="9"/>
      <c r="T669" s="9"/>
      <c r="U669" s="9"/>
      <c r="V669" s="9"/>
      <c r="W669" s="9"/>
      <c r="X669" s="9"/>
      <c r="Y669" s="9"/>
    </row>
    <row r="670" spans="1:25" ht="26.25" customHeight="1" x14ac:dyDescent="0.15">
      <c r="A670" s="9" t="str">
        <f ca="1">IFERROR(__xludf.DUMMYFUNCTION("""COMPUTED_VALUE"""),"K. V. Madesh ")</f>
        <v xml:space="preserve">K. V. Madesh </v>
      </c>
      <c r="B670" s="9" t="str">
        <f ca="1">IFERROR(__xludf.DUMMYFUNCTION("""COMPUTED_VALUE"""),"18331A0581")</f>
        <v>18331A0581</v>
      </c>
      <c r="C670" s="78" t="str">
        <f ca="1">IFERROR(__xludf.DUMMYFUNCTION("""COMPUTED_VALUE"""),"SQL")</f>
        <v>SQL</v>
      </c>
      <c r="D670" s="9" t="str">
        <f ca="1">IFERROR(__xludf.DUMMYFUNCTION("""COMPUTED_VALUE"""),"Vignan's institute of engineering for women ")</f>
        <v xml:space="preserve">Vignan's institute of engineering for women </v>
      </c>
      <c r="E670" s="9" t="str">
        <f ca="1">IFERROR(__xludf.DUMMYFUNCTION("""COMPUTED_VALUE"""),"1 hour ")</f>
        <v xml:space="preserve">1 hour </v>
      </c>
      <c r="F670" s="79">
        <f ca="1">IFERROR(__xludf.DUMMYFUNCTION("""COMPUTED_VALUE"""),43977)</f>
        <v>43977</v>
      </c>
      <c r="G670" s="79">
        <f ca="1">IFERROR(__xludf.DUMMYFUNCTION("""COMPUTED_VALUE"""),43979)</f>
        <v>43979</v>
      </c>
      <c r="H670" s="72">
        <f ca="1">IFERROR(__xludf.DUMMYFUNCTION("""COMPUTED_VALUE"""),43979)</f>
        <v>43979</v>
      </c>
      <c r="I670" s="80">
        <f ca="1">IFERROR(__xludf.DUMMYFUNCTION("""COMPUTED_VALUE"""),56)</f>
        <v>56</v>
      </c>
      <c r="J670" s="9" t="str">
        <f ca="1">IFERROR(__xludf.DUMMYFUNCTION("""COMPUTED_VALUE"""),"Aruna kumari")</f>
        <v>Aruna kumari</v>
      </c>
      <c r="K670" s="73" t="str">
        <f ca="1">IFERROR(__xludf.DUMMYFUNCTION("""COMPUTED_VALUE"""),"https://drive.google.com/open?id=1djJ7yt9jsVHRgtdQVcYef5dfrx7mU5yA")</f>
        <v>https://drive.google.com/open?id=1djJ7yt9jsVHRgtdQVcYef5dfrx7mU5yA</v>
      </c>
      <c r="L670" s="9" t="str">
        <f ca="1">IFERROR(__xludf.DUMMYFUNCTION("""COMPUTED_VALUE"""),"2018-2022")</f>
        <v>2018-2022</v>
      </c>
      <c r="M670" s="9" t="str">
        <f ca="1">IFERROR(__xludf.DUMMYFUNCTION("""COMPUTED_VALUE"""),"S4: Student Certifications")</f>
        <v>S4: Student Certifications</v>
      </c>
      <c r="N670" s="9" t="str">
        <f ca="1">IFERROR(__xludf.DUMMYFUNCTION("""COMPUTED_VALUE"""),"madeshsandy75204@gmail.com")</f>
        <v>madeshsandy75204@gmail.com</v>
      </c>
      <c r="O670" s="9" t="str">
        <f ca="1">IFERROR(__xludf.DUMMYFUNCTION("""COMPUTED_VALUE"""),"SEM-4")</f>
        <v>SEM-4</v>
      </c>
      <c r="P670" s="9"/>
      <c r="Q670" s="9"/>
      <c r="R670" s="9"/>
      <c r="S670" s="9"/>
      <c r="T670" s="9"/>
      <c r="U670" s="9"/>
      <c r="V670" s="9"/>
      <c r="W670" s="9"/>
      <c r="X670" s="9"/>
      <c r="Y670" s="9"/>
    </row>
    <row r="671" spans="1:25" ht="26.25" customHeight="1" x14ac:dyDescent="0.15">
      <c r="A671" s="9" t="str">
        <f ca="1">IFERROR(__xludf.DUMMYFUNCTION("""COMPUTED_VALUE"""),"Sai Gayathri Latchipatula")</f>
        <v>Sai Gayathri Latchipatula</v>
      </c>
      <c r="B671" s="9" t="str">
        <f ca="1">IFERROR(__xludf.DUMMYFUNCTION("""COMPUTED_VALUE"""),"18331A0587")</f>
        <v>18331A0587</v>
      </c>
      <c r="C671" s="78" t="str">
        <f ca="1">IFERROR(__xludf.DUMMYFUNCTION("""COMPUTED_VALUE"""),"Cyber Security essentials")</f>
        <v>Cyber Security essentials</v>
      </c>
      <c r="D671" s="9" t="str">
        <f ca="1">IFERROR(__xludf.DUMMYFUNCTION("""COMPUTED_VALUE"""),"Cisco")</f>
        <v>Cisco</v>
      </c>
      <c r="E671" s="9" t="str">
        <f ca="1">IFERROR(__xludf.DUMMYFUNCTION("""COMPUTED_VALUE"""),"2 months")</f>
        <v>2 months</v>
      </c>
      <c r="F671" s="79">
        <f ca="1">IFERROR(__xludf.DUMMYFUNCTION("""COMPUTED_VALUE"""),43619)</f>
        <v>43619</v>
      </c>
      <c r="G671" s="79">
        <f ca="1">IFERROR(__xludf.DUMMYFUNCTION("""COMPUTED_VALUE"""),43672)</f>
        <v>43672</v>
      </c>
      <c r="H671" s="72">
        <f ca="1">IFERROR(__xludf.DUMMYFUNCTION("""COMPUTED_VALUE"""),43672)</f>
        <v>43672</v>
      </c>
      <c r="I671" s="80"/>
      <c r="J671" s="9" t="str">
        <f ca="1">IFERROR(__xludf.DUMMYFUNCTION("""COMPUTED_VALUE"""),"Ravi Kiran Varma")</f>
        <v>Ravi Kiran Varma</v>
      </c>
      <c r="K671" s="73" t="str">
        <f ca="1">IFERROR(__xludf.DUMMYFUNCTION("""COMPUTED_VALUE"""),"https://drive.google.com/open?id=1RVHBo2QHs2bB2b0WTEiVrErGkm_Wjn46")</f>
        <v>https://drive.google.com/open?id=1RVHBo2QHs2bB2b0WTEiVrErGkm_Wjn46</v>
      </c>
      <c r="L671" s="9" t="str">
        <f ca="1">IFERROR(__xludf.DUMMYFUNCTION("""COMPUTED_VALUE"""),"2018-2022")</f>
        <v>2018-2022</v>
      </c>
      <c r="M671" s="9" t="str">
        <f ca="1">IFERROR(__xludf.DUMMYFUNCTION("""COMPUTED_VALUE"""),"S4: Student Certifications")</f>
        <v>S4: Student Certifications</v>
      </c>
      <c r="N671" s="9" t="str">
        <f ca="1">IFERROR(__xludf.DUMMYFUNCTION("""COMPUTED_VALUE"""),"latchipatulasaigayathri@gmail.com")</f>
        <v>latchipatulasaigayathri@gmail.com</v>
      </c>
      <c r="O671" s="9" t="str">
        <f ca="1">IFERROR(__xludf.DUMMYFUNCTION("""COMPUTED_VALUE"""),"SEM-8")</f>
        <v>SEM-8</v>
      </c>
      <c r="P671" s="9"/>
      <c r="Q671" s="9"/>
      <c r="R671" s="9"/>
      <c r="S671" s="9"/>
      <c r="T671" s="9"/>
      <c r="U671" s="9"/>
      <c r="V671" s="9"/>
      <c r="W671" s="9"/>
      <c r="X671" s="9"/>
      <c r="Y671" s="9"/>
    </row>
    <row r="672" spans="1:25" ht="26.25" customHeight="1" x14ac:dyDescent="0.15">
      <c r="A672" s="9" t="str">
        <f ca="1">IFERROR(__xludf.DUMMYFUNCTION("""COMPUTED_VALUE"""),"Sai gayathri Latchipatula")</f>
        <v>Sai gayathri Latchipatula</v>
      </c>
      <c r="B672" s="9" t="str">
        <f ca="1">IFERROR(__xludf.DUMMYFUNCTION("""COMPUTED_VALUE"""),"18331A0587")</f>
        <v>18331A0587</v>
      </c>
      <c r="C672" s="78" t="str">
        <f ca="1">IFERROR(__xludf.DUMMYFUNCTION("""COMPUTED_VALUE"""),"CCNAv7 introduction to networks")</f>
        <v>CCNAv7 introduction to networks</v>
      </c>
      <c r="D672" s="9" t="str">
        <f ca="1">IFERROR(__xludf.DUMMYFUNCTION("""COMPUTED_VALUE"""),"Cisco")</f>
        <v>Cisco</v>
      </c>
      <c r="E672" s="9" t="str">
        <f ca="1">IFERROR(__xludf.DUMMYFUNCTION("""COMPUTED_VALUE"""),"3 months")</f>
        <v>3 months</v>
      </c>
      <c r="F672" s="79">
        <f ca="1">IFERROR(__xludf.DUMMYFUNCTION("""COMPUTED_VALUE"""),44287)</f>
        <v>44287</v>
      </c>
      <c r="G672" s="79">
        <f ca="1">IFERROR(__xludf.DUMMYFUNCTION("""COMPUTED_VALUE"""),44378)</f>
        <v>44378</v>
      </c>
      <c r="H672" s="72">
        <f ca="1">IFERROR(__xludf.DUMMYFUNCTION("""COMPUTED_VALUE"""),44378)</f>
        <v>44378</v>
      </c>
      <c r="I672" s="80"/>
      <c r="J672" s="9" t="str">
        <f ca="1">IFERROR(__xludf.DUMMYFUNCTION("""COMPUTED_VALUE"""),"ravi kiran varma ")</f>
        <v xml:space="preserve">ravi kiran varma </v>
      </c>
      <c r="K672" s="73" t="str">
        <f ca="1">IFERROR(__xludf.DUMMYFUNCTION("""COMPUTED_VALUE"""),"https://drive.google.com/open?id=14afhFOkdnB5rEsja8iGygpazUdl9FQWN")</f>
        <v>https://drive.google.com/open?id=14afhFOkdnB5rEsja8iGygpazUdl9FQWN</v>
      </c>
      <c r="L672" s="9" t="str">
        <f ca="1">IFERROR(__xludf.DUMMYFUNCTION("""COMPUTED_VALUE"""),"2018-2022")</f>
        <v>2018-2022</v>
      </c>
      <c r="M672" s="9" t="str">
        <f ca="1">IFERROR(__xludf.DUMMYFUNCTION("""COMPUTED_VALUE"""),"S4: Student Certifications")</f>
        <v>S4: Student Certifications</v>
      </c>
      <c r="N672" s="9" t="str">
        <f ca="1">IFERROR(__xludf.DUMMYFUNCTION("""COMPUTED_VALUE"""),"latchipatulasaigayathri@gmail.com")</f>
        <v>latchipatulasaigayathri@gmail.com</v>
      </c>
      <c r="O672" s="9" t="str">
        <f ca="1">IFERROR(__xludf.DUMMYFUNCTION("""COMPUTED_VALUE"""),"SEM-8")</f>
        <v>SEM-8</v>
      </c>
      <c r="P672" s="9"/>
      <c r="Q672" s="9"/>
      <c r="R672" s="9"/>
      <c r="S672" s="9"/>
      <c r="T672" s="9"/>
      <c r="U672" s="9"/>
      <c r="V672" s="9"/>
      <c r="W672" s="9"/>
      <c r="X672" s="9"/>
      <c r="Y672" s="9"/>
    </row>
    <row r="673" spans="1:25" ht="26.25" customHeight="1" x14ac:dyDescent="0.15">
      <c r="A673" s="9" t="str">
        <f ca="1">IFERROR(__xludf.DUMMYFUNCTION("""COMPUTED_VALUE"""),"Sai Gayathri Latchipatula")</f>
        <v>Sai Gayathri Latchipatula</v>
      </c>
      <c r="B673" s="9" t="str">
        <f ca="1">IFERROR(__xludf.DUMMYFUNCTION("""COMPUTED_VALUE"""),"18331A0587")</f>
        <v>18331A0587</v>
      </c>
      <c r="C673" s="78" t="str">
        <f ca="1">IFERROR(__xludf.DUMMYFUNCTION("""COMPUTED_VALUE"""),"CLA Programming essentials in c")</f>
        <v>CLA Programming essentials in c</v>
      </c>
      <c r="D673" s="9" t="str">
        <f ca="1">IFERROR(__xludf.DUMMYFUNCTION("""COMPUTED_VALUE"""),"Cisco")</f>
        <v>Cisco</v>
      </c>
      <c r="E673" s="9" t="str">
        <f ca="1">IFERROR(__xludf.DUMMYFUNCTION("""COMPUTED_VALUE"""),"2 months")</f>
        <v>2 months</v>
      </c>
      <c r="F673" s="79">
        <f ca="1">IFERROR(__xludf.DUMMYFUNCTION("""COMPUTED_VALUE"""),43642)</f>
        <v>43642</v>
      </c>
      <c r="G673" s="79">
        <f ca="1">IFERROR(__xludf.DUMMYFUNCTION("""COMPUTED_VALUE"""),43678)</f>
        <v>43678</v>
      </c>
      <c r="H673" s="72">
        <f ca="1">IFERROR(__xludf.DUMMYFUNCTION("""COMPUTED_VALUE"""),43678)</f>
        <v>43678</v>
      </c>
      <c r="I673" s="80"/>
      <c r="J673" s="9" t="str">
        <f ca="1">IFERROR(__xludf.DUMMYFUNCTION("""COMPUTED_VALUE"""),"Subba Raju K V")</f>
        <v>Subba Raju K V</v>
      </c>
      <c r="K673" s="73" t="str">
        <f ca="1">IFERROR(__xludf.DUMMYFUNCTION("""COMPUTED_VALUE"""),"https://drive.google.com/open?id=1HSQRDFFKCAxJ34V9aVB02tY8b_mh5Dh9")</f>
        <v>https://drive.google.com/open?id=1HSQRDFFKCAxJ34V9aVB02tY8b_mh5Dh9</v>
      </c>
      <c r="L673" s="9" t="str">
        <f ca="1">IFERROR(__xludf.DUMMYFUNCTION("""COMPUTED_VALUE"""),"2018-2022")</f>
        <v>2018-2022</v>
      </c>
      <c r="M673" s="9" t="str">
        <f ca="1">IFERROR(__xludf.DUMMYFUNCTION("""COMPUTED_VALUE"""),"S4: Student Certifications")</f>
        <v>S4: Student Certifications</v>
      </c>
      <c r="N673" s="9" t="str">
        <f ca="1">IFERROR(__xludf.DUMMYFUNCTION("""COMPUTED_VALUE"""),"latchipatulasaigayathri@gmail.com")</f>
        <v>latchipatulasaigayathri@gmail.com</v>
      </c>
      <c r="O673" s="9" t="str">
        <f ca="1">IFERROR(__xludf.DUMMYFUNCTION("""COMPUTED_VALUE"""),"SEM-8")</f>
        <v>SEM-8</v>
      </c>
      <c r="P673" s="9"/>
      <c r="Q673" s="9"/>
      <c r="R673" s="9"/>
      <c r="S673" s="9"/>
      <c r="T673" s="9"/>
      <c r="U673" s="9"/>
      <c r="V673" s="9"/>
      <c r="W673" s="9"/>
      <c r="X673" s="9"/>
      <c r="Y673" s="9"/>
    </row>
    <row r="674" spans="1:25" ht="26.25" customHeight="1" x14ac:dyDescent="0.15">
      <c r="A674" s="9" t="str">
        <f ca="1">IFERROR(__xludf.DUMMYFUNCTION("""COMPUTED_VALUE"""),"sai gayathri Latchipatula")</f>
        <v>sai gayathri Latchipatula</v>
      </c>
      <c r="B674" s="9" t="str">
        <f ca="1">IFERROR(__xludf.DUMMYFUNCTION("""COMPUTED_VALUE"""),"18331A0587")</f>
        <v>18331A0587</v>
      </c>
      <c r="C674" s="78" t="str">
        <f ca="1">IFERROR(__xludf.DUMMYFUNCTION("""COMPUTED_VALUE"""),"Programming essentials in python")</f>
        <v>Programming essentials in python</v>
      </c>
      <c r="D674" s="9" t="str">
        <f ca="1">IFERROR(__xludf.DUMMYFUNCTION("""COMPUTED_VALUE"""),"Cisco")</f>
        <v>Cisco</v>
      </c>
      <c r="E674" s="9" t="str">
        <f ca="1">IFERROR(__xludf.DUMMYFUNCTION("""COMPUTED_VALUE"""),"3 months")</f>
        <v>3 months</v>
      </c>
      <c r="F674" s="79">
        <f ca="1">IFERROR(__xludf.DUMMYFUNCTION("""COMPUTED_VALUE"""),44295)</f>
        <v>44295</v>
      </c>
      <c r="G674" s="79">
        <f ca="1">IFERROR(__xludf.DUMMYFUNCTION("""COMPUTED_VALUE"""),44386)</f>
        <v>44386</v>
      </c>
      <c r="H674" s="72">
        <f ca="1">IFERROR(__xludf.DUMMYFUNCTION("""COMPUTED_VALUE"""),44386)</f>
        <v>44386</v>
      </c>
      <c r="I674" s="80"/>
      <c r="J674" s="9" t="str">
        <f ca="1">IFERROR(__xludf.DUMMYFUNCTION("""COMPUTED_VALUE"""),"Subba Raju KV")</f>
        <v>Subba Raju KV</v>
      </c>
      <c r="K674" s="73" t="str">
        <f ca="1">IFERROR(__xludf.DUMMYFUNCTION("""COMPUTED_VALUE"""),"https://drive.google.com/open?id=1CTAggaGmWTa_Z_oX62ADl7cNoIMHqgFQ")</f>
        <v>https://drive.google.com/open?id=1CTAggaGmWTa_Z_oX62ADl7cNoIMHqgFQ</v>
      </c>
      <c r="L674" s="9" t="str">
        <f ca="1">IFERROR(__xludf.DUMMYFUNCTION("""COMPUTED_VALUE"""),"2018-2022")</f>
        <v>2018-2022</v>
      </c>
      <c r="M674" s="9" t="str">
        <f ca="1">IFERROR(__xludf.DUMMYFUNCTION("""COMPUTED_VALUE"""),"S4: Student Certifications")</f>
        <v>S4: Student Certifications</v>
      </c>
      <c r="N674" s="9" t="str">
        <f ca="1">IFERROR(__xludf.DUMMYFUNCTION("""COMPUTED_VALUE"""),"latchipatulasaigayathri@gmail.com")</f>
        <v>latchipatulasaigayathri@gmail.com</v>
      </c>
      <c r="O674" s="9" t="str">
        <f ca="1">IFERROR(__xludf.DUMMYFUNCTION("""COMPUTED_VALUE"""),"SEM-8")</f>
        <v>SEM-8</v>
      </c>
      <c r="P674" s="9"/>
      <c r="Q674" s="9"/>
      <c r="R674" s="9"/>
      <c r="S674" s="9"/>
      <c r="T674" s="9"/>
      <c r="U674" s="9"/>
      <c r="V674" s="9"/>
      <c r="W674" s="9"/>
      <c r="X674" s="9"/>
      <c r="Y674" s="9"/>
    </row>
    <row r="675" spans="1:25" ht="26.25" customHeight="1" x14ac:dyDescent="0.15">
      <c r="A675" s="9" t="str">
        <f ca="1">IFERROR(__xludf.DUMMYFUNCTION("""COMPUTED_VALUE"""),"Nalli Anusha")</f>
        <v>Nalli Anusha</v>
      </c>
      <c r="B675" s="9" t="str">
        <f ca="1">IFERROR(__xludf.DUMMYFUNCTION("""COMPUTED_VALUE"""),"18331A05A7")</f>
        <v>18331A05A7</v>
      </c>
      <c r="C675" s="78" t="str">
        <f ca="1">IFERROR(__xludf.DUMMYFUNCTION("""COMPUTED_VALUE"""),"Python For Everybody(Specialization)")</f>
        <v>Python For Everybody(Specialization)</v>
      </c>
      <c r="D675" s="9" t="str">
        <f ca="1">IFERROR(__xludf.DUMMYFUNCTION("""COMPUTED_VALUE"""),"University of Michigan(By Coursera)")</f>
        <v>University of Michigan(By Coursera)</v>
      </c>
      <c r="E675" s="9" t="str">
        <f ca="1">IFERROR(__xludf.DUMMYFUNCTION("""COMPUTED_VALUE"""),"6 weeks")</f>
        <v>6 weeks</v>
      </c>
      <c r="F675" s="79">
        <f ca="1">IFERROR(__xludf.DUMMYFUNCTION("""COMPUTED_VALUE"""),43940)</f>
        <v>43940</v>
      </c>
      <c r="G675" s="79">
        <f ca="1">IFERROR(__xludf.DUMMYFUNCTION("""COMPUTED_VALUE"""),43990)</f>
        <v>43990</v>
      </c>
      <c r="H675" s="72"/>
      <c r="I675" s="80">
        <f ca="1">IFERROR(__xludf.DUMMYFUNCTION("""COMPUTED_VALUE"""),93.264)</f>
        <v>93.263999999999996</v>
      </c>
      <c r="J675" s="9"/>
      <c r="K675" s="73" t="str">
        <f ca="1">IFERROR(__xludf.DUMMYFUNCTION("""COMPUTED_VALUE"""),"https://drive.google.com/open?id=1TIC7rZHNZU6MD-QHqtoh3i_iyqz9Hx28")</f>
        <v>https://drive.google.com/open?id=1TIC7rZHNZU6MD-QHqtoh3i_iyqz9Hx28</v>
      </c>
      <c r="L675" s="9"/>
      <c r="M675" s="9" t="str">
        <f ca="1">IFERROR(__xludf.DUMMYFUNCTION("""COMPUTED_VALUE"""),"S4: Student Certifications")</f>
        <v>S4: Student Certifications</v>
      </c>
      <c r="N675" s="9" t="str">
        <f ca="1">IFERROR(__xludf.DUMMYFUNCTION("""COMPUTED_VALUE"""),"18331a05a7@mvgrce.edu.in")</f>
        <v>18331a05a7@mvgrce.edu.in</v>
      </c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</row>
    <row r="676" spans="1:25" ht="26.25" customHeight="1" x14ac:dyDescent="0.15">
      <c r="A676" s="9" t="str">
        <f ca="1">IFERROR(__xludf.DUMMYFUNCTION("""COMPUTED_VALUE"""),"Jayanth Naidu Kundrapu")</f>
        <v>Jayanth Naidu Kundrapu</v>
      </c>
      <c r="B676" s="9" t="str">
        <f ca="1">IFERROR(__xludf.DUMMYFUNCTION("""COMPUTED_VALUE"""),"18331A0582")</f>
        <v>18331A0582</v>
      </c>
      <c r="C676" s="78" t="str">
        <f ca="1">IFERROR(__xludf.DUMMYFUNCTION("""COMPUTED_VALUE"""),"Google IT Automation with Python Specialization")</f>
        <v>Google IT Automation with Python Specialization</v>
      </c>
      <c r="D676" s="9" t="str">
        <f ca="1">IFERROR(__xludf.DUMMYFUNCTION("""COMPUTED_VALUE"""),"Coursera")</f>
        <v>Coursera</v>
      </c>
      <c r="E676" s="9" t="str">
        <f ca="1">IFERROR(__xludf.DUMMYFUNCTION("""COMPUTED_VALUE"""),"29 Weeks")</f>
        <v>29 Weeks</v>
      </c>
      <c r="F676" s="79">
        <f ca="1">IFERROR(__xludf.DUMMYFUNCTION("""COMPUTED_VALUE"""),43971)</f>
        <v>43971</v>
      </c>
      <c r="G676" s="79">
        <f ca="1">IFERROR(__xludf.DUMMYFUNCTION("""COMPUTED_VALUE"""),44102)</f>
        <v>44102</v>
      </c>
      <c r="H676" s="72"/>
      <c r="I676" s="80">
        <f ca="1">IFERROR(__xludf.DUMMYFUNCTION("""COMPUTED_VALUE"""),100)</f>
        <v>100</v>
      </c>
      <c r="J676" s="9"/>
      <c r="K676" s="73" t="str">
        <f ca="1">IFERROR(__xludf.DUMMYFUNCTION("""COMPUTED_VALUE"""),"https://drive.google.com/open?id=1-LFn7PcmXIQWpMV6LbdeEcsANKveXTo9")</f>
        <v>https://drive.google.com/open?id=1-LFn7PcmXIQWpMV6LbdeEcsANKveXTo9</v>
      </c>
      <c r="L676" s="9"/>
      <c r="M676" s="9" t="str">
        <f ca="1">IFERROR(__xludf.DUMMYFUNCTION("""COMPUTED_VALUE"""),"S4: Student Certifications")</f>
        <v>S4: Student Certifications</v>
      </c>
      <c r="N676" s="9" t="str">
        <f ca="1">IFERROR(__xludf.DUMMYFUNCTION("""COMPUTED_VALUE"""),"jayanth.kundrapu013@gmail.com")</f>
        <v>jayanth.kundrapu013@gmail.com</v>
      </c>
      <c r="O676" s="9" t="str">
        <f ca="1">IFERROR(__xludf.DUMMYFUNCTION("""COMPUTED_VALUE"""),"SEM-8")</f>
        <v>SEM-8</v>
      </c>
      <c r="P676" s="9"/>
      <c r="Q676" s="9"/>
      <c r="R676" s="9"/>
      <c r="S676" s="9"/>
      <c r="T676" s="9"/>
      <c r="U676" s="9"/>
      <c r="V676" s="9"/>
      <c r="W676" s="9"/>
      <c r="X676" s="9"/>
      <c r="Y676" s="9"/>
    </row>
    <row r="677" spans="1:25" ht="26.25" customHeight="1" x14ac:dyDescent="0.15">
      <c r="A677" s="9" t="str">
        <f ca="1">IFERROR(__xludf.DUMMYFUNCTION("""COMPUTED_VALUE"""),"Lalita Manoj Kumar Banisetty")</f>
        <v>Lalita Manoj Kumar Banisetty</v>
      </c>
      <c r="B677" s="9" t="str">
        <f ca="1">IFERROR(__xludf.DUMMYFUNCTION("""COMPUTED_VALUE"""),"18331A0586")</f>
        <v>18331A0586</v>
      </c>
      <c r="C677" s="78" t="str">
        <f ca="1">IFERROR(__xludf.DUMMYFUNCTION("""COMPUTED_VALUE"""),"IBM AI Engineering")</f>
        <v>IBM AI Engineering</v>
      </c>
      <c r="D677" s="9" t="str">
        <f ca="1">IFERROR(__xludf.DUMMYFUNCTION("""COMPUTED_VALUE"""),"Coursera")</f>
        <v>Coursera</v>
      </c>
      <c r="E677" s="9" t="str">
        <f ca="1">IFERROR(__xludf.DUMMYFUNCTION("""COMPUTED_VALUE"""),"1 month")</f>
        <v>1 month</v>
      </c>
      <c r="F677" s="79">
        <f ca="1">IFERROR(__xludf.DUMMYFUNCTION("""COMPUTED_VALUE"""),43953)</f>
        <v>43953</v>
      </c>
      <c r="G677" s="79">
        <f ca="1">IFERROR(__xludf.DUMMYFUNCTION("""COMPUTED_VALUE"""),43984)</f>
        <v>43984</v>
      </c>
      <c r="H677" s="72"/>
      <c r="I677" s="80">
        <f ca="1">IFERROR(__xludf.DUMMYFUNCTION("""COMPUTED_VALUE"""),100)</f>
        <v>100</v>
      </c>
      <c r="J677" s="9"/>
      <c r="K677" s="73" t="str">
        <f ca="1">IFERROR(__xludf.DUMMYFUNCTION("""COMPUTED_VALUE"""),"https://drive.google.com/open?id=16awzWsVSW6x-uXQz_gNSXT0pJp1ebLvo")</f>
        <v>https://drive.google.com/open?id=16awzWsVSW6x-uXQz_gNSXT0pJp1ebLvo</v>
      </c>
      <c r="L677" s="9"/>
      <c r="M677" s="9" t="str">
        <f ca="1">IFERROR(__xludf.DUMMYFUNCTION("""COMPUTED_VALUE"""),"S4: Student Certifications")</f>
        <v>S4: Student Certifications</v>
      </c>
      <c r="N677" s="9" t="str">
        <f ca="1">IFERROR(__xludf.DUMMYFUNCTION("""COMPUTED_VALUE"""),"mano.benesetti@gmail.com")</f>
        <v>mano.benesetti@gmail.com</v>
      </c>
      <c r="O677" s="9" t="str">
        <f ca="1">IFERROR(__xludf.DUMMYFUNCTION("""COMPUTED_VALUE"""),"SEM-8")</f>
        <v>SEM-8</v>
      </c>
      <c r="P677" s="9"/>
      <c r="Q677" s="9"/>
      <c r="R677" s="9"/>
      <c r="S677" s="9"/>
      <c r="T677" s="9"/>
      <c r="U677" s="9"/>
      <c r="V677" s="9"/>
      <c r="W677" s="9"/>
      <c r="X677" s="9"/>
      <c r="Y677" s="9"/>
    </row>
    <row r="678" spans="1:25" ht="26.25" customHeight="1" x14ac:dyDescent="0.15">
      <c r="A678" s="9" t="str">
        <f ca="1">IFERROR(__xludf.DUMMYFUNCTION("""COMPUTED_VALUE"""),"Jayanth Naidu Kundrapu")</f>
        <v>Jayanth Naidu Kundrapu</v>
      </c>
      <c r="B678" s="9" t="str">
        <f ca="1">IFERROR(__xludf.DUMMYFUNCTION("""COMPUTED_VALUE"""),"18331A0582")</f>
        <v>18331A0582</v>
      </c>
      <c r="C678" s="78" t="str">
        <f ca="1">IFERROR(__xludf.DUMMYFUNCTION("""COMPUTED_VALUE"""),"Deep Learning Specialization")</f>
        <v>Deep Learning Specialization</v>
      </c>
      <c r="D678" s="9" t="str">
        <f ca="1">IFERROR(__xludf.DUMMYFUNCTION("""COMPUTED_VALUE"""),"Coursera")</f>
        <v>Coursera</v>
      </c>
      <c r="E678" s="9" t="str">
        <f ca="1">IFERROR(__xludf.DUMMYFUNCTION("""COMPUTED_VALUE"""),"17 Weeks")</f>
        <v>17 Weeks</v>
      </c>
      <c r="F678" s="79">
        <f ca="1">IFERROR(__xludf.DUMMYFUNCTION("""COMPUTED_VALUE"""),43983)</f>
        <v>43983</v>
      </c>
      <c r="G678" s="79">
        <f ca="1">IFERROR(__xludf.DUMMYFUNCTION("""COMPUTED_VALUE"""),44068)</f>
        <v>44068</v>
      </c>
      <c r="H678" s="72"/>
      <c r="I678" s="80">
        <f ca="1">IFERROR(__xludf.DUMMYFUNCTION("""COMPUTED_VALUE"""),100)</f>
        <v>100</v>
      </c>
      <c r="J678" s="9"/>
      <c r="K678" s="73" t="str">
        <f ca="1">IFERROR(__xludf.DUMMYFUNCTION("""COMPUTED_VALUE"""),"https://drive.google.com/open?id=1F0bEQ0NIRcGA9hAz_lnJMgqUTieVjbys")</f>
        <v>https://drive.google.com/open?id=1F0bEQ0NIRcGA9hAz_lnJMgqUTieVjbys</v>
      </c>
      <c r="L678" s="9"/>
      <c r="M678" s="9" t="str">
        <f ca="1">IFERROR(__xludf.DUMMYFUNCTION("""COMPUTED_VALUE"""),"S4: Student Certifications")</f>
        <v>S4: Student Certifications</v>
      </c>
      <c r="N678" s="9" t="str">
        <f ca="1">IFERROR(__xludf.DUMMYFUNCTION("""COMPUTED_VALUE"""),"jayanth.kundrapu013@gmail.com")</f>
        <v>jayanth.kundrapu013@gmail.com</v>
      </c>
      <c r="O678" s="9" t="str">
        <f ca="1">IFERROR(__xludf.DUMMYFUNCTION("""COMPUTED_VALUE"""),"SEM-8")</f>
        <v>SEM-8</v>
      </c>
      <c r="P678" s="9"/>
      <c r="Q678" s="9"/>
      <c r="R678" s="9"/>
      <c r="S678" s="9"/>
      <c r="T678" s="9"/>
      <c r="U678" s="9"/>
      <c r="V678" s="9"/>
      <c r="W678" s="9"/>
      <c r="X678" s="9"/>
      <c r="Y678" s="9"/>
    </row>
    <row r="679" spans="1:25" ht="26.25" customHeight="1" x14ac:dyDescent="0.15">
      <c r="A679" s="9" t="str">
        <f ca="1">IFERROR(__xludf.DUMMYFUNCTION("""COMPUTED_VALUE"""),"Lalita Manoj Kumar Banisetty")</f>
        <v>Lalita Manoj Kumar Banisetty</v>
      </c>
      <c r="B679" s="9" t="str">
        <f ca="1">IFERROR(__xludf.DUMMYFUNCTION("""COMPUTED_VALUE"""),"18331A0586")</f>
        <v>18331A0586</v>
      </c>
      <c r="C679" s="78" t="str">
        <f ca="1">IFERROR(__xludf.DUMMYFUNCTION("""COMPUTED_VALUE"""),"Deep Learning")</f>
        <v>Deep Learning</v>
      </c>
      <c r="D679" s="9" t="str">
        <f ca="1">IFERROR(__xludf.DUMMYFUNCTION("""COMPUTED_VALUE"""),"Coursera")</f>
        <v>Coursera</v>
      </c>
      <c r="E679" s="9" t="str">
        <f ca="1">IFERROR(__xludf.DUMMYFUNCTION("""COMPUTED_VALUE"""),"1 month")</f>
        <v>1 month</v>
      </c>
      <c r="F679" s="79">
        <f ca="1">IFERROR(__xludf.DUMMYFUNCTION("""COMPUTED_VALUE"""),43983)</f>
        <v>43983</v>
      </c>
      <c r="G679" s="79">
        <f ca="1">IFERROR(__xludf.DUMMYFUNCTION("""COMPUTED_VALUE"""),44013)</f>
        <v>44013</v>
      </c>
      <c r="H679" s="72"/>
      <c r="I679" s="80">
        <f ca="1">IFERROR(__xludf.DUMMYFUNCTION("""COMPUTED_VALUE"""),100)</f>
        <v>100</v>
      </c>
      <c r="J679" s="9"/>
      <c r="K679" s="73" t="str">
        <f ca="1">IFERROR(__xludf.DUMMYFUNCTION("""COMPUTED_VALUE"""),"https://drive.google.com/open?id=1RmRH9d-znfWB9L3KEO-EuDEVRAiudBDE")</f>
        <v>https://drive.google.com/open?id=1RmRH9d-znfWB9L3KEO-EuDEVRAiudBDE</v>
      </c>
      <c r="L679" s="9"/>
      <c r="M679" s="9" t="str">
        <f ca="1">IFERROR(__xludf.DUMMYFUNCTION("""COMPUTED_VALUE"""),"S4: Student Certifications")</f>
        <v>S4: Student Certifications</v>
      </c>
      <c r="N679" s="9" t="str">
        <f ca="1">IFERROR(__xludf.DUMMYFUNCTION("""COMPUTED_VALUE"""),"mano.benesetti@gmail.com")</f>
        <v>mano.benesetti@gmail.com</v>
      </c>
      <c r="O679" s="9" t="str">
        <f ca="1">IFERROR(__xludf.DUMMYFUNCTION("""COMPUTED_VALUE"""),"SEM-8")</f>
        <v>SEM-8</v>
      </c>
      <c r="P679" s="9"/>
      <c r="Q679" s="9"/>
      <c r="R679" s="9"/>
      <c r="S679" s="9"/>
      <c r="T679" s="9"/>
      <c r="U679" s="9"/>
      <c r="V679" s="9"/>
      <c r="W679" s="9"/>
      <c r="X679" s="9"/>
      <c r="Y679" s="9"/>
    </row>
    <row r="680" spans="1:25" ht="26.25" customHeight="1" x14ac:dyDescent="0.15">
      <c r="A680" s="9" t="str">
        <f ca="1">IFERROR(__xludf.DUMMYFUNCTION("""COMPUTED_VALUE"""),"Jayanth Naidu Kundrapu")</f>
        <v>Jayanth Naidu Kundrapu</v>
      </c>
      <c r="B680" s="9" t="str">
        <f ca="1">IFERROR(__xludf.DUMMYFUNCTION("""COMPUTED_VALUE"""),"18331A0582")</f>
        <v>18331A0582</v>
      </c>
      <c r="C680" s="78" t="str">
        <f ca="1">IFERROR(__xludf.DUMMYFUNCTION("""COMPUTED_VALUE"""),"Machine Learning Specialization")</f>
        <v>Machine Learning Specialization</v>
      </c>
      <c r="D680" s="9" t="str">
        <f ca="1">IFERROR(__xludf.DUMMYFUNCTION("""COMPUTED_VALUE"""),"Coursera")</f>
        <v>Coursera</v>
      </c>
      <c r="E680" s="9" t="str">
        <f ca="1">IFERROR(__xludf.DUMMYFUNCTION("""COMPUTED_VALUE"""),"25 Weeks")</f>
        <v>25 Weeks</v>
      </c>
      <c r="F680" s="79">
        <f ca="1">IFERROR(__xludf.DUMMYFUNCTION("""COMPUTED_VALUE"""),43983)</f>
        <v>43983</v>
      </c>
      <c r="G680" s="79">
        <f ca="1">IFERROR(__xludf.DUMMYFUNCTION("""COMPUTED_VALUE"""),44028)</f>
        <v>44028</v>
      </c>
      <c r="H680" s="72"/>
      <c r="I680" s="80">
        <f ca="1">IFERROR(__xludf.DUMMYFUNCTION("""COMPUTED_VALUE"""),100)</f>
        <v>100</v>
      </c>
      <c r="J680" s="9"/>
      <c r="K680" s="73" t="str">
        <f ca="1">IFERROR(__xludf.DUMMYFUNCTION("""COMPUTED_VALUE"""),"https://drive.google.com/open?id=1NlwexNlI5-hIUf2y7wGIhsAvMt8BJJDt")</f>
        <v>https://drive.google.com/open?id=1NlwexNlI5-hIUf2y7wGIhsAvMt8BJJDt</v>
      </c>
      <c r="L680" s="9"/>
      <c r="M680" s="9" t="str">
        <f ca="1">IFERROR(__xludf.DUMMYFUNCTION("""COMPUTED_VALUE"""),"S4: Student Certifications")</f>
        <v>S4: Student Certifications</v>
      </c>
      <c r="N680" s="9" t="str">
        <f ca="1">IFERROR(__xludf.DUMMYFUNCTION("""COMPUTED_VALUE"""),"jayanth.kundrapu013@gmail.com")</f>
        <v>jayanth.kundrapu013@gmail.com</v>
      </c>
      <c r="O680" s="9" t="str">
        <f ca="1">IFERROR(__xludf.DUMMYFUNCTION("""COMPUTED_VALUE"""),"SEM-8")</f>
        <v>SEM-8</v>
      </c>
      <c r="P680" s="9"/>
      <c r="Q680" s="9"/>
      <c r="R680" s="9"/>
      <c r="S680" s="9"/>
      <c r="T680" s="9"/>
      <c r="U680" s="9"/>
      <c r="V680" s="9"/>
      <c r="W680" s="9"/>
      <c r="X680" s="9"/>
      <c r="Y680" s="9"/>
    </row>
    <row r="681" spans="1:25" ht="26.25" customHeight="1" x14ac:dyDescent="0.15">
      <c r="A681" s="9" t="str">
        <f ca="1">IFERROR(__xludf.DUMMYFUNCTION("""COMPUTED_VALUE"""),"Jayanth Naidu Kundrapu")</f>
        <v>Jayanth Naidu Kundrapu</v>
      </c>
      <c r="B681" s="9" t="str">
        <f ca="1">IFERROR(__xludf.DUMMYFUNCTION("""COMPUTED_VALUE"""),"18331A0582")</f>
        <v>18331A0582</v>
      </c>
      <c r="C681" s="78" t="str">
        <f ca="1">IFERROR(__xludf.DUMMYFUNCTION("""COMPUTED_VALUE"""),"Python for Everybody Specialization")</f>
        <v>Python for Everybody Specialization</v>
      </c>
      <c r="D681" s="9" t="str">
        <f ca="1">IFERROR(__xludf.DUMMYFUNCTION("""COMPUTED_VALUE"""),"Coursera")</f>
        <v>Coursera</v>
      </c>
      <c r="E681" s="9" t="str">
        <f ca="1">IFERROR(__xludf.DUMMYFUNCTION("""COMPUTED_VALUE"""),"32 Weeks")</f>
        <v>32 Weeks</v>
      </c>
      <c r="F681" s="79">
        <f ca="1">IFERROR(__xludf.DUMMYFUNCTION("""COMPUTED_VALUE"""),43949)</f>
        <v>43949</v>
      </c>
      <c r="G681" s="79">
        <f ca="1">IFERROR(__xludf.DUMMYFUNCTION("""COMPUTED_VALUE"""),44132)</f>
        <v>44132</v>
      </c>
      <c r="H681" s="72"/>
      <c r="I681" s="80">
        <f ca="1">IFERROR(__xludf.DUMMYFUNCTION("""COMPUTED_VALUE"""),100)</f>
        <v>100</v>
      </c>
      <c r="J681" s="9"/>
      <c r="K681" s="73" t="str">
        <f ca="1">IFERROR(__xludf.DUMMYFUNCTION("""COMPUTED_VALUE"""),"https://drive.google.com/open?id=1aWdn87-2tElC3hWhZB0tvAKUMOeNeY7x")</f>
        <v>https://drive.google.com/open?id=1aWdn87-2tElC3hWhZB0tvAKUMOeNeY7x</v>
      </c>
      <c r="L681" s="9"/>
      <c r="M681" s="9" t="str">
        <f ca="1">IFERROR(__xludf.DUMMYFUNCTION("""COMPUTED_VALUE"""),"S4: Student Certifications")</f>
        <v>S4: Student Certifications</v>
      </c>
      <c r="N681" s="9" t="str">
        <f ca="1">IFERROR(__xludf.DUMMYFUNCTION("""COMPUTED_VALUE"""),"jayanth.kundrapu013@gmail.com")</f>
        <v>jayanth.kundrapu013@gmail.com</v>
      </c>
      <c r="O681" s="9" t="str">
        <f ca="1">IFERROR(__xludf.DUMMYFUNCTION("""COMPUTED_VALUE"""),"SEM-8")</f>
        <v>SEM-8</v>
      </c>
      <c r="P681" s="9"/>
      <c r="Q681" s="9"/>
      <c r="R681" s="9"/>
      <c r="S681" s="9"/>
      <c r="T681" s="9"/>
      <c r="U681" s="9"/>
      <c r="V681" s="9"/>
      <c r="W681" s="9"/>
      <c r="X681" s="9"/>
      <c r="Y681" s="9"/>
    </row>
    <row r="682" spans="1:25" ht="26.25" customHeight="1" x14ac:dyDescent="0.15">
      <c r="A682" s="9" t="str">
        <f ca="1">IFERROR(__xludf.DUMMYFUNCTION("""COMPUTED_VALUE"""),"LATCHUBUKTHA SUTESH")</f>
        <v>LATCHUBUKTHA SUTESH</v>
      </c>
      <c r="B682" s="9" t="str">
        <f ca="1">IFERROR(__xludf.DUMMYFUNCTION("""COMPUTED_VALUE"""),"18331A0588")</f>
        <v>18331A0588</v>
      </c>
      <c r="C682" s="78" t="str">
        <f ca="1">IFERROR(__xludf.DUMMYFUNCTION("""COMPUTED_VALUE"""),"web development with PHP")</f>
        <v>web development with PHP</v>
      </c>
      <c r="D682" s="9" t="str">
        <f ca="1">IFERROR(__xludf.DUMMYFUNCTION("""COMPUTED_VALUE"""),"GUVI")</f>
        <v>GUVI</v>
      </c>
      <c r="E682" s="9" t="str">
        <f ca="1">IFERROR(__xludf.DUMMYFUNCTION("""COMPUTED_VALUE"""),"2 months")</f>
        <v>2 months</v>
      </c>
      <c r="F682" s="79">
        <f ca="1">IFERROR(__xludf.DUMMYFUNCTION("""COMPUTED_VALUE"""),44166)</f>
        <v>44166</v>
      </c>
      <c r="G682" s="79">
        <f ca="1">IFERROR(__xludf.DUMMYFUNCTION("""COMPUTED_VALUE"""),44223)</f>
        <v>44223</v>
      </c>
      <c r="H682" s="72"/>
      <c r="I682" s="80">
        <f ca="1">IFERROR(__xludf.DUMMYFUNCTION("""COMPUTED_VALUE"""),100)</f>
        <v>100</v>
      </c>
      <c r="J682" s="9"/>
      <c r="K682" s="73" t="str">
        <f ca="1">IFERROR(__xludf.DUMMYFUNCTION("""COMPUTED_VALUE"""),"https://drive.google.com/open?id=1TtXiDIB95NPCallip9Obht9tCrK4fGSF")</f>
        <v>https://drive.google.com/open?id=1TtXiDIB95NPCallip9Obht9tCrK4fGSF</v>
      </c>
      <c r="L682" s="9"/>
      <c r="M682" s="9" t="str">
        <f ca="1">IFERROR(__xludf.DUMMYFUNCTION("""COMPUTED_VALUE"""),"S4: Student Certifications")</f>
        <v>S4: Student Certifications</v>
      </c>
      <c r="N682" s="9" t="str">
        <f ca="1">IFERROR(__xludf.DUMMYFUNCTION("""COMPUTED_VALUE"""),"latchubukthasutesh9@gmail.com")</f>
        <v>latchubukthasutesh9@gmail.com</v>
      </c>
      <c r="O682" s="9" t="str">
        <f ca="1">IFERROR(__xludf.DUMMYFUNCTION("""COMPUTED_VALUE"""),"SEM-5")</f>
        <v>SEM-5</v>
      </c>
      <c r="P682" s="9"/>
      <c r="Q682" s="9"/>
      <c r="R682" s="9"/>
      <c r="S682" s="9"/>
      <c r="T682" s="9"/>
      <c r="U682" s="9"/>
      <c r="V682" s="9"/>
      <c r="W682" s="9"/>
      <c r="X682" s="9"/>
      <c r="Y682" s="9"/>
    </row>
    <row r="683" spans="1:25" ht="26.25" customHeight="1" x14ac:dyDescent="0.15">
      <c r="A683" s="9" t="str">
        <f ca="1">IFERROR(__xludf.DUMMYFUNCTION("""COMPUTED_VALUE"""),"LATCHUBUKTHA SUTESH")</f>
        <v>LATCHUBUKTHA SUTESH</v>
      </c>
      <c r="B683" s="9" t="str">
        <f ca="1">IFERROR(__xludf.DUMMYFUNCTION("""COMPUTED_VALUE"""),"18331A0588")</f>
        <v>18331A0588</v>
      </c>
      <c r="C683" s="78" t="str">
        <f ca="1">IFERROR(__xludf.DUMMYFUNCTION("""COMPUTED_VALUE"""),"web design for everybody specialization")</f>
        <v>web design for everybody specialization</v>
      </c>
      <c r="D683" s="9" t="str">
        <f ca="1">IFERROR(__xludf.DUMMYFUNCTION("""COMPUTED_VALUE"""),"coursera")</f>
        <v>coursera</v>
      </c>
      <c r="E683" s="9" t="str">
        <f ca="1">IFERROR(__xludf.DUMMYFUNCTION("""COMPUTED_VALUE"""),"2.5 months")</f>
        <v>2.5 months</v>
      </c>
      <c r="F683" s="79">
        <f ca="1">IFERROR(__xludf.DUMMYFUNCTION("""COMPUTED_VALUE"""),44317)</f>
        <v>44317</v>
      </c>
      <c r="G683" s="79">
        <f ca="1">IFERROR(__xludf.DUMMYFUNCTION("""COMPUTED_VALUE"""),44404)</f>
        <v>44404</v>
      </c>
      <c r="H683" s="72"/>
      <c r="I683" s="80">
        <f ca="1">IFERROR(__xludf.DUMMYFUNCTION("""COMPUTED_VALUE"""),100)</f>
        <v>100</v>
      </c>
      <c r="J683" s="9"/>
      <c r="K683" s="73" t="str">
        <f ca="1">IFERROR(__xludf.DUMMYFUNCTION("""COMPUTED_VALUE"""),"https://drive.google.com/open?id=1Dhp6qjthgFEOThTQDTfWho_H-WWT44_b")</f>
        <v>https://drive.google.com/open?id=1Dhp6qjthgFEOThTQDTfWho_H-WWT44_b</v>
      </c>
      <c r="L683" s="9"/>
      <c r="M683" s="9" t="str">
        <f ca="1">IFERROR(__xludf.DUMMYFUNCTION("""COMPUTED_VALUE"""),"S4: Student Certifications")</f>
        <v>S4: Student Certifications</v>
      </c>
      <c r="N683" s="9" t="str">
        <f ca="1">IFERROR(__xludf.DUMMYFUNCTION("""COMPUTED_VALUE"""),"latchubukthasutesh9@gmail.com")</f>
        <v>latchubukthasutesh9@gmail.com</v>
      </c>
      <c r="O683" s="9" t="str">
        <f ca="1">IFERROR(__xludf.DUMMYFUNCTION("""COMPUTED_VALUE"""),"SEM-5")</f>
        <v>SEM-5</v>
      </c>
      <c r="P683" s="9"/>
      <c r="Q683" s="9"/>
      <c r="R683" s="9"/>
      <c r="S683" s="9"/>
      <c r="T683" s="9"/>
      <c r="U683" s="9"/>
      <c r="V683" s="9"/>
      <c r="W683" s="9"/>
      <c r="X683" s="9"/>
      <c r="Y683" s="9"/>
    </row>
    <row r="684" spans="1:25" ht="26.25" customHeight="1" x14ac:dyDescent="0.15">
      <c r="A684" s="9" t="str">
        <f ca="1">IFERROR(__xludf.DUMMYFUNCTION("""COMPUTED_VALUE"""),"LATCHUBUKTHA SUTESH")</f>
        <v>LATCHUBUKTHA SUTESH</v>
      </c>
      <c r="B684" s="9" t="str">
        <f ca="1">IFERROR(__xludf.DUMMYFUNCTION("""COMPUTED_VALUE"""),"18331A0588")</f>
        <v>18331A0588</v>
      </c>
      <c r="C684" s="78" t="str">
        <f ca="1">IFERROR(__xludf.DUMMYFUNCTION("""COMPUTED_VALUE"""),"python")</f>
        <v>python</v>
      </c>
      <c r="D684" s="9" t="str">
        <f ca="1">IFERROR(__xludf.DUMMYFUNCTION("""COMPUTED_VALUE"""),"coursera")</f>
        <v>coursera</v>
      </c>
      <c r="E684" s="9" t="str">
        <f ca="1">IFERROR(__xludf.DUMMYFUNCTION("""COMPUTED_VALUE"""),"6 weeks")</f>
        <v>6 weeks</v>
      </c>
      <c r="F684" s="79">
        <f ca="1">IFERROR(__xludf.DUMMYFUNCTION("""COMPUTED_VALUE"""),43983)</f>
        <v>43983</v>
      </c>
      <c r="G684" s="79">
        <f ca="1">IFERROR(__xludf.DUMMYFUNCTION("""COMPUTED_VALUE"""),44025)</f>
        <v>44025</v>
      </c>
      <c r="H684" s="72"/>
      <c r="I684" s="80">
        <f ca="1">IFERROR(__xludf.DUMMYFUNCTION("""COMPUTED_VALUE"""),100)</f>
        <v>100</v>
      </c>
      <c r="J684" s="9"/>
      <c r="K684" s="73" t="str">
        <f ca="1">IFERROR(__xludf.DUMMYFUNCTION("""COMPUTED_VALUE"""),"https://drive.google.com/open?id=1fi0Z1H19IdAX4JGRgcJSA1UhyaJIif94")</f>
        <v>https://drive.google.com/open?id=1fi0Z1H19IdAX4JGRgcJSA1UhyaJIif94</v>
      </c>
      <c r="L684" s="9"/>
      <c r="M684" s="9" t="str">
        <f ca="1">IFERROR(__xludf.DUMMYFUNCTION("""COMPUTED_VALUE"""),"S4: Student Certifications")</f>
        <v>S4: Student Certifications</v>
      </c>
      <c r="N684" s="9" t="str">
        <f ca="1">IFERROR(__xludf.DUMMYFUNCTION("""COMPUTED_VALUE"""),"latchubukthasutesh9@gmail.com")</f>
        <v>latchubukthasutesh9@gmail.com</v>
      </c>
      <c r="O684" s="9" t="str">
        <f ca="1">IFERROR(__xludf.DUMMYFUNCTION("""COMPUTED_VALUE"""),"SEM-5")</f>
        <v>SEM-5</v>
      </c>
      <c r="P684" s="9"/>
      <c r="Q684" s="9"/>
      <c r="R684" s="9"/>
      <c r="S684" s="9"/>
      <c r="T684" s="9"/>
      <c r="U684" s="9"/>
      <c r="V684" s="9"/>
      <c r="W684" s="9"/>
      <c r="X684" s="9"/>
      <c r="Y684" s="9"/>
    </row>
    <row r="685" spans="1:25" ht="26.25" customHeight="1" x14ac:dyDescent="0.15">
      <c r="A685" s="9" t="str">
        <f ca="1">IFERROR(__xludf.DUMMYFUNCTION("""COMPUTED_VALUE"""),"Venkata Jaswanth Potnuru")</f>
        <v>Venkata Jaswanth Potnuru</v>
      </c>
      <c r="B685" s="9" t="str">
        <f ca="1">IFERROR(__xludf.DUMMYFUNCTION("""COMPUTED_VALUE"""),"19335A0513")</f>
        <v>19335A0513</v>
      </c>
      <c r="C685" s="78" t="str">
        <f ca="1">IFERROR(__xludf.DUMMYFUNCTION("""COMPUTED_VALUE"""),"Applied Data Science with Python(Specialization)")</f>
        <v>Applied Data Science with Python(Specialization)</v>
      </c>
      <c r="D685" s="9" t="str">
        <f ca="1">IFERROR(__xludf.DUMMYFUNCTION("""COMPUTED_VALUE"""),"University of Michigan(Coursera)")</f>
        <v>University of Michigan(Coursera)</v>
      </c>
      <c r="E685" s="9" t="str">
        <f ca="1">IFERROR(__xludf.DUMMYFUNCTION("""COMPUTED_VALUE"""),"1 Month")</f>
        <v>1 Month</v>
      </c>
      <c r="F685" s="79">
        <f ca="1">IFERROR(__xludf.DUMMYFUNCTION("""COMPUTED_VALUE"""),43956)</f>
        <v>43956</v>
      </c>
      <c r="G685" s="79">
        <f ca="1">IFERROR(__xludf.DUMMYFUNCTION("""COMPUTED_VALUE"""),43987)</f>
        <v>43987</v>
      </c>
      <c r="H685" s="72"/>
      <c r="I685" s="80">
        <f ca="1">IFERROR(__xludf.DUMMYFUNCTION("""COMPUTED_VALUE"""),95)</f>
        <v>95</v>
      </c>
      <c r="J685" s="9"/>
      <c r="K685" s="73" t="str">
        <f ca="1">IFERROR(__xludf.DUMMYFUNCTION("""COMPUTED_VALUE"""),"https://drive.google.com/open?id=1cAMFTLKCHjWkBV2I-GunXg0YeOIJ-00c")</f>
        <v>https://drive.google.com/open?id=1cAMFTLKCHjWkBV2I-GunXg0YeOIJ-00c</v>
      </c>
      <c r="L685" s="9"/>
      <c r="M685" s="9" t="str">
        <f ca="1">IFERROR(__xludf.DUMMYFUNCTION("""COMPUTED_VALUE"""),"S4: Student Certifications")</f>
        <v>S4: Student Certifications</v>
      </c>
      <c r="N685" s="9" t="str">
        <f ca="1">IFERROR(__xludf.DUMMYFUNCTION("""COMPUTED_VALUE"""),"venkatajaswanth10@gmail.com")</f>
        <v>venkatajaswanth10@gmail.com</v>
      </c>
      <c r="O685" s="9" t="str">
        <f ca="1">IFERROR(__xludf.DUMMYFUNCTION("""COMPUTED_VALUE"""),"SEM-4")</f>
        <v>SEM-4</v>
      </c>
      <c r="P685" s="9"/>
      <c r="Q685" s="9"/>
      <c r="R685" s="9"/>
      <c r="S685" s="9"/>
      <c r="T685" s="9"/>
      <c r="U685" s="9"/>
      <c r="V685" s="9"/>
      <c r="W685" s="9"/>
      <c r="X685" s="9"/>
      <c r="Y685" s="9"/>
    </row>
    <row r="686" spans="1:25" ht="26.25" customHeight="1" x14ac:dyDescent="0.15">
      <c r="A686" s="9" t="str">
        <f ca="1">IFERROR(__xludf.DUMMYFUNCTION("""COMPUTED_VALUE"""),"LATCHUBUKTHA SUTESH")</f>
        <v>LATCHUBUKTHA SUTESH</v>
      </c>
      <c r="B686" s="9" t="str">
        <f ca="1">IFERROR(__xludf.DUMMYFUNCTION("""COMPUTED_VALUE"""),"18331A0588")</f>
        <v>18331A0588</v>
      </c>
      <c r="C686" s="78" t="str">
        <f ca="1">IFERROR(__xludf.DUMMYFUNCTION("""COMPUTED_VALUE"""),"Introduction to Data Engineering")</f>
        <v>Introduction to Data Engineering</v>
      </c>
      <c r="D686" s="9" t="str">
        <f ca="1">IFERROR(__xludf.DUMMYFUNCTION("""COMPUTED_VALUE"""),"IBM (Coursera)")</f>
        <v>IBM (Coursera)</v>
      </c>
      <c r="E686" s="9" t="str">
        <f ca="1">IFERROR(__xludf.DUMMYFUNCTION("""COMPUTED_VALUE"""),"1 month")</f>
        <v>1 month</v>
      </c>
      <c r="F686" s="79">
        <f ca="1">IFERROR(__xludf.DUMMYFUNCTION("""COMPUTED_VALUE"""),44624)</f>
        <v>44624</v>
      </c>
      <c r="G686" s="79">
        <f ca="1">IFERROR(__xludf.DUMMYFUNCTION("""COMPUTED_VALUE"""),44651)</f>
        <v>44651</v>
      </c>
      <c r="H686" s="72"/>
      <c r="I686" s="80">
        <f ca="1">IFERROR(__xludf.DUMMYFUNCTION("""COMPUTED_VALUE"""),100)</f>
        <v>100</v>
      </c>
      <c r="J686" s="9"/>
      <c r="K686" s="73" t="str">
        <f ca="1">IFERROR(__xludf.DUMMYFUNCTION("""COMPUTED_VALUE"""),"https://drive.google.com/open?id=1i71iub01sPYIBOcM1Koogh6BbkGyxtuM")</f>
        <v>https://drive.google.com/open?id=1i71iub01sPYIBOcM1Koogh6BbkGyxtuM</v>
      </c>
      <c r="L686" s="9"/>
      <c r="M686" s="9" t="str">
        <f ca="1">IFERROR(__xludf.DUMMYFUNCTION("""COMPUTED_VALUE"""),"S4: Student Certifications")</f>
        <v>S4: Student Certifications</v>
      </c>
      <c r="N686" s="9" t="str">
        <f ca="1">IFERROR(__xludf.DUMMYFUNCTION("""COMPUTED_VALUE"""),"latchubukthasutesh9@gmail.com")</f>
        <v>latchubukthasutesh9@gmail.com</v>
      </c>
      <c r="O686" s="9" t="str">
        <f ca="1">IFERROR(__xludf.DUMMYFUNCTION("""COMPUTED_VALUE"""),"SEM-8")</f>
        <v>SEM-8</v>
      </c>
      <c r="P686" s="9"/>
      <c r="Q686" s="9"/>
      <c r="R686" s="9"/>
      <c r="S686" s="9"/>
      <c r="T686" s="9"/>
      <c r="U686" s="9"/>
      <c r="V686" s="9"/>
      <c r="W686" s="9"/>
      <c r="X686" s="9"/>
      <c r="Y686" s="9"/>
    </row>
    <row r="687" spans="1:25" ht="26.25" customHeight="1" x14ac:dyDescent="0.15">
      <c r="A687" s="9" t="str">
        <f ca="1">IFERROR(__xludf.DUMMYFUNCTION("""COMPUTED_VALUE"""),"Venkata Jaswanth Potnuru")</f>
        <v>Venkata Jaswanth Potnuru</v>
      </c>
      <c r="B687" s="9" t="str">
        <f ca="1">IFERROR(__xludf.DUMMYFUNCTION("""COMPUTED_VALUE"""),"19335A0513")</f>
        <v>19335A0513</v>
      </c>
      <c r="C687" s="78" t="str">
        <f ca="1">IFERROR(__xludf.DUMMYFUNCTION("""COMPUTED_VALUE"""),"Improve Your English Communication Skills(Specialization)")</f>
        <v>Improve Your English Communication Skills(Specialization)</v>
      </c>
      <c r="D687" s="9" t="str">
        <f ca="1">IFERROR(__xludf.DUMMYFUNCTION("""COMPUTED_VALUE"""),"Georgia Tech(Coursera)")</f>
        <v>Georgia Tech(Coursera)</v>
      </c>
      <c r="E687" s="9" t="str">
        <f ca="1">IFERROR(__xludf.DUMMYFUNCTION("""COMPUTED_VALUE"""),"1 Month")</f>
        <v>1 Month</v>
      </c>
      <c r="F687" s="79">
        <f ca="1">IFERROR(__xludf.DUMMYFUNCTION("""COMPUTED_VALUE"""),43947)</f>
        <v>43947</v>
      </c>
      <c r="G687" s="79">
        <f ca="1">IFERROR(__xludf.DUMMYFUNCTION("""COMPUTED_VALUE"""),43977)</f>
        <v>43977</v>
      </c>
      <c r="H687" s="72"/>
      <c r="I687" s="80">
        <f ca="1">IFERROR(__xludf.DUMMYFUNCTION("""COMPUTED_VALUE"""),90)</f>
        <v>90</v>
      </c>
      <c r="J687" s="9"/>
      <c r="K687" s="73" t="str">
        <f ca="1">IFERROR(__xludf.DUMMYFUNCTION("""COMPUTED_VALUE"""),"https://drive.google.com/open?id=1OeXhP9BX7EjRXA4AybYm8u_PnjA2vZD_")</f>
        <v>https://drive.google.com/open?id=1OeXhP9BX7EjRXA4AybYm8u_PnjA2vZD_</v>
      </c>
      <c r="L687" s="9"/>
      <c r="M687" s="9" t="str">
        <f ca="1">IFERROR(__xludf.DUMMYFUNCTION("""COMPUTED_VALUE"""),"S4: Student Certifications")</f>
        <v>S4: Student Certifications</v>
      </c>
      <c r="N687" s="9" t="str">
        <f ca="1">IFERROR(__xludf.DUMMYFUNCTION("""COMPUTED_VALUE"""),"venkatajaswanth10@gmail.com")</f>
        <v>venkatajaswanth10@gmail.com</v>
      </c>
      <c r="O687" s="9" t="str">
        <f ca="1">IFERROR(__xludf.DUMMYFUNCTION("""COMPUTED_VALUE"""),"SEM-4")</f>
        <v>SEM-4</v>
      </c>
      <c r="P687" s="9"/>
      <c r="Q687" s="9"/>
      <c r="R687" s="9"/>
      <c r="S687" s="9"/>
      <c r="T687" s="9"/>
      <c r="U687" s="9"/>
      <c r="V687" s="9"/>
      <c r="W687" s="9"/>
      <c r="X687" s="9"/>
      <c r="Y687" s="9"/>
    </row>
    <row r="688" spans="1:25" ht="26.25" customHeight="1" x14ac:dyDescent="0.15">
      <c r="A688" s="9" t="str">
        <f ca="1">IFERROR(__xludf.DUMMYFUNCTION("""COMPUTED_VALUE"""),"LATCHUBUKTHA SUTESH")</f>
        <v>LATCHUBUKTHA SUTESH</v>
      </c>
      <c r="B688" s="9" t="str">
        <f ca="1">IFERROR(__xludf.DUMMYFUNCTION("""COMPUTED_VALUE"""),"18331A0588")</f>
        <v>18331A0588</v>
      </c>
      <c r="C688" s="78" t="str">
        <f ca="1">IFERROR(__xludf.DUMMYFUNCTION("""COMPUTED_VALUE"""),"Communication Strategies for a Virtual Age")</f>
        <v>Communication Strategies for a Virtual Age</v>
      </c>
      <c r="D688" s="9" t="str">
        <f ca="1">IFERROR(__xludf.DUMMYFUNCTION("""COMPUTED_VALUE"""),"university of toronto")</f>
        <v>university of toronto</v>
      </c>
      <c r="E688" s="9" t="str">
        <f ca="1">IFERROR(__xludf.DUMMYFUNCTION("""COMPUTED_VALUE"""),"1 month")</f>
        <v>1 month</v>
      </c>
      <c r="F688" s="79">
        <f ca="1">IFERROR(__xludf.DUMMYFUNCTION("""COMPUTED_VALUE"""),44625)</f>
        <v>44625</v>
      </c>
      <c r="G688" s="79">
        <f ca="1">IFERROR(__xludf.DUMMYFUNCTION("""COMPUTED_VALUE"""),44651)</f>
        <v>44651</v>
      </c>
      <c r="H688" s="72"/>
      <c r="I688" s="80">
        <f ca="1">IFERROR(__xludf.DUMMYFUNCTION("""COMPUTED_VALUE"""),98)</f>
        <v>98</v>
      </c>
      <c r="J688" s="9"/>
      <c r="K688" s="73" t="str">
        <f ca="1">IFERROR(__xludf.DUMMYFUNCTION("""COMPUTED_VALUE"""),"https://drive.google.com/open?id=1xrvdPblNZdieK7Tl45AKSy8hEruk14kh")</f>
        <v>https://drive.google.com/open?id=1xrvdPblNZdieK7Tl45AKSy8hEruk14kh</v>
      </c>
      <c r="L688" s="9"/>
      <c r="M688" s="9" t="str">
        <f ca="1">IFERROR(__xludf.DUMMYFUNCTION("""COMPUTED_VALUE"""),"S4: Student Certifications")</f>
        <v>S4: Student Certifications</v>
      </c>
      <c r="N688" s="9" t="str">
        <f ca="1">IFERROR(__xludf.DUMMYFUNCTION("""COMPUTED_VALUE"""),"latchubukthasutesh9@gmail.com")</f>
        <v>latchubukthasutesh9@gmail.com</v>
      </c>
      <c r="O688" s="9" t="str">
        <f ca="1">IFERROR(__xludf.DUMMYFUNCTION("""COMPUTED_VALUE"""),"SEM-8")</f>
        <v>SEM-8</v>
      </c>
      <c r="P688" s="9"/>
      <c r="Q688" s="9"/>
      <c r="R688" s="9"/>
      <c r="S688" s="9"/>
      <c r="T688" s="9"/>
      <c r="U688" s="9"/>
      <c r="V688" s="9"/>
      <c r="W688" s="9"/>
      <c r="X688" s="9"/>
      <c r="Y688" s="9"/>
    </row>
    <row r="689" spans="1:25" ht="26.25" customHeight="1" x14ac:dyDescent="0.15">
      <c r="A689" s="9" t="str">
        <f ca="1">IFERROR(__xludf.DUMMYFUNCTION("""COMPUTED_VALUE"""),"Venkata Jaswanth Potnuru")</f>
        <v>Venkata Jaswanth Potnuru</v>
      </c>
      <c r="B689" s="9" t="str">
        <f ca="1">IFERROR(__xludf.DUMMYFUNCTION("""COMPUTED_VALUE"""),"19335A0513")</f>
        <v>19335A0513</v>
      </c>
      <c r="C689" s="78" t="str">
        <f ca="1">IFERROR(__xludf.DUMMYFUNCTION("""COMPUTED_VALUE"""),"IBM Data Science(Specialization)")</f>
        <v>IBM Data Science(Specialization)</v>
      </c>
      <c r="D689" s="9" t="str">
        <f ca="1">IFERROR(__xludf.DUMMYFUNCTION("""COMPUTED_VALUE"""),"IBM(Coursera)")</f>
        <v>IBM(Coursera)</v>
      </c>
      <c r="E689" s="9" t="str">
        <f ca="1">IFERROR(__xludf.DUMMYFUNCTION("""COMPUTED_VALUE"""),"3 Months")</f>
        <v>3 Months</v>
      </c>
      <c r="F689" s="79">
        <f ca="1">IFERROR(__xludf.DUMMYFUNCTION("""COMPUTED_VALUE"""),43872)</f>
        <v>43872</v>
      </c>
      <c r="G689" s="79">
        <f ca="1">IFERROR(__xludf.DUMMYFUNCTION("""COMPUTED_VALUE"""),43962)</f>
        <v>43962</v>
      </c>
      <c r="H689" s="72"/>
      <c r="I689" s="80">
        <f ca="1">IFERROR(__xludf.DUMMYFUNCTION("""COMPUTED_VALUE"""),89)</f>
        <v>89</v>
      </c>
      <c r="J689" s="9"/>
      <c r="K689" s="73" t="str">
        <f ca="1">IFERROR(__xludf.DUMMYFUNCTION("""COMPUTED_VALUE"""),"https://drive.google.com/open?id=1fKww0SyugKLD3tmwY4Wlsn4glHuSBXmG")</f>
        <v>https://drive.google.com/open?id=1fKww0SyugKLD3tmwY4Wlsn4glHuSBXmG</v>
      </c>
      <c r="L689" s="9"/>
      <c r="M689" s="9" t="str">
        <f ca="1">IFERROR(__xludf.DUMMYFUNCTION("""COMPUTED_VALUE"""),"S4: Student Certifications")</f>
        <v>S4: Student Certifications</v>
      </c>
      <c r="N689" s="9" t="str">
        <f ca="1">IFERROR(__xludf.DUMMYFUNCTION("""COMPUTED_VALUE"""),"venkatajaswanth10@gmail.com")</f>
        <v>venkatajaswanth10@gmail.com</v>
      </c>
      <c r="O689" s="9" t="str">
        <f ca="1">IFERROR(__xludf.DUMMYFUNCTION("""COMPUTED_VALUE"""),"SEM-4")</f>
        <v>SEM-4</v>
      </c>
      <c r="P689" s="9"/>
      <c r="Q689" s="9"/>
      <c r="R689" s="9"/>
      <c r="S689" s="9"/>
      <c r="T689" s="9"/>
      <c r="U689" s="9"/>
      <c r="V689" s="9"/>
      <c r="W689" s="9"/>
      <c r="X689" s="9"/>
      <c r="Y689" s="9"/>
    </row>
    <row r="690" spans="1:25" ht="26.25" customHeight="1" x14ac:dyDescent="0.15">
      <c r="A690" s="9" t="str">
        <f ca="1">IFERROR(__xludf.DUMMYFUNCTION("""COMPUTED_VALUE"""),"Venkata Jaswanth Potnuru")</f>
        <v>Venkata Jaswanth Potnuru</v>
      </c>
      <c r="B690" s="9" t="str">
        <f ca="1">IFERROR(__xludf.DUMMYFUNCTION("""COMPUTED_VALUE"""),"19335A0513")</f>
        <v>19335A0513</v>
      </c>
      <c r="C690" s="78" t="str">
        <f ca="1">IFERROR(__xludf.DUMMYFUNCTION("""COMPUTED_VALUE"""),"Introduction to Data Science(Specialization)")</f>
        <v>Introduction to Data Science(Specialization)</v>
      </c>
      <c r="D690" s="9" t="str">
        <f ca="1">IFERROR(__xludf.DUMMYFUNCTION("""COMPUTED_VALUE"""),"IBM(Coursera)")</f>
        <v>IBM(Coursera)</v>
      </c>
      <c r="E690" s="9" t="str">
        <f ca="1">IFERROR(__xludf.DUMMYFUNCTION("""COMPUTED_VALUE"""),"2 Months")</f>
        <v>2 Months</v>
      </c>
      <c r="F690" s="79">
        <f ca="1">IFERROR(__xludf.DUMMYFUNCTION("""COMPUTED_VALUE"""),43889)</f>
        <v>43889</v>
      </c>
      <c r="G690" s="79">
        <f ca="1">IFERROR(__xludf.DUMMYFUNCTION("""COMPUTED_VALUE"""),43952)</f>
        <v>43952</v>
      </c>
      <c r="H690" s="72"/>
      <c r="I690" s="80">
        <f ca="1">IFERROR(__xludf.DUMMYFUNCTION("""COMPUTED_VALUE"""),90)</f>
        <v>90</v>
      </c>
      <c r="J690" s="9"/>
      <c r="K690" s="73" t="str">
        <f ca="1">IFERROR(__xludf.DUMMYFUNCTION("""COMPUTED_VALUE"""),"https://drive.google.com/open?id=1WhM43UDaOxHQY-7GS8YGWIJ5hm16RGGe")</f>
        <v>https://drive.google.com/open?id=1WhM43UDaOxHQY-7GS8YGWIJ5hm16RGGe</v>
      </c>
      <c r="L690" s="9"/>
      <c r="M690" s="9" t="str">
        <f ca="1">IFERROR(__xludf.DUMMYFUNCTION("""COMPUTED_VALUE"""),"S4: Student Certifications")</f>
        <v>S4: Student Certifications</v>
      </c>
      <c r="N690" s="9" t="str">
        <f ca="1">IFERROR(__xludf.DUMMYFUNCTION("""COMPUTED_VALUE"""),"venkatajaswanth10@gmail.com")</f>
        <v>venkatajaswanth10@gmail.com</v>
      </c>
      <c r="O690" s="9" t="str">
        <f ca="1">IFERROR(__xludf.DUMMYFUNCTION("""COMPUTED_VALUE"""),"SEM-4")</f>
        <v>SEM-4</v>
      </c>
      <c r="P690" s="9"/>
      <c r="Q690" s="9"/>
      <c r="R690" s="9"/>
      <c r="S690" s="9"/>
      <c r="T690" s="9"/>
      <c r="U690" s="9"/>
      <c r="V690" s="9"/>
      <c r="W690" s="9"/>
      <c r="X690" s="9"/>
      <c r="Y690" s="9"/>
    </row>
    <row r="691" spans="1:25" ht="26.25" customHeight="1" x14ac:dyDescent="0.15">
      <c r="A691" s="9" t="str">
        <f ca="1">IFERROR(__xludf.DUMMYFUNCTION("""COMPUTED_VALUE"""),"Venkata Jaswanth Potnuru")</f>
        <v>Venkata Jaswanth Potnuru</v>
      </c>
      <c r="B691" s="9" t="str">
        <f ca="1">IFERROR(__xludf.DUMMYFUNCTION("""COMPUTED_VALUE"""),"19335A0513")</f>
        <v>19335A0513</v>
      </c>
      <c r="C691" s="78" t="str">
        <f ca="1">IFERROR(__xludf.DUMMYFUNCTION("""COMPUTED_VALUE"""),"Deep Learning(Specialization)")</f>
        <v>Deep Learning(Specialization)</v>
      </c>
      <c r="D691" s="9" t="str">
        <f ca="1">IFERROR(__xludf.DUMMYFUNCTION("""COMPUTED_VALUE"""),"DeepLearning.AI(Coursera)")</f>
        <v>DeepLearning.AI(Coursera)</v>
      </c>
      <c r="E691" s="9" t="str">
        <f ca="1">IFERROR(__xludf.DUMMYFUNCTION("""COMPUTED_VALUE"""),"3 Months")</f>
        <v>3 Months</v>
      </c>
      <c r="F691" s="79">
        <f ca="1">IFERROR(__xludf.DUMMYFUNCTION("""COMPUTED_VALUE"""),43845)</f>
        <v>43845</v>
      </c>
      <c r="G691" s="79">
        <f ca="1">IFERROR(__xludf.DUMMYFUNCTION("""COMPUTED_VALUE"""),43951)</f>
        <v>43951</v>
      </c>
      <c r="H691" s="72"/>
      <c r="I691" s="80">
        <f ca="1">IFERROR(__xludf.DUMMYFUNCTION("""COMPUTED_VALUE"""),85)</f>
        <v>85</v>
      </c>
      <c r="J691" s="9"/>
      <c r="K691" s="73" t="str">
        <f ca="1">IFERROR(__xludf.DUMMYFUNCTION("""COMPUTED_VALUE"""),"https://drive.google.com/open?id=1a0W0kLYN6X4c54EQ7RRsH55ywL6cAV93")</f>
        <v>https://drive.google.com/open?id=1a0W0kLYN6X4c54EQ7RRsH55ywL6cAV93</v>
      </c>
      <c r="L691" s="9"/>
      <c r="M691" s="9" t="str">
        <f ca="1">IFERROR(__xludf.DUMMYFUNCTION("""COMPUTED_VALUE"""),"S4: Student Certifications")</f>
        <v>S4: Student Certifications</v>
      </c>
      <c r="N691" s="9" t="str">
        <f ca="1">IFERROR(__xludf.DUMMYFUNCTION("""COMPUTED_VALUE"""),"venkatajaswanth10@gmail.com")</f>
        <v>venkatajaswanth10@gmail.com</v>
      </c>
      <c r="O691" s="9" t="str">
        <f ca="1">IFERROR(__xludf.DUMMYFUNCTION("""COMPUTED_VALUE"""),"SEM-4")</f>
        <v>SEM-4</v>
      </c>
      <c r="P691" s="9"/>
      <c r="Q691" s="9"/>
      <c r="R691" s="9"/>
      <c r="S691" s="9"/>
      <c r="T691" s="9"/>
      <c r="U691" s="9"/>
      <c r="V691" s="9"/>
      <c r="W691" s="9"/>
      <c r="X691" s="9"/>
      <c r="Y691" s="9"/>
    </row>
    <row r="692" spans="1:25" ht="26.25" customHeight="1" x14ac:dyDescent="0.15">
      <c r="A692" s="9" t="str">
        <f ca="1">IFERROR(__xludf.DUMMYFUNCTION("""COMPUTED_VALUE"""),"Venkata Jaswanth Potnuru")</f>
        <v>Venkata Jaswanth Potnuru</v>
      </c>
      <c r="B692" s="9" t="str">
        <f ca="1">IFERROR(__xludf.DUMMYFUNCTION("""COMPUTED_VALUE"""),"19335A0513")</f>
        <v>19335A0513</v>
      </c>
      <c r="C692" s="78" t="str">
        <f ca="1">IFERROR(__xludf.DUMMYFUNCTION("""COMPUTED_VALUE"""),"DeepLearning.AI TensorFlow Developer(Specialization)")</f>
        <v>DeepLearning.AI TensorFlow Developer(Specialization)</v>
      </c>
      <c r="D692" s="9" t="str">
        <f ca="1">IFERROR(__xludf.DUMMYFUNCTION("""COMPUTED_VALUE"""),"DeepLearning.AI(Coursera)")</f>
        <v>DeepLearning.AI(Coursera)</v>
      </c>
      <c r="E692" s="9" t="str">
        <f ca="1">IFERROR(__xludf.DUMMYFUNCTION("""COMPUTED_VALUE"""),"3 Months")</f>
        <v>3 Months</v>
      </c>
      <c r="F692" s="79">
        <f ca="1">IFERROR(__xludf.DUMMYFUNCTION("""COMPUTED_VALUE"""),43836)</f>
        <v>43836</v>
      </c>
      <c r="G692" s="79">
        <f ca="1">IFERROR(__xludf.DUMMYFUNCTION("""COMPUTED_VALUE"""),43959)</f>
        <v>43959</v>
      </c>
      <c r="H692" s="72"/>
      <c r="I692" s="80">
        <f ca="1">IFERROR(__xludf.DUMMYFUNCTION("""COMPUTED_VALUE"""),85)</f>
        <v>85</v>
      </c>
      <c r="J692" s="9"/>
      <c r="K692" s="73" t="str">
        <f ca="1">IFERROR(__xludf.DUMMYFUNCTION("""COMPUTED_VALUE"""),"https://drive.google.com/open?id=1h2MA5r0Ck1hOcDIAJNWn-uQu9n7mREza")</f>
        <v>https://drive.google.com/open?id=1h2MA5r0Ck1hOcDIAJNWn-uQu9n7mREza</v>
      </c>
      <c r="L692" s="9"/>
      <c r="M692" s="9" t="str">
        <f ca="1">IFERROR(__xludf.DUMMYFUNCTION("""COMPUTED_VALUE"""),"S4: Student Certifications")</f>
        <v>S4: Student Certifications</v>
      </c>
      <c r="N692" s="9" t="str">
        <f ca="1">IFERROR(__xludf.DUMMYFUNCTION("""COMPUTED_VALUE"""),"venkatajaswanth10@gmail.com")</f>
        <v>venkatajaswanth10@gmail.com</v>
      </c>
      <c r="O692" s="9" t="str">
        <f ca="1">IFERROR(__xludf.DUMMYFUNCTION("""COMPUTED_VALUE"""),"SEM-4")</f>
        <v>SEM-4</v>
      </c>
      <c r="P692" s="9"/>
      <c r="Q692" s="9"/>
      <c r="R692" s="9"/>
      <c r="S692" s="9"/>
      <c r="T692" s="9"/>
      <c r="U692" s="9"/>
      <c r="V692" s="9"/>
      <c r="W692" s="9"/>
      <c r="X692" s="9"/>
      <c r="Y692" s="9"/>
    </row>
    <row r="693" spans="1:25" ht="26.25" customHeight="1" x14ac:dyDescent="0.15">
      <c r="A693" s="9" t="str">
        <f ca="1">IFERROR(__xludf.DUMMYFUNCTION("""COMPUTED_VALUE"""),"Jayanth Naidu Kundrapu")</f>
        <v>Jayanth Naidu Kundrapu</v>
      </c>
      <c r="B693" s="9" t="str">
        <f ca="1">IFERROR(__xludf.DUMMYFUNCTION("""COMPUTED_VALUE"""),"18331A0582")</f>
        <v>18331A0582</v>
      </c>
      <c r="C693" s="78" t="str">
        <f ca="1">IFERROR(__xludf.DUMMYFUNCTION("""COMPUTED_VALUE"""),"PCAP: Programming Essentials in Python")</f>
        <v>PCAP: Programming Essentials in Python</v>
      </c>
      <c r="D693" s="9" t="str">
        <f ca="1">IFERROR(__xludf.DUMMYFUNCTION("""COMPUTED_VALUE"""),"Cisco")</f>
        <v>Cisco</v>
      </c>
      <c r="E693" s="9" t="str">
        <f ca="1">IFERROR(__xludf.DUMMYFUNCTION("""COMPUTED_VALUE"""),"75 hours")</f>
        <v>75 hours</v>
      </c>
      <c r="F693" s="79">
        <f ca="1">IFERROR(__xludf.DUMMYFUNCTION("""COMPUTED_VALUE"""),44348)</f>
        <v>44348</v>
      </c>
      <c r="G693" s="79">
        <f ca="1">IFERROR(__xludf.DUMMYFUNCTION("""COMPUTED_VALUE"""),44379)</f>
        <v>44379</v>
      </c>
      <c r="H693" s="72"/>
      <c r="I693" s="80">
        <f ca="1">IFERROR(__xludf.DUMMYFUNCTION("""COMPUTED_VALUE"""),100)</f>
        <v>100</v>
      </c>
      <c r="J693" s="9"/>
      <c r="K693" s="73" t="str">
        <f ca="1">IFERROR(__xludf.DUMMYFUNCTION("""COMPUTED_VALUE"""),"https://drive.google.com/open?id=1ODyqIWUkd6i6dH0w4AFh0zSaFqiFfCxW")</f>
        <v>https://drive.google.com/open?id=1ODyqIWUkd6i6dH0w4AFh0zSaFqiFfCxW</v>
      </c>
      <c r="L693" s="9"/>
      <c r="M693" s="9" t="str">
        <f ca="1">IFERROR(__xludf.DUMMYFUNCTION("""COMPUTED_VALUE"""),"S4: Student Certifications")</f>
        <v>S4: Student Certifications</v>
      </c>
      <c r="N693" s="9" t="str">
        <f ca="1">IFERROR(__xludf.DUMMYFUNCTION("""COMPUTED_VALUE"""),"jayanth.kundrapu013@gmail.com")</f>
        <v>jayanth.kundrapu013@gmail.com</v>
      </c>
      <c r="O693" s="9" t="str">
        <f ca="1">IFERROR(__xludf.DUMMYFUNCTION("""COMPUTED_VALUE"""),"SEM-8")</f>
        <v>SEM-8</v>
      </c>
      <c r="P693" s="9"/>
      <c r="Q693" s="9"/>
      <c r="R693" s="9"/>
      <c r="S693" s="9"/>
      <c r="T693" s="9"/>
      <c r="U693" s="9"/>
      <c r="V693" s="9"/>
      <c r="W693" s="9"/>
      <c r="X693" s="9"/>
      <c r="Y693" s="9"/>
    </row>
    <row r="694" spans="1:25" ht="26.25" customHeight="1" x14ac:dyDescent="0.15">
      <c r="A694" s="9" t="str">
        <f ca="1">IFERROR(__xludf.DUMMYFUNCTION("""COMPUTED_VALUE"""),"Jayanth Naidu Kundrapu")</f>
        <v>Jayanth Naidu Kundrapu</v>
      </c>
      <c r="B694" s="9" t="str">
        <f ca="1">IFERROR(__xludf.DUMMYFUNCTION("""COMPUTED_VALUE"""),"18331A0582")</f>
        <v>18331A0582</v>
      </c>
      <c r="C694" s="78" t="str">
        <f ca="1">IFERROR(__xludf.DUMMYFUNCTION("""COMPUTED_VALUE"""),"Introduction to Packet Tracer")</f>
        <v>Introduction to Packet Tracer</v>
      </c>
      <c r="D694" s="9" t="str">
        <f ca="1">IFERROR(__xludf.DUMMYFUNCTION("""COMPUTED_VALUE"""),"Cisco")</f>
        <v>Cisco</v>
      </c>
      <c r="E694" s="9" t="str">
        <f ca="1">IFERROR(__xludf.DUMMYFUNCTION("""COMPUTED_VALUE"""),"NA")</f>
        <v>NA</v>
      </c>
      <c r="F694" s="79">
        <f ca="1">IFERROR(__xludf.DUMMYFUNCTION("""COMPUTED_VALUE"""),44287)</f>
        <v>44287</v>
      </c>
      <c r="G694" s="79">
        <f ca="1">IFERROR(__xludf.DUMMYFUNCTION("""COMPUTED_VALUE"""),44347)</f>
        <v>44347</v>
      </c>
      <c r="H694" s="72"/>
      <c r="I694" s="80">
        <f ca="1">IFERROR(__xludf.DUMMYFUNCTION("""COMPUTED_VALUE"""),100)</f>
        <v>100</v>
      </c>
      <c r="J694" s="9"/>
      <c r="K694" s="73" t="str">
        <f ca="1">IFERROR(__xludf.DUMMYFUNCTION("""COMPUTED_VALUE"""),"https://drive.google.com/open?id=1nL8AdyHgv4YausgtW3ZE5zV2xptm94I7")</f>
        <v>https://drive.google.com/open?id=1nL8AdyHgv4YausgtW3ZE5zV2xptm94I7</v>
      </c>
      <c r="L694" s="9"/>
      <c r="M694" s="9" t="str">
        <f ca="1">IFERROR(__xludf.DUMMYFUNCTION("""COMPUTED_VALUE"""),"S4: Student Certifications")</f>
        <v>S4: Student Certifications</v>
      </c>
      <c r="N694" s="9" t="str">
        <f ca="1">IFERROR(__xludf.DUMMYFUNCTION("""COMPUTED_VALUE"""),"jayanth.kundrapu013@gmail.com")</f>
        <v>jayanth.kundrapu013@gmail.com</v>
      </c>
      <c r="O694" s="9" t="str">
        <f ca="1">IFERROR(__xludf.DUMMYFUNCTION("""COMPUTED_VALUE"""),"SEM-8")</f>
        <v>SEM-8</v>
      </c>
      <c r="P694" s="9"/>
      <c r="Q694" s="9"/>
      <c r="R694" s="9"/>
      <c r="S694" s="9"/>
      <c r="T694" s="9"/>
      <c r="U694" s="9"/>
      <c r="V694" s="9"/>
      <c r="W694" s="9"/>
      <c r="X694" s="9"/>
      <c r="Y694" s="9"/>
    </row>
    <row r="695" spans="1:25" ht="26.25" customHeight="1" x14ac:dyDescent="0.15">
      <c r="A695" s="9" t="str">
        <f ca="1">IFERROR(__xludf.DUMMYFUNCTION("""COMPUTED_VALUE"""),"Jayanth Naidu Kundrapu")</f>
        <v>Jayanth Naidu Kundrapu</v>
      </c>
      <c r="B695" s="9" t="str">
        <f ca="1">IFERROR(__xludf.DUMMYFUNCTION("""COMPUTED_VALUE"""),"18331A0582")</f>
        <v>18331A0582</v>
      </c>
      <c r="C695" s="78" t="str">
        <f ca="1">IFERROR(__xludf.DUMMYFUNCTION("""COMPUTED_VALUE"""),"CCNAv7: Introduction to Networks")</f>
        <v>CCNAv7: Introduction to Networks</v>
      </c>
      <c r="D695" s="9" t="str">
        <f ca="1">IFERROR(__xludf.DUMMYFUNCTION("""COMPUTED_VALUE"""),"Cisco")</f>
        <v>Cisco</v>
      </c>
      <c r="E695" s="9" t="str">
        <f ca="1">IFERROR(__xludf.DUMMYFUNCTION("""COMPUTED_VALUE"""),"70 hours")</f>
        <v>70 hours</v>
      </c>
      <c r="F695" s="79">
        <f ca="1">IFERROR(__xludf.DUMMYFUNCTION("""COMPUTED_VALUE"""),44348)</f>
        <v>44348</v>
      </c>
      <c r="G695" s="79">
        <f ca="1">IFERROR(__xludf.DUMMYFUNCTION("""COMPUTED_VALUE"""),44378)</f>
        <v>44378</v>
      </c>
      <c r="H695" s="72"/>
      <c r="I695" s="80">
        <f ca="1">IFERROR(__xludf.DUMMYFUNCTION("""COMPUTED_VALUE"""),100)</f>
        <v>100</v>
      </c>
      <c r="J695" s="9"/>
      <c r="K695" s="73" t="str">
        <f ca="1">IFERROR(__xludf.DUMMYFUNCTION("""COMPUTED_VALUE"""),"https://drive.google.com/open?id=1lLxtMRP2ELaLy5b41reH8OKSLYl15arf")</f>
        <v>https://drive.google.com/open?id=1lLxtMRP2ELaLy5b41reH8OKSLYl15arf</v>
      </c>
      <c r="L695" s="9"/>
      <c r="M695" s="9" t="str">
        <f ca="1">IFERROR(__xludf.DUMMYFUNCTION("""COMPUTED_VALUE"""),"S4: Student Certifications")</f>
        <v>S4: Student Certifications</v>
      </c>
      <c r="N695" s="9" t="str">
        <f ca="1">IFERROR(__xludf.DUMMYFUNCTION("""COMPUTED_VALUE"""),"jayanth.kundrapu013@gmail.com")</f>
        <v>jayanth.kundrapu013@gmail.com</v>
      </c>
      <c r="O695" s="9" t="str">
        <f ca="1">IFERROR(__xludf.DUMMYFUNCTION("""COMPUTED_VALUE"""),"SEM-8")</f>
        <v>SEM-8</v>
      </c>
      <c r="P695" s="9"/>
      <c r="Q695" s="9"/>
      <c r="R695" s="9"/>
      <c r="S695" s="9"/>
      <c r="T695" s="9"/>
      <c r="U695" s="9"/>
      <c r="V695" s="9"/>
      <c r="W695" s="9"/>
      <c r="X695" s="9"/>
      <c r="Y695" s="9"/>
    </row>
    <row r="696" spans="1:25" ht="26.25" customHeight="1" x14ac:dyDescent="0.15">
      <c r="A696" s="9" t="str">
        <f ca="1">IFERROR(__xludf.DUMMYFUNCTION("""COMPUTED_VALUE"""),"Jayanth Naidu Kundrapu")</f>
        <v>Jayanth Naidu Kundrapu</v>
      </c>
      <c r="B696" s="9" t="str">
        <f ca="1">IFERROR(__xludf.DUMMYFUNCTION("""COMPUTED_VALUE"""),"18331A0582")</f>
        <v>18331A0582</v>
      </c>
      <c r="C696" s="78" t="str">
        <f ca="1">IFERROR(__xludf.DUMMYFUNCTION("""COMPUTED_VALUE"""),"Cybersecurity Essentials")</f>
        <v>Cybersecurity Essentials</v>
      </c>
      <c r="D696" s="9" t="str">
        <f ca="1">IFERROR(__xludf.DUMMYFUNCTION("""COMPUTED_VALUE"""),"Cisco")</f>
        <v>Cisco</v>
      </c>
      <c r="E696" s="9" t="str">
        <f ca="1">IFERROR(__xludf.DUMMYFUNCTION("""COMPUTED_VALUE"""),"30 hours")</f>
        <v>30 hours</v>
      </c>
      <c r="F696" s="79">
        <f ca="1">IFERROR(__xludf.DUMMYFUNCTION("""COMPUTED_VALUE"""),43646)</f>
        <v>43646</v>
      </c>
      <c r="G696" s="79">
        <f ca="1">IFERROR(__xludf.DUMMYFUNCTION("""COMPUTED_VALUE"""),43672)</f>
        <v>43672</v>
      </c>
      <c r="H696" s="72"/>
      <c r="I696" s="80">
        <f ca="1">IFERROR(__xludf.DUMMYFUNCTION("""COMPUTED_VALUE"""),100)</f>
        <v>100</v>
      </c>
      <c r="J696" s="9"/>
      <c r="K696" s="73" t="str">
        <f ca="1">IFERROR(__xludf.DUMMYFUNCTION("""COMPUTED_VALUE"""),"https://drive.google.com/open?id=1Nkz5PR1YPhs_TLj1JDtDK297yuCOyOj9")</f>
        <v>https://drive.google.com/open?id=1Nkz5PR1YPhs_TLj1JDtDK297yuCOyOj9</v>
      </c>
      <c r="L696" s="9"/>
      <c r="M696" s="9" t="str">
        <f ca="1">IFERROR(__xludf.DUMMYFUNCTION("""COMPUTED_VALUE"""),"S4: Student Certifications")</f>
        <v>S4: Student Certifications</v>
      </c>
      <c r="N696" s="9" t="str">
        <f ca="1">IFERROR(__xludf.DUMMYFUNCTION("""COMPUTED_VALUE"""),"jayanth.kundrapu013@gmail.com")</f>
        <v>jayanth.kundrapu013@gmail.com</v>
      </c>
      <c r="O696" s="9" t="str">
        <f ca="1">IFERROR(__xludf.DUMMYFUNCTION("""COMPUTED_VALUE"""),"SEM-8")</f>
        <v>SEM-8</v>
      </c>
      <c r="P696" s="9"/>
      <c r="Q696" s="9"/>
      <c r="R696" s="9"/>
      <c r="S696" s="9"/>
      <c r="T696" s="9"/>
      <c r="U696" s="9"/>
      <c r="V696" s="9"/>
      <c r="W696" s="9"/>
      <c r="X696" s="9"/>
      <c r="Y696" s="9"/>
    </row>
    <row r="697" spans="1:25" ht="26.25" customHeight="1" x14ac:dyDescent="0.15">
      <c r="A697" s="9" t="str">
        <f ca="1">IFERROR(__xludf.DUMMYFUNCTION("""COMPUTED_VALUE"""),"Jayanth Naidu Kundrapu")</f>
        <v>Jayanth Naidu Kundrapu</v>
      </c>
      <c r="B697" s="9" t="str">
        <f ca="1">IFERROR(__xludf.DUMMYFUNCTION("""COMPUTED_VALUE"""),"18331A0582")</f>
        <v>18331A0582</v>
      </c>
      <c r="C697" s="78" t="str">
        <f ca="1">IFERROR(__xludf.DUMMYFUNCTION("""COMPUTED_VALUE"""),"Introduction to Cybersecurity")</f>
        <v>Introduction to Cybersecurity</v>
      </c>
      <c r="D697" s="9" t="str">
        <f ca="1">IFERROR(__xludf.DUMMYFUNCTION("""COMPUTED_VALUE"""),"Cisco")</f>
        <v>Cisco</v>
      </c>
      <c r="E697" s="9" t="str">
        <f ca="1">IFERROR(__xludf.DUMMYFUNCTION("""COMPUTED_VALUE"""),"15 Hours")</f>
        <v>15 Hours</v>
      </c>
      <c r="F697" s="79">
        <f ca="1">IFERROR(__xludf.DUMMYFUNCTION("""COMPUTED_VALUE"""),44341)</f>
        <v>44341</v>
      </c>
      <c r="G697" s="79">
        <f ca="1">IFERROR(__xludf.DUMMYFUNCTION("""COMPUTED_VALUE"""),44348)</f>
        <v>44348</v>
      </c>
      <c r="H697" s="72"/>
      <c r="I697" s="80">
        <f ca="1">IFERROR(__xludf.DUMMYFUNCTION("""COMPUTED_VALUE"""),100)</f>
        <v>100</v>
      </c>
      <c r="J697" s="9"/>
      <c r="K697" s="73" t="str">
        <f ca="1">IFERROR(__xludf.DUMMYFUNCTION("""COMPUTED_VALUE"""),"https://drive.google.com/open?id=1IChILDybsyCgmiy0xTgwZRQRNyD1L1iM")</f>
        <v>https://drive.google.com/open?id=1IChILDybsyCgmiy0xTgwZRQRNyD1L1iM</v>
      </c>
      <c r="L697" s="9"/>
      <c r="M697" s="9" t="str">
        <f ca="1">IFERROR(__xludf.DUMMYFUNCTION("""COMPUTED_VALUE"""),"S4: Student Certifications")</f>
        <v>S4: Student Certifications</v>
      </c>
      <c r="N697" s="9" t="str">
        <f ca="1">IFERROR(__xludf.DUMMYFUNCTION("""COMPUTED_VALUE"""),"jayanth.kundrapu013@gmail.com")</f>
        <v>jayanth.kundrapu013@gmail.com</v>
      </c>
      <c r="O697" s="9" t="str">
        <f ca="1">IFERROR(__xludf.DUMMYFUNCTION("""COMPUTED_VALUE"""),"SEM-8")</f>
        <v>SEM-8</v>
      </c>
      <c r="P697" s="9"/>
      <c r="Q697" s="9"/>
      <c r="R697" s="9"/>
      <c r="S697" s="9"/>
      <c r="T697" s="9"/>
      <c r="U697" s="9"/>
      <c r="V697" s="9"/>
      <c r="W697" s="9"/>
      <c r="X697" s="9"/>
      <c r="Y697" s="9"/>
    </row>
    <row r="698" spans="1:25" ht="26.25" customHeight="1" x14ac:dyDescent="0.15">
      <c r="A698" s="9" t="str">
        <f ca="1">IFERROR(__xludf.DUMMYFUNCTION("""COMPUTED_VALUE"""),"Kusuma Patnaik Murahari")</f>
        <v>Kusuma Patnaik Murahari</v>
      </c>
      <c r="B698" s="9" t="str">
        <f ca="1">IFERROR(__xludf.DUMMYFUNCTION("""COMPUTED_VALUE"""),"18331A0584")</f>
        <v>18331A0584</v>
      </c>
      <c r="C698" s="78" t="str">
        <f ca="1">IFERROR(__xludf.DUMMYFUNCTION("""COMPUTED_VALUE"""),"Python for Everybody Specialization")</f>
        <v>Python for Everybody Specialization</v>
      </c>
      <c r="D698" s="9" t="str">
        <f ca="1">IFERROR(__xludf.DUMMYFUNCTION("""COMPUTED_VALUE"""),"Coursera")</f>
        <v>Coursera</v>
      </c>
      <c r="E698" s="9" t="str">
        <f ca="1">IFERROR(__xludf.DUMMYFUNCTION("""COMPUTED_VALUE"""),"4 months")</f>
        <v>4 months</v>
      </c>
      <c r="F698" s="79">
        <f ca="1">IFERROR(__xludf.DUMMYFUNCTION("""COMPUTED_VALUE"""),43922)</f>
        <v>43922</v>
      </c>
      <c r="G698" s="79">
        <f ca="1">IFERROR(__xludf.DUMMYFUNCTION("""COMPUTED_VALUE"""),44044)</f>
        <v>44044</v>
      </c>
      <c r="H698" s="72"/>
      <c r="I698" s="80">
        <f ca="1">IFERROR(__xludf.DUMMYFUNCTION("""COMPUTED_VALUE"""),94)</f>
        <v>94</v>
      </c>
      <c r="J698" s="9"/>
      <c r="K698" s="73" t="str">
        <f ca="1">IFERROR(__xludf.DUMMYFUNCTION("""COMPUTED_VALUE"""),"https://drive.google.com/open?id=1q2e-Y4xZqdTIYqEXbAuYj3OY0mnStQt2")</f>
        <v>https://drive.google.com/open?id=1q2e-Y4xZqdTIYqEXbAuYj3OY0mnStQt2</v>
      </c>
      <c r="L698" s="9"/>
      <c r="M698" s="9" t="str">
        <f ca="1">IFERROR(__xludf.DUMMYFUNCTION("""COMPUTED_VALUE"""),"S4: Student Certifications")</f>
        <v>S4: Student Certifications</v>
      </c>
      <c r="N698" s="9" t="str">
        <f ca="1">IFERROR(__xludf.DUMMYFUNCTION("""COMPUTED_VALUE"""),"muraharikusum2000@gmail.com")</f>
        <v>muraharikusum2000@gmail.com</v>
      </c>
      <c r="O698" s="9" t="str">
        <f ca="1">IFERROR(__xludf.DUMMYFUNCTION("""COMPUTED_VALUE"""),"SEM-8")</f>
        <v>SEM-8</v>
      </c>
      <c r="P698" s="9"/>
      <c r="Q698" s="9"/>
      <c r="R698" s="9"/>
      <c r="S698" s="9"/>
      <c r="T698" s="9"/>
      <c r="U698" s="9"/>
      <c r="V698" s="9"/>
      <c r="W698" s="9"/>
      <c r="X698" s="9"/>
      <c r="Y698" s="9"/>
    </row>
    <row r="699" spans="1:25" ht="26.25" customHeight="1" x14ac:dyDescent="0.15">
      <c r="A699" s="9" t="str">
        <f ca="1">IFERROR(__xludf.DUMMYFUNCTION("""COMPUTED_VALUE"""),"Kusuma Patnaik Murahari")</f>
        <v>Kusuma Patnaik Murahari</v>
      </c>
      <c r="B699" s="9" t="str">
        <f ca="1">IFERROR(__xludf.DUMMYFUNCTION("""COMPUTED_VALUE"""),"18331A0584")</f>
        <v>18331A0584</v>
      </c>
      <c r="C699" s="78" t="str">
        <f ca="1">IFERROR(__xludf.DUMMYFUNCTION("""COMPUTED_VALUE"""),"Data structures and Algorithms Specialization")</f>
        <v>Data structures and Algorithms Specialization</v>
      </c>
      <c r="D699" s="9" t="str">
        <f ca="1">IFERROR(__xludf.DUMMYFUNCTION("""COMPUTED_VALUE"""),"Coursera")</f>
        <v>Coursera</v>
      </c>
      <c r="E699" s="9" t="str">
        <f ca="1">IFERROR(__xludf.DUMMYFUNCTION("""COMPUTED_VALUE"""),"3 months")</f>
        <v>3 months</v>
      </c>
      <c r="F699" s="79">
        <f ca="1">IFERROR(__xludf.DUMMYFUNCTION("""COMPUTED_VALUE"""),43922)</f>
        <v>43922</v>
      </c>
      <c r="G699" s="79">
        <f ca="1">IFERROR(__xludf.DUMMYFUNCTION("""COMPUTED_VALUE"""),44012)</f>
        <v>44012</v>
      </c>
      <c r="H699" s="72"/>
      <c r="I699" s="80">
        <f ca="1">IFERROR(__xludf.DUMMYFUNCTION("""COMPUTED_VALUE"""),95)</f>
        <v>95</v>
      </c>
      <c r="J699" s="9"/>
      <c r="K699" s="73" t="str">
        <f ca="1">IFERROR(__xludf.DUMMYFUNCTION("""COMPUTED_VALUE"""),"https://drive.google.com/open?id=1TLVMJLG3Vte-wTocvZp7D-Nq3kFNHmd-")</f>
        <v>https://drive.google.com/open?id=1TLVMJLG3Vte-wTocvZp7D-Nq3kFNHmd-</v>
      </c>
      <c r="L699" s="9"/>
      <c r="M699" s="9" t="str">
        <f ca="1">IFERROR(__xludf.DUMMYFUNCTION("""COMPUTED_VALUE"""),"S4: Student Certifications")</f>
        <v>S4: Student Certifications</v>
      </c>
      <c r="N699" s="9" t="str">
        <f ca="1">IFERROR(__xludf.DUMMYFUNCTION("""COMPUTED_VALUE"""),"muraharikusum2000@gmail.com")</f>
        <v>muraharikusum2000@gmail.com</v>
      </c>
      <c r="O699" s="9" t="str">
        <f ca="1">IFERROR(__xludf.DUMMYFUNCTION("""COMPUTED_VALUE"""),"SEM-8")</f>
        <v>SEM-8</v>
      </c>
      <c r="P699" s="9"/>
      <c r="Q699" s="9"/>
      <c r="R699" s="9"/>
      <c r="S699" s="9"/>
      <c r="T699" s="9"/>
      <c r="U699" s="9"/>
      <c r="V699" s="9"/>
      <c r="W699" s="9"/>
      <c r="X699" s="9"/>
      <c r="Y699" s="9"/>
    </row>
    <row r="700" spans="1:25" ht="26.25" customHeight="1" x14ac:dyDescent="0.15">
      <c r="A700" s="9" t="str">
        <f ca="1">IFERROR(__xludf.DUMMYFUNCTION("""COMPUTED_VALUE"""),"Kusuma Patnaik Murahari")</f>
        <v>Kusuma Patnaik Murahari</v>
      </c>
      <c r="B700" s="9" t="str">
        <f ca="1">IFERROR(__xludf.DUMMYFUNCTION("""COMPUTED_VALUE"""),"18331A0584")</f>
        <v>18331A0584</v>
      </c>
      <c r="C700" s="78" t="str">
        <f ca="1">IFERROR(__xludf.DUMMYFUNCTION("""COMPUTED_VALUE"""),"Machine Learning Specialization")</f>
        <v>Machine Learning Specialization</v>
      </c>
      <c r="D700" s="9" t="str">
        <f ca="1">IFERROR(__xludf.DUMMYFUNCTION("""COMPUTED_VALUE"""),"Coursera")</f>
        <v>Coursera</v>
      </c>
      <c r="E700" s="9" t="str">
        <f ca="1">IFERROR(__xludf.DUMMYFUNCTION("""COMPUTED_VALUE"""),"3 months")</f>
        <v>3 months</v>
      </c>
      <c r="F700" s="79">
        <f ca="1">IFERROR(__xludf.DUMMYFUNCTION("""COMPUTED_VALUE"""),43922)</f>
        <v>43922</v>
      </c>
      <c r="G700" s="79">
        <f ca="1">IFERROR(__xludf.DUMMYFUNCTION("""COMPUTED_VALUE"""),44012)</f>
        <v>44012</v>
      </c>
      <c r="H700" s="72"/>
      <c r="I700" s="80">
        <f ca="1">IFERROR(__xludf.DUMMYFUNCTION("""COMPUTED_VALUE"""),95)</f>
        <v>95</v>
      </c>
      <c r="J700" s="9"/>
      <c r="K700" s="73" t="str">
        <f ca="1">IFERROR(__xludf.DUMMYFUNCTION("""COMPUTED_VALUE"""),"https://drive.google.com/open?id=1iT3aQy7f8kCQcjnxTkXNfUB3IGNLj-sQ")</f>
        <v>https://drive.google.com/open?id=1iT3aQy7f8kCQcjnxTkXNfUB3IGNLj-sQ</v>
      </c>
      <c r="L700" s="9"/>
      <c r="M700" s="9" t="str">
        <f ca="1">IFERROR(__xludf.DUMMYFUNCTION("""COMPUTED_VALUE"""),"S4: Student Certifications")</f>
        <v>S4: Student Certifications</v>
      </c>
      <c r="N700" s="9" t="str">
        <f ca="1">IFERROR(__xludf.DUMMYFUNCTION("""COMPUTED_VALUE"""),"muraharikusum2000@gmail.com")</f>
        <v>muraharikusum2000@gmail.com</v>
      </c>
      <c r="O700" s="9" t="str">
        <f ca="1">IFERROR(__xludf.DUMMYFUNCTION("""COMPUTED_VALUE"""),"SEM-8")</f>
        <v>SEM-8</v>
      </c>
      <c r="P700" s="9"/>
      <c r="Q700" s="9"/>
      <c r="R700" s="9"/>
      <c r="S700" s="9"/>
      <c r="T700" s="9"/>
      <c r="U700" s="9"/>
      <c r="V700" s="9"/>
      <c r="W700" s="9"/>
      <c r="X700" s="9"/>
      <c r="Y700" s="9"/>
    </row>
    <row r="701" spans="1:25" ht="26.25" customHeight="1" x14ac:dyDescent="0.15">
      <c r="A701" s="9" t="str">
        <f ca="1">IFERROR(__xludf.DUMMYFUNCTION("""COMPUTED_VALUE"""),"Kusuma Patnaik Murahari")</f>
        <v>Kusuma Patnaik Murahari</v>
      </c>
      <c r="B701" s="9" t="str">
        <f ca="1">IFERROR(__xludf.DUMMYFUNCTION("""COMPUTED_VALUE"""),"18331A0584")</f>
        <v>18331A0584</v>
      </c>
      <c r="C701" s="78" t="str">
        <f ca="1">IFERROR(__xludf.DUMMYFUNCTION("""COMPUTED_VALUE"""),"Mathematics for Machine Learning Specialization")</f>
        <v>Mathematics for Machine Learning Specialization</v>
      </c>
      <c r="D701" s="9" t="str">
        <f ca="1">IFERROR(__xludf.DUMMYFUNCTION("""COMPUTED_VALUE"""),"Coursera")</f>
        <v>Coursera</v>
      </c>
      <c r="E701" s="9" t="str">
        <f ca="1">IFERROR(__xludf.DUMMYFUNCTION("""COMPUTED_VALUE"""),"2 months")</f>
        <v>2 months</v>
      </c>
      <c r="F701" s="79">
        <f ca="1">IFERROR(__xludf.DUMMYFUNCTION("""COMPUTED_VALUE"""),43922)</f>
        <v>43922</v>
      </c>
      <c r="G701" s="79">
        <f ca="1">IFERROR(__xludf.DUMMYFUNCTION("""COMPUTED_VALUE"""),44007)</f>
        <v>44007</v>
      </c>
      <c r="H701" s="72"/>
      <c r="I701" s="80">
        <f ca="1">IFERROR(__xludf.DUMMYFUNCTION("""COMPUTED_VALUE"""),94)</f>
        <v>94</v>
      </c>
      <c r="J701" s="9"/>
      <c r="K701" s="73" t="str">
        <f ca="1">IFERROR(__xludf.DUMMYFUNCTION("""COMPUTED_VALUE"""),"https://drive.google.com/open?id=1MEbN5MWCX2wNv3XIVa6p968qPB2__6Wl")</f>
        <v>https://drive.google.com/open?id=1MEbN5MWCX2wNv3XIVa6p968qPB2__6Wl</v>
      </c>
      <c r="L701" s="9"/>
      <c r="M701" s="9" t="str">
        <f ca="1">IFERROR(__xludf.DUMMYFUNCTION("""COMPUTED_VALUE"""),"S4: Student Certifications")</f>
        <v>S4: Student Certifications</v>
      </c>
      <c r="N701" s="9" t="str">
        <f ca="1">IFERROR(__xludf.DUMMYFUNCTION("""COMPUTED_VALUE"""),"muraharikusum2000@gmail.com")</f>
        <v>muraharikusum2000@gmail.com</v>
      </c>
      <c r="O701" s="9" t="str">
        <f ca="1">IFERROR(__xludf.DUMMYFUNCTION("""COMPUTED_VALUE"""),"SEM-8")</f>
        <v>SEM-8</v>
      </c>
      <c r="P701" s="9"/>
      <c r="Q701" s="9"/>
      <c r="R701" s="9"/>
      <c r="S701" s="9"/>
      <c r="T701" s="9"/>
      <c r="U701" s="9"/>
      <c r="V701" s="9"/>
      <c r="W701" s="9"/>
      <c r="X701" s="9"/>
      <c r="Y701" s="9"/>
    </row>
    <row r="702" spans="1:25" ht="26.25" customHeight="1" x14ac:dyDescent="0.15">
      <c r="A702" s="9" t="str">
        <f ca="1">IFERROR(__xludf.DUMMYFUNCTION("""COMPUTED_VALUE"""),"Kusuma Patnaik Murahari")</f>
        <v>Kusuma Patnaik Murahari</v>
      </c>
      <c r="B702" s="9" t="str">
        <f ca="1">IFERROR(__xludf.DUMMYFUNCTION("""COMPUTED_VALUE"""),"18331A0584")</f>
        <v>18331A0584</v>
      </c>
      <c r="C702" s="78" t="str">
        <f ca="1">IFERROR(__xludf.DUMMYFUNCTION("""COMPUTED_VALUE"""),"AWS Fundamentals Specialization")</f>
        <v>AWS Fundamentals Specialization</v>
      </c>
      <c r="D702" s="9" t="str">
        <f ca="1">IFERROR(__xludf.DUMMYFUNCTION("""COMPUTED_VALUE"""),"Coursera")</f>
        <v>Coursera</v>
      </c>
      <c r="E702" s="9" t="str">
        <f ca="1">IFERROR(__xludf.DUMMYFUNCTION("""COMPUTED_VALUE"""),"3 months")</f>
        <v>3 months</v>
      </c>
      <c r="F702" s="79">
        <f ca="1">IFERROR(__xludf.DUMMYFUNCTION("""COMPUTED_VALUE"""),43952)</f>
        <v>43952</v>
      </c>
      <c r="G702" s="79">
        <f ca="1">IFERROR(__xludf.DUMMYFUNCTION("""COMPUTED_VALUE"""),44804)</f>
        <v>44804</v>
      </c>
      <c r="H702" s="72"/>
      <c r="I702" s="80">
        <f ca="1">IFERROR(__xludf.DUMMYFUNCTION("""COMPUTED_VALUE"""),96)</f>
        <v>96</v>
      </c>
      <c r="J702" s="9"/>
      <c r="K702" s="73" t="str">
        <f ca="1">IFERROR(__xludf.DUMMYFUNCTION("""COMPUTED_VALUE"""),"https://drive.google.com/open?id=1wockfBLR9-p_ifH9J_TQPOIruR5HqX3x")</f>
        <v>https://drive.google.com/open?id=1wockfBLR9-p_ifH9J_TQPOIruR5HqX3x</v>
      </c>
      <c r="L702" s="9"/>
      <c r="M702" s="9" t="str">
        <f ca="1">IFERROR(__xludf.DUMMYFUNCTION("""COMPUTED_VALUE"""),"S4: Student Certifications")</f>
        <v>S4: Student Certifications</v>
      </c>
      <c r="N702" s="9" t="str">
        <f ca="1">IFERROR(__xludf.DUMMYFUNCTION("""COMPUTED_VALUE"""),"muraharikusum2000@gmail.com")</f>
        <v>muraharikusum2000@gmail.com</v>
      </c>
      <c r="O702" s="9" t="str">
        <f ca="1">IFERROR(__xludf.DUMMYFUNCTION("""COMPUTED_VALUE"""),"SEM-8")</f>
        <v>SEM-8</v>
      </c>
      <c r="P702" s="9"/>
      <c r="Q702" s="9"/>
      <c r="R702" s="9"/>
      <c r="S702" s="9"/>
      <c r="T702" s="9"/>
      <c r="U702" s="9"/>
      <c r="V702" s="9"/>
      <c r="W702" s="9"/>
      <c r="X702" s="9"/>
      <c r="Y702" s="9"/>
    </row>
    <row r="703" spans="1:25" ht="26.25" customHeight="1" x14ac:dyDescent="0.15">
      <c r="A703" s="9" t="str">
        <f ca="1">IFERROR(__xludf.DUMMYFUNCTION("""COMPUTED_VALUE"""),"Nalli Anusha")</f>
        <v>Nalli Anusha</v>
      </c>
      <c r="B703" s="9" t="str">
        <f ca="1">IFERROR(__xludf.DUMMYFUNCTION("""COMPUTED_VALUE"""),"18331A05A7")</f>
        <v>18331A05A7</v>
      </c>
      <c r="C703" s="78" t="str">
        <f ca="1">IFERROR(__xludf.DUMMYFUNCTION("""COMPUTED_VALUE"""),"Java for Android")</f>
        <v>Java for Android</v>
      </c>
      <c r="D703" s="9" t="str">
        <f ca="1">IFERROR(__xludf.DUMMYFUNCTION("""COMPUTED_VALUE"""),"Vanderbilt University")</f>
        <v>Vanderbilt University</v>
      </c>
      <c r="E703" s="9" t="str">
        <f ca="1">IFERROR(__xludf.DUMMYFUNCTION("""COMPUTED_VALUE"""),"3 months")</f>
        <v>3 months</v>
      </c>
      <c r="F703" s="79">
        <f ca="1">IFERROR(__xludf.DUMMYFUNCTION("""COMPUTED_VALUE"""),43942)</f>
        <v>43942</v>
      </c>
      <c r="G703" s="79">
        <f ca="1">IFERROR(__xludf.DUMMYFUNCTION("""COMPUTED_VALUE"""),44014)</f>
        <v>44014</v>
      </c>
      <c r="H703" s="72"/>
      <c r="I703" s="80">
        <f ca="1">IFERROR(__xludf.DUMMYFUNCTION("""COMPUTED_VALUE"""),96.89)</f>
        <v>96.89</v>
      </c>
      <c r="J703" s="9"/>
      <c r="K703" s="73" t="str">
        <f ca="1">IFERROR(__xludf.DUMMYFUNCTION("""COMPUTED_VALUE"""),"https://drive.google.com/open?id=16lL8xJ7ia6XBEqe-syiOCaeqpyReCcQ_")</f>
        <v>https://drive.google.com/open?id=16lL8xJ7ia6XBEqe-syiOCaeqpyReCcQ_</v>
      </c>
      <c r="L703" s="9"/>
      <c r="M703" s="9" t="str">
        <f ca="1">IFERROR(__xludf.DUMMYFUNCTION("""COMPUTED_VALUE"""),"S4: Student Certifications")</f>
        <v>S4: Student Certifications</v>
      </c>
      <c r="N703" s="9" t="str">
        <f ca="1">IFERROR(__xludf.DUMMYFUNCTION("""COMPUTED_VALUE"""),"anushanalli18@gmail.com")</f>
        <v>anushanalli18@gmail.com</v>
      </c>
      <c r="O703" s="9" t="str">
        <f ca="1">IFERROR(__xludf.DUMMYFUNCTION("""COMPUTED_VALUE"""),"SEM-8")</f>
        <v>SEM-8</v>
      </c>
      <c r="P703" s="9"/>
      <c r="Q703" s="9"/>
      <c r="R703" s="9"/>
      <c r="S703" s="9"/>
      <c r="T703" s="9"/>
      <c r="U703" s="9"/>
      <c r="V703" s="9"/>
      <c r="W703" s="9"/>
      <c r="X703" s="9"/>
      <c r="Y703" s="9"/>
    </row>
    <row r="704" spans="1:25" ht="26.25" customHeight="1" x14ac:dyDescent="0.15">
      <c r="A704" s="9" t="str">
        <f ca="1">IFERROR(__xludf.DUMMYFUNCTION("""COMPUTED_VALUE"""),"Chitikana Spandana")</f>
        <v>Chitikana Spandana</v>
      </c>
      <c r="B704" s="9" t="str">
        <f ca="1">IFERROR(__xludf.DUMMYFUNCTION("""COMPUTED_VALUE"""),"18331A0527")</f>
        <v>18331A0527</v>
      </c>
      <c r="C704" s="78" t="str">
        <f ca="1">IFERROR(__xludf.DUMMYFUNCTION("""COMPUTED_VALUE"""),"Programming for everybody(Getting started with Python)")</f>
        <v>Programming for everybody(Getting started with Python)</v>
      </c>
      <c r="D704" s="9" t="str">
        <f ca="1">IFERROR(__xludf.DUMMYFUNCTION("""COMPUTED_VALUE"""),"Coursera")</f>
        <v>Coursera</v>
      </c>
      <c r="E704" s="9" t="str">
        <f ca="1">IFERROR(__xludf.DUMMYFUNCTION("""COMPUTED_VALUE"""),"1month")</f>
        <v>1month</v>
      </c>
      <c r="F704" s="79">
        <f ca="1">IFERROR(__xludf.DUMMYFUNCTION("""COMPUTED_VALUE"""),43924)</f>
        <v>43924</v>
      </c>
      <c r="G704" s="79">
        <f ca="1">IFERROR(__xludf.DUMMYFUNCTION("""COMPUTED_VALUE"""),43954)</f>
        <v>43954</v>
      </c>
      <c r="H704" s="72"/>
      <c r="I704" s="80">
        <f ca="1">IFERROR(__xludf.DUMMYFUNCTION("""COMPUTED_VALUE"""),97)</f>
        <v>97</v>
      </c>
      <c r="J704" s="9"/>
      <c r="K704" s="73" t="str">
        <f ca="1">IFERROR(__xludf.DUMMYFUNCTION("""COMPUTED_VALUE"""),"https://drive.google.com/open?id=1ydiGn9-TTGx7T-Txl569YI_sFP3n9J_C")</f>
        <v>https://drive.google.com/open?id=1ydiGn9-TTGx7T-Txl569YI_sFP3n9J_C</v>
      </c>
      <c r="L704" s="9"/>
      <c r="M704" s="9" t="str">
        <f ca="1">IFERROR(__xludf.DUMMYFUNCTION("""COMPUTED_VALUE"""),"S4: Student Certifications")</f>
        <v>S4: Student Certifications</v>
      </c>
      <c r="N704" s="9" t="str">
        <f ca="1">IFERROR(__xludf.DUMMYFUNCTION("""COMPUTED_VALUE"""),"spandana1009@gmail.com")</f>
        <v>spandana1009@gmail.com</v>
      </c>
      <c r="O704" s="9" t="str">
        <f ca="1">IFERROR(__xludf.DUMMYFUNCTION("""COMPUTED_VALUE"""),"SEM-8")</f>
        <v>SEM-8</v>
      </c>
      <c r="P704" s="9"/>
      <c r="Q704" s="9"/>
      <c r="R704" s="9"/>
      <c r="S704" s="9"/>
      <c r="T704" s="9"/>
      <c r="U704" s="9"/>
      <c r="V704" s="9"/>
      <c r="W704" s="9"/>
      <c r="X704" s="9"/>
      <c r="Y704" s="9"/>
    </row>
    <row r="705" spans="1:25" ht="26.25" customHeight="1" x14ac:dyDescent="0.15">
      <c r="A705" s="9" t="str">
        <f ca="1">IFERROR(__xludf.DUMMYFUNCTION("""COMPUTED_VALUE"""),"Chitikana Spandana")</f>
        <v>Chitikana Spandana</v>
      </c>
      <c r="B705" s="9" t="str">
        <f ca="1">IFERROR(__xludf.DUMMYFUNCTION("""COMPUTED_VALUE"""),"18331A0527")</f>
        <v>18331A0527</v>
      </c>
      <c r="C705" s="78" t="str">
        <f ca="1">IFERROR(__xludf.DUMMYFUNCTION("""COMPUTED_VALUE"""),"Introduction to HTML5")</f>
        <v>Introduction to HTML5</v>
      </c>
      <c r="D705" s="9" t="str">
        <f ca="1">IFERROR(__xludf.DUMMYFUNCTION("""COMPUTED_VALUE"""),"Coursera")</f>
        <v>Coursera</v>
      </c>
      <c r="E705" s="9" t="str">
        <f ca="1">IFERROR(__xludf.DUMMYFUNCTION("""COMPUTED_VALUE"""),"1month")</f>
        <v>1month</v>
      </c>
      <c r="F705" s="79">
        <f ca="1">IFERROR(__xludf.DUMMYFUNCTION("""COMPUTED_VALUE"""),44334)</f>
        <v>44334</v>
      </c>
      <c r="G705" s="79">
        <f ca="1">IFERROR(__xludf.DUMMYFUNCTION("""COMPUTED_VALUE"""),44365)</f>
        <v>44365</v>
      </c>
      <c r="H705" s="72"/>
      <c r="I705" s="80">
        <f ca="1">IFERROR(__xludf.DUMMYFUNCTION("""COMPUTED_VALUE"""),97)</f>
        <v>97</v>
      </c>
      <c r="J705" s="9"/>
      <c r="K705" s="73" t="str">
        <f ca="1">IFERROR(__xludf.DUMMYFUNCTION("""COMPUTED_VALUE"""),"https://drive.google.com/open?id=1Rhhs-qPEZEVOUicbNK5xhYO7WNkLgKRA")</f>
        <v>https://drive.google.com/open?id=1Rhhs-qPEZEVOUicbNK5xhYO7WNkLgKRA</v>
      </c>
      <c r="L705" s="9"/>
      <c r="M705" s="9" t="str">
        <f ca="1">IFERROR(__xludf.DUMMYFUNCTION("""COMPUTED_VALUE"""),"S4: Student Certifications")</f>
        <v>S4: Student Certifications</v>
      </c>
      <c r="N705" s="9" t="str">
        <f ca="1">IFERROR(__xludf.DUMMYFUNCTION("""COMPUTED_VALUE"""),"spandana1009@gmail.com")</f>
        <v>spandana1009@gmail.com</v>
      </c>
      <c r="O705" s="9" t="str">
        <f ca="1">IFERROR(__xludf.DUMMYFUNCTION("""COMPUTED_VALUE"""),"SEM-8")</f>
        <v>SEM-8</v>
      </c>
      <c r="P705" s="9"/>
      <c r="Q705" s="9"/>
      <c r="R705" s="9"/>
      <c r="S705" s="9"/>
      <c r="T705" s="9"/>
      <c r="U705" s="9"/>
      <c r="V705" s="9"/>
      <c r="W705" s="9"/>
      <c r="X705" s="9"/>
      <c r="Y705" s="9"/>
    </row>
    <row r="706" spans="1:25" ht="26.25" customHeight="1" x14ac:dyDescent="0.15">
      <c r="A706" s="9" t="str">
        <f ca="1">IFERROR(__xludf.DUMMYFUNCTION("""COMPUTED_VALUE"""),"Chitikana Spandana")</f>
        <v>Chitikana Spandana</v>
      </c>
      <c r="B706" s="9" t="str">
        <f ca="1">IFERROR(__xludf.DUMMYFUNCTION("""COMPUTED_VALUE"""),"18331A0527")</f>
        <v>18331A0527</v>
      </c>
      <c r="C706" s="78" t="str">
        <f ca="1">IFERROR(__xludf.DUMMYFUNCTION("""COMPUTED_VALUE"""),"Python data structures")</f>
        <v>Python data structures</v>
      </c>
      <c r="D706" s="9" t="str">
        <f ca="1">IFERROR(__xludf.DUMMYFUNCTION("""COMPUTED_VALUE"""),"Coursera")</f>
        <v>Coursera</v>
      </c>
      <c r="E706" s="9" t="str">
        <f ca="1">IFERROR(__xludf.DUMMYFUNCTION("""COMPUTED_VALUE"""),"1month")</f>
        <v>1month</v>
      </c>
      <c r="F706" s="79">
        <f ca="1">IFERROR(__xludf.DUMMYFUNCTION("""COMPUTED_VALUE"""),43937)</f>
        <v>43937</v>
      </c>
      <c r="G706" s="79">
        <f ca="1">IFERROR(__xludf.DUMMYFUNCTION("""COMPUTED_VALUE"""),43967)</f>
        <v>43967</v>
      </c>
      <c r="H706" s="72"/>
      <c r="I706" s="80">
        <f ca="1">IFERROR(__xludf.DUMMYFUNCTION("""COMPUTED_VALUE"""),98)</f>
        <v>98</v>
      </c>
      <c r="J706" s="9"/>
      <c r="K706" s="73" t="str">
        <f ca="1">IFERROR(__xludf.DUMMYFUNCTION("""COMPUTED_VALUE"""),"https://drive.google.com/open?id=1rq61bT7Bx7y7Xz401NzPLnHS4802-wa8")</f>
        <v>https://drive.google.com/open?id=1rq61bT7Bx7y7Xz401NzPLnHS4802-wa8</v>
      </c>
      <c r="L706" s="9"/>
      <c r="M706" s="9" t="str">
        <f ca="1">IFERROR(__xludf.DUMMYFUNCTION("""COMPUTED_VALUE"""),"S4: Student Certifications")</f>
        <v>S4: Student Certifications</v>
      </c>
      <c r="N706" s="9" t="str">
        <f ca="1">IFERROR(__xludf.DUMMYFUNCTION("""COMPUTED_VALUE"""),"spandana1009@gmail.com")</f>
        <v>spandana1009@gmail.com</v>
      </c>
      <c r="O706" s="9" t="str">
        <f ca="1">IFERROR(__xludf.DUMMYFUNCTION("""COMPUTED_VALUE"""),"SEM-8")</f>
        <v>SEM-8</v>
      </c>
      <c r="P706" s="9"/>
      <c r="Q706" s="9"/>
      <c r="R706" s="9"/>
      <c r="S706" s="9"/>
      <c r="T706" s="9"/>
      <c r="U706" s="9"/>
      <c r="V706" s="9"/>
      <c r="W706" s="9"/>
      <c r="X706" s="9"/>
      <c r="Y706" s="9"/>
    </row>
    <row r="707" spans="1:25" ht="26.25" customHeight="1" x14ac:dyDescent="0.15">
      <c r="A707" s="9" t="str">
        <f ca="1">IFERROR(__xludf.DUMMYFUNCTION("""COMPUTED_VALUE"""),"Chitikana Spandana")</f>
        <v>Chitikana Spandana</v>
      </c>
      <c r="B707" s="9" t="str">
        <f ca="1">IFERROR(__xludf.DUMMYFUNCTION("""COMPUTED_VALUE"""),"18331A0527")</f>
        <v>18331A0527</v>
      </c>
      <c r="C707" s="78" t="str">
        <f ca="1">IFERROR(__xludf.DUMMYFUNCTION("""COMPUTED_VALUE"""),"Successful presentation")</f>
        <v>Successful presentation</v>
      </c>
      <c r="D707" s="9" t="str">
        <f ca="1">IFERROR(__xludf.DUMMYFUNCTION("""COMPUTED_VALUE"""),"Coursera")</f>
        <v>Coursera</v>
      </c>
      <c r="E707" s="9" t="str">
        <f ca="1">IFERROR(__xludf.DUMMYFUNCTION("""COMPUTED_VALUE"""),"1week")</f>
        <v>1week</v>
      </c>
      <c r="F707" s="79">
        <f ca="1">IFERROR(__xludf.DUMMYFUNCTION("""COMPUTED_VALUE"""),44623)</f>
        <v>44623</v>
      </c>
      <c r="G707" s="79">
        <f ca="1">IFERROR(__xludf.DUMMYFUNCTION("""COMPUTED_VALUE"""),44630)</f>
        <v>44630</v>
      </c>
      <c r="H707" s="72"/>
      <c r="I707" s="80">
        <f ca="1">IFERROR(__xludf.DUMMYFUNCTION("""COMPUTED_VALUE"""),98)</f>
        <v>98</v>
      </c>
      <c r="J707" s="9"/>
      <c r="K707" s="73" t="str">
        <f ca="1">IFERROR(__xludf.DUMMYFUNCTION("""COMPUTED_VALUE"""),"https://drive.google.com/open?id=1gH1vW6Sntwpf3ODV0cAlRreSK7Udgp9c")</f>
        <v>https://drive.google.com/open?id=1gH1vW6Sntwpf3ODV0cAlRreSK7Udgp9c</v>
      </c>
      <c r="L707" s="9"/>
      <c r="M707" s="9" t="str">
        <f ca="1">IFERROR(__xludf.DUMMYFUNCTION("""COMPUTED_VALUE"""),"S4: Student Certifications")</f>
        <v>S4: Student Certifications</v>
      </c>
      <c r="N707" s="9" t="str">
        <f ca="1">IFERROR(__xludf.DUMMYFUNCTION("""COMPUTED_VALUE"""),"spandana1009@gmail.com")</f>
        <v>spandana1009@gmail.com</v>
      </c>
      <c r="O707" s="9" t="str">
        <f ca="1">IFERROR(__xludf.DUMMYFUNCTION("""COMPUTED_VALUE"""),"SEM-8")</f>
        <v>SEM-8</v>
      </c>
      <c r="P707" s="9"/>
      <c r="Q707" s="9"/>
      <c r="R707" s="9"/>
      <c r="S707" s="9"/>
      <c r="T707" s="9"/>
      <c r="U707" s="9"/>
      <c r="V707" s="9"/>
      <c r="W707" s="9"/>
      <c r="X707" s="9"/>
      <c r="Y707" s="9"/>
    </row>
    <row r="708" spans="1:25" ht="26.25" customHeight="1" x14ac:dyDescent="0.15">
      <c r="A708" s="9" t="str">
        <f ca="1">IFERROR(__xludf.DUMMYFUNCTION("""COMPUTED_VALUE"""),"Chitikana Spandana")</f>
        <v>Chitikana Spandana</v>
      </c>
      <c r="B708" s="9" t="str">
        <f ca="1">IFERROR(__xludf.DUMMYFUNCTION("""COMPUTED_VALUE"""),"18331A0527")</f>
        <v>18331A0527</v>
      </c>
      <c r="C708" s="78" t="str">
        <f ca="1">IFERROR(__xludf.DUMMYFUNCTION("""COMPUTED_VALUE"""),"Code Riders 2021")</f>
        <v>Code Riders 2021</v>
      </c>
      <c r="D708" s="9" t="str">
        <f ca="1">IFERROR(__xludf.DUMMYFUNCTION("""COMPUTED_VALUE"""),"Eduskills")</f>
        <v>Eduskills</v>
      </c>
      <c r="E708" s="9" t="str">
        <f ca="1">IFERROR(__xludf.DUMMYFUNCTION("""COMPUTED_VALUE"""),"1month")</f>
        <v>1month</v>
      </c>
      <c r="F708" s="79">
        <f ca="1">IFERROR(__xludf.DUMMYFUNCTION("""COMPUTED_VALUE"""),44348)</f>
        <v>44348</v>
      </c>
      <c r="G708" s="79">
        <f ca="1">IFERROR(__xludf.DUMMYFUNCTION("""COMPUTED_VALUE"""),44378)</f>
        <v>44378</v>
      </c>
      <c r="H708" s="72"/>
      <c r="I708" s="80">
        <f ca="1">IFERROR(__xludf.DUMMYFUNCTION("""COMPUTED_VALUE"""),92)</f>
        <v>92</v>
      </c>
      <c r="J708" s="9"/>
      <c r="K708" s="73" t="str">
        <f ca="1">IFERROR(__xludf.DUMMYFUNCTION("""COMPUTED_VALUE"""),"https://drive.google.com/open?id=1DUtRjF0FYTBKwAhrHP_jsOTf3dXMYtNp")</f>
        <v>https://drive.google.com/open?id=1DUtRjF0FYTBKwAhrHP_jsOTf3dXMYtNp</v>
      </c>
      <c r="L708" s="9"/>
      <c r="M708" s="9" t="str">
        <f ca="1">IFERROR(__xludf.DUMMYFUNCTION("""COMPUTED_VALUE"""),"S4: Student Certifications")</f>
        <v>S4: Student Certifications</v>
      </c>
      <c r="N708" s="9" t="str">
        <f ca="1">IFERROR(__xludf.DUMMYFUNCTION("""COMPUTED_VALUE"""),"spandana1009@gmail.com")</f>
        <v>spandana1009@gmail.com</v>
      </c>
      <c r="O708" s="9" t="str">
        <f ca="1">IFERROR(__xludf.DUMMYFUNCTION("""COMPUTED_VALUE"""),"SEM-8")</f>
        <v>SEM-8</v>
      </c>
      <c r="P708" s="9"/>
      <c r="Q708" s="9"/>
      <c r="R708" s="9"/>
      <c r="S708" s="9"/>
      <c r="T708" s="9"/>
      <c r="U708" s="9"/>
      <c r="V708" s="9"/>
      <c r="W708" s="9"/>
      <c r="X708" s="9"/>
      <c r="Y708" s="9"/>
    </row>
    <row r="709" spans="1:25" ht="26.25" customHeight="1" x14ac:dyDescent="0.15">
      <c r="A709" s="9" t="str">
        <f ca="1">IFERROR(__xludf.DUMMYFUNCTION("""COMPUTED_VALUE"""),"Lalita Manoj Kumar Banisetty")</f>
        <v>Lalita Manoj Kumar Banisetty</v>
      </c>
      <c r="B709" s="9" t="str">
        <f ca="1">IFERROR(__xludf.DUMMYFUNCTION("""COMPUTED_VALUE"""),"18331A0586")</f>
        <v>18331A0586</v>
      </c>
      <c r="C709" s="78" t="str">
        <f ca="1">IFERROR(__xludf.DUMMYFUNCTION("""COMPUTED_VALUE"""),"Introduction to Networks")</f>
        <v>Introduction to Networks</v>
      </c>
      <c r="D709" s="9" t="str">
        <f ca="1">IFERROR(__xludf.DUMMYFUNCTION("""COMPUTED_VALUE"""),"CCNA")</f>
        <v>CCNA</v>
      </c>
      <c r="E709" s="9" t="str">
        <f ca="1">IFERROR(__xludf.DUMMYFUNCTION("""COMPUTED_VALUE"""),"1 week")</f>
        <v>1 week</v>
      </c>
      <c r="F709" s="79">
        <f ca="1">IFERROR(__xludf.DUMMYFUNCTION("""COMPUTED_VALUE"""),44371)</f>
        <v>44371</v>
      </c>
      <c r="G709" s="79">
        <f ca="1">IFERROR(__xludf.DUMMYFUNCTION("""COMPUTED_VALUE"""),44378)</f>
        <v>44378</v>
      </c>
      <c r="H709" s="72"/>
      <c r="I709" s="80">
        <f ca="1">IFERROR(__xludf.DUMMYFUNCTION("""COMPUTED_VALUE"""),100)</f>
        <v>100</v>
      </c>
      <c r="J709" s="9"/>
      <c r="K709" s="73" t="str">
        <f ca="1">IFERROR(__xludf.DUMMYFUNCTION("""COMPUTED_VALUE"""),"https://drive.google.com/open?id=19I4jWirCiejN_NsQQxeD0QGuWIl4a_6d")</f>
        <v>https://drive.google.com/open?id=19I4jWirCiejN_NsQQxeD0QGuWIl4a_6d</v>
      </c>
      <c r="L709" s="9"/>
      <c r="M709" s="9" t="str">
        <f ca="1">IFERROR(__xludf.DUMMYFUNCTION("""COMPUTED_VALUE"""),"S4: Student Certifications")</f>
        <v>S4: Student Certifications</v>
      </c>
      <c r="N709" s="9" t="str">
        <f ca="1">IFERROR(__xludf.DUMMYFUNCTION("""COMPUTED_VALUE"""),"mano.benesetti@gmail.comn")</f>
        <v>mano.benesetti@gmail.comn</v>
      </c>
      <c r="O709" s="9" t="str">
        <f ca="1">IFERROR(__xludf.DUMMYFUNCTION("""COMPUTED_VALUE"""),"SEM-8")</f>
        <v>SEM-8</v>
      </c>
      <c r="P709" s="9"/>
      <c r="Q709" s="9"/>
      <c r="R709" s="9"/>
      <c r="S709" s="9"/>
      <c r="T709" s="9"/>
      <c r="U709" s="9"/>
      <c r="V709" s="9"/>
      <c r="W709" s="9"/>
      <c r="X709" s="9"/>
      <c r="Y709" s="9"/>
    </row>
    <row r="710" spans="1:25" ht="26.25" customHeight="1" x14ac:dyDescent="0.15">
      <c r="A710" s="9" t="str">
        <f ca="1">IFERROR(__xludf.DUMMYFUNCTION("""COMPUTED_VALUE"""),"Lalita Manoj Kumar Banisetty")</f>
        <v>Lalita Manoj Kumar Banisetty</v>
      </c>
      <c r="B710" s="9" t="str">
        <f ca="1">IFERROR(__xludf.DUMMYFUNCTION("""COMPUTED_VALUE"""),"18331A0586")</f>
        <v>18331A0586</v>
      </c>
      <c r="C710" s="78" t="str">
        <f ca="1">IFERROR(__xludf.DUMMYFUNCTION("""COMPUTED_VALUE"""),"Applied Data Science")</f>
        <v>Applied Data Science</v>
      </c>
      <c r="D710" s="9" t="str">
        <f ca="1">IFERROR(__xludf.DUMMYFUNCTION("""COMPUTED_VALUE"""),"Coursera")</f>
        <v>Coursera</v>
      </c>
      <c r="E710" s="9" t="str">
        <f ca="1">IFERROR(__xludf.DUMMYFUNCTION("""COMPUTED_VALUE"""),"1 week")</f>
        <v>1 week</v>
      </c>
      <c r="F710" s="79">
        <f ca="1">IFERROR(__xludf.DUMMYFUNCTION("""COMPUTED_VALUE"""),43941)</f>
        <v>43941</v>
      </c>
      <c r="G710" s="79">
        <f ca="1">IFERROR(__xludf.DUMMYFUNCTION("""COMPUTED_VALUE"""),43971)</f>
        <v>43971</v>
      </c>
      <c r="H710" s="72"/>
      <c r="I710" s="80">
        <f ca="1">IFERROR(__xludf.DUMMYFUNCTION("""COMPUTED_VALUE"""),100)</f>
        <v>100</v>
      </c>
      <c r="J710" s="9"/>
      <c r="K710" s="73" t="str">
        <f ca="1">IFERROR(__xludf.DUMMYFUNCTION("""COMPUTED_VALUE"""),"https://drive.google.com/open?id=1bsMiDlZDRBWq4-h5hseMgfcMaG09BRWx")</f>
        <v>https://drive.google.com/open?id=1bsMiDlZDRBWq4-h5hseMgfcMaG09BRWx</v>
      </c>
      <c r="L710" s="9"/>
      <c r="M710" s="9" t="str">
        <f ca="1">IFERROR(__xludf.DUMMYFUNCTION("""COMPUTED_VALUE"""),"S4: Student Certifications")</f>
        <v>S4: Student Certifications</v>
      </c>
      <c r="N710" s="9" t="str">
        <f ca="1">IFERROR(__xludf.DUMMYFUNCTION("""COMPUTED_VALUE"""),"mano.benesetti@gmail.com")</f>
        <v>mano.benesetti@gmail.com</v>
      </c>
      <c r="O710" s="9" t="str">
        <f ca="1">IFERROR(__xludf.DUMMYFUNCTION("""COMPUTED_VALUE"""),"SEM-8")</f>
        <v>SEM-8</v>
      </c>
      <c r="P710" s="9"/>
      <c r="Q710" s="9"/>
      <c r="R710" s="9"/>
      <c r="S710" s="9"/>
      <c r="T710" s="9"/>
      <c r="U710" s="9"/>
      <c r="V710" s="9"/>
      <c r="W710" s="9"/>
      <c r="X710" s="9"/>
      <c r="Y710" s="9"/>
    </row>
    <row r="711" spans="1:25" ht="26.25" customHeight="1" x14ac:dyDescent="0.15">
      <c r="A711" s="9" t="str">
        <f ca="1">IFERROR(__xludf.DUMMYFUNCTION("""COMPUTED_VALUE"""),"Lalita Manoj Kumar Banisetty")</f>
        <v>Lalita Manoj Kumar Banisetty</v>
      </c>
      <c r="B711" s="9" t="str">
        <f ca="1">IFERROR(__xludf.DUMMYFUNCTION("""COMPUTED_VALUE"""),"18331A0586")</f>
        <v>18331A0586</v>
      </c>
      <c r="C711" s="78" t="str">
        <f ca="1">IFERROR(__xludf.DUMMYFUNCTION("""COMPUTED_VALUE"""),"Python for Everybody")</f>
        <v>Python for Everybody</v>
      </c>
      <c r="D711" s="9" t="str">
        <f ca="1">IFERROR(__xludf.DUMMYFUNCTION("""COMPUTED_VALUE"""),"Coursera")</f>
        <v>Coursera</v>
      </c>
      <c r="E711" s="9" t="str">
        <f ca="1">IFERROR(__xludf.DUMMYFUNCTION("""COMPUTED_VALUE"""),"1 week")</f>
        <v>1 week</v>
      </c>
      <c r="F711" s="79">
        <f ca="1">IFERROR(__xludf.DUMMYFUNCTION("""COMPUTED_VALUE"""),43951)</f>
        <v>43951</v>
      </c>
      <c r="G711" s="79">
        <f ca="1">IFERROR(__xludf.DUMMYFUNCTION("""COMPUTED_VALUE"""),43957)</f>
        <v>43957</v>
      </c>
      <c r="H711" s="72"/>
      <c r="I711" s="80">
        <f ca="1">IFERROR(__xludf.DUMMYFUNCTION("""COMPUTED_VALUE"""),100)</f>
        <v>100</v>
      </c>
      <c r="J711" s="9"/>
      <c r="K711" s="73" t="str">
        <f ca="1">IFERROR(__xludf.DUMMYFUNCTION("""COMPUTED_VALUE"""),"https://drive.google.com/open?id=1vRieVmaby2W5XuKahptQb6fJno4nR5jr")</f>
        <v>https://drive.google.com/open?id=1vRieVmaby2W5XuKahptQb6fJno4nR5jr</v>
      </c>
      <c r="L711" s="9"/>
      <c r="M711" s="9" t="str">
        <f ca="1">IFERROR(__xludf.DUMMYFUNCTION("""COMPUTED_VALUE"""),"S4: Student Certifications")</f>
        <v>S4: Student Certifications</v>
      </c>
      <c r="N711" s="9" t="str">
        <f ca="1">IFERROR(__xludf.DUMMYFUNCTION("""COMPUTED_VALUE"""),"mano.benesetti@gmail.com")</f>
        <v>mano.benesetti@gmail.com</v>
      </c>
      <c r="O711" s="9" t="str">
        <f ca="1">IFERROR(__xludf.DUMMYFUNCTION("""COMPUTED_VALUE"""),"SEM-8")</f>
        <v>SEM-8</v>
      </c>
      <c r="P711" s="9"/>
      <c r="Q711" s="9"/>
      <c r="R711" s="9"/>
      <c r="S711" s="9"/>
      <c r="T711" s="9"/>
      <c r="U711" s="9"/>
      <c r="V711" s="9"/>
      <c r="W711" s="9"/>
      <c r="X711" s="9"/>
      <c r="Y711" s="9"/>
    </row>
    <row r="712" spans="1:25" ht="26.25" customHeight="1" x14ac:dyDescent="0.15">
      <c r="A712" s="9" t="str">
        <f ca="1">IFERROR(__xludf.DUMMYFUNCTION("""COMPUTED_VALUE"""),"MOUNIKA GANTA")</f>
        <v>MOUNIKA GANTA</v>
      </c>
      <c r="B712" s="9" t="str">
        <f ca="1">IFERROR(__xludf.DUMMYFUNCTION("""COMPUTED_VALUE"""),"18331A0543")</f>
        <v>18331A0543</v>
      </c>
      <c r="C712" s="78" t="str">
        <f ca="1">IFERROR(__xludf.DUMMYFUNCTION("""COMPUTED_VALUE"""),"Introduction To HTML")</f>
        <v>Introduction To HTML</v>
      </c>
      <c r="D712" s="9" t="str">
        <f ca="1">IFERROR(__xludf.DUMMYFUNCTION("""COMPUTED_VALUE"""),"Coursera")</f>
        <v>Coursera</v>
      </c>
      <c r="E712" s="9" t="str">
        <f ca="1">IFERROR(__xludf.DUMMYFUNCTION("""COMPUTED_VALUE"""),"2 weeks")</f>
        <v>2 weeks</v>
      </c>
      <c r="F712" s="79">
        <f ca="1">IFERROR(__xludf.DUMMYFUNCTION("""COMPUTED_VALUE"""),43997)</f>
        <v>43997</v>
      </c>
      <c r="G712" s="79">
        <f ca="1">IFERROR(__xludf.DUMMYFUNCTION("""COMPUTED_VALUE"""),44013)</f>
        <v>44013</v>
      </c>
      <c r="H712" s="72"/>
      <c r="I712" s="80">
        <f ca="1">IFERROR(__xludf.DUMMYFUNCTION("""COMPUTED_VALUE"""),100)</f>
        <v>100</v>
      </c>
      <c r="J712" s="9"/>
      <c r="K712" s="73" t="str">
        <f ca="1">IFERROR(__xludf.DUMMYFUNCTION("""COMPUTED_VALUE"""),"https://drive.google.com/open?id=1phbmltLQEK2mR3kTPLZlKXtmJkqUjbKv")</f>
        <v>https://drive.google.com/open?id=1phbmltLQEK2mR3kTPLZlKXtmJkqUjbKv</v>
      </c>
      <c r="L712" s="9"/>
      <c r="M712" s="9" t="str">
        <f ca="1">IFERROR(__xludf.DUMMYFUNCTION("""COMPUTED_VALUE"""),"S4: Student Certifications")</f>
        <v>S4: Student Certifications</v>
      </c>
      <c r="N712" s="9" t="str">
        <f ca="1">IFERROR(__xludf.DUMMYFUNCTION("""COMPUTED_VALUE"""),"mounikaganta2001@gmail.com")</f>
        <v>mounikaganta2001@gmail.com</v>
      </c>
      <c r="O712" s="9" t="str">
        <f ca="1">IFERROR(__xludf.DUMMYFUNCTION("""COMPUTED_VALUE"""),"SEM-8")</f>
        <v>SEM-8</v>
      </c>
      <c r="P712" s="9"/>
      <c r="Q712" s="9"/>
      <c r="R712" s="9"/>
      <c r="S712" s="9"/>
      <c r="T712" s="9"/>
      <c r="U712" s="9"/>
      <c r="V712" s="9"/>
      <c r="W712" s="9"/>
      <c r="X712" s="9"/>
      <c r="Y712" s="9"/>
    </row>
    <row r="713" spans="1:25" ht="26.25" customHeight="1" x14ac:dyDescent="0.15">
      <c r="A713" s="9" t="str">
        <f ca="1">IFERROR(__xludf.DUMMYFUNCTION("""COMPUTED_VALUE"""),"MOUNIKA GANTA")</f>
        <v>MOUNIKA GANTA</v>
      </c>
      <c r="B713" s="9" t="str">
        <f ca="1">IFERROR(__xludf.DUMMYFUNCTION("""COMPUTED_VALUE"""),"18331A0543")</f>
        <v>18331A0543</v>
      </c>
      <c r="C713" s="78" t="str">
        <f ca="1">IFERROR(__xludf.DUMMYFUNCTION("""COMPUTED_VALUE"""),"Testing and Debugging Python")</f>
        <v>Testing and Debugging Python</v>
      </c>
      <c r="D713" s="9" t="str">
        <f ca="1">IFERROR(__xludf.DUMMYFUNCTION("""COMPUTED_VALUE"""),"Coursera")</f>
        <v>Coursera</v>
      </c>
      <c r="E713" s="9" t="str">
        <f ca="1">IFERROR(__xludf.DUMMYFUNCTION("""COMPUTED_VALUE"""),"2 weeks")</f>
        <v>2 weeks</v>
      </c>
      <c r="F713" s="79">
        <f ca="1">IFERROR(__xludf.DUMMYFUNCTION("""COMPUTED_VALUE"""),44013)</f>
        <v>44013</v>
      </c>
      <c r="G713" s="79">
        <f ca="1">IFERROR(__xludf.DUMMYFUNCTION("""COMPUTED_VALUE"""),44023)</f>
        <v>44023</v>
      </c>
      <c r="H713" s="72"/>
      <c r="I713" s="80">
        <f ca="1">IFERROR(__xludf.DUMMYFUNCTION("""COMPUTED_VALUE"""),100)</f>
        <v>100</v>
      </c>
      <c r="J713" s="9"/>
      <c r="K713" s="73" t="str">
        <f ca="1">IFERROR(__xludf.DUMMYFUNCTION("""COMPUTED_VALUE"""),"https://drive.google.com/open?id=100PDgqWEA8HbqwvaYupWvx8R42Of-o-H")</f>
        <v>https://drive.google.com/open?id=100PDgqWEA8HbqwvaYupWvx8R42Of-o-H</v>
      </c>
      <c r="L713" s="9"/>
      <c r="M713" s="9" t="str">
        <f ca="1">IFERROR(__xludf.DUMMYFUNCTION("""COMPUTED_VALUE"""),"S4: Student Certifications")</f>
        <v>S4: Student Certifications</v>
      </c>
      <c r="N713" s="9" t="str">
        <f ca="1">IFERROR(__xludf.DUMMYFUNCTION("""COMPUTED_VALUE"""),"mounikaganta2001@gmail.com")</f>
        <v>mounikaganta2001@gmail.com</v>
      </c>
      <c r="O713" s="9" t="str">
        <f ca="1">IFERROR(__xludf.DUMMYFUNCTION("""COMPUTED_VALUE"""),"SEM-8")</f>
        <v>SEM-8</v>
      </c>
      <c r="P713" s="9"/>
      <c r="Q713" s="9"/>
      <c r="R713" s="9"/>
      <c r="S713" s="9"/>
      <c r="T713" s="9"/>
      <c r="U713" s="9"/>
      <c r="V713" s="9"/>
      <c r="W713" s="9"/>
      <c r="X713" s="9"/>
      <c r="Y713" s="9"/>
    </row>
    <row r="714" spans="1:25" ht="26.25" customHeight="1" x14ac:dyDescent="0.15">
      <c r="A714" s="9" t="str">
        <f ca="1">IFERROR(__xludf.DUMMYFUNCTION("""COMPUTED_VALUE"""),"MOUNIKA GANTA")</f>
        <v>MOUNIKA GANTA</v>
      </c>
      <c r="B714" s="9" t="str">
        <f ca="1">IFERROR(__xludf.DUMMYFUNCTION("""COMPUTED_VALUE"""),"18331A0543")</f>
        <v>18331A0543</v>
      </c>
      <c r="C714" s="78" t="str">
        <f ca="1">IFERROR(__xludf.DUMMYFUNCTION("""COMPUTED_VALUE"""),"Introduction to Cloud Computing")</f>
        <v>Introduction to Cloud Computing</v>
      </c>
      <c r="D714" s="9" t="str">
        <f ca="1">IFERROR(__xludf.DUMMYFUNCTION("""COMPUTED_VALUE"""),"Coursera")</f>
        <v>Coursera</v>
      </c>
      <c r="E714" s="9" t="str">
        <f ca="1">IFERROR(__xludf.DUMMYFUNCTION("""COMPUTED_VALUE"""),"2 weeks")</f>
        <v>2 weeks</v>
      </c>
      <c r="F714" s="79">
        <f ca="1">IFERROR(__xludf.DUMMYFUNCTION("""COMPUTED_VALUE"""),43990)</f>
        <v>43990</v>
      </c>
      <c r="G714" s="79">
        <f ca="1">IFERROR(__xludf.DUMMYFUNCTION("""COMPUTED_VALUE"""),44009)</f>
        <v>44009</v>
      </c>
      <c r="H714" s="72"/>
      <c r="I714" s="80">
        <f ca="1">IFERROR(__xludf.DUMMYFUNCTION("""COMPUTED_VALUE"""),100)</f>
        <v>100</v>
      </c>
      <c r="J714" s="9"/>
      <c r="K714" s="73" t="str">
        <f ca="1">IFERROR(__xludf.DUMMYFUNCTION("""COMPUTED_VALUE"""),"https://drive.google.com/open?id=1wEJyme1v4uefj-4pjZ-EKIdLtaioyXwa")</f>
        <v>https://drive.google.com/open?id=1wEJyme1v4uefj-4pjZ-EKIdLtaioyXwa</v>
      </c>
      <c r="L714" s="9"/>
      <c r="M714" s="9" t="str">
        <f ca="1">IFERROR(__xludf.DUMMYFUNCTION("""COMPUTED_VALUE"""),"S4: Student Certifications")</f>
        <v>S4: Student Certifications</v>
      </c>
      <c r="N714" s="9" t="str">
        <f ca="1">IFERROR(__xludf.DUMMYFUNCTION("""COMPUTED_VALUE"""),"mounikaganta2001@gmail.com")</f>
        <v>mounikaganta2001@gmail.com</v>
      </c>
      <c r="O714" s="9" t="str">
        <f ca="1">IFERROR(__xludf.DUMMYFUNCTION("""COMPUTED_VALUE"""),"SEM-8")</f>
        <v>SEM-8</v>
      </c>
      <c r="P714" s="9"/>
      <c r="Q714" s="9"/>
      <c r="R714" s="9"/>
      <c r="S714" s="9"/>
      <c r="T714" s="9"/>
      <c r="U714" s="9"/>
      <c r="V714" s="9"/>
      <c r="W714" s="9"/>
      <c r="X714" s="9"/>
      <c r="Y714" s="9"/>
    </row>
    <row r="715" spans="1:25" ht="26.25" customHeight="1" x14ac:dyDescent="0.15">
      <c r="A715" s="9" t="str">
        <f ca="1">IFERROR(__xludf.DUMMYFUNCTION("""COMPUTED_VALUE"""),"MOUNIKA GANTA")</f>
        <v>MOUNIKA GANTA</v>
      </c>
      <c r="B715" s="9" t="str">
        <f ca="1">IFERROR(__xludf.DUMMYFUNCTION("""COMPUTED_VALUE"""),"18331A0543")</f>
        <v>18331A0543</v>
      </c>
      <c r="C715" s="78" t="str">
        <f ca="1">IFERROR(__xludf.DUMMYFUNCTION("""COMPUTED_VALUE"""),"Design Thinking for the Greater Good: Innovation in the Social Sector")</f>
        <v>Design Thinking for the Greater Good: Innovation in the Social Sector</v>
      </c>
      <c r="D715" s="9" t="str">
        <f ca="1">IFERROR(__xludf.DUMMYFUNCTION("""COMPUTED_VALUE"""),"Coursera")</f>
        <v>Coursera</v>
      </c>
      <c r="E715" s="9" t="str">
        <f ca="1">IFERROR(__xludf.DUMMYFUNCTION("""COMPUTED_VALUE"""),"2 weeks")</f>
        <v>2 weeks</v>
      </c>
      <c r="F715" s="79">
        <f ca="1">IFERROR(__xludf.DUMMYFUNCTION("""COMPUTED_VALUE"""),43990)</f>
        <v>43990</v>
      </c>
      <c r="G715" s="79">
        <f ca="1">IFERROR(__xludf.DUMMYFUNCTION("""COMPUTED_VALUE"""),44009)</f>
        <v>44009</v>
      </c>
      <c r="H715" s="72"/>
      <c r="I715" s="80">
        <f ca="1">IFERROR(__xludf.DUMMYFUNCTION("""COMPUTED_VALUE"""),100)</f>
        <v>100</v>
      </c>
      <c r="J715" s="9"/>
      <c r="K715" s="73" t="str">
        <f ca="1">IFERROR(__xludf.DUMMYFUNCTION("""COMPUTED_VALUE"""),"https://drive.google.com/open?id=1huanhUtI8JvM0vhCehWdEas9XixByueS")</f>
        <v>https://drive.google.com/open?id=1huanhUtI8JvM0vhCehWdEas9XixByueS</v>
      </c>
      <c r="L715" s="9"/>
      <c r="M715" s="9" t="str">
        <f ca="1">IFERROR(__xludf.DUMMYFUNCTION("""COMPUTED_VALUE"""),"S4: Student Certifications")</f>
        <v>S4: Student Certifications</v>
      </c>
      <c r="N715" s="9" t="str">
        <f ca="1">IFERROR(__xludf.DUMMYFUNCTION("""COMPUTED_VALUE"""),"mounikaganta2001@gmail.com")</f>
        <v>mounikaganta2001@gmail.com</v>
      </c>
      <c r="O715" s="9" t="str">
        <f ca="1">IFERROR(__xludf.DUMMYFUNCTION("""COMPUTED_VALUE"""),"SEM-8")</f>
        <v>SEM-8</v>
      </c>
      <c r="P715" s="9"/>
      <c r="Q715" s="9"/>
      <c r="R715" s="9"/>
      <c r="S715" s="9"/>
      <c r="T715" s="9"/>
      <c r="U715" s="9"/>
      <c r="V715" s="9"/>
      <c r="W715" s="9"/>
      <c r="X715" s="9"/>
      <c r="Y715" s="9"/>
    </row>
    <row r="716" spans="1:25" ht="26.25" customHeight="1" x14ac:dyDescent="0.15">
      <c r="A716" s="9" t="str">
        <f ca="1">IFERROR(__xludf.DUMMYFUNCTION("""COMPUTED_VALUE"""),"MOUNIKA GANTA")</f>
        <v>MOUNIKA GANTA</v>
      </c>
      <c r="B716" s="9" t="str">
        <f ca="1">IFERROR(__xludf.DUMMYFUNCTION("""COMPUTED_VALUE"""),"18331A0543")</f>
        <v>18331A0543</v>
      </c>
      <c r="C716" s="78" t="str">
        <f ca="1">IFERROR(__xludf.DUMMYFUNCTION("""COMPUTED_VALUE"""),"Machine Learning Foundations: A Case Study Approach")</f>
        <v>Machine Learning Foundations: A Case Study Approach</v>
      </c>
      <c r="D716" s="9" t="str">
        <f ca="1">IFERROR(__xludf.DUMMYFUNCTION("""COMPUTED_VALUE"""),"Coursera")</f>
        <v>Coursera</v>
      </c>
      <c r="E716" s="9" t="str">
        <f ca="1">IFERROR(__xludf.DUMMYFUNCTION("""COMPUTED_VALUE"""),"2 weeks")</f>
        <v>2 weeks</v>
      </c>
      <c r="F716" s="79">
        <f ca="1">IFERROR(__xludf.DUMMYFUNCTION("""COMPUTED_VALUE"""),43976)</f>
        <v>43976</v>
      </c>
      <c r="G716" s="79">
        <f ca="1">IFERROR(__xludf.DUMMYFUNCTION("""COMPUTED_VALUE"""),43990)</f>
        <v>43990</v>
      </c>
      <c r="H716" s="72"/>
      <c r="I716" s="80">
        <f ca="1">IFERROR(__xludf.DUMMYFUNCTION("""COMPUTED_VALUE"""),100)</f>
        <v>100</v>
      </c>
      <c r="J716" s="9"/>
      <c r="K716" s="73" t="str">
        <f ca="1">IFERROR(__xludf.DUMMYFUNCTION("""COMPUTED_VALUE"""),"https://drive.google.com/open?id=1DyiaPLijpbCG-XVC9VwD49bqqZ2URv9k")</f>
        <v>https://drive.google.com/open?id=1DyiaPLijpbCG-XVC9VwD49bqqZ2URv9k</v>
      </c>
      <c r="L716" s="9"/>
      <c r="M716" s="9" t="str">
        <f ca="1">IFERROR(__xludf.DUMMYFUNCTION("""COMPUTED_VALUE"""),"S4: Student Certifications")</f>
        <v>S4: Student Certifications</v>
      </c>
      <c r="N716" s="9" t="str">
        <f ca="1">IFERROR(__xludf.DUMMYFUNCTION("""COMPUTED_VALUE"""),"mounikaganta2001@gmail.com")</f>
        <v>mounikaganta2001@gmail.com</v>
      </c>
      <c r="O716" s="9" t="str">
        <f ca="1">IFERROR(__xludf.DUMMYFUNCTION("""COMPUTED_VALUE"""),"SEM-8")</f>
        <v>SEM-8</v>
      </c>
      <c r="P716" s="9"/>
      <c r="Q716" s="9"/>
      <c r="R716" s="9"/>
      <c r="S716" s="9"/>
      <c r="T716" s="9"/>
      <c r="U716" s="9"/>
      <c r="V716" s="9"/>
      <c r="W716" s="9"/>
      <c r="X716" s="9"/>
      <c r="Y716" s="9"/>
    </row>
    <row r="717" spans="1:25" ht="26.25" customHeight="1" x14ac:dyDescent="0.15">
      <c r="A717" s="9" t="str">
        <f ca="1">IFERROR(__xludf.DUMMYFUNCTION("""COMPUTED_VALUE"""),"MOUNIKA GANTA")</f>
        <v>MOUNIKA GANTA</v>
      </c>
      <c r="B717" s="9" t="str">
        <f ca="1">IFERROR(__xludf.DUMMYFUNCTION("""COMPUTED_VALUE"""),"18331A0543")</f>
        <v>18331A0543</v>
      </c>
      <c r="C717" s="78" t="str">
        <f ca="1">IFERROR(__xludf.DUMMYFUNCTION("""COMPUTED_VALUE"""),"What is Data Science?")</f>
        <v>What is Data Science?</v>
      </c>
      <c r="D717" s="9" t="str">
        <f ca="1">IFERROR(__xludf.DUMMYFUNCTION("""COMPUTED_VALUE"""),"Coursera")</f>
        <v>Coursera</v>
      </c>
      <c r="E717" s="9" t="str">
        <f ca="1">IFERROR(__xludf.DUMMYFUNCTION("""COMPUTED_VALUE"""),"2 weeks")</f>
        <v>2 weeks</v>
      </c>
      <c r="F717" s="79">
        <f ca="1">IFERROR(__xludf.DUMMYFUNCTION("""COMPUTED_VALUE"""),43951)</f>
        <v>43951</v>
      </c>
      <c r="G717" s="79">
        <f ca="1">IFERROR(__xludf.DUMMYFUNCTION("""COMPUTED_VALUE"""),43962)</f>
        <v>43962</v>
      </c>
      <c r="H717" s="72"/>
      <c r="I717" s="80">
        <f ca="1">IFERROR(__xludf.DUMMYFUNCTION("""COMPUTED_VALUE"""),100)</f>
        <v>100</v>
      </c>
      <c r="J717" s="9"/>
      <c r="K717" s="73" t="str">
        <f ca="1">IFERROR(__xludf.DUMMYFUNCTION("""COMPUTED_VALUE"""),"https://drive.google.com/open?id=1TUyODFuA8SDUk4pmlJD0pYlai6s0PrGx")</f>
        <v>https://drive.google.com/open?id=1TUyODFuA8SDUk4pmlJD0pYlai6s0PrGx</v>
      </c>
      <c r="L717" s="9"/>
      <c r="M717" s="9" t="str">
        <f ca="1">IFERROR(__xludf.DUMMYFUNCTION("""COMPUTED_VALUE"""),"S4: Student Certifications")</f>
        <v>S4: Student Certifications</v>
      </c>
      <c r="N717" s="9" t="str">
        <f ca="1">IFERROR(__xludf.DUMMYFUNCTION("""COMPUTED_VALUE"""),"mounikaganta2001@gmail.com")</f>
        <v>mounikaganta2001@gmail.com</v>
      </c>
      <c r="O717" s="9" t="str">
        <f ca="1">IFERROR(__xludf.DUMMYFUNCTION("""COMPUTED_VALUE"""),"SEM-8")</f>
        <v>SEM-8</v>
      </c>
      <c r="P717" s="9"/>
      <c r="Q717" s="9"/>
      <c r="R717" s="9"/>
      <c r="S717" s="9"/>
      <c r="T717" s="9"/>
      <c r="U717" s="9"/>
      <c r="V717" s="9"/>
      <c r="W717" s="9"/>
      <c r="X717" s="9"/>
      <c r="Y717" s="9"/>
    </row>
    <row r="718" spans="1:25" ht="26.25" customHeight="1" x14ac:dyDescent="0.15">
      <c r="A718" s="9" t="str">
        <f ca="1">IFERROR(__xludf.DUMMYFUNCTION("""COMPUTED_VALUE"""),"MOUNIKA GANTA")</f>
        <v>MOUNIKA GANTA</v>
      </c>
      <c r="B718" s="9" t="str">
        <f ca="1">IFERROR(__xludf.DUMMYFUNCTION("""COMPUTED_VALUE"""),"18331A0543")</f>
        <v>18331A0543</v>
      </c>
      <c r="C718" s="78" t="str">
        <f ca="1">IFERROR(__xludf.DUMMYFUNCTION("""COMPUTED_VALUE"""),"AI For Everyone")</f>
        <v>AI For Everyone</v>
      </c>
      <c r="D718" s="9" t="str">
        <f ca="1">IFERROR(__xludf.DUMMYFUNCTION("""COMPUTED_VALUE"""),"Coursera")</f>
        <v>Coursera</v>
      </c>
      <c r="E718" s="9" t="str">
        <f ca="1">IFERROR(__xludf.DUMMYFUNCTION("""COMPUTED_VALUE"""),"2 weeks")</f>
        <v>2 weeks</v>
      </c>
      <c r="F718" s="79">
        <f ca="1">IFERROR(__xludf.DUMMYFUNCTION("""COMPUTED_VALUE"""),43930)</f>
        <v>43930</v>
      </c>
      <c r="G718" s="79">
        <f ca="1">IFERROR(__xludf.DUMMYFUNCTION("""COMPUTED_VALUE"""),43944)</f>
        <v>43944</v>
      </c>
      <c r="H718" s="72"/>
      <c r="I718" s="80">
        <f ca="1">IFERROR(__xludf.DUMMYFUNCTION("""COMPUTED_VALUE"""),100)</f>
        <v>100</v>
      </c>
      <c r="J718" s="9"/>
      <c r="K718" s="73" t="str">
        <f ca="1">IFERROR(__xludf.DUMMYFUNCTION("""COMPUTED_VALUE"""),"https://drive.google.com/open?id=1OzI_clNZODyIGXGq0gPExTdi8hKCS5BN")</f>
        <v>https://drive.google.com/open?id=1OzI_clNZODyIGXGq0gPExTdi8hKCS5BN</v>
      </c>
      <c r="L718" s="9"/>
      <c r="M718" s="9" t="str">
        <f ca="1">IFERROR(__xludf.DUMMYFUNCTION("""COMPUTED_VALUE"""),"S4: Student Certifications")</f>
        <v>S4: Student Certifications</v>
      </c>
      <c r="N718" s="9" t="str">
        <f ca="1">IFERROR(__xludf.DUMMYFUNCTION("""COMPUTED_VALUE"""),"mounikaganta2001@gmail.com")</f>
        <v>mounikaganta2001@gmail.com</v>
      </c>
      <c r="O718" s="9" t="str">
        <f ca="1">IFERROR(__xludf.DUMMYFUNCTION("""COMPUTED_VALUE"""),"SEM-8")</f>
        <v>SEM-8</v>
      </c>
      <c r="P718" s="9"/>
      <c r="Q718" s="9"/>
      <c r="R718" s="9"/>
      <c r="S718" s="9"/>
      <c r="T718" s="9"/>
      <c r="U718" s="9"/>
      <c r="V718" s="9"/>
      <c r="W718" s="9"/>
      <c r="X718" s="9"/>
      <c r="Y718" s="9"/>
    </row>
    <row r="719" spans="1:25" ht="26.25" customHeight="1" x14ac:dyDescent="0.15">
      <c r="A719" s="9" t="str">
        <f ca="1">IFERROR(__xludf.DUMMYFUNCTION("""COMPUTED_VALUE"""),"MOUNIKA GANTA")</f>
        <v>MOUNIKA GANTA</v>
      </c>
      <c r="B719" s="9" t="str">
        <f ca="1">IFERROR(__xludf.DUMMYFUNCTION("""COMPUTED_VALUE"""),"18331A0543")</f>
        <v>18331A0543</v>
      </c>
      <c r="C719" s="78" t="str">
        <f ca="1">IFERROR(__xludf.DUMMYFUNCTION("""COMPUTED_VALUE"""),"Programming For Everybody (Getting Started With Python)")</f>
        <v>Programming For Everybody (Getting Started With Python)</v>
      </c>
      <c r="D719" s="9" t="str">
        <f ca="1">IFERROR(__xludf.DUMMYFUNCTION("""COMPUTED_VALUE"""),"Coursera")</f>
        <v>Coursera</v>
      </c>
      <c r="E719" s="9" t="str">
        <f ca="1">IFERROR(__xludf.DUMMYFUNCTION("""COMPUTED_VALUE"""),"2 weeks")</f>
        <v>2 weeks</v>
      </c>
      <c r="F719" s="79">
        <f ca="1">IFERROR(__xludf.DUMMYFUNCTION("""COMPUTED_VALUE"""),43965)</f>
        <v>43965</v>
      </c>
      <c r="G719" s="79">
        <f ca="1">IFERROR(__xludf.DUMMYFUNCTION("""COMPUTED_VALUE"""),43979)</f>
        <v>43979</v>
      </c>
      <c r="H719" s="72"/>
      <c r="I719" s="80">
        <f ca="1">IFERROR(__xludf.DUMMYFUNCTION("""COMPUTED_VALUE"""),100)</f>
        <v>100</v>
      </c>
      <c r="J719" s="9"/>
      <c r="K719" s="73" t="str">
        <f ca="1">IFERROR(__xludf.DUMMYFUNCTION("""COMPUTED_VALUE"""),"https://drive.google.com/open?id=1kSiwWkQ34BKq0Ei_9oEe4MLdRbI53C-B")</f>
        <v>https://drive.google.com/open?id=1kSiwWkQ34BKq0Ei_9oEe4MLdRbI53C-B</v>
      </c>
      <c r="L719" s="9"/>
      <c r="M719" s="9" t="str">
        <f ca="1">IFERROR(__xludf.DUMMYFUNCTION("""COMPUTED_VALUE"""),"S4: Student Certifications")</f>
        <v>S4: Student Certifications</v>
      </c>
      <c r="N719" s="9" t="str">
        <f ca="1">IFERROR(__xludf.DUMMYFUNCTION("""COMPUTED_VALUE"""),"mounikaganta2001@gmail.com")</f>
        <v>mounikaganta2001@gmail.com</v>
      </c>
      <c r="O719" s="9" t="str">
        <f ca="1">IFERROR(__xludf.DUMMYFUNCTION("""COMPUTED_VALUE"""),"SEM-8")</f>
        <v>SEM-8</v>
      </c>
      <c r="P719" s="9"/>
      <c r="Q719" s="9"/>
      <c r="R719" s="9"/>
      <c r="S719" s="9"/>
      <c r="T719" s="9"/>
      <c r="U719" s="9"/>
      <c r="V719" s="9"/>
      <c r="W719" s="9"/>
      <c r="X719" s="9"/>
      <c r="Y719" s="9"/>
    </row>
    <row r="720" spans="1:25" ht="26.25" customHeight="1" x14ac:dyDescent="0.15">
      <c r="A720" s="9" t="str">
        <f ca="1">IFERROR(__xludf.DUMMYFUNCTION("""COMPUTED_VALUE"""),"Vattikulla Sharmila")</f>
        <v>Vattikulla Sharmila</v>
      </c>
      <c r="B720" s="9" t="str">
        <f ca="1">IFERROR(__xludf.DUMMYFUNCTION("""COMPUTED_VALUE"""),"18331A05H8")</f>
        <v>18331A05H8</v>
      </c>
      <c r="C720" s="78" t="str">
        <f ca="1">IFERROR(__xludf.DUMMYFUNCTION("""COMPUTED_VALUE"""),"Html5- From Basics to Advanced level(2021)")</f>
        <v>Html5- From Basics to Advanced level(2021)</v>
      </c>
      <c r="D720" s="9" t="str">
        <f ca="1">IFERROR(__xludf.DUMMYFUNCTION("""COMPUTED_VALUE"""),"Udemy")</f>
        <v>Udemy</v>
      </c>
      <c r="E720" s="9" t="str">
        <f ca="1">IFERROR(__xludf.DUMMYFUNCTION("""COMPUTED_VALUE"""),"3.5 hrs")</f>
        <v>3.5 hrs</v>
      </c>
      <c r="F720" s="79">
        <f ca="1">IFERROR(__xludf.DUMMYFUNCTION("""COMPUTED_VALUE"""),44378)</f>
        <v>44378</v>
      </c>
      <c r="G720" s="79">
        <f ca="1">IFERROR(__xludf.DUMMYFUNCTION("""COMPUTED_VALUE"""),44415)</f>
        <v>44415</v>
      </c>
      <c r="H720" s="72"/>
      <c r="I720" s="80">
        <f ca="1">IFERROR(__xludf.DUMMYFUNCTION("""COMPUTED_VALUE"""),100)</f>
        <v>100</v>
      </c>
      <c r="J720" s="9"/>
      <c r="K720" s="73" t="str">
        <f ca="1">IFERROR(__xludf.DUMMYFUNCTION("""COMPUTED_VALUE"""),"https://drive.google.com/open?id=1Ogss-ENczLrCs4d5vr2tJpBAjtiOg7jg")</f>
        <v>https://drive.google.com/open?id=1Ogss-ENczLrCs4d5vr2tJpBAjtiOg7jg</v>
      </c>
      <c r="L720" s="9"/>
      <c r="M720" s="9" t="str">
        <f ca="1">IFERROR(__xludf.DUMMYFUNCTION("""COMPUTED_VALUE"""),"S4: Student Certifications")</f>
        <v>S4: Student Certifications</v>
      </c>
      <c r="N720" s="9" t="str">
        <f ca="1">IFERROR(__xludf.DUMMYFUNCTION("""COMPUTED_VALUE"""),"sharmilavattikulla@gmail.com")</f>
        <v>sharmilavattikulla@gmail.com</v>
      </c>
      <c r="O720" s="9" t="str">
        <f ca="1">IFERROR(__xludf.DUMMYFUNCTION("""COMPUTED_VALUE"""),"SEM-8")</f>
        <v>SEM-8</v>
      </c>
      <c r="P720" s="9"/>
      <c r="Q720" s="9"/>
      <c r="R720" s="9"/>
      <c r="S720" s="9"/>
      <c r="T720" s="9"/>
      <c r="U720" s="9"/>
      <c r="V720" s="9"/>
      <c r="W720" s="9"/>
      <c r="X720" s="9"/>
      <c r="Y720" s="9"/>
    </row>
    <row r="721" spans="1:25" ht="26.25" customHeight="1" x14ac:dyDescent="0.15">
      <c r="A721" s="9" t="str">
        <f ca="1">IFERROR(__xludf.DUMMYFUNCTION("""COMPUTED_VALUE"""),"Vattikulla Sharmila")</f>
        <v>Vattikulla Sharmila</v>
      </c>
      <c r="B721" s="9" t="str">
        <f ca="1">IFERROR(__xludf.DUMMYFUNCTION("""COMPUTED_VALUE"""),"18331A05H8")</f>
        <v>18331A05H8</v>
      </c>
      <c r="C721" s="78" t="str">
        <f ca="1">IFERROR(__xludf.DUMMYFUNCTION("""COMPUTED_VALUE"""),"Html and css certification course for beginners")</f>
        <v>Html and css certification course for beginners</v>
      </c>
      <c r="D721" s="9" t="str">
        <f ca="1">IFERROR(__xludf.DUMMYFUNCTION("""COMPUTED_VALUE"""),"Udemy")</f>
        <v>Udemy</v>
      </c>
      <c r="E721" s="9" t="str">
        <f ca="1">IFERROR(__xludf.DUMMYFUNCTION("""COMPUTED_VALUE"""),"4 hours")</f>
        <v>4 hours</v>
      </c>
      <c r="F721" s="79">
        <f ca="1">IFERROR(__xludf.DUMMYFUNCTION("""COMPUTED_VALUE"""),44409)</f>
        <v>44409</v>
      </c>
      <c r="G721" s="79">
        <f ca="1">IFERROR(__xludf.DUMMYFUNCTION("""COMPUTED_VALUE"""),44415)</f>
        <v>44415</v>
      </c>
      <c r="H721" s="72"/>
      <c r="I721" s="80">
        <f ca="1">IFERROR(__xludf.DUMMYFUNCTION("""COMPUTED_VALUE"""),100)</f>
        <v>100</v>
      </c>
      <c r="J721" s="9"/>
      <c r="K721" s="73" t="str">
        <f ca="1">IFERROR(__xludf.DUMMYFUNCTION("""COMPUTED_VALUE"""),"https://drive.google.com/open?id=1EDcPrN2JzsFd4R7QWV2jFMn4R53gDygq")</f>
        <v>https://drive.google.com/open?id=1EDcPrN2JzsFd4R7QWV2jFMn4R53gDygq</v>
      </c>
      <c r="L721" s="9"/>
      <c r="M721" s="9" t="str">
        <f ca="1">IFERROR(__xludf.DUMMYFUNCTION("""COMPUTED_VALUE"""),"S4: Student Certifications")</f>
        <v>S4: Student Certifications</v>
      </c>
      <c r="N721" s="9" t="str">
        <f ca="1">IFERROR(__xludf.DUMMYFUNCTION("""COMPUTED_VALUE"""),"sharmilavattikulla@gmail.com")</f>
        <v>sharmilavattikulla@gmail.com</v>
      </c>
      <c r="O721" s="9" t="str">
        <f ca="1">IFERROR(__xludf.DUMMYFUNCTION("""COMPUTED_VALUE"""),"SEM-8")</f>
        <v>SEM-8</v>
      </c>
      <c r="P721" s="9"/>
      <c r="Q721" s="9"/>
      <c r="R721" s="9"/>
      <c r="S721" s="9"/>
      <c r="T721" s="9"/>
      <c r="U721" s="9"/>
      <c r="V721" s="9"/>
      <c r="W721" s="9"/>
      <c r="X721" s="9"/>
      <c r="Y721" s="9"/>
    </row>
    <row r="722" spans="1:25" ht="26.25" customHeight="1" x14ac:dyDescent="0.15">
      <c r="A722" s="9" t="str">
        <f ca="1">IFERROR(__xludf.DUMMYFUNCTION("""COMPUTED_VALUE"""),"Kusuma Patnaik Murahari")</f>
        <v>Kusuma Patnaik Murahari</v>
      </c>
      <c r="B722" s="9" t="str">
        <f ca="1">IFERROR(__xludf.DUMMYFUNCTION("""COMPUTED_VALUE"""),"18331A0584")</f>
        <v>18331A0584</v>
      </c>
      <c r="C722" s="78" t="str">
        <f ca="1">IFERROR(__xludf.DUMMYFUNCTION("""COMPUTED_VALUE"""),"A Crash Course in Data Science")</f>
        <v>A Crash Course in Data Science</v>
      </c>
      <c r="D722" s="9" t="str">
        <f ca="1">IFERROR(__xludf.DUMMYFUNCTION("""COMPUTED_VALUE"""),"Coursera")</f>
        <v>Coursera</v>
      </c>
      <c r="E722" s="9" t="str">
        <f ca="1">IFERROR(__xludf.DUMMYFUNCTION("""COMPUTED_VALUE"""),"2 months")</f>
        <v>2 months</v>
      </c>
      <c r="F722" s="79">
        <f ca="1">IFERROR(__xludf.DUMMYFUNCTION("""COMPUTED_VALUE"""),44013)</f>
        <v>44013</v>
      </c>
      <c r="G722" s="79">
        <f ca="1">IFERROR(__xludf.DUMMYFUNCTION("""COMPUTED_VALUE"""),44074)</f>
        <v>44074</v>
      </c>
      <c r="H722" s="72"/>
      <c r="I722" s="80">
        <f ca="1">IFERROR(__xludf.DUMMYFUNCTION("""COMPUTED_VALUE"""),100)</f>
        <v>100</v>
      </c>
      <c r="J722" s="9"/>
      <c r="K722" s="73" t="str">
        <f ca="1">IFERROR(__xludf.DUMMYFUNCTION("""COMPUTED_VALUE"""),"https://drive.google.com/open?id=1P0l-zn9L90WIfJqqqW8e8-0Dp_7Vc2pg")</f>
        <v>https://drive.google.com/open?id=1P0l-zn9L90WIfJqqqW8e8-0Dp_7Vc2pg</v>
      </c>
      <c r="L722" s="9"/>
      <c r="M722" s="9" t="str">
        <f ca="1">IFERROR(__xludf.DUMMYFUNCTION("""COMPUTED_VALUE"""),"S4: Student Certifications")</f>
        <v>S4: Student Certifications</v>
      </c>
      <c r="N722" s="9" t="str">
        <f ca="1">IFERROR(__xludf.DUMMYFUNCTION("""COMPUTED_VALUE"""),"muraharikusum2000@gmail.com")</f>
        <v>muraharikusum2000@gmail.com</v>
      </c>
      <c r="O722" s="9" t="str">
        <f ca="1">IFERROR(__xludf.DUMMYFUNCTION("""COMPUTED_VALUE"""),"SEM-8")</f>
        <v>SEM-8</v>
      </c>
      <c r="P722" s="9"/>
      <c r="Q722" s="9"/>
      <c r="R722" s="9"/>
      <c r="S722" s="9"/>
      <c r="T722" s="9"/>
      <c r="U722" s="9"/>
      <c r="V722" s="9"/>
      <c r="W722" s="9"/>
      <c r="X722" s="9"/>
      <c r="Y722" s="9"/>
    </row>
    <row r="723" spans="1:25" ht="26.25" customHeight="1" x14ac:dyDescent="0.15">
      <c r="A723" s="9" t="str">
        <f ca="1">IFERROR(__xludf.DUMMYFUNCTION("""COMPUTED_VALUE"""),"Kusuma Patnaik Murahari")</f>
        <v>Kusuma Patnaik Murahari</v>
      </c>
      <c r="B723" s="9" t="str">
        <f ca="1">IFERROR(__xludf.DUMMYFUNCTION("""COMPUTED_VALUE"""),"18331A0584")</f>
        <v>18331A0584</v>
      </c>
      <c r="C723" s="78" t="str">
        <f ca="1">IFERROR(__xludf.DUMMYFUNCTION("""COMPUTED_VALUE"""),"AI For Everyone")</f>
        <v>AI For Everyone</v>
      </c>
      <c r="D723" s="9" t="str">
        <f ca="1">IFERROR(__xludf.DUMMYFUNCTION("""COMPUTED_VALUE"""),"Coursera")</f>
        <v>Coursera</v>
      </c>
      <c r="E723" s="9" t="str">
        <f ca="1">IFERROR(__xludf.DUMMYFUNCTION("""COMPUTED_VALUE"""),"1 month")</f>
        <v>1 month</v>
      </c>
      <c r="F723" s="79">
        <f ca="1">IFERROR(__xludf.DUMMYFUNCTION("""COMPUTED_VALUE"""),43922)</f>
        <v>43922</v>
      </c>
      <c r="G723" s="79">
        <f ca="1">IFERROR(__xludf.DUMMYFUNCTION("""COMPUTED_VALUE"""),43951)</f>
        <v>43951</v>
      </c>
      <c r="H723" s="72"/>
      <c r="I723" s="80">
        <f ca="1">IFERROR(__xludf.DUMMYFUNCTION("""COMPUTED_VALUE"""),100)</f>
        <v>100</v>
      </c>
      <c r="J723" s="9"/>
      <c r="K723" s="73" t="str">
        <f ca="1">IFERROR(__xludf.DUMMYFUNCTION("""COMPUTED_VALUE"""),"https://drive.google.com/open?id=1ZPfIrmV7dCUeaFjoT2l1nJVDvHUuN3Dx")</f>
        <v>https://drive.google.com/open?id=1ZPfIrmV7dCUeaFjoT2l1nJVDvHUuN3Dx</v>
      </c>
      <c r="L723" s="9"/>
      <c r="M723" s="9" t="str">
        <f ca="1">IFERROR(__xludf.DUMMYFUNCTION("""COMPUTED_VALUE"""),"S4: Student Certifications")</f>
        <v>S4: Student Certifications</v>
      </c>
      <c r="N723" s="9" t="str">
        <f ca="1">IFERROR(__xludf.DUMMYFUNCTION("""COMPUTED_VALUE"""),"muraharikusum2000@gmail.com")</f>
        <v>muraharikusum2000@gmail.com</v>
      </c>
      <c r="O723" s="9" t="str">
        <f ca="1">IFERROR(__xludf.DUMMYFUNCTION("""COMPUTED_VALUE"""),"SEM-8")</f>
        <v>SEM-8</v>
      </c>
      <c r="P723" s="9"/>
      <c r="Q723" s="9"/>
      <c r="R723" s="9"/>
      <c r="S723" s="9"/>
      <c r="T723" s="9"/>
      <c r="U723" s="9"/>
      <c r="V723" s="9"/>
      <c r="W723" s="9"/>
      <c r="X723" s="9"/>
      <c r="Y723" s="9"/>
    </row>
    <row r="724" spans="1:25" ht="26.25" customHeight="1" x14ac:dyDescent="0.15">
      <c r="A724" s="9" t="str">
        <f ca="1">IFERROR(__xludf.DUMMYFUNCTION("""COMPUTED_VALUE"""),"Kusuma Patnaik Murahari")</f>
        <v>Kusuma Patnaik Murahari</v>
      </c>
      <c r="B724" s="9" t="str">
        <f ca="1">IFERROR(__xludf.DUMMYFUNCTION("""COMPUTED_VALUE"""),"18331A0584")</f>
        <v>18331A0584</v>
      </c>
      <c r="C724" s="78" t="str">
        <f ca="1">IFERROR(__xludf.DUMMYFUNCTION("""COMPUTED_VALUE"""),"Building Web Applications in PHP")</f>
        <v>Building Web Applications in PHP</v>
      </c>
      <c r="D724" s="9" t="str">
        <f ca="1">IFERROR(__xludf.DUMMYFUNCTION("""COMPUTED_VALUE"""),"Coursera")</f>
        <v>Coursera</v>
      </c>
      <c r="E724" s="9" t="str">
        <f ca="1">IFERROR(__xludf.DUMMYFUNCTION("""COMPUTED_VALUE"""),"2 months")</f>
        <v>2 months</v>
      </c>
      <c r="F724" s="79">
        <f ca="1">IFERROR(__xludf.DUMMYFUNCTION("""COMPUTED_VALUE"""),43983)</f>
        <v>43983</v>
      </c>
      <c r="G724" s="79">
        <f ca="1">IFERROR(__xludf.DUMMYFUNCTION("""COMPUTED_VALUE"""),44043)</f>
        <v>44043</v>
      </c>
      <c r="H724" s="72"/>
      <c r="I724" s="80">
        <f ca="1">IFERROR(__xludf.DUMMYFUNCTION("""COMPUTED_VALUE"""),100)</f>
        <v>100</v>
      </c>
      <c r="J724" s="9"/>
      <c r="K724" s="73" t="str">
        <f ca="1">IFERROR(__xludf.DUMMYFUNCTION("""COMPUTED_VALUE"""),"https://drive.google.com/open?id=1UQv-1XseNPEtsjbnCm_DGGa2REEN7v9Q")</f>
        <v>https://drive.google.com/open?id=1UQv-1XseNPEtsjbnCm_DGGa2REEN7v9Q</v>
      </c>
      <c r="L724" s="9"/>
      <c r="M724" s="9" t="str">
        <f ca="1">IFERROR(__xludf.DUMMYFUNCTION("""COMPUTED_VALUE"""),"S4: Student Certifications")</f>
        <v>S4: Student Certifications</v>
      </c>
      <c r="N724" s="9" t="str">
        <f ca="1">IFERROR(__xludf.DUMMYFUNCTION("""COMPUTED_VALUE"""),"muraharikusum2000@gmail.com")</f>
        <v>muraharikusum2000@gmail.com</v>
      </c>
      <c r="O724" s="9" t="str">
        <f ca="1">IFERROR(__xludf.DUMMYFUNCTION("""COMPUTED_VALUE"""),"SEM-8")</f>
        <v>SEM-8</v>
      </c>
      <c r="P724" s="9"/>
      <c r="Q724" s="9"/>
      <c r="R724" s="9"/>
      <c r="S724" s="9"/>
      <c r="T724" s="9"/>
      <c r="U724" s="9"/>
      <c r="V724" s="9"/>
      <c r="W724" s="9"/>
      <c r="X724" s="9"/>
      <c r="Y724" s="9"/>
    </row>
    <row r="725" spans="1:25" ht="26.25" customHeight="1" x14ac:dyDescent="0.15">
      <c r="A725" s="9" t="str">
        <f ca="1">IFERROR(__xludf.DUMMYFUNCTION("""COMPUTED_VALUE"""),"Kusuma Patnaik Murahar")</f>
        <v>Kusuma Patnaik Murahar</v>
      </c>
      <c r="B725" s="9" t="str">
        <f ca="1">IFERROR(__xludf.DUMMYFUNCTION("""COMPUTED_VALUE"""),"18331A0584")</f>
        <v>18331A0584</v>
      </c>
      <c r="C725" s="78" t="str">
        <f ca="1">IFERROR(__xludf.DUMMYFUNCTION("""COMPUTED_VALUE"""),"Business English: Management and Leadership")</f>
        <v>Business English: Management and Leadership</v>
      </c>
      <c r="D725" s="9" t="str">
        <f ca="1">IFERROR(__xludf.DUMMYFUNCTION("""COMPUTED_VALUE"""),"Coursera")</f>
        <v>Coursera</v>
      </c>
      <c r="E725" s="9" t="str">
        <f ca="1">IFERROR(__xludf.DUMMYFUNCTION("""COMPUTED_VALUE"""),"2 months")</f>
        <v>2 months</v>
      </c>
      <c r="F725" s="79">
        <f ca="1">IFERROR(__xludf.DUMMYFUNCTION("""COMPUTED_VALUE"""),43983)</f>
        <v>43983</v>
      </c>
      <c r="G725" s="79">
        <f ca="1">IFERROR(__xludf.DUMMYFUNCTION("""COMPUTED_VALUE"""),44043)</f>
        <v>44043</v>
      </c>
      <c r="H725" s="72"/>
      <c r="I725" s="80">
        <f ca="1">IFERROR(__xludf.DUMMYFUNCTION("""COMPUTED_VALUE"""),100)</f>
        <v>100</v>
      </c>
      <c r="J725" s="9"/>
      <c r="K725" s="73" t="str">
        <f ca="1">IFERROR(__xludf.DUMMYFUNCTION("""COMPUTED_VALUE"""),"https://drive.google.com/open?id=1dlD-oI48yw-XP-Dlyc2dEHZuFm7ytl5h")</f>
        <v>https://drive.google.com/open?id=1dlD-oI48yw-XP-Dlyc2dEHZuFm7ytl5h</v>
      </c>
      <c r="L725" s="9"/>
      <c r="M725" s="9" t="str">
        <f ca="1">IFERROR(__xludf.DUMMYFUNCTION("""COMPUTED_VALUE"""),"S4: Student Certifications")</f>
        <v>S4: Student Certifications</v>
      </c>
      <c r="N725" s="9" t="str">
        <f ca="1">IFERROR(__xludf.DUMMYFUNCTION("""COMPUTED_VALUE"""),"muraharikusum2000@gmail.com")</f>
        <v>muraharikusum2000@gmail.com</v>
      </c>
      <c r="O725" s="9" t="str">
        <f ca="1">IFERROR(__xludf.DUMMYFUNCTION("""COMPUTED_VALUE"""),"SEM-8")</f>
        <v>SEM-8</v>
      </c>
      <c r="P725" s="9"/>
      <c r="Q725" s="9"/>
      <c r="R725" s="9"/>
      <c r="S725" s="9"/>
      <c r="T725" s="9"/>
      <c r="U725" s="9"/>
      <c r="V725" s="9"/>
      <c r="W725" s="9"/>
      <c r="X725" s="9"/>
      <c r="Y725" s="9"/>
    </row>
    <row r="726" spans="1:25" ht="26.25" customHeight="1" x14ac:dyDescent="0.15">
      <c r="A726" s="9" t="str">
        <f ca="1">IFERROR(__xludf.DUMMYFUNCTION("""COMPUTED_VALUE"""),"Kusuma Patnaik Murahari")</f>
        <v>Kusuma Patnaik Murahari</v>
      </c>
      <c r="B726" s="9" t="str">
        <f ca="1">IFERROR(__xludf.DUMMYFUNCTION("""COMPUTED_VALUE"""),"18331A0584")</f>
        <v>18331A0584</v>
      </c>
      <c r="C726" s="78" t="str">
        <f ca="1">IFERROR(__xludf.DUMMYFUNCTION("""COMPUTED_VALUE"""),"Fundamentals of Reinforcement Learning")</f>
        <v>Fundamentals of Reinforcement Learning</v>
      </c>
      <c r="D726" s="9" t="str">
        <f ca="1">IFERROR(__xludf.DUMMYFUNCTION("""COMPUTED_VALUE"""),"Coursera")</f>
        <v>Coursera</v>
      </c>
      <c r="E726" s="9" t="str">
        <f ca="1">IFERROR(__xludf.DUMMYFUNCTION("""COMPUTED_VALUE"""),"2 months")</f>
        <v>2 months</v>
      </c>
      <c r="F726" s="79">
        <f ca="1">IFERROR(__xludf.DUMMYFUNCTION("""COMPUTED_VALUE"""),43952)</f>
        <v>43952</v>
      </c>
      <c r="G726" s="79">
        <f ca="1">IFERROR(__xludf.DUMMYFUNCTION("""COMPUTED_VALUE"""),44012)</f>
        <v>44012</v>
      </c>
      <c r="H726" s="72"/>
      <c r="I726" s="80">
        <f ca="1">IFERROR(__xludf.DUMMYFUNCTION("""COMPUTED_VALUE"""),100)</f>
        <v>100</v>
      </c>
      <c r="J726" s="9"/>
      <c r="K726" s="73" t="str">
        <f ca="1">IFERROR(__xludf.DUMMYFUNCTION("""COMPUTED_VALUE"""),"https://drive.google.com/open?id=1sYnksARkbBRH36DH4LM5fqEX289sdZyx")</f>
        <v>https://drive.google.com/open?id=1sYnksARkbBRH36DH4LM5fqEX289sdZyx</v>
      </c>
      <c r="L726" s="9"/>
      <c r="M726" s="9" t="str">
        <f ca="1">IFERROR(__xludf.DUMMYFUNCTION("""COMPUTED_VALUE"""),"S4: Student Certifications")</f>
        <v>S4: Student Certifications</v>
      </c>
      <c r="N726" s="9" t="str">
        <f ca="1">IFERROR(__xludf.DUMMYFUNCTION("""COMPUTED_VALUE"""),"muraharikusum2000@gmail.com")</f>
        <v>muraharikusum2000@gmail.com</v>
      </c>
      <c r="O726" s="9" t="str">
        <f ca="1">IFERROR(__xludf.DUMMYFUNCTION("""COMPUTED_VALUE"""),"SEM-8")</f>
        <v>SEM-8</v>
      </c>
      <c r="P726" s="9"/>
      <c r="Q726" s="9"/>
      <c r="R726" s="9"/>
      <c r="S726" s="9"/>
      <c r="T726" s="9"/>
      <c r="U726" s="9"/>
      <c r="V726" s="9"/>
      <c r="W726" s="9"/>
      <c r="X726" s="9"/>
      <c r="Y726" s="9"/>
    </row>
    <row r="727" spans="1:25" ht="26.25" customHeight="1" x14ac:dyDescent="0.15">
      <c r="A727" s="9" t="str">
        <f ca="1">IFERROR(__xludf.DUMMYFUNCTION("""COMPUTED_VALUE"""),"Kusuma Patnaik Murahari")</f>
        <v>Kusuma Patnaik Murahari</v>
      </c>
      <c r="B727" s="9" t="str">
        <f ca="1">IFERROR(__xludf.DUMMYFUNCTION("""COMPUTED_VALUE"""),"18331A0584")</f>
        <v>18331A0584</v>
      </c>
      <c r="C727" s="78" t="str">
        <f ca="1">IFERROR(__xludf.DUMMYFUNCTION("""COMPUTED_VALUE"""),"Introduction to Cloud Computing")</f>
        <v>Introduction to Cloud Computing</v>
      </c>
      <c r="D727" s="9" t="str">
        <f ca="1">IFERROR(__xludf.DUMMYFUNCTION("""COMPUTED_VALUE"""),"Coursera")</f>
        <v>Coursera</v>
      </c>
      <c r="E727" s="9" t="str">
        <f ca="1">IFERROR(__xludf.DUMMYFUNCTION("""COMPUTED_VALUE"""),"2 months")</f>
        <v>2 months</v>
      </c>
      <c r="F727" s="79">
        <f ca="1">IFERROR(__xludf.DUMMYFUNCTION("""COMPUTED_VALUE"""),43952)</f>
        <v>43952</v>
      </c>
      <c r="G727" s="79">
        <f ca="1">IFERROR(__xludf.DUMMYFUNCTION("""COMPUTED_VALUE"""),44012)</f>
        <v>44012</v>
      </c>
      <c r="H727" s="72"/>
      <c r="I727" s="80">
        <f ca="1">IFERROR(__xludf.DUMMYFUNCTION("""COMPUTED_VALUE"""),100)</f>
        <v>100</v>
      </c>
      <c r="J727" s="9"/>
      <c r="K727" s="73" t="str">
        <f ca="1">IFERROR(__xludf.DUMMYFUNCTION("""COMPUTED_VALUE"""),"https://drive.google.com/open?id=1FjXr1Ng9TffXmB4XF1qXNJ2ZIcpbIWnl")</f>
        <v>https://drive.google.com/open?id=1FjXr1Ng9TffXmB4XF1qXNJ2ZIcpbIWnl</v>
      </c>
      <c r="L727" s="9"/>
      <c r="M727" s="9" t="str">
        <f ca="1">IFERROR(__xludf.DUMMYFUNCTION("""COMPUTED_VALUE"""),"S4: Student Certifications")</f>
        <v>S4: Student Certifications</v>
      </c>
      <c r="N727" s="9" t="str">
        <f ca="1">IFERROR(__xludf.DUMMYFUNCTION("""COMPUTED_VALUE"""),"muraharikusum2000@gmail.com")</f>
        <v>muraharikusum2000@gmail.com</v>
      </c>
      <c r="O727" s="9" t="str">
        <f ca="1">IFERROR(__xludf.DUMMYFUNCTION("""COMPUTED_VALUE"""),"SEM-8")</f>
        <v>SEM-8</v>
      </c>
      <c r="P727" s="9"/>
      <c r="Q727" s="9"/>
      <c r="R727" s="9"/>
      <c r="S727" s="9"/>
      <c r="T727" s="9"/>
      <c r="U727" s="9"/>
      <c r="V727" s="9"/>
      <c r="W727" s="9"/>
      <c r="X727" s="9"/>
      <c r="Y727" s="9"/>
    </row>
    <row r="728" spans="1:25" ht="26.25" customHeight="1" x14ac:dyDescent="0.15">
      <c r="A728" s="9" t="str">
        <f ca="1">IFERROR(__xludf.DUMMYFUNCTION("""COMPUTED_VALUE"""),"Kusuma Patnaik Murahari")</f>
        <v>Kusuma Patnaik Murahari</v>
      </c>
      <c r="B728" s="9" t="str">
        <f ca="1">IFERROR(__xludf.DUMMYFUNCTION("""COMPUTED_VALUE"""),"18331A0584")</f>
        <v>18331A0584</v>
      </c>
      <c r="C728" s="78" t="str">
        <f ca="1">IFERROR(__xludf.DUMMYFUNCTION("""COMPUTED_VALUE"""),"Introduction to Supply Chain Finance &amp; Blockchain Technology")</f>
        <v>Introduction to Supply Chain Finance &amp; Blockchain Technology</v>
      </c>
      <c r="D728" s="9" t="str">
        <f ca="1">IFERROR(__xludf.DUMMYFUNCTION("""COMPUTED_VALUE"""),"Coursera")</f>
        <v>Coursera</v>
      </c>
      <c r="E728" s="9" t="str">
        <f ca="1">IFERROR(__xludf.DUMMYFUNCTION("""COMPUTED_VALUE"""),"1 months")</f>
        <v>1 months</v>
      </c>
      <c r="F728" s="79">
        <f ca="1">IFERROR(__xludf.DUMMYFUNCTION("""COMPUTED_VALUE"""),43983)</f>
        <v>43983</v>
      </c>
      <c r="G728" s="79">
        <f ca="1">IFERROR(__xludf.DUMMYFUNCTION("""COMPUTED_VALUE"""),44012)</f>
        <v>44012</v>
      </c>
      <c r="H728" s="72"/>
      <c r="I728" s="80">
        <f ca="1">IFERROR(__xludf.DUMMYFUNCTION("""COMPUTED_VALUE"""),100)</f>
        <v>100</v>
      </c>
      <c r="J728" s="9"/>
      <c r="K728" s="73" t="str">
        <f ca="1">IFERROR(__xludf.DUMMYFUNCTION("""COMPUTED_VALUE"""),"https://drive.google.com/open?id=1D_MqyYU6mykNhb6EVNBTre0c9nh9ypiJ")</f>
        <v>https://drive.google.com/open?id=1D_MqyYU6mykNhb6EVNBTre0c9nh9ypiJ</v>
      </c>
      <c r="L728" s="9"/>
      <c r="M728" s="9" t="str">
        <f ca="1">IFERROR(__xludf.DUMMYFUNCTION("""COMPUTED_VALUE"""),"S4: Student Certifications")</f>
        <v>S4: Student Certifications</v>
      </c>
      <c r="N728" s="9" t="str">
        <f ca="1">IFERROR(__xludf.DUMMYFUNCTION("""COMPUTED_VALUE"""),"muraharikusum2000@gmail.com")</f>
        <v>muraharikusum2000@gmail.com</v>
      </c>
      <c r="O728" s="9" t="str">
        <f ca="1">IFERROR(__xludf.DUMMYFUNCTION("""COMPUTED_VALUE"""),"SEM-8")</f>
        <v>SEM-8</v>
      </c>
      <c r="P728" s="9"/>
      <c r="Q728" s="9"/>
      <c r="R728" s="9"/>
      <c r="S728" s="9"/>
      <c r="T728" s="9"/>
      <c r="U728" s="9"/>
      <c r="V728" s="9"/>
      <c r="W728" s="9"/>
      <c r="X728" s="9"/>
      <c r="Y728" s="9"/>
    </row>
    <row r="729" spans="1:25" ht="26.25" customHeight="1" x14ac:dyDescent="0.15">
      <c r="A729" s="9" t="str">
        <f ca="1">IFERROR(__xludf.DUMMYFUNCTION("""COMPUTED_VALUE"""),"Kusuma Patnaik Murahari")</f>
        <v>Kusuma Patnaik Murahari</v>
      </c>
      <c r="B729" s="9" t="str">
        <f ca="1">IFERROR(__xludf.DUMMYFUNCTION("""COMPUTED_VALUE"""),"18331A0584")</f>
        <v>18331A0584</v>
      </c>
      <c r="C729" s="78" t="str">
        <f ca="1">IFERROR(__xludf.DUMMYFUNCTION("""COMPUTED_VALUE"""),"Introduction To Swift Programming")</f>
        <v>Introduction To Swift Programming</v>
      </c>
      <c r="D729" s="9" t="str">
        <f ca="1">IFERROR(__xludf.DUMMYFUNCTION("""COMPUTED_VALUE"""),"Coursera")</f>
        <v>Coursera</v>
      </c>
      <c r="E729" s="9" t="str">
        <f ca="1">IFERROR(__xludf.DUMMYFUNCTION("""COMPUTED_VALUE"""),"2 months")</f>
        <v>2 months</v>
      </c>
      <c r="F729" s="79">
        <f ca="1">IFERROR(__xludf.DUMMYFUNCTION("""COMPUTED_VALUE"""),44075)</f>
        <v>44075</v>
      </c>
      <c r="G729" s="79">
        <f ca="1">IFERROR(__xludf.DUMMYFUNCTION("""COMPUTED_VALUE"""),44135)</f>
        <v>44135</v>
      </c>
      <c r="H729" s="72"/>
      <c r="I729" s="80">
        <f ca="1">IFERROR(__xludf.DUMMYFUNCTION("""COMPUTED_VALUE"""),100)</f>
        <v>100</v>
      </c>
      <c r="J729" s="9"/>
      <c r="K729" s="73" t="str">
        <f ca="1">IFERROR(__xludf.DUMMYFUNCTION("""COMPUTED_VALUE"""),"https://drive.google.com/open?id=1i8sDJwLtpKbK6AFs-xf4UsDOFGjdbMWl")</f>
        <v>https://drive.google.com/open?id=1i8sDJwLtpKbK6AFs-xf4UsDOFGjdbMWl</v>
      </c>
      <c r="L729" s="9"/>
      <c r="M729" s="9" t="str">
        <f ca="1">IFERROR(__xludf.DUMMYFUNCTION("""COMPUTED_VALUE"""),"S4: Student Certifications")</f>
        <v>S4: Student Certifications</v>
      </c>
      <c r="N729" s="9" t="str">
        <f ca="1">IFERROR(__xludf.DUMMYFUNCTION("""COMPUTED_VALUE"""),"muraharikusum2000@gmail.com")</f>
        <v>muraharikusum2000@gmail.com</v>
      </c>
      <c r="O729" s="9" t="str">
        <f ca="1">IFERROR(__xludf.DUMMYFUNCTION("""COMPUTED_VALUE"""),"SEM-8")</f>
        <v>SEM-8</v>
      </c>
      <c r="P729" s="9"/>
      <c r="Q729" s="9"/>
      <c r="R729" s="9"/>
      <c r="S729" s="9"/>
      <c r="T729" s="9"/>
      <c r="U729" s="9"/>
      <c r="V729" s="9"/>
      <c r="W729" s="9"/>
      <c r="X729" s="9"/>
      <c r="Y729" s="9"/>
    </row>
    <row r="730" spans="1:25" ht="26.25" customHeight="1" x14ac:dyDescent="0.15">
      <c r="A730" s="9" t="str">
        <f ca="1">IFERROR(__xludf.DUMMYFUNCTION("""COMPUTED_VALUE"""),"Kusuma Patnaik Murahari")</f>
        <v>Kusuma Patnaik Murahari</v>
      </c>
      <c r="B730" s="9" t="str">
        <f ca="1">IFERROR(__xludf.DUMMYFUNCTION("""COMPUTED_VALUE"""),"18331A0584")</f>
        <v>18331A0584</v>
      </c>
      <c r="C730" s="78" t="str">
        <f ca="1">IFERROR(__xludf.DUMMYFUNCTION("""COMPUTED_VALUE"""),"Introduction to the Internet of Things and Embedded Systems")</f>
        <v>Introduction to the Internet of Things and Embedded Systems</v>
      </c>
      <c r="D730" s="9" t="str">
        <f ca="1">IFERROR(__xludf.DUMMYFUNCTION("""COMPUTED_VALUE"""),"Coursera")</f>
        <v>Coursera</v>
      </c>
      <c r="E730" s="9" t="str">
        <f ca="1">IFERROR(__xludf.DUMMYFUNCTION("""COMPUTED_VALUE"""),"2 months")</f>
        <v>2 months</v>
      </c>
      <c r="F730" s="79">
        <f ca="1">IFERROR(__xludf.DUMMYFUNCTION("""COMPUTED_VALUE"""),43922)</f>
        <v>43922</v>
      </c>
      <c r="G730" s="79">
        <f ca="1">IFERROR(__xludf.DUMMYFUNCTION("""COMPUTED_VALUE"""),43982)</f>
        <v>43982</v>
      </c>
      <c r="H730" s="72"/>
      <c r="I730" s="80">
        <f ca="1">IFERROR(__xludf.DUMMYFUNCTION("""COMPUTED_VALUE"""),100)</f>
        <v>100</v>
      </c>
      <c r="J730" s="9"/>
      <c r="K730" s="73" t="str">
        <f ca="1">IFERROR(__xludf.DUMMYFUNCTION("""COMPUTED_VALUE"""),"https://drive.google.com/open?id=1y1fCL2YVjhAfki385uViUN7wTPMWnbzv")</f>
        <v>https://drive.google.com/open?id=1y1fCL2YVjhAfki385uViUN7wTPMWnbzv</v>
      </c>
      <c r="L730" s="9"/>
      <c r="M730" s="9" t="str">
        <f ca="1">IFERROR(__xludf.DUMMYFUNCTION("""COMPUTED_VALUE"""),"S4: Student Certifications")</f>
        <v>S4: Student Certifications</v>
      </c>
      <c r="N730" s="9" t="str">
        <f ca="1">IFERROR(__xludf.DUMMYFUNCTION("""COMPUTED_VALUE"""),"muraharikusum2000@gmail.com")</f>
        <v>muraharikusum2000@gmail.com</v>
      </c>
      <c r="O730" s="9" t="str">
        <f ca="1">IFERROR(__xludf.DUMMYFUNCTION("""COMPUTED_VALUE"""),"SEM-8")</f>
        <v>SEM-8</v>
      </c>
      <c r="P730" s="9"/>
      <c r="Q730" s="9"/>
      <c r="R730" s="9"/>
      <c r="S730" s="9"/>
      <c r="T730" s="9"/>
      <c r="U730" s="9"/>
      <c r="V730" s="9"/>
      <c r="W730" s="9"/>
      <c r="X730" s="9"/>
      <c r="Y730" s="9"/>
    </row>
    <row r="731" spans="1:25" ht="26.25" customHeight="1" x14ac:dyDescent="0.15">
      <c r="A731" s="9" t="str">
        <f ca="1">IFERROR(__xludf.DUMMYFUNCTION("""COMPUTED_VALUE"""),"Sravani Sreepada")</f>
        <v>Sravani Sreepada</v>
      </c>
      <c r="B731" s="9" t="str">
        <f ca="1">IFERROR(__xludf.DUMMYFUNCTION("""COMPUTED_VALUE"""),"19331A05G1")</f>
        <v>19331A05G1</v>
      </c>
      <c r="C731" s="78" t="str">
        <f ca="1">IFERROR(__xludf.DUMMYFUNCTION("""COMPUTED_VALUE"""),"Python Data Structures")</f>
        <v>Python Data Structures</v>
      </c>
      <c r="D731" s="9" t="str">
        <f ca="1">IFERROR(__xludf.DUMMYFUNCTION("""COMPUTED_VALUE"""),"University of Michigan")</f>
        <v>University of Michigan</v>
      </c>
      <c r="E731" s="9" t="str">
        <f ca="1">IFERROR(__xludf.DUMMYFUNCTION("""COMPUTED_VALUE"""),"7 weeks")</f>
        <v>7 weeks</v>
      </c>
      <c r="F731" s="79">
        <f ca="1">IFERROR(__xludf.DUMMYFUNCTION("""COMPUTED_VALUE"""),43946)</f>
        <v>43946</v>
      </c>
      <c r="G731" s="79">
        <f ca="1">IFERROR(__xludf.DUMMYFUNCTION("""COMPUTED_VALUE"""),43952)</f>
        <v>43952</v>
      </c>
      <c r="H731" s="72"/>
      <c r="I731" s="80">
        <f ca="1">IFERROR(__xludf.DUMMYFUNCTION("""COMPUTED_VALUE"""),100)</f>
        <v>100</v>
      </c>
      <c r="J731" s="9"/>
      <c r="K731" s="73" t="str">
        <f ca="1">IFERROR(__xludf.DUMMYFUNCTION("""COMPUTED_VALUE"""),"https://drive.google.com/open?id=1X1i0BWIEiZUQ6fk01-qqsazvTIQhfUSp")</f>
        <v>https://drive.google.com/open?id=1X1i0BWIEiZUQ6fk01-qqsazvTIQhfUSp</v>
      </c>
      <c r="L731" s="9"/>
      <c r="M731" s="9" t="str">
        <f ca="1">IFERROR(__xludf.DUMMYFUNCTION("""COMPUTED_VALUE"""),"S4: Student Certifications")</f>
        <v>S4: Student Certifications</v>
      </c>
      <c r="N731" s="9" t="str">
        <f ca="1">IFERROR(__xludf.DUMMYFUNCTION("""COMPUTED_VALUE"""),"sreepadasravani@gmail.com")</f>
        <v>sreepadasravani@gmail.com</v>
      </c>
      <c r="O731" s="9" t="str">
        <f ca="1">IFERROR(__xludf.DUMMYFUNCTION("""COMPUTED_VALUE"""),"SEM-6")</f>
        <v>SEM-6</v>
      </c>
      <c r="P731" s="9"/>
      <c r="Q731" s="9"/>
      <c r="R731" s="9"/>
      <c r="S731" s="9"/>
      <c r="T731" s="9"/>
      <c r="U731" s="9"/>
      <c r="V731" s="9"/>
      <c r="W731" s="9"/>
      <c r="X731" s="9"/>
      <c r="Y731" s="9"/>
    </row>
    <row r="732" spans="1:25" ht="26.25" customHeight="1" x14ac:dyDescent="0.15">
      <c r="A732" s="9" t="str">
        <f ca="1">IFERROR(__xludf.DUMMYFUNCTION("""COMPUTED_VALUE"""),"Sravani Sreepada")</f>
        <v>Sravani Sreepada</v>
      </c>
      <c r="B732" s="9" t="str">
        <f ca="1">IFERROR(__xludf.DUMMYFUNCTION("""COMPUTED_VALUE"""),"19331A05G1")</f>
        <v>19331A05G1</v>
      </c>
      <c r="C732" s="78" t="str">
        <f ca="1">IFERROR(__xludf.DUMMYFUNCTION("""COMPUTED_VALUE"""),"Programming for Everybody (Getting Started with Python)")</f>
        <v>Programming for Everybody (Getting Started with Python)</v>
      </c>
      <c r="D732" s="9" t="str">
        <f ca="1">IFERROR(__xludf.DUMMYFUNCTION("""COMPUTED_VALUE"""),"University of Michigan")</f>
        <v>University of Michigan</v>
      </c>
      <c r="E732" s="9" t="str">
        <f ca="1">IFERROR(__xludf.DUMMYFUNCTION("""COMPUTED_VALUE"""),"7 weeks")</f>
        <v>7 weeks</v>
      </c>
      <c r="F732" s="79">
        <f ca="1">IFERROR(__xludf.DUMMYFUNCTION("""COMPUTED_VALUE"""),43895)</f>
        <v>43895</v>
      </c>
      <c r="G732" s="79">
        <f ca="1">IFERROR(__xludf.DUMMYFUNCTION("""COMPUTED_VALUE"""),43946)</f>
        <v>43946</v>
      </c>
      <c r="H732" s="72"/>
      <c r="I732" s="80">
        <f ca="1">IFERROR(__xludf.DUMMYFUNCTION("""COMPUTED_VALUE"""),99.08)</f>
        <v>99.08</v>
      </c>
      <c r="J732" s="9"/>
      <c r="K732" s="73" t="str">
        <f ca="1">IFERROR(__xludf.DUMMYFUNCTION("""COMPUTED_VALUE"""),"https://drive.google.com/open?id=1cocAhpT7zGXy2a1UrnMnHWoY1uvn3s-E")</f>
        <v>https://drive.google.com/open?id=1cocAhpT7zGXy2a1UrnMnHWoY1uvn3s-E</v>
      </c>
      <c r="L732" s="9"/>
      <c r="M732" s="9" t="str">
        <f ca="1">IFERROR(__xludf.DUMMYFUNCTION("""COMPUTED_VALUE"""),"S4: Student Certifications")</f>
        <v>S4: Student Certifications</v>
      </c>
      <c r="N732" s="9" t="str">
        <f ca="1">IFERROR(__xludf.DUMMYFUNCTION("""COMPUTED_VALUE"""),"sreepadasravani@gmail.com")</f>
        <v>sreepadasravani@gmail.com</v>
      </c>
      <c r="O732" s="9" t="str">
        <f ca="1">IFERROR(__xludf.DUMMYFUNCTION("""COMPUTED_VALUE"""),"SEM-6")</f>
        <v>SEM-6</v>
      </c>
      <c r="P732" s="9"/>
      <c r="Q732" s="9"/>
      <c r="R732" s="9"/>
      <c r="S732" s="9"/>
      <c r="T732" s="9"/>
      <c r="U732" s="9"/>
      <c r="V732" s="9"/>
      <c r="W732" s="9"/>
      <c r="X732" s="9"/>
      <c r="Y732" s="9"/>
    </row>
    <row r="733" spans="1:25" ht="26.25" customHeight="1" x14ac:dyDescent="0.15">
      <c r="A733" s="9" t="str">
        <f ca="1">IFERROR(__xludf.DUMMYFUNCTION("""COMPUTED_VALUE"""),"Sravani Sreepada")</f>
        <v>Sravani Sreepada</v>
      </c>
      <c r="B733" s="9" t="str">
        <f ca="1">IFERROR(__xludf.DUMMYFUNCTION("""COMPUTED_VALUE"""),"19331A05G1")</f>
        <v>19331A05G1</v>
      </c>
      <c r="C733" s="78" t="str">
        <f ca="1">IFERROR(__xludf.DUMMYFUNCTION("""COMPUTED_VALUE"""),"Using Databases with Python")</f>
        <v>Using Databases with Python</v>
      </c>
      <c r="D733" s="9" t="str">
        <f ca="1">IFERROR(__xludf.DUMMYFUNCTION("""COMPUTED_VALUE"""),"University of Michigan")</f>
        <v>University of Michigan</v>
      </c>
      <c r="E733" s="9" t="str">
        <f ca="1">IFERROR(__xludf.DUMMYFUNCTION("""COMPUTED_VALUE"""),"5 weeks")</f>
        <v>5 weeks</v>
      </c>
      <c r="F733" s="79">
        <f ca="1">IFERROR(__xludf.DUMMYFUNCTION("""COMPUTED_VALUE"""),43983)</f>
        <v>43983</v>
      </c>
      <c r="G733" s="79">
        <f ca="1">IFERROR(__xludf.DUMMYFUNCTION("""COMPUTED_VALUE"""),44036)</f>
        <v>44036</v>
      </c>
      <c r="H733" s="72"/>
      <c r="I733" s="80">
        <f ca="1">IFERROR(__xludf.DUMMYFUNCTION("""COMPUTED_VALUE"""),97.88)</f>
        <v>97.88</v>
      </c>
      <c r="J733" s="9"/>
      <c r="K733" s="73" t="str">
        <f ca="1">IFERROR(__xludf.DUMMYFUNCTION("""COMPUTED_VALUE"""),"https://drive.google.com/open?id=1kn2t1IVtdYwTvsCKKJrPPP0afcMDfMAt")</f>
        <v>https://drive.google.com/open?id=1kn2t1IVtdYwTvsCKKJrPPP0afcMDfMAt</v>
      </c>
      <c r="L733" s="9"/>
      <c r="M733" s="9" t="str">
        <f ca="1">IFERROR(__xludf.DUMMYFUNCTION("""COMPUTED_VALUE"""),"S4: Student Certifications")</f>
        <v>S4: Student Certifications</v>
      </c>
      <c r="N733" s="9" t="str">
        <f ca="1">IFERROR(__xludf.DUMMYFUNCTION("""COMPUTED_VALUE"""),"sreepadasravani@gmail.com")</f>
        <v>sreepadasravani@gmail.com</v>
      </c>
      <c r="O733" s="9" t="str">
        <f ca="1">IFERROR(__xludf.DUMMYFUNCTION("""COMPUTED_VALUE"""),"SEM-6")</f>
        <v>SEM-6</v>
      </c>
      <c r="P733" s="9"/>
      <c r="Q733" s="9"/>
      <c r="R733" s="9"/>
      <c r="S733" s="9"/>
      <c r="T733" s="9"/>
      <c r="U733" s="9"/>
      <c r="V733" s="9"/>
      <c r="W733" s="9"/>
      <c r="X733" s="9"/>
      <c r="Y733" s="9"/>
    </row>
    <row r="734" spans="1:25" ht="26.25" customHeight="1" x14ac:dyDescent="0.15">
      <c r="A734" s="9" t="str">
        <f ca="1">IFERROR(__xludf.DUMMYFUNCTION("""COMPUTED_VALUE"""),"Saravani Sreepada")</f>
        <v>Saravani Sreepada</v>
      </c>
      <c r="B734" s="9" t="str">
        <f ca="1">IFERROR(__xludf.DUMMYFUNCTION("""COMPUTED_VALUE"""),"19331A05G1")</f>
        <v>19331A05G1</v>
      </c>
      <c r="C734" s="78" t="str">
        <f ca="1">IFERROR(__xludf.DUMMYFUNCTION("""COMPUTED_VALUE"""),"Capstone: Retrieving, Processing, and Visualizing Data with Python")</f>
        <v>Capstone: Retrieving, Processing, and Visualizing Data with Python</v>
      </c>
      <c r="D734" s="9" t="str">
        <f ca="1">IFERROR(__xludf.DUMMYFUNCTION("""COMPUTED_VALUE"""),"University of Michagan")</f>
        <v>University of Michagan</v>
      </c>
      <c r="E734" s="9" t="str">
        <f ca="1">IFERROR(__xludf.DUMMYFUNCTION("""COMPUTED_VALUE"""),"6 weeks")</f>
        <v>6 weeks</v>
      </c>
      <c r="F734" s="79">
        <f ca="1">IFERROR(__xludf.DUMMYFUNCTION("""COMPUTED_VALUE"""),43992)</f>
        <v>43992</v>
      </c>
      <c r="G734" s="79">
        <f ca="1">IFERROR(__xludf.DUMMYFUNCTION("""COMPUTED_VALUE"""),44032)</f>
        <v>44032</v>
      </c>
      <c r="H734" s="72"/>
      <c r="I734" s="80">
        <f ca="1">IFERROR(__xludf.DUMMYFUNCTION("""COMPUTED_VALUE"""),96.15)</f>
        <v>96.15</v>
      </c>
      <c r="J734" s="9"/>
      <c r="K734" s="73" t="str">
        <f ca="1">IFERROR(__xludf.DUMMYFUNCTION("""COMPUTED_VALUE"""),"https://drive.google.com/open?id=1BMaENX90Y4WR0qcOD1aitqdZuLUI3Y_e")</f>
        <v>https://drive.google.com/open?id=1BMaENX90Y4WR0qcOD1aitqdZuLUI3Y_e</v>
      </c>
      <c r="L734" s="9"/>
      <c r="M734" s="9" t="str">
        <f ca="1">IFERROR(__xludf.DUMMYFUNCTION("""COMPUTED_VALUE"""),"S4: Student Certifications")</f>
        <v>S4: Student Certifications</v>
      </c>
      <c r="N734" s="9" t="str">
        <f ca="1">IFERROR(__xludf.DUMMYFUNCTION("""COMPUTED_VALUE"""),"sreepadasravani@gmail.com")</f>
        <v>sreepadasravani@gmail.com</v>
      </c>
      <c r="O734" s="9" t="str">
        <f ca="1">IFERROR(__xludf.DUMMYFUNCTION("""COMPUTED_VALUE"""),"SEM-6")</f>
        <v>SEM-6</v>
      </c>
      <c r="P734" s="9"/>
      <c r="Q734" s="9"/>
      <c r="R734" s="9"/>
      <c r="S734" s="9"/>
      <c r="T734" s="9"/>
      <c r="U734" s="9"/>
      <c r="V734" s="9"/>
      <c r="W734" s="9"/>
      <c r="X734" s="9"/>
      <c r="Y734" s="9"/>
    </row>
    <row r="735" spans="1:25" ht="26.25" customHeight="1" x14ac:dyDescent="0.15">
      <c r="A735" s="9" t="str">
        <f ca="1">IFERROR(__xludf.DUMMYFUNCTION("""COMPUTED_VALUE"""),"Sravani Sreepada")</f>
        <v>Sravani Sreepada</v>
      </c>
      <c r="B735" s="9" t="str">
        <f ca="1">IFERROR(__xludf.DUMMYFUNCTION("""COMPUTED_VALUE"""),"19331A05G1")</f>
        <v>19331A05G1</v>
      </c>
      <c r="C735" s="78" t="str">
        <f ca="1">IFERROR(__xludf.DUMMYFUNCTION("""COMPUTED_VALUE"""),"Using Python to Access Web Data")</f>
        <v>Using Python to Access Web Data</v>
      </c>
      <c r="D735" s="9" t="str">
        <f ca="1">IFERROR(__xludf.DUMMYFUNCTION("""COMPUTED_VALUE"""),"University of Michigan")</f>
        <v>University of Michigan</v>
      </c>
      <c r="E735" s="9" t="str">
        <f ca="1">IFERROR(__xludf.DUMMYFUNCTION("""COMPUTED_VALUE"""),"6 weeks of study")</f>
        <v>6 weeks of study</v>
      </c>
      <c r="F735" s="79">
        <f ca="1">IFERROR(__xludf.DUMMYFUNCTION("""COMPUTED_VALUE"""),43961)</f>
        <v>43961</v>
      </c>
      <c r="G735" s="79">
        <f ca="1">IFERROR(__xludf.DUMMYFUNCTION("""COMPUTED_VALUE"""),44004)</f>
        <v>44004</v>
      </c>
      <c r="H735" s="72"/>
      <c r="I735" s="80">
        <f ca="1">IFERROR(__xludf.DUMMYFUNCTION("""COMPUTED_VALUE"""),96.12)</f>
        <v>96.12</v>
      </c>
      <c r="J735" s="9"/>
      <c r="K735" s="73" t="str">
        <f ca="1">IFERROR(__xludf.DUMMYFUNCTION("""COMPUTED_VALUE"""),"https://drive.google.com/open?id=1gDbmkgWMEq04Q5zhILe0mPyQGDKe69Rx")</f>
        <v>https://drive.google.com/open?id=1gDbmkgWMEq04Q5zhILe0mPyQGDKe69Rx</v>
      </c>
      <c r="L735" s="9"/>
      <c r="M735" s="9" t="str">
        <f ca="1">IFERROR(__xludf.DUMMYFUNCTION("""COMPUTED_VALUE"""),"S4: Student Certifications")</f>
        <v>S4: Student Certifications</v>
      </c>
      <c r="N735" s="9" t="str">
        <f ca="1">IFERROR(__xludf.DUMMYFUNCTION("""COMPUTED_VALUE"""),"sreepadasravani@gmail.com")</f>
        <v>sreepadasravani@gmail.com</v>
      </c>
      <c r="O735" s="9" t="str">
        <f ca="1">IFERROR(__xludf.DUMMYFUNCTION("""COMPUTED_VALUE"""),"SEM-6")</f>
        <v>SEM-6</v>
      </c>
      <c r="P735" s="9"/>
      <c r="Q735" s="9"/>
      <c r="R735" s="9"/>
      <c r="S735" s="9"/>
      <c r="T735" s="9"/>
      <c r="U735" s="9"/>
      <c r="V735" s="9"/>
      <c r="W735" s="9"/>
      <c r="X735" s="9"/>
      <c r="Y735" s="9"/>
    </row>
    <row r="736" spans="1:25" ht="26.25" customHeight="1" x14ac:dyDescent="0.15">
      <c r="A736" s="9" t="str">
        <f ca="1">IFERROR(__xludf.DUMMYFUNCTION("""COMPUTED_VALUE"""),"Sravani Sreepada")</f>
        <v>Sravani Sreepada</v>
      </c>
      <c r="B736" s="9" t="str">
        <f ca="1">IFERROR(__xludf.DUMMYFUNCTION("""COMPUTED_VALUE"""),"19331A05G1")</f>
        <v>19331A05G1</v>
      </c>
      <c r="C736" s="78" t="str">
        <f ca="1">IFERROR(__xludf.DUMMYFUNCTION("""COMPUTED_VALUE"""),"AI for Everyone")</f>
        <v>AI for Everyone</v>
      </c>
      <c r="D736" s="73" t="str">
        <f ca="1">IFERROR(__xludf.DUMMYFUNCTION("""COMPUTED_VALUE"""),"DeepLearning.AI")</f>
        <v>DeepLearning.AI</v>
      </c>
      <c r="E736" s="9" t="str">
        <f ca="1">IFERROR(__xludf.DUMMYFUNCTION("""COMPUTED_VALUE"""),"4 weeks")</f>
        <v>4 weeks</v>
      </c>
      <c r="F736" s="79">
        <f ca="1">IFERROR(__xludf.DUMMYFUNCTION("""COMPUTED_VALUE"""),43952)</f>
        <v>43952</v>
      </c>
      <c r="G736" s="79">
        <f ca="1">IFERROR(__xludf.DUMMYFUNCTION("""COMPUTED_VALUE"""),43982)</f>
        <v>43982</v>
      </c>
      <c r="H736" s="72"/>
      <c r="I736" s="80">
        <f ca="1">IFERROR(__xludf.DUMMYFUNCTION("""COMPUTED_VALUE"""),98.25)</f>
        <v>98.25</v>
      </c>
      <c r="J736" s="9"/>
      <c r="K736" s="73" t="str">
        <f ca="1">IFERROR(__xludf.DUMMYFUNCTION("""COMPUTED_VALUE"""),"https://drive.google.com/open?id=1MqwlNBjN4GdPpbDSL5mQ0tolJ7I2sXUI")</f>
        <v>https://drive.google.com/open?id=1MqwlNBjN4GdPpbDSL5mQ0tolJ7I2sXUI</v>
      </c>
      <c r="L736" s="9"/>
      <c r="M736" s="9" t="str">
        <f ca="1">IFERROR(__xludf.DUMMYFUNCTION("""COMPUTED_VALUE"""),"S4: Student Certifications")</f>
        <v>S4: Student Certifications</v>
      </c>
      <c r="N736" s="9" t="str">
        <f ca="1">IFERROR(__xludf.DUMMYFUNCTION("""COMPUTED_VALUE"""),"sreepadasravani@gmail.com")</f>
        <v>sreepadasravani@gmail.com</v>
      </c>
      <c r="O736" s="9" t="str">
        <f ca="1">IFERROR(__xludf.DUMMYFUNCTION("""COMPUTED_VALUE"""),"SEM-6")</f>
        <v>SEM-6</v>
      </c>
      <c r="P736" s="9"/>
      <c r="Q736" s="9"/>
      <c r="R736" s="9"/>
      <c r="S736" s="9"/>
      <c r="T736" s="9"/>
      <c r="U736" s="9"/>
      <c r="V736" s="9"/>
      <c r="W736" s="9"/>
      <c r="X736" s="9"/>
      <c r="Y736" s="9"/>
    </row>
    <row r="737" spans="1:25" ht="26.25" customHeight="1" x14ac:dyDescent="0.15">
      <c r="A737" s="9" t="str">
        <f ca="1">IFERROR(__xludf.DUMMYFUNCTION("""COMPUTED_VALUE"""),"INDU KAMBAPU")</f>
        <v>INDU KAMBAPU</v>
      </c>
      <c r="B737" s="9" t="str">
        <f ca="1">IFERROR(__xludf.DUMMYFUNCTION("""COMPUTED_VALUE"""),"18331A0565")</f>
        <v>18331A0565</v>
      </c>
      <c r="C737" s="78" t="str">
        <f ca="1">IFERROR(__xludf.DUMMYFUNCTION("""COMPUTED_VALUE"""),"PYTHON BASICS")</f>
        <v>PYTHON BASICS</v>
      </c>
      <c r="D737" s="9" t="str">
        <f ca="1">IFERROR(__xludf.DUMMYFUNCTION("""COMPUTED_VALUE"""),"COURSERA")</f>
        <v>COURSERA</v>
      </c>
      <c r="E737" s="9" t="str">
        <f ca="1">IFERROR(__xludf.DUMMYFUNCTION("""COMPUTED_VALUE"""),"4 WEEKS")</f>
        <v>4 WEEKS</v>
      </c>
      <c r="F737" s="79">
        <f ca="1">IFERROR(__xludf.DUMMYFUNCTION("""COMPUTED_VALUE"""),44479)</f>
        <v>44479</v>
      </c>
      <c r="G737" s="79">
        <f ca="1">IFERROR(__xludf.DUMMYFUNCTION("""COMPUTED_VALUE"""),44513)</f>
        <v>44513</v>
      </c>
      <c r="H737" s="72"/>
      <c r="I737" s="80">
        <f ca="1">IFERROR(__xludf.DUMMYFUNCTION("""COMPUTED_VALUE"""),100)</f>
        <v>100</v>
      </c>
      <c r="J737" s="9"/>
      <c r="K737" s="73" t="str">
        <f ca="1">IFERROR(__xludf.DUMMYFUNCTION("""COMPUTED_VALUE"""),"https://drive.google.com/open?id=175hZfT5mALbCnDjklXXHfa7xUoGcLVfa")</f>
        <v>https://drive.google.com/open?id=175hZfT5mALbCnDjklXXHfa7xUoGcLVfa</v>
      </c>
      <c r="L737" s="9"/>
      <c r="M737" s="9" t="str">
        <f ca="1">IFERROR(__xludf.DUMMYFUNCTION("""COMPUTED_VALUE"""),"S4: Student Certifications")</f>
        <v>S4: Student Certifications</v>
      </c>
      <c r="N737" s="9" t="str">
        <f ca="1">IFERROR(__xludf.DUMMYFUNCTION("""COMPUTED_VALUE"""),"kambapuindu@gmail.com")</f>
        <v>kambapuindu@gmail.com</v>
      </c>
      <c r="O737" s="9" t="str">
        <f ca="1">IFERROR(__xludf.DUMMYFUNCTION("""COMPUTED_VALUE"""),"SEM-8")</f>
        <v>SEM-8</v>
      </c>
      <c r="P737" s="9"/>
      <c r="Q737" s="9"/>
      <c r="R737" s="9"/>
      <c r="S737" s="9"/>
      <c r="T737" s="9"/>
      <c r="U737" s="9"/>
      <c r="V737" s="9"/>
      <c r="W737" s="9"/>
      <c r="X737" s="9"/>
      <c r="Y737" s="9"/>
    </row>
    <row r="738" spans="1:25" ht="26.25" customHeight="1" x14ac:dyDescent="0.15">
      <c r="A738" s="9" t="str">
        <f ca="1">IFERROR(__xludf.DUMMYFUNCTION("""COMPUTED_VALUE"""),"Chitikana Spandana")</f>
        <v>Chitikana Spandana</v>
      </c>
      <c r="B738" s="9" t="str">
        <f ca="1">IFERROR(__xludf.DUMMYFUNCTION("""COMPUTED_VALUE"""),"18331A0527")</f>
        <v>18331A0527</v>
      </c>
      <c r="C738" s="78" t="str">
        <f ca="1">IFERROR(__xludf.DUMMYFUNCTION("""COMPUTED_VALUE"""),"Matlab OnRamp")</f>
        <v>Matlab OnRamp</v>
      </c>
      <c r="D738" s="9" t="str">
        <f ca="1">IFERROR(__xludf.DUMMYFUNCTION("""COMPUTED_VALUE"""),"MathWorks")</f>
        <v>MathWorks</v>
      </c>
      <c r="E738" s="9" t="str">
        <f ca="1">IFERROR(__xludf.DUMMYFUNCTION("""COMPUTED_VALUE"""),"1 month")</f>
        <v>1 month</v>
      </c>
      <c r="F738" s="79">
        <f ca="1">IFERROR(__xludf.DUMMYFUNCTION("""COMPUTED_VALUE"""),44217)</f>
        <v>44217</v>
      </c>
      <c r="G738" s="79">
        <f ca="1">IFERROR(__xludf.DUMMYFUNCTION("""COMPUTED_VALUE"""),44248)</f>
        <v>44248</v>
      </c>
      <c r="H738" s="72"/>
      <c r="I738" s="80">
        <f ca="1">IFERROR(__xludf.DUMMYFUNCTION("""COMPUTED_VALUE"""),100)</f>
        <v>100</v>
      </c>
      <c r="J738" s="9"/>
      <c r="K738" s="73" t="str">
        <f ca="1">IFERROR(__xludf.DUMMYFUNCTION("""COMPUTED_VALUE"""),"https://drive.google.com/open?id=195bDlEcFeF8Dkc1EwuP4HOHcdR4wl_h6")</f>
        <v>https://drive.google.com/open?id=195bDlEcFeF8Dkc1EwuP4HOHcdR4wl_h6</v>
      </c>
      <c r="L738" s="9"/>
      <c r="M738" s="9" t="str">
        <f ca="1">IFERROR(__xludf.DUMMYFUNCTION("""COMPUTED_VALUE"""),"S4: Student Certifications")</f>
        <v>S4: Student Certifications</v>
      </c>
      <c r="N738" s="9" t="str">
        <f ca="1">IFERROR(__xludf.DUMMYFUNCTION("""COMPUTED_VALUE"""),"spandana1009@gmail.com")</f>
        <v>spandana1009@gmail.com</v>
      </c>
      <c r="O738" s="9" t="str">
        <f ca="1">IFERROR(__xludf.DUMMYFUNCTION("""COMPUTED_VALUE"""),"SEM-8")</f>
        <v>SEM-8</v>
      </c>
      <c r="P738" s="9"/>
      <c r="Q738" s="9"/>
      <c r="R738" s="9"/>
      <c r="S738" s="9"/>
      <c r="T738" s="9"/>
      <c r="U738" s="9"/>
      <c r="V738" s="9"/>
      <c r="W738" s="9"/>
      <c r="X738" s="9"/>
      <c r="Y738" s="9"/>
    </row>
    <row r="739" spans="1:25" ht="26.25" customHeight="1" x14ac:dyDescent="0.15">
      <c r="A739" s="9" t="str">
        <f ca="1">IFERROR(__xludf.DUMMYFUNCTION("""COMPUTED_VALUE"""),"Chitikana Spandana")</f>
        <v>Chitikana Spandana</v>
      </c>
      <c r="B739" s="9" t="str">
        <f ca="1">IFERROR(__xludf.DUMMYFUNCTION("""COMPUTED_VALUE"""),"18331A0527")</f>
        <v>18331A0527</v>
      </c>
      <c r="C739" s="78" t="str">
        <f ca="1">IFERROR(__xludf.DUMMYFUNCTION("""COMPUTED_VALUE"""),"AWS Cloud Computing")</f>
        <v>AWS Cloud Computing</v>
      </c>
      <c r="D739" s="9" t="str">
        <f ca="1">IFERROR(__xludf.DUMMYFUNCTION("""COMPUTED_VALUE"""),"AWS Academy")</f>
        <v>AWS Academy</v>
      </c>
      <c r="E739" s="9" t="str">
        <f ca="1">IFERROR(__xludf.DUMMYFUNCTION("""COMPUTED_VALUE"""),"1 month")</f>
        <v>1 month</v>
      </c>
      <c r="F739" s="79">
        <f ca="1">IFERROR(__xludf.DUMMYFUNCTION("""COMPUTED_VALUE"""),44512)</f>
        <v>44512</v>
      </c>
      <c r="G739" s="79">
        <f ca="1">IFERROR(__xludf.DUMMYFUNCTION("""COMPUTED_VALUE"""),44542)</f>
        <v>44542</v>
      </c>
      <c r="H739" s="72"/>
      <c r="I739" s="80">
        <f ca="1">IFERROR(__xludf.DUMMYFUNCTION("""COMPUTED_VALUE"""),94)</f>
        <v>94</v>
      </c>
      <c r="J739" s="9"/>
      <c r="K739" s="73" t="str">
        <f ca="1">IFERROR(__xludf.DUMMYFUNCTION("""COMPUTED_VALUE"""),"https://drive.google.com/open?id=1AlUvaHkYa-_TmleSQ5sZqJdmTYWxcgK2")</f>
        <v>https://drive.google.com/open?id=1AlUvaHkYa-_TmleSQ5sZqJdmTYWxcgK2</v>
      </c>
      <c r="L739" s="9"/>
      <c r="M739" s="9" t="str">
        <f ca="1">IFERROR(__xludf.DUMMYFUNCTION("""COMPUTED_VALUE"""),"S4: Student Certifications")</f>
        <v>S4: Student Certifications</v>
      </c>
      <c r="N739" s="9" t="str">
        <f ca="1">IFERROR(__xludf.DUMMYFUNCTION("""COMPUTED_VALUE"""),"spandana1009@gmail.com")</f>
        <v>spandana1009@gmail.com</v>
      </c>
      <c r="O739" s="9" t="str">
        <f ca="1">IFERROR(__xludf.DUMMYFUNCTION("""COMPUTED_VALUE"""),"SEM-8")</f>
        <v>SEM-8</v>
      </c>
      <c r="P739" s="9"/>
      <c r="Q739" s="9"/>
      <c r="R739" s="9"/>
      <c r="S739" s="9"/>
      <c r="T739" s="9"/>
      <c r="U739" s="9"/>
      <c r="V739" s="9"/>
      <c r="W739" s="9"/>
      <c r="X739" s="9"/>
      <c r="Y739" s="9"/>
    </row>
    <row r="740" spans="1:25" ht="26.25" customHeight="1" x14ac:dyDescent="0.15">
      <c r="A740" s="9" t="str">
        <f ca="1">IFERROR(__xludf.DUMMYFUNCTION("""COMPUTED_VALUE"""),"Botcha Sai Siddhardha")</f>
        <v>Botcha Sai Siddhardha</v>
      </c>
      <c r="B740" s="9" t="str">
        <f ca="1">IFERROR(__xludf.DUMMYFUNCTION("""COMPUTED_VALUE"""),"18331A0520")</f>
        <v>18331A0520</v>
      </c>
      <c r="C740" s="78" t="str">
        <f ca="1">IFERROR(__xludf.DUMMYFUNCTION("""COMPUTED_VALUE"""),"AWS Cloud Computing")</f>
        <v>AWS Cloud Computing</v>
      </c>
      <c r="D740" s="9" t="str">
        <f ca="1">IFERROR(__xludf.DUMMYFUNCTION("""COMPUTED_VALUE"""),"AWS Academy")</f>
        <v>AWS Academy</v>
      </c>
      <c r="E740" s="9" t="str">
        <f ca="1">IFERROR(__xludf.DUMMYFUNCTION("""COMPUTED_VALUE"""),"1month")</f>
        <v>1month</v>
      </c>
      <c r="F740" s="79">
        <f ca="1">IFERROR(__xludf.DUMMYFUNCTION("""COMPUTED_VALUE"""),44518)</f>
        <v>44518</v>
      </c>
      <c r="G740" s="79">
        <f ca="1">IFERROR(__xludf.DUMMYFUNCTION("""COMPUTED_VALUE"""),44548)</f>
        <v>44548</v>
      </c>
      <c r="H740" s="72"/>
      <c r="I740" s="80">
        <f ca="1">IFERROR(__xludf.DUMMYFUNCTION("""COMPUTED_VALUE"""),93)</f>
        <v>93</v>
      </c>
      <c r="J740" s="9"/>
      <c r="K740" s="73" t="str">
        <f ca="1">IFERROR(__xludf.DUMMYFUNCTION("""COMPUTED_VALUE"""),"https://drive.google.com/open?id=1tl3mhFHOZyf6mgjcf4xPv-7-oHQyLmz5")</f>
        <v>https://drive.google.com/open?id=1tl3mhFHOZyf6mgjcf4xPv-7-oHQyLmz5</v>
      </c>
      <c r="L740" s="9"/>
      <c r="M740" s="9" t="str">
        <f ca="1">IFERROR(__xludf.DUMMYFUNCTION("""COMPUTED_VALUE"""),"S4: Student Certifications")</f>
        <v>S4: Student Certifications</v>
      </c>
      <c r="N740" s="9" t="str">
        <f ca="1">IFERROR(__xludf.DUMMYFUNCTION("""COMPUTED_VALUE"""),"iamsiddhu007@gmail.com")</f>
        <v>iamsiddhu007@gmail.com</v>
      </c>
      <c r="O740" s="9" t="str">
        <f ca="1">IFERROR(__xludf.DUMMYFUNCTION("""COMPUTED_VALUE"""),"SEM-8")</f>
        <v>SEM-8</v>
      </c>
      <c r="P740" s="9"/>
      <c r="Q740" s="9"/>
      <c r="R740" s="9"/>
      <c r="S740" s="9"/>
      <c r="T740" s="9"/>
      <c r="U740" s="9"/>
      <c r="V740" s="9"/>
      <c r="W740" s="9"/>
      <c r="X740" s="9"/>
      <c r="Y740" s="9"/>
    </row>
    <row r="741" spans="1:25" ht="26.25" customHeight="1" x14ac:dyDescent="0.15">
      <c r="A741" s="9" t="str">
        <f ca="1">IFERROR(__xludf.DUMMYFUNCTION("""COMPUTED_VALUE"""),"Botcha Sai Siddhardha")</f>
        <v>Botcha Sai Siddhardha</v>
      </c>
      <c r="B741" s="9" t="str">
        <f ca="1">IFERROR(__xludf.DUMMYFUNCTION("""COMPUTED_VALUE"""),"18331A0520")</f>
        <v>18331A0520</v>
      </c>
      <c r="C741" s="78" t="str">
        <f ca="1">IFERROR(__xludf.DUMMYFUNCTION("""COMPUTED_VALUE"""),"MATLAB ONRAMP")</f>
        <v>MATLAB ONRAMP</v>
      </c>
      <c r="D741" s="9" t="str">
        <f ca="1">IFERROR(__xludf.DUMMYFUNCTION("""COMPUTED_VALUE"""),"MATHWORKS")</f>
        <v>MATHWORKS</v>
      </c>
      <c r="E741" s="9" t="str">
        <f ca="1">IFERROR(__xludf.DUMMYFUNCTION("""COMPUTED_VALUE"""),"1month")</f>
        <v>1month</v>
      </c>
      <c r="F741" s="79">
        <f ca="1">IFERROR(__xludf.DUMMYFUNCTION("""COMPUTED_VALUE"""),44208)</f>
        <v>44208</v>
      </c>
      <c r="G741" s="79">
        <f ca="1">IFERROR(__xludf.DUMMYFUNCTION("""COMPUTED_VALUE"""),44239)</f>
        <v>44239</v>
      </c>
      <c r="H741" s="72"/>
      <c r="I741" s="80">
        <f ca="1">IFERROR(__xludf.DUMMYFUNCTION("""COMPUTED_VALUE"""),100)</f>
        <v>100</v>
      </c>
      <c r="J741" s="9"/>
      <c r="K741" s="73" t="str">
        <f ca="1">IFERROR(__xludf.DUMMYFUNCTION("""COMPUTED_VALUE"""),"https://drive.google.com/open?id=1cebBPJw2Cag9Y_PrtgN1o5PEGewL-_M-")</f>
        <v>https://drive.google.com/open?id=1cebBPJw2Cag9Y_PrtgN1o5PEGewL-_M-</v>
      </c>
      <c r="L741" s="9"/>
      <c r="M741" s="9" t="str">
        <f ca="1">IFERROR(__xludf.DUMMYFUNCTION("""COMPUTED_VALUE"""),"S4: Student Certifications")</f>
        <v>S4: Student Certifications</v>
      </c>
      <c r="N741" s="9" t="str">
        <f ca="1">IFERROR(__xludf.DUMMYFUNCTION("""COMPUTED_VALUE"""),"iamsiddhu007@gmail.com")</f>
        <v>iamsiddhu007@gmail.com</v>
      </c>
      <c r="O741" s="9" t="str">
        <f ca="1">IFERROR(__xludf.DUMMYFUNCTION("""COMPUTED_VALUE"""),"SEM-8")</f>
        <v>SEM-8</v>
      </c>
      <c r="P741" s="9"/>
      <c r="Q741" s="9"/>
      <c r="R741" s="9"/>
      <c r="S741" s="9"/>
      <c r="T741" s="9"/>
      <c r="U741" s="9"/>
      <c r="V741" s="9"/>
      <c r="W741" s="9"/>
      <c r="X741" s="9"/>
      <c r="Y741" s="9"/>
    </row>
    <row r="742" spans="1:25" ht="26.25" customHeight="1" x14ac:dyDescent="0.15">
      <c r="A742" s="9" t="str">
        <f ca="1">IFERROR(__xludf.DUMMYFUNCTION("""COMPUTED_VALUE"""),"Kolluru Sai Venkata Ravi Sastry")</f>
        <v>Kolluru Sai Venkata Ravi Sastry</v>
      </c>
      <c r="B742" s="9" t="str">
        <f ca="1">IFERROR(__xludf.DUMMYFUNCTION("""COMPUTED_VALUE"""),"20331A0588")</f>
        <v>20331A0588</v>
      </c>
      <c r="C742" s="78" t="str">
        <f ca="1">IFERROR(__xludf.DUMMYFUNCTION("""COMPUTED_VALUE"""),"Learn C++ Course")</f>
        <v>Learn C++ Course</v>
      </c>
      <c r="D742" s="9" t="str">
        <f ca="1">IFERROR(__xludf.DUMMYFUNCTION("""COMPUTED_VALUE"""),"CODECADEMY")</f>
        <v>CODECADEMY</v>
      </c>
      <c r="E742" s="9" t="str">
        <f ca="1">IFERROR(__xludf.DUMMYFUNCTION("""COMPUTED_VALUE"""),"3 months")</f>
        <v>3 months</v>
      </c>
      <c r="F742" s="79">
        <f ca="1">IFERROR(__xludf.DUMMYFUNCTION("""COMPUTED_VALUE"""),44440)</f>
        <v>44440</v>
      </c>
      <c r="G742" s="79">
        <f ca="1">IFERROR(__xludf.DUMMYFUNCTION("""COMPUTED_VALUE"""),44537)</f>
        <v>44537</v>
      </c>
      <c r="H742" s="72"/>
      <c r="I742" s="80">
        <f ca="1">IFERROR(__xludf.DUMMYFUNCTION("""COMPUTED_VALUE"""),90)</f>
        <v>90</v>
      </c>
      <c r="J742" s="9"/>
      <c r="K742" s="73" t="str">
        <f ca="1">IFERROR(__xludf.DUMMYFUNCTION("""COMPUTED_VALUE"""),"https://drive.google.com/open?id=1-PetfB6Tp194MjK0e-W1uHlAXhoGA3di")</f>
        <v>https://drive.google.com/open?id=1-PetfB6Tp194MjK0e-W1uHlAXhoGA3di</v>
      </c>
      <c r="L742" s="9"/>
      <c r="M742" s="9" t="str">
        <f ca="1">IFERROR(__xludf.DUMMYFUNCTION("""COMPUTED_VALUE"""),"S4: Student Certifications")</f>
        <v>S4: Student Certifications</v>
      </c>
      <c r="N742" s="9" t="str">
        <f ca="1">IFERROR(__xludf.DUMMYFUNCTION("""COMPUTED_VALUE"""),"ravisastrykolluru2021@gmail.com")</f>
        <v>ravisastrykolluru2021@gmail.com</v>
      </c>
      <c r="O742" s="9" t="str">
        <f ca="1">IFERROR(__xludf.DUMMYFUNCTION("""COMPUTED_VALUE"""),"SEM-4")</f>
        <v>SEM-4</v>
      </c>
      <c r="P742" s="9"/>
      <c r="Q742" s="9"/>
      <c r="R742" s="9"/>
      <c r="S742" s="9"/>
      <c r="T742" s="9"/>
      <c r="U742" s="9"/>
      <c r="V742" s="9"/>
      <c r="W742" s="9"/>
      <c r="X742" s="9"/>
      <c r="Y742" s="9"/>
    </row>
    <row r="743" spans="1:25" ht="26.25" customHeight="1" x14ac:dyDescent="0.15">
      <c r="A743" s="9" t="str">
        <f ca="1">IFERROR(__xludf.DUMMYFUNCTION("""COMPUTED_VALUE"""),"Killana Gayatri Venkata Manikanta")</f>
        <v>Killana Gayatri Venkata Manikanta</v>
      </c>
      <c r="B743" s="9" t="str">
        <f ca="1">IFERROR(__xludf.DUMMYFUNCTION("""COMPUTED_VALUE"""),"18331A0576")</f>
        <v>18331A0576</v>
      </c>
      <c r="C743" s="78" t="str">
        <f ca="1">IFERROR(__xludf.DUMMYFUNCTION("""COMPUTED_VALUE"""),"Python Programming")</f>
        <v>Python Programming</v>
      </c>
      <c r="D743" s="9" t="str">
        <f ca="1">IFERROR(__xludf.DUMMYFUNCTION("""COMPUTED_VALUE"""),"Coursera")</f>
        <v>Coursera</v>
      </c>
      <c r="E743" s="9" t="str">
        <f ca="1">IFERROR(__xludf.DUMMYFUNCTION("""COMPUTED_VALUE"""),"one month")</f>
        <v>one month</v>
      </c>
      <c r="F743" s="79">
        <f ca="1">IFERROR(__xludf.DUMMYFUNCTION("""COMPUTED_VALUE"""),43923)</f>
        <v>43923</v>
      </c>
      <c r="G743" s="79">
        <f ca="1">IFERROR(__xludf.DUMMYFUNCTION("""COMPUTED_VALUE"""),43953)</f>
        <v>43953</v>
      </c>
      <c r="H743" s="72"/>
      <c r="I743" s="80">
        <f ca="1">IFERROR(__xludf.DUMMYFUNCTION("""COMPUTED_VALUE"""),90)</f>
        <v>90</v>
      </c>
      <c r="J743" s="9"/>
      <c r="K743" s="73" t="str">
        <f ca="1">IFERROR(__xludf.DUMMYFUNCTION("""COMPUTED_VALUE"""),"https://drive.google.com/open?id=1yW-xpepQVwiCMkNuqsgGvt74qKTyQXq_")</f>
        <v>https://drive.google.com/open?id=1yW-xpepQVwiCMkNuqsgGvt74qKTyQXq_</v>
      </c>
      <c r="L743" s="9"/>
      <c r="M743" s="9" t="str">
        <f ca="1">IFERROR(__xludf.DUMMYFUNCTION("""COMPUTED_VALUE"""),"S4: Student Certifications")</f>
        <v>S4: Student Certifications</v>
      </c>
      <c r="N743" s="9" t="str">
        <f ca="1">IFERROR(__xludf.DUMMYFUNCTION("""COMPUTED_VALUE"""),"manikantakillana22@gmail.com")</f>
        <v>manikantakillana22@gmail.com</v>
      </c>
      <c r="O743" s="9" t="str">
        <f ca="1">IFERROR(__xludf.DUMMYFUNCTION("""COMPUTED_VALUE"""),"SEM-4")</f>
        <v>SEM-4</v>
      </c>
      <c r="P743" s="9"/>
      <c r="Q743" s="9"/>
      <c r="R743" s="9"/>
      <c r="S743" s="9"/>
      <c r="T743" s="9"/>
      <c r="U743" s="9"/>
      <c r="V743" s="9"/>
      <c r="W743" s="9"/>
      <c r="X743" s="9"/>
      <c r="Y743" s="9"/>
    </row>
    <row r="744" spans="1:25" ht="26.25" customHeight="1" x14ac:dyDescent="0.15">
      <c r="A744" s="9" t="str">
        <f ca="1">IFERROR(__xludf.DUMMYFUNCTION("""COMPUTED_VALUE"""),"Killana Gayatri Venkata Manikanta")</f>
        <v>Killana Gayatri Venkata Manikanta</v>
      </c>
      <c r="B744" s="9" t="str">
        <f ca="1">IFERROR(__xludf.DUMMYFUNCTION("""COMPUTED_VALUE"""),"18331A0576")</f>
        <v>18331A0576</v>
      </c>
      <c r="C744" s="78" t="str">
        <f ca="1">IFERROR(__xludf.DUMMYFUNCTION("""COMPUTED_VALUE"""),"AI for Everyone")</f>
        <v>AI for Everyone</v>
      </c>
      <c r="D744" s="9" t="str">
        <f ca="1">IFERROR(__xludf.DUMMYFUNCTION("""COMPUTED_VALUE"""),"Coursera")</f>
        <v>Coursera</v>
      </c>
      <c r="E744" s="9" t="str">
        <f ca="1">IFERROR(__xludf.DUMMYFUNCTION("""COMPUTED_VALUE"""),"one month")</f>
        <v>one month</v>
      </c>
      <c r="F744" s="79">
        <f ca="1">IFERROR(__xludf.DUMMYFUNCTION("""COMPUTED_VALUE"""),43950)</f>
        <v>43950</v>
      </c>
      <c r="G744" s="79">
        <f ca="1">IFERROR(__xludf.DUMMYFUNCTION("""COMPUTED_VALUE"""),43980)</f>
        <v>43980</v>
      </c>
      <c r="H744" s="72"/>
      <c r="I744" s="80">
        <f ca="1">IFERROR(__xludf.DUMMYFUNCTION("""COMPUTED_VALUE"""),90)</f>
        <v>90</v>
      </c>
      <c r="J744" s="9"/>
      <c r="K744" s="73" t="str">
        <f ca="1">IFERROR(__xludf.DUMMYFUNCTION("""COMPUTED_VALUE"""),"https://drive.google.com/open?id=18mtx8Qh8QHls3niSfI1jM6LKdhvuuQeL")</f>
        <v>https://drive.google.com/open?id=18mtx8Qh8QHls3niSfI1jM6LKdhvuuQeL</v>
      </c>
      <c r="L744" s="9"/>
      <c r="M744" s="9" t="str">
        <f ca="1">IFERROR(__xludf.DUMMYFUNCTION("""COMPUTED_VALUE"""),"S4: Student Certifications")</f>
        <v>S4: Student Certifications</v>
      </c>
      <c r="N744" s="9" t="str">
        <f ca="1">IFERROR(__xludf.DUMMYFUNCTION("""COMPUTED_VALUE"""),"manikantakillana22@gmail.com")</f>
        <v>manikantakillana22@gmail.com</v>
      </c>
      <c r="O744" s="9" t="str">
        <f ca="1">IFERROR(__xludf.DUMMYFUNCTION("""COMPUTED_VALUE"""),"SEM-4")</f>
        <v>SEM-4</v>
      </c>
      <c r="P744" s="9"/>
      <c r="Q744" s="9"/>
      <c r="R744" s="9"/>
      <c r="S744" s="9"/>
      <c r="T744" s="9"/>
      <c r="U744" s="9"/>
      <c r="V744" s="9"/>
      <c r="W744" s="9"/>
      <c r="X744" s="9"/>
      <c r="Y744" s="9"/>
    </row>
    <row r="745" spans="1:25" ht="26.25" customHeight="1" x14ac:dyDescent="0.15">
      <c r="A745" s="9" t="str">
        <f ca="1">IFERROR(__xludf.DUMMYFUNCTION("""COMPUTED_VALUE"""),"Jaswanth Vajrapu")</f>
        <v>Jaswanth Vajrapu</v>
      </c>
      <c r="B745" s="9" t="str">
        <f ca="1">IFERROR(__xludf.DUMMYFUNCTION("""COMPUTED_VALUE"""),"18331A05G5")</f>
        <v>18331A05G5</v>
      </c>
      <c r="C745" s="78" t="str">
        <f ca="1">IFERROR(__xludf.DUMMYFUNCTION("""COMPUTED_VALUE"""),"NDG Linux Essentials")</f>
        <v>NDG Linux Essentials</v>
      </c>
      <c r="D745" s="9" t="str">
        <f ca="1">IFERROR(__xludf.DUMMYFUNCTION("""COMPUTED_VALUE"""),"CISCO")</f>
        <v>CISCO</v>
      </c>
      <c r="E745" s="9" t="str">
        <f ca="1">IFERROR(__xludf.DUMMYFUNCTION("""COMPUTED_VALUE"""),"3 weeks")</f>
        <v>3 weeks</v>
      </c>
      <c r="F745" s="79">
        <f ca="1">IFERROR(__xludf.DUMMYFUNCTION("""COMPUTED_VALUE"""),44056)</f>
        <v>44056</v>
      </c>
      <c r="G745" s="79">
        <f ca="1">IFERROR(__xludf.DUMMYFUNCTION("""COMPUTED_VALUE"""),44070)</f>
        <v>44070</v>
      </c>
      <c r="H745" s="72"/>
      <c r="I745" s="80">
        <f ca="1">IFERROR(__xludf.DUMMYFUNCTION("""COMPUTED_VALUE"""),100)</f>
        <v>100</v>
      </c>
      <c r="J745" s="9"/>
      <c r="K745" s="73" t="str">
        <f ca="1">IFERROR(__xludf.DUMMYFUNCTION("""COMPUTED_VALUE"""),"https://drive.google.com/open?id=1msBWVmdG51966EXk0B4Mv4FHLbIxwHRY")</f>
        <v>https://drive.google.com/open?id=1msBWVmdG51966EXk0B4Mv4FHLbIxwHRY</v>
      </c>
      <c r="L745" s="9"/>
      <c r="M745" s="9" t="str">
        <f ca="1">IFERROR(__xludf.DUMMYFUNCTION("""COMPUTED_VALUE"""),"S4: Student Certifications")</f>
        <v>S4: Student Certifications</v>
      </c>
      <c r="N745" s="9" t="str">
        <f ca="1">IFERROR(__xludf.DUMMYFUNCTION("""COMPUTED_VALUE"""),"jaswanth.vjp13@gmail.com")</f>
        <v>jaswanth.vjp13@gmail.com</v>
      </c>
      <c r="O745" s="9" t="str">
        <f ca="1">IFERROR(__xludf.DUMMYFUNCTION("""COMPUTED_VALUE"""),"SEM-4")</f>
        <v>SEM-4</v>
      </c>
      <c r="P745" s="9"/>
      <c r="Q745" s="9"/>
      <c r="R745" s="9"/>
      <c r="S745" s="9"/>
      <c r="T745" s="9"/>
      <c r="U745" s="9"/>
      <c r="V745" s="9"/>
      <c r="W745" s="9"/>
      <c r="X745" s="9"/>
      <c r="Y745" s="9"/>
    </row>
    <row r="746" spans="1:25" ht="26.25" customHeight="1" x14ac:dyDescent="0.15">
      <c r="A746" s="9" t="str">
        <f ca="1">IFERROR(__xludf.DUMMYFUNCTION("""COMPUTED_VALUE"""),"CAROLINE CHRISTY THANDU")</f>
        <v>CAROLINE CHRISTY THANDU</v>
      </c>
      <c r="B746" s="9" t="str">
        <f ca="1">IFERROR(__xludf.DUMMYFUNCTION("""COMPUTED_VALUE"""),"18331A05F4")</f>
        <v>18331A05F4</v>
      </c>
      <c r="C746" s="78" t="str">
        <f ca="1">IFERROR(__xludf.DUMMYFUNCTION("""COMPUTED_VALUE"""),"DEEP LEARNING")</f>
        <v>DEEP LEARNING</v>
      </c>
      <c r="D746" s="9" t="str">
        <f ca="1">IFERROR(__xludf.DUMMYFUNCTION("""COMPUTED_VALUE"""),"COURSERA")</f>
        <v>COURSERA</v>
      </c>
      <c r="E746" s="9" t="str">
        <f ca="1">IFERROR(__xludf.DUMMYFUNCTION("""COMPUTED_VALUE"""),"1 MONTH")</f>
        <v>1 MONTH</v>
      </c>
      <c r="F746" s="79">
        <f ca="1">IFERROR(__xludf.DUMMYFUNCTION("""COMPUTED_VALUE"""),43983)</f>
        <v>43983</v>
      </c>
      <c r="G746" s="79">
        <f ca="1">IFERROR(__xludf.DUMMYFUNCTION("""COMPUTED_VALUE"""),44013)</f>
        <v>44013</v>
      </c>
      <c r="H746" s="72"/>
      <c r="I746" s="80">
        <f ca="1">IFERROR(__xludf.DUMMYFUNCTION("""COMPUTED_VALUE"""),100)</f>
        <v>100</v>
      </c>
      <c r="J746" s="9"/>
      <c r="K746" s="73" t="str">
        <f ca="1">IFERROR(__xludf.DUMMYFUNCTION("""COMPUTED_VALUE"""),"https://drive.google.com/open?id=112veMJq0xzh0LinE6l_JRL7s4NSz_v9u")</f>
        <v>https://drive.google.com/open?id=112veMJq0xzh0LinE6l_JRL7s4NSz_v9u</v>
      </c>
      <c r="L746" s="9"/>
      <c r="M746" s="9" t="str">
        <f ca="1">IFERROR(__xludf.DUMMYFUNCTION("""COMPUTED_VALUE"""),"S4: Student Certifications")</f>
        <v>S4: Student Certifications</v>
      </c>
      <c r="N746" s="9" t="str">
        <f ca="1">IFERROR(__xludf.DUMMYFUNCTION("""COMPUTED_VALUE"""),"thanducarolinechristy@gmail.com")</f>
        <v>thanducarolinechristy@gmail.com</v>
      </c>
      <c r="O746" s="9" t="str">
        <f ca="1">IFERROR(__xludf.DUMMYFUNCTION("""COMPUTED_VALUE"""),"SEM-5")</f>
        <v>SEM-5</v>
      </c>
      <c r="P746" s="9"/>
      <c r="Q746" s="9"/>
      <c r="R746" s="9"/>
      <c r="S746" s="9"/>
      <c r="T746" s="9"/>
      <c r="U746" s="9"/>
      <c r="V746" s="9"/>
      <c r="W746" s="9"/>
      <c r="X746" s="9"/>
      <c r="Y746" s="9"/>
    </row>
    <row r="747" spans="1:25" ht="26.25" customHeight="1" x14ac:dyDescent="0.15">
      <c r="A747" s="9" t="str">
        <f ca="1">IFERROR(__xludf.DUMMYFUNCTION("""COMPUTED_VALUE"""),"CAROLINE CHRISTY THANDU")</f>
        <v>CAROLINE CHRISTY THANDU</v>
      </c>
      <c r="B747" s="9" t="str">
        <f ca="1">IFERROR(__xludf.DUMMYFUNCTION("""COMPUTED_VALUE"""),"18331A05F4")</f>
        <v>18331A05F4</v>
      </c>
      <c r="C747" s="78" t="str">
        <f ca="1">IFERROR(__xludf.DUMMYFUNCTION("""COMPUTED_VALUE"""),"IBM-DATA SCIENCE")</f>
        <v>IBM-DATA SCIENCE</v>
      </c>
      <c r="D747" s="9" t="str">
        <f ca="1">IFERROR(__xludf.DUMMYFUNCTION("""COMPUTED_VALUE"""),"COURSERA")</f>
        <v>COURSERA</v>
      </c>
      <c r="E747" s="9" t="str">
        <f ca="1">IFERROR(__xludf.DUMMYFUNCTION("""COMPUTED_VALUE"""),"3 MONTHS")</f>
        <v>3 MONTHS</v>
      </c>
      <c r="F747" s="79">
        <f ca="1">IFERROR(__xludf.DUMMYFUNCTION("""COMPUTED_VALUE"""),43872)</f>
        <v>43872</v>
      </c>
      <c r="G747" s="79">
        <f ca="1">IFERROR(__xludf.DUMMYFUNCTION("""COMPUTED_VALUE"""),43962)</f>
        <v>43962</v>
      </c>
      <c r="H747" s="72"/>
      <c r="I747" s="80">
        <f ca="1">IFERROR(__xludf.DUMMYFUNCTION("""COMPUTED_VALUE"""),100)</f>
        <v>100</v>
      </c>
      <c r="J747" s="9"/>
      <c r="K747" s="73" t="str">
        <f ca="1">IFERROR(__xludf.DUMMYFUNCTION("""COMPUTED_VALUE"""),"https://drive.google.com/open?id=1GkJLAiWs5OCkGJFarEqQDBiY9ZkOQXz3")</f>
        <v>https://drive.google.com/open?id=1GkJLAiWs5OCkGJFarEqQDBiY9ZkOQXz3</v>
      </c>
      <c r="L747" s="9"/>
      <c r="M747" s="9" t="str">
        <f ca="1">IFERROR(__xludf.DUMMYFUNCTION("""COMPUTED_VALUE"""),"S4: Student Certifications")</f>
        <v>S4: Student Certifications</v>
      </c>
      <c r="N747" s="9" t="str">
        <f ca="1">IFERROR(__xludf.DUMMYFUNCTION("""COMPUTED_VALUE"""),"thanducarolinechristy@gmail.com")</f>
        <v>thanducarolinechristy@gmail.com</v>
      </c>
      <c r="O747" s="9" t="str">
        <f ca="1">IFERROR(__xludf.DUMMYFUNCTION("""COMPUTED_VALUE"""),"SEM-4")</f>
        <v>SEM-4</v>
      </c>
      <c r="P747" s="9"/>
      <c r="Q747" s="9"/>
      <c r="R747" s="9"/>
      <c r="S747" s="9"/>
      <c r="T747" s="9"/>
      <c r="U747" s="9"/>
      <c r="V747" s="9"/>
      <c r="W747" s="9"/>
      <c r="X747" s="9"/>
      <c r="Y747" s="9"/>
    </row>
    <row r="748" spans="1:25" ht="26.25" customHeight="1" x14ac:dyDescent="0.15">
      <c r="A748" s="9" t="str">
        <f ca="1">IFERROR(__xludf.DUMMYFUNCTION("""COMPUTED_VALUE"""),"CAROLINE CHRISTY THANDU")</f>
        <v>CAROLINE CHRISTY THANDU</v>
      </c>
      <c r="B748" s="9" t="str">
        <f ca="1">IFERROR(__xludf.DUMMYFUNCTION("""COMPUTED_VALUE"""),"18331A05F4")</f>
        <v>18331A05F4</v>
      </c>
      <c r="C748" s="78" t="str">
        <f ca="1">IFERROR(__xludf.DUMMYFUNCTION("""COMPUTED_VALUE"""),"INTRODUCTION OF HTML5")</f>
        <v>INTRODUCTION OF HTML5</v>
      </c>
      <c r="D748" s="9" t="str">
        <f ca="1">IFERROR(__xludf.DUMMYFUNCTION("""COMPUTED_VALUE"""),"COURSERA")</f>
        <v>COURSERA</v>
      </c>
      <c r="E748" s="9" t="str">
        <f ca="1">IFERROR(__xludf.DUMMYFUNCTION("""COMPUTED_VALUE"""),"1 MONTH")</f>
        <v>1 MONTH</v>
      </c>
      <c r="F748" s="79">
        <f ca="1">IFERROR(__xludf.DUMMYFUNCTION("""COMPUTED_VALUE"""),44334)</f>
        <v>44334</v>
      </c>
      <c r="G748" s="79">
        <f ca="1">IFERROR(__xludf.DUMMYFUNCTION("""COMPUTED_VALUE"""),44365)</f>
        <v>44365</v>
      </c>
      <c r="H748" s="72"/>
      <c r="I748" s="80">
        <f ca="1">IFERROR(__xludf.DUMMYFUNCTION("""COMPUTED_VALUE"""),100)</f>
        <v>100</v>
      </c>
      <c r="J748" s="9"/>
      <c r="K748" s="73" t="str">
        <f ca="1">IFERROR(__xludf.DUMMYFUNCTION("""COMPUTED_VALUE"""),"https://drive.google.com/open?id=1HbBOBFjpWwJUWbWeFISPsLGnbI5b-Rk6")</f>
        <v>https://drive.google.com/open?id=1HbBOBFjpWwJUWbWeFISPsLGnbI5b-Rk6</v>
      </c>
      <c r="L748" s="9"/>
      <c r="M748" s="9" t="str">
        <f ca="1">IFERROR(__xludf.DUMMYFUNCTION("""COMPUTED_VALUE"""),"S4: Student Certifications")</f>
        <v>S4: Student Certifications</v>
      </c>
      <c r="N748" s="9" t="str">
        <f ca="1">IFERROR(__xludf.DUMMYFUNCTION("""COMPUTED_VALUE"""),"thanducarolinechristy@gmail.com")</f>
        <v>thanducarolinechristy@gmail.com</v>
      </c>
      <c r="O748" s="9" t="str">
        <f ca="1">IFERROR(__xludf.DUMMYFUNCTION("""COMPUTED_VALUE"""),"SEM-4")</f>
        <v>SEM-4</v>
      </c>
      <c r="P748" s="9"/>
      <c r="Q748" s="9"/>
      <c r="R748" s="9"/>
      <c r="S748" s="9"/>
      <c r="T748" s="9"/>
      <c r="U748" s="9"/>
      <c r="V748" s="9"/>
      <c r="W748" s="9"/>
      <c r="X748" s="9"/>
      <c r="Y748" s="9"/>
    </row>
    <row r="749" spans="1:25" ht="26.25" customHeight="1" x14ac:dyDescent="0.15">
      <c r="A749" s="9" t="str">
        <f ca="1">IFERROR(__xludf.DUMMYFUNCTION("""COMPUTED_VALUE"""),"Chaitra Mudili")</f>
        <v>Chaitra Mudili</v>
      </c>
      <c r="B749" s="9" t="str">
        <f ca="1">IFERROR(__xludf.DUMMYFUNCTION("""COMPUTED_VALUE"""),"18331A05A0")</f>
        <v>18331A05A0</v>
      </c>
      <c r="C749" s="78" t="str">
        <f ca="1">IFERROR(__xludf.DUMMYFUNCTION("""COMPUTED_VALUE"""),"Introduction to Programming with MATLAB")</f>
        <v>Introduction to Programming with MATLAB</v>
      </c>
      <c r="D749" s="9" t="str">
        <f ca="1">IFERROR(__xludf.DUMMYFUNCTION("""COMPUTED_VALUE"""),"Coursera")</f>
        <v>Coursera</v>
      </c>
      <c r="E749" s="9" t="str">
        <f ca="1">IFERROR(__xludf.DUMMYFUNCTION("""COMPUTED_VALUE"""),"9 weeks")</f>
        <v>9 weeks</v>
      </c>
      <c r="F749" s="79">
        <f ca="1">IFERROR(__xludf.DUMMYFUNCTION("""COMPUTED_VALUE"""),44060)</f>
        <v>44060</v>
      </c>
      <c r="G749" s="79">
        <f ca="1">IFERROR(__xludf.DUMMYFUNCTION("""COMPUTED_VALUE"""),44127)</f>
        <v>44127</v>
      </c>
      <c r="H749" s="72"/>
      <c r="I749" s="80">
        <f ca="1">IFERROR(__xludf.DUMMYFUNCTION("""COMPUTED_VALUE"""),100)</f>
        <v>100</v>
      </c>
      <c r="J749" s="9"/>
      <c r="K749" s="73" t="str">
        <f ca="1">IFERROR(__xludf.DUMMYFUNCTION("""COMPUTED_VALUE"""),"https://drive.google.com/open?id=192CUUib81oebiH3Uwg1EQpKZbzFPu8ch")</f>
        <v>https://drive.google.com/open?id=192CUUib81oebiH3Uwg1EQpKZbzFPu8ch</v>
      </c>
      <c r="L749" s="9"/>
      <c r="M749" s="9" t="str">
        <f ca="1">IFERROR(__xludf.DUMMYFUNCTION("""COMPUTED_VALUE"""),"S4: Student Certifications")</f>
        <v>S4: Student Certifications</v>
      </c>
      <c r="N749" s="9" t="str">
        <f ca="1">IFERROR(__xludf.DUMMYFUNCTION("""COMPUTED_VALUE"""),"chaitra2026@gmail.com")</f>
        <v>chaitra2026@gmail.com</v>
      </c>
      <c r="O749" s="9" t="str">
        <f ca="1">IFERROR(__xludf.DUMMYFUNCTION("""COMPUTED_VALUE"""),"SEM-4")</f>
        <v>SEM-4</v>
      </c>
      <c r="P749" s="9"/>
      <c r="Q749" s="9"/>
      <c r="R749" s="9"/>
      <c r="S749" s="9"/>
      <c r="T749" s="9"/>
      <c r="U749" s="9"/>
      <c r="V749" s="9"/>
      <c r="W749" s="9"/>
      <c r="X749" s="9"/>
      <c r="Y749" s="9"/>
    </row>
    <row r="750" spans="1:25" ht="26.25" customHeight="1" x14ac:dyDescent="0.15">
      <c r="A750" s="9" t="str">
        <f ca="1">IFERROR(__xludf.DUMMYFUNCTION("""COMPUTED_VALUE"""),"Chaitra Mudili")</f>
        <v>Chaitra Mudili</v>
      </c>
      <c r="B750" s="9" t="str">
        <f ca="1">IFERROR(__xludf.DUMMYFUNCTION("""COMPUTED_VALUE"""),"18331A05A0")</f>
        <v>18331A05A0</v>
      </c>
      <c r="C750" s="78" t="str">
        <f ca="1">IFERROR(__xludf.DUMMYFUNCTION("""COMPUTED_VALUE"""),"AI For Everyone")</f>
        <v>AI For Everyone</v>
      </c>
      <c r="D750" s="9" t="str">
        <f ca="1">IFERROR(__xludf.DUMMYFUNCTION("""COMPUTED_VALUE"""),"Coursera | DeepLearning.AI")</f>
        <v>Coursera | DeepLearning.AI</v>
      </c>
      <c r="E750" s="9" t="str">
        <f ca="1">IFERROR(__xludf.DUMMYFUNCTION("""COMPUTED_VALUE"""),"4 weeks")</f>
        <v>4 weeks</v>
      </c>
      <c r="F750" s="79">
        <f ca="1">IFERROR(__xludf.DUMMYFUNCTION("""COMPUTED_VALUE"""),43866)</f>
        <v>43866</v>
      </c>
      <c r="G750" s="79">
        <f ca="1">IFERROR(__xludf.DUMMYFUNCTION("""COMPUTED_VALUE"""),43895)</f>
        <v>43895</v>
      </c>
      <c r="H750" s="72"/>
      <c r="I750" s="80">
        <f ca="1">IFERROR(__xludf.DUMMYFUNCTION("""COMPUTED_VALUE"""),100)</f>
        <v>100</v>
      </c>
      <c r="J750" s="9"/>
      <c r="K750" s="73" t="str">
        <f ca="1">IFERROR(__xludf.DUMMYFUNCTION("""COMPUTED_VALUE"""),"https://drive.google.com/open?id=1K2pP69l4IZpEayf9v7vG7Bc3FFkps-Bh")</f>
        <v>https://drive.google.com/open?id=1K2pP69l4IZpEayf9v7vG7Bc3FFkps-Bh</v>
      </c>
      <c r="L750" s="9"/>
      <c r="M750" s="9" t="str">
        <f ca="1">IFERROR(__xludf.DUMMYFUNCTION("""COMPUTED_VALUE"""),"S4: Student Certifications")</f>
        <v>S4: Student Certifications</v>
      </c>
      <c r="N750" s="9" t="str">
        <f ca="1">IFERROR(__xludf.DUMMYFUNCTION("""COMPUTED_VALUE"""),"chaitra2026@gmail.com")</f>
        <v>chaitra2026@gmail.com</v>
      </c>
      <c r="O750" s="9" t="str">
        <f ca="1">IFERROR(__xludf.DUMMYFUNCTION("""COMPUTED_VALUE"""),"SEM-4")</f>
        <v>SEM-4</v>
      </c>
      <c r="P750" s="9"/>
      <c r="Q750" s="9"/>
      <c r="R750" s="9"/>
      <c r="S750" s="9"/>
      <c r="T750" s="9"/>
      <c r="U750" s="9"/>
      <c r="V750" s="9"/>
      <c r="W750" s="9"/>
      <c r="X750" s="9"/>
      <c r="Y750" s="9"/>
    </row>
    <row r="751" spans="1:25" ht="26.25" customHeight="1" x14ac:dyDescent="0.15">
      <c r="A751" s="9" t="str">
        <f ca="1">IFERROR(__xludf.DUMMYFUNCTION("""COMPUTED_VALUE"""),"Chaitra Mudili")</f>
        <v>Chaitra Mudili</v>
      </c>
      <c r="B751" s="9" t="str">
        <f ca="1">IFERROR(__xludf.DUMMYFUNCTION("""COMPUTED_VALUE"""),"18331A05A0")</f>
        <v>18331A05A0</v>
      </c>
      <c r="C751" s="78" t="str">
        <f ca="1">IFERROR(__xludf.DUMMYFUNCTION("""COMPUTED_VALUE"""),"Sharpened Visions: A Poetry Workshop")</f>
        <v>Sharpened Visions: A Poetry Workshop</v>
      </c>
      <c r="D751" s="9" t="str">
        <f ca="1">IFERROR(__xludf.DUMMYFUNCTION("""COMPUTED_VALUE"""),"Coursera | California Institute of the Arts")</f>
        <v>Coursera | California Institute of the Arts</v>
      </c>
      <c r="E751" s="9" t="str">
        <f ca="1">IFERROR(__xludf.DUMMYFUNCTION("""COMPUTED_VALUE"""),"6 weeks")</f>
        <v>6 weeks</v>
      </c>
      <c r="F751" s="79">
        <f ca="1">IFERROR(__xludf.DUMMYFUNCTION("""COMPUTED_VALUE"""),43913)</f>
        <v>43913</v>
      </c>
      <c r="G751" s="79">
        <f ca="1">IFERROR(__xludf.DUMMYFUNCTION("""COMPUTED_VALUE"""),43957)</f>
        <v>43957</v>
      </c>
      <c r="H751" s="72"/>
      <c r="I751" s="80">
        <f ca="1">IFERROR(__xludf.DUMMYFUNCTION("""COMPUTED_VALUE"""),100)</f>
        <v>100</v>
      </c>
      <c r="J751" s="9"/>
      <c r="K751" s="73" t="str">
        <f ca="1">IFERROR(__xludf.DUMMYFUNCTION("""COMPUTED_VALUE"""),"https://drive.google.com/open?id=1wePIJtkTPBZxuduivAe0mSpK9IJ6_eEh")</f>
        <v>https://drive.google.com/open?id=1wePIJtkTPBZxuduivAe0mSpK9IJ6_eEh</v>
      </c>
      <c r="L751" s="9"/>
      <c r="M751" s="9" t="str">
        <f ca="1">IFERROR(__xludf.DUMMYFUNCTION("""COMPUTED_VALUE"""),"S4: Student Certifications")</f>
        <v>S4: Student Certifications</v>
      </c>
      <c r="N751" s="9" t="str">
        <f ca="1">IFERROR(__xludf.DUMMYFUNCTION("""COMPUTED_VALUE"""),"chaitra2026@gmail.com")</f>
        <v>chaitra2026@gmail.com</v>
      </c>
      <c r="O751" s="9" t="str">
        <f ca="1">IFERROR(__xludf.DUMMYFUNCTION("""COMPUTED_VALUE"""),"SEM-4")</f>
        <v>SEM-4</v>
      </c>
      <c r="P751" s="9"/>
      <c r="Q751" s="9"/>
      <c r="R751" s="9"/>
      <c r="S751" s="9"/>
      <c r="T751" s="9"/>
      <c r="U751" s="9"/>
      <c r="V751" s="9"/>
      <c r="W751" s="9"/>
      <c r="X751" s="9"/>
      <c r="Y751" s="9"/>
    </row>
    <row r="752" spans="1:25" ht="26.25" customHeight="1" x14ac:dyDescent="0.15">
      <c r="A752" s="9" t="str">
        <f ca="1">IFERROR(__xludf.DUMMYFUNCTION("""COMPUTED_VALUE"""),"Chaitra Mudili")</f>
        <v>Chaitra Mudili</v>
      </c>
      <c r="B752" s="9" t="str">
        <f ca="1">IFERROR(__xludf.DUMMYFUNCTION("""COMPUTED_VALUE"""),"18331A05A0")</f>
        <v>18331A05A0</v>
      </c>
      <c r="C752" s="78" t="str">
        <f ca="1">IFERROR(__xludf.DUMMYFUNCTION("""COMPUTED_VALUE"""),"Programming for Everybody (Getting Started with Python)")</f>
        <v>Programming for Everybody (Getting Started with Python)</v>
      </c>
      <c r="D752" s="9" t="str">
        <f ca="1">IFERROR(__xludf.DUMMYFUNCTION("""COMPUTED_VALUE"""),"Coursera | University of Michigan")</f>
        <v>Coursera | University of Michigan</v>
      </c>
      <c r="E752" s="9" t="str">
        <f ca="1">IFERROR(__xludf.DUMMYFUNCTION("""COMPUTED_VALUE"""),"7 weeks")</f>
        <v>7 weeks</v>
      </c>
      <c r="F752" s="79">
        <f ca="1">IFERROR(__xludf.DUMMYFUNCTION("""COMPUTED_VALUE"""),43891)</f>
        <v>43891</v>
      </c>
      <c r="G752" s="79">
        <f ca="1">IFERROR(__xludf.DUMMYFUNCTION("""COMPUTED_VALUE"""),43952)</f>
        <v>43952</v>
      </c>
      <c r="H752" s="72"/>
      <c r="I752" s="80">
        <f ca="1">IFERROR(__xludf.DUMMYFUNCTION("""COMPUTED_VALUE"""),100)</f>
        <v>100</v>
      </c>
      <c r="J752" s="9"/>
      <c r="K752" s="73" t="str">
        <f ca="1">IFERROR(__xludf.DUMMYFUNCTION("""COMPUTED_VALUE"""),"https://drive.google.com/open?id=1OMYU9aO2e5oGVHpE80UbbKtuVvO-SPuR")</f>
        <v>https://drive.google.com/open?id=1OMYU9aO2e5oGVHpE80UbbKtuVvO-SPuR</v>
      </c>
      <c r="L752" s="9"/>
      <c r="M752" s="9" t="str">
        <f ca="1">IFERROR(__xludf.DUMMYFUNCTION("""COMPUTED_VALUE"""),"S4: Student Certifications")</f>
        <v>S4: Student Certifications</v>
      </c>
      <c r="N752" s="9" t="str">
        <f ca="1">IFERROR(__xludf.DUMMYFUNCTION("""COMPUTED_VALUE"""),"chaitra2026@gmail.com")</f>
        <v>chaitra2026@gmail.com</v>
      </c>
      <c r="O752" s="9" t="str">
        <f ca="1">IFERROR(__xludf.DUMMYFUNCTION("""COMPUTED_VALUE"""),"SEM-4")</f>
        <v>SEM-4</v>
      </c>
      <c r="P752" s="9"/>
      <c r="Q752" s="9"/>
      <c r="R752" s="9"/>
      <c r="S752" s="9"/>
      <c r="T752" s="9"/>
      <c r="U752" s="9"/>
      <c r="V752" s="9"/>
      <c r="W752" s="9"/>
      <c r="X752" s="9"/>
      <c r="Y752" s="9"/>
    </row>
    <row r="753" spans="1:25" ht="26.25" customHeight="1" x14ac:dyDescent="0.15">
      <c r="A753" s="9" t="str">
        <f ca="1">IFERROR(__xludf.DUMMYFUNCTION("""COMPUTED_VALUE"""),"Chaitra Mudili")</f>
        <v>Chaitra Mudili</v>
      </c>
      <c r="B753" s="9" t="str">
        <f ca="1">IFERROR(__xludf.DUMMYFUNCTION("""COMPUTED_VALUE"""),"18331A05A0")</f>
        <v>18331A05A0</v>
      </c>
      <c r="C753" s="78" t="str">
        <f ca="1">IFERROR(__xludf.DUMMYFUNCTION("""COMPUTED_VALUE"""),"Python Data Structures")</f>
        <v>Python Data Structures</v>
      </c>
      <c r="D753" s="9" t="str">
        <f ca="1">IFERROR(__xludf.DUMMYFUNCTION("""COMPUTED_VALUE"""),"Coursera | University of Michigan")</f>
        <v>Coursera | University of Michigan</v>
      </c>
      <c r="E753" s="9" t="str">
        <f ca="1">IFERROR(__xludf.DUMMYFUNCTION("""COMPUTED_VALUE"""),"8 weeks")</f>
        <v>8 weeks</v>
      </c>
      <c r="F753" s="79">
        <f ca="1">IFERROR(__xludf.DUMMYFUNCTION("""COMPUTED_VALUE"""),43891)</f>
        <v>43891</v>
      </c>
      <c r="G753" s="79">
        <f ca="1">IFERROR(__xludf.DUMMYFUNCTION("""COMPUTED_VALUE"""),43952)</f>
        <v>43952</v>
      </c>
      <c r="H753" s="72"/>
      <c r="I753" s="80">
        <f ca="1">IFERROR(__xludf.DUMMYFUNCTION("""COMPUTED_VALUE"""),100)</f>
        <v>100</v>
      </c>
      <c r="J753" s="9"/>
      <c r="K753" s="73" t="str">
        <f ca="1">IFERROR(__xludf.DUMMYFUNCTION("""COMPUTED_VALUE"""),"https://drive.google.com/open?id=1Siem2AsY6JCok9s2uwpBm_bmhUkH5mib")</f>
        <v>https://drive.google.com/open?id=1Siem2AsY6JCok9s2uwpBm_bmhUkH5mib</v>
      </c>
      <c r="L753" s="9"/>
      <c r="M753" s="9" t="str">
        <f ca="1">IFERROR(__xludf.DUMMYFUNCTION("""COMPUTED_VALUE"""),"S4: Student Certifications")</f>
        <v>S4: Student Certifications</v>
      </c>
      <c r="N753" s="9" t="str">
        <f ca="1">IFERROR(__xludf.DUMMYFUNCTION("""COMPUTED_VALUE"""),"chaitra2026@gmail.com")</f>
        <v>chaitra2026@gmail.com</v>
      </c>
      <c r="O753" s="9" t="str">
        <f ca="1">IFERROR(__xludf.DUMMYFUNCTION("""COMPUTED_VALUE"""),"SEM-4")</f>
        <v>SEM-4</v>
      </c>
      <c r="P753" s="9"/>
      <c r="Q753" s="9"/>
      <c r="R753" s="9"/>
      <c r="S753" s="9"/>
      <c r="T753" s="9"/>
      <c r="U753" s="9"/>
      <c r="V753" s="9"/>
      <c r="W753" s="9"/>
      <c r="X753" s="9"/>
      <c r="Y753" s="9"/>
    </row>
    <row r="754" spans="1:25" ht="26.25" customHeight="1" x14ac:dyDescent="0.15">
      <c r="A754" s="9" t="str">
        <f ca="1">IFERROR(__xludf.DUMMYFUNCTION("""COMPUTED_VALUE"""),"Chaitra Mudili")</f>
        <v>Chaitra Mudili</v>
      </c>
      <c r="B754" s="9" t="str">
        <f ca="1">IFERROR(__xludf.DUMMYFUNCTION("""COMPUTED_VALUE"""),"18331A05A0")</f>
        <v>18331A05A0</v>
      </c>
      <c r="C754" s="78" t="str">
        <f ca="1">IFERROR(__xludf.DUMMYFUNCTION("""COMPUTED_VALUE"""),"Using Python to Access Web Data")</f>
        <v>Using Python to Access Web Data</v>
      </c>
      <c r="D754" s="9" t="str">
        <f ca="1">IFERROR(__xludf.DUMMYFUNCTION("""COMPUTED_VALUE"""),"Coursera | University of Michigan")</f>
        <v>Coursera | University of Michigan</v>
      </c>
      <c r="E754" s="9" t="str">
        <f ca="1">IFERROR(__xludf.DUMMYFUNCTION("""COMPUTED_VALUE"""),"8 weeks")</f>
        <v>8 weeks</v>
      </c>
      <c r="F754" s="79">
        <f ca="1">IFERROR(__xludf.DUMMYFUNCTION("""COMPUTED_VALUE"""),43891)</f>
        <v>43891</v>
      </c>
      <c r="G754" s="79">
        <f ca="1">IFERROR(__xludf.DUMMYFUNCTION("""COMPUTED_VALUE"""),43952)</f>
        <v>43952</v>
      </c>
      <c r="H754" s="72"/>
      <c r="I754" s="80">
        <f ca="1">IFERROR(__xludf.DUMMYFUNCTION("""COMPUTED_VALUE"""),100)</f>
        <v>100</v>
      </c>
      <c r="J754" s="9"/>
      <c r="K754" s="73" t="str">
        <f ca="1">IFERROR(__xludf.DUMMYFUNCTION("""COMPUTED_VALUE"""),"https://drive.google.com/open?id=14dCAhb9W-sYw6z5Dnv2tUAUHwKPQNhfT")</f>
        <v>https://drive.google.com/open?id=14dCAhb9W-sYw6z5Dnv2tUAUHwKPQNhfT</v>
      </c>
      <c r="L754" s="9"/>
      <c r="M754" s="9" t="str">
        <f ca="1">IFERROR(__xludf.DUMMYFUNCTION("""COMPUTED_VALUE"""),"S4: Student Certifications")</f>
        <v>S4: Student Certifications</v>
      </c>
      <c r="N754" s="9" t="str">
        <f ca="1">IFERROR(__xludf.DUMMYFUNCTION("""COMPUTED_VALUE"""),"chaitra2026@gmail.com")</f>
        <v>chaitra2026@gmail.com</v>
      </c>
      <c r="O754" s="9" t="str">
        <f ca="1">IFERROR(__xludf.DUMMYFUNCTION("""COMPUTED_VALUE"""),"SEM-4")</f>
        <v>SEM-4</v>
      </c>
      <c r="P754" s="9"/>
      <c r="Q754" s="9"/>
      <c r="R754" s="9"/>
      <c r="S754" s="9"/>
      <c r="T754" s="9"/>
      <c r="U754" s="9"/>
      <c r="V754" s="9"/>
      <c r="W754" s="9"/>
      <c r="X754" s="9"/>
      <c r="Y754" s="9"/>
    </row>
    <row r="755" spans="1:25" ht="26.25" customHeight="1" x14ac:dyDescent="0.15">
      <c r="A755" s="9" t="str">
        <f ca="1">IFERROR(__xludf.DUMMYFUNCTION("""COMPUTED_VALUE"""),"Chaitra Mudili")</f>
        <v>Chaitra Mudili</v>
      </c>
      <c r="B755" s="9" t="str">
        <f ca="1">IFERROR(__xludf.DUMMYFUNCTION("""COMPUTED_VALUE"""),"18331A05A0")</f>
        <v>18331A05A0</v>
      </c>
      <c r="C755" s="78" t="str">
        <f ca="1">IFERROR(__xludf.DUMMYFUNCTION("""COMPUTED_VALUE"""),"Using Databases with Python")</f>
        <v>Using Databases with Python</v>
      </c>
      <c r="D755" s="9" t="str">
        <f ca="1">IFERROR(__xludf.DUMMYFUNCTION("""COMPUTED_VALUE"""),"Coursera | University of Michigan")</f>
        <v>Coursera | University of Michigan</v>
      </c>
      <c r="E755" s="9" t="str">
        <f ca="1">IFERROR(__xludf.DUMMYFUNCTION("""COMPUTED_VALUE"""),"8 weeks")</f>
        <v>8 weeks</v>
      </c>
      <c r="F755" s="79">
        <f ca="1">IFERROR(__xludf.DUMMYFUNCTION("""COMPUTED_VALUE"""),43891)</f>
        <v>43891</v>
      </c>
      <c r="G755" s="79">
        <f ca="1">IFERROR(__xludf.DUMMYFUNCTION("""COMPUTED_VALUE"""),43952)</f>
        <v>43952</v>
      </c>
      <c r="H755" s="72"/>
      <c r="I755" s="80">
        <f ca="1">IFERROR(__xludf.DUMMYFUNCTION("""COMPUTED_VALUE"""),100)</f>
        <v>100</v>
      </c>
      <c r="J755" s="9"/>
      <c r="K755" s="73" t="str">
        <f ca="1">IFERROR(__xludf.DUMMYFUNCTION("""COMPUTED_VALUE"""),"https://drive.google.com/open?id=1gvIeJBmIWboglyfy7muQNi943qgd3l6N")</f>
        <v>https://drive.google.com/open?id=1gvIeJBmIWboglyfy7muQNi943qgd3l6N</v>
      </c>
      <c r="L755" s="9"/>
      <c r="M755" s="9" t="str">
        <f ca="1">IFERROR(__xludf.DUMMYFUNCTION("""COMPUTED_VALUE"""),"S4: Student Certifications")</f>
        <v>S4: Student Certifications</v>
      </c>
      <c r="N755" s="9" t="str">
        <f ca="1">IFERROR(__xludf.DUMMYFUNCTION("""COMPUTED_VALUE"""),"chaitra2026@gmail.com")</f>
        <v>chaitra2026@gmail.com</v>
      </c>
      <c r="O755" s="9" t="str">
        <f ca="1">IFERROR(__xludf.DUMMYFUNCTION("""COMPUTED_VALUE"""),"SEM-4")</f>
        <v>SEM-4</v>
      </c>
      <c r="P755" s="9"/>
      <c r="Q755" s="9"/>
      <c r="R755" s="9"/>
      <c r="S755" s="9"/>
      <c r="T755" s="9"/>
      <c r="U755" s="9"/>
      <c r="V755" s="9"/>
      <c r="W755" s="9"/>
      <c r="X755" s="9"/>
      <c r="Y755" s="9"/>
    </row>
    <row r="756" spans="1:25" ht="26.25" customHeight="1" x14ac:dyDescent="0.15">
      <c r="A756" s="9" t="str">
        <f ca="1">IFERROR(__xludf.DUMMYFUNCTION("""COMPUTED_VALUE"""),"Chaitra Mudili")</f>
        <v>Chaitra Mudili</v>
      </c>
      <c r="B756" s="9" t="str">
        <f ca="1">IFERROR(__xludf.DUMMYFUNCTION("""COMPUTED_VALUE"""),"18331A05A0")</f>
        <v>18331A05A0</v>
      </c>
      <c r="C756" s="78" t="str">
        <f ca="1">IFERROR(__xludf.DUMMYFUNCTION("""COMPUTED_VALUE"""),"Capstone: Retrieving, Processing, and Visualizing Data with Python")</f>
        <v>Capstone: Retrieving, Processing, and Visualizing Data with Python</v>
      </c>
      <c r="D756" s="9" t="str">
        <f ca="1">IFERROR(__xludf.DUMMYFUNCTION("""COMPUTED_VALUE"""),"Coursera | University of Michigan")</f>
        <v>Coursera | University of Michigan</v>
      </c>
      <c r="E756" s="9" t="str">
        <f ca="1">IFERROR(__xludf.DUMMYFUNCTION("""COMPUTED_VALUE"""),"8 weeks")</f>
        <v>8 weeks</v>
      </c>
      <c r="F756" s="79">
        <f ca="1">IFERROR(__xludf.DUMMYFUNCTION("""COMPUTED_VALUE"""),43891)</f>
        <v>43891</v>
      </c>
      <c r="G756" s="79">
        <f ca="1">IFERROR(__xludf.DUMMYFUNCTION("""COMPUTED_VALUE"""),43952)</f>
        <v>43952</v>
      </c>
      <c r="H756" s="72"/>
      <c r="I756" s="80">
        <f ca="1">IFERROR(__xludf.DUMMYFUNCTION("""COMPUTED_VALUE"""),100)</f>
        <v>100</v>
      </c>
      <c r="J756" s="9"/>
      <c r="K756" s="73" t="str">
        <f ca="1">IFERROR(__xludf.DUMMYFUNCTION("""COMPUTED_VALUE"""),"https://drive.google.com/open?id=1l7KFUu-g2M5J8Qrkjw4GQKVPhWKr5RYW")</f>
        <v>https://drive.google.com/open?id=1l7KFUu-g2M5J8Qrkjw4GQKVPhWKr5RYW</v>
      </c>
      <c r="L756" s="9"/>
      <c r="M756" s="9" t="str">
        <f ca="1">IFERROR(__xludf.DUMMYFUNCTION("""COMPUTED_VALUE"""),"S4: Student Certifications")</f>
        <v>S4: Student Certifications</v>
      </c>
      <c r="N756" s="9" t="str">
        <f ca="1">IFERROR(__xludf.DUMMYFUNCTION("""COMPUTED_VALUE"""),"chaitra2026@gmail.com")</f>
        <v>chaitra2026@gmail.com</v>
      </c>
      <c r="O756" s="9" t="str">
        <f ca="1">IFERROR(__xludf.DUMMYFUNCTION("""COMPUTED_VALUE"""),"SEM-4")</f>
        <v>SEM-4</v>
      </c>
      <c r="P756" s="9"/>
      <c r="Q756" s="9"/>
      <c r="R756" s="9"/>
      <c r="S756" s="9"/>
      <c r="T756" s="9"/>
      <c r="U756" s="9"/>
      <c r="V756" s="9"/>
      <c r="W756" s="9"/>
      <c r="X756" s="9"/>
      <c r="Y756" s="9"/>
    </row>
    <row r="757" spans="1:25" ht="26.25" customHeight="1" x14ac:dyDescent="0.15">
      <c r="A757" s="9" t="str">
        <f ca="1">IFERROR(__xludf.DUMMYFUNCTION("""COMPUTED_VALUE"""),"Chaitra Mudili")</f>
        <v>Chaitra Mudili</v>
      </c>
      <c r="B757" s="9" t="str">
        <f ca="1">IFERROR(__xludf.DUMMYFUNCTION("""COMPUTED_VALUE"""),"18331A05A0")</f>
        <v>18331A05A0</v>
      </c>
      <c r="C757" s="78" t="str">
        <f ca="1">IFERROR(__xludf.DUMMYFUNCTION("""COMPUTED_VALUE"""),"Responsive Web Design")</f>
        <v>Responsive Web Design</v>
      </c>
      <c r="D757" s="9" t="str">
        <f ca="1">IFERROR(__xludf.DUMMYFUNCTION("""COMPUTED_VALUE"""),"Coursera | University of London")</f>
        <v>Coursera | University of London</v>
      </c>
      <c r="E757" s="9" t="str">
        <f ca="1">IFERROR(__xludf.DUMMYFUNCTION("""COMPUTED_VALUE"""),"8 weeks")</f>
        <v>8 weeks</v>
      </c>
      <c r="F757" s="79">
        <f ca="1">IFERROR(__xludf.DUMMYFUNCTION("""COMPUTED_VALUE"""),43922)</f>
        <v>43922</v>
      </c>
      <c r="G757" s="79">
        <f ca="1">IFERROR(__xludf.DUMMYFUNCTION("""COMPUTED_VALUE"""),43971)</f>
        <v>43971</v>
      </c>
      <c r="H757" s="72"/>
      <c r="I757" s="80">
        <f ca="1">IFERROR(__xludf.DUMMYFUNCTION("""COMPUTED_VALUE"""),100)</f>
        <v>100</v>
      </c>
      <c r="J757" s="9"/>
      <c r="K757" s="73" t="str">
        <f ca="1">IFERROR(__xludf.DUMMYFUNCTION("""COMPUTED_VALUE"""),"https://drive.google.com/open?id=1z8tJnoJolWBpv8YcnfnaZzeDb5Xdm8zZ")</f>
        <v>https://drive.google.com/open?id=1z8tJnoJolWBpv8YcnfnaZzeDb5Xdm8zZ</v>
      </c>
      <c r="L757" s="9"/>
      <c r="M757" s="9" t="str">
        <f ca="1">IFERROR(__xludf.DUMMYFUNCTION("""COMPUTED_VALUE"""),"S4: Student Certifications")</f>
        <v>S4: Student Certifications</v>
      </c>
      <c r="N757" s="9" t="str">
        <f ca="1">IFERROR(__xludf.DUMMYFUNCTION("""COMPUTED_VALUE"""),"chaitra2026@gmail.com")</f>
        <v>chaitra2026@gmail.com</v>
      </c>
      <c r="O757" s="9" t="str">
        <f ca="1">IFERROR(__xludf.DUMMYFUNCTION("""COMPUTED_VALUE"""),"SEM-4")</f>
        <v>SEM-4</v>
      </c>
      <c r="P757" s="9"/>
      <c r="Q757" s="9"/>
      <c r="R757" s="9"/>
      <c r="S757" s="9"/>
      <c r="T757" s="9"/>
      <c r="U757" s="9"/>
      <c r="V757" s="9"/>
      <c r="W757" s="9"/>
      <c r="X757" s="9"/>
      <c r="Y757" s="9"/>
    </row>
    <row r="758" spans="1:25" ht="26.25" customHeight="1" x14ac:dyDescent="0.15">
      <c r="A758" s="9" t="str">
        <f ca="1">IFERROR(__xludf.DUMMYFUNCTION("""COMPUTED_VALUE"""),"Chaitra Mudili")</f>
        <v>Chaitra Mudili</v>
      </c>
      <c r="B758" s="9" t="str">
        <f ca="1">IFERROR(__xludf.DUMMYFUNCTION("""COMPUTED_VALUE"""),"18331A05A0")</f>
        <v>18331A05A0</v>
      </c>
      <c r="C758" s="78" t="str">
        <f ca="1">IFERROR(__xludf.DUMMYFUNCTION("""COMPUTED_VALUE"""),"Responsive Website Basics: Code with HTML, CSS, and JavaScript")</f>
        <v>Responsive Website Basics: Code with HTML, CSS, and JavaScript</v>
      </c>
      <c r="D758" s="9" t="str">
        <f ca="1">IFERROR(__xludf.DUMMYFUNCTION("""COMPUTED_VALUE"""),"Coursera | University of London")</f>
        <v>Coursera | University of London</v>
      </c>
      <c r="E758" s="9" t="str">
        <f ca="1">IFERROR(__xludf.DUMMYFUNCTION("""COMPUTED_VALUE"""),"8 weeks")</f>
        <v>8 weeks</v>
      </c>
      <c r="F758" s="79">
        <f ca="1">IFERROR(__xludf.DUMMYFUNCTION("""COMPUTED_VALUE"""),43891)</f>
        <v>43891</v>
      </c>
      <c r="G758" s="79">
        <f ca="1">IFERROR(__xludf.DUMMYFUNCTION("""COMPUTED_VALUE"""),43952)</f>
        <v>43952</v>
      </c>
      <c r="H758" s="72"/>
      <c r="I758" s="80">
        <f ca="1">IFERROR(__xludf.DUMMYFUNCTION("""COMPUTED_VALUE"""),100)</f>
        <v>100</v>
      </c>
      <c r="J758" s="9"/>
      <c r="K758" s="73" t="str">
        <f ca="1">IFERROR(__xludf.DUMMYFUNCTION("""COMPUTED_VALUE"""),"https://drive.google.com/open?id=1uMYoubfB8v7-pspQFMkVvPtH4JmIEAP6")</f>
        <v>https://drive.google.com/open?id=1uMYoubfB8v7-pspQFMkVvPtH4JmIEAP6</v>
      </c>
      <c r="L758" s="9"/>
      <c r="M758" s="9" t="str">
        <f ca="1">IFERROR(__xludf.DUMMYFUNCTION("""COMPUTED_VALUE"""),"S4: Student Certifications")</f>
        <v>S4: Student Certifications</v>
      </c>
      <c r="N758" s="9" t="str">
        <f ca="1">IFERROR(__xludf.DUMMYFUNCTION("""COMPUTED_VALUE"""),"chaitra2026@gmail.com")</f>
        <v>chaitra2026@gmail.com</v>
      </c>
      <c r="O758" s="9" t="str">
        <f ca="1">IFERROR(__xludf.DUMMYFUNCTION("""COMPUTED_VALUE"""),"SEM-4")</f>
        <v>SEM-4</v>
      </c>
      <c r="P758" s="9"/>
      <c r="Q758" s="9"/>
      <c r="R758" s="9"/>
      <c r="S758" s="9"/>
      <c r="T758" s="9"/>
      <c r="U758" s="9"/>
      <c r="V758" s="9"/>
      <c r="W758" s="9"/>
      <c r="X758" s="9"/>
      <c r="Y758" s="9"/>
    </row>
    <row r="759" spans="1:25" ht="26.25" customHeight="1" x14ac:dyDescent="0.15">
      <c r="A759" s="9" t="str">
        <f ca="1">IFERROR(__xludf.DUMMYFUNCTION("""COMPUTED_VALUE"""),"Chaitra Mudili")</f>
        <v>Chaitra Mudili</v>
      </c>
      <c r="B759" s="9" t="str">
        <f ca="1">IFERROR(__xludf.DUMMYFUNCTION("""COMPUTED_VALUE"""),"18331A05A0")</f>
        <v>18331A05A0</v>
      </c>
      <c r="C759" s="78" t="str">
        <f ca="1">IFERROR(__xludf.DUMMYFUNCTION("""COMPUTED_VALUE"""),"What is Data Science?")</f>
        <v>What is Data Science?</v>
      </c>
      <c r="D759" s="9" t="str">
        <f ca="1">IFERROR(__xludf.DUMMYFUNCTION("""COMPUTED_VALUE"""),"Coursera | IBM")</f>
        <v>Coursera | IBM</v>
      </c>
      <c r="E759" s="9" t="str">
        <f ca="1">IFERROR(__xludf.DUMMYFUNCTION("""COMPUTED_VALUE"""),"4 weeks")</f>
        <v>4 weeks</v>
      </c>
      <c r="F759" s="79">
        <f ca="1">IFERROR(__xludf.DUMMYFUNCTION("""COMPUTED_VALUE"""),43952)</f>
        <v>43952</v>
      </c>
      <c r="G759" s="79">
        <f ca="1">IFERROR(__xludf.DUMMYFUNCTION("""COMPUTED_VALUE"""),44013)</f>
        <v>44013</v>
      </c>
      <c r="H759" s="72"/>
      <c r="I759" s="80">
        <f ca="1">IFERROR(__xludf.DUMMYFUNCTION("""COMPUTED_VALUE"""),100)</f>
        <v>100</v>
      </c>
      <c r="J759" s="9"/>
      <c r="K759" s="73" t="str">
        <f ca="1">IFERROR(__xludf.DUMMYFUNCTION("""COMPUTED_VALUE"""),"https://drive.google.com/open?id=1-F0i1lHRs4e9kzsaOJlVkCKSC8lyLuhr")</f>
        <v>https://drive.google.com/open?id=1-F0i1lHRs4e9kzsaOJlVkCKSC8lyLuhr</v>
      </c>
      <c r="L759" s="9"/>
      <c r="M759" s="9" t="str">
        <f ca="1">IFERROR(__xludf.DUMMYFUNCTION("""COMPUTED_VALUE"""),"S4: Student Certifications")</f>
        <v>S4: Student Certifications</v>
      </c>
      <c r="N759" s="9" t="str">
        <f ca="1">IFERROR(__xludf.DUMMYFUNCTION("""COMPUTED_VALUE"""),"chaitra2026@gmail.com")</f>
        <v>chaitra2026@gmail.com</v>
      </c>
      <c r="O759" s="9" t="str">
        <f ca="1">IFERROR(__xludf.DUMMYFUNCTION("""COMPUTED_VALUE"""),"SEM-4")</f>
        <v>SEM-4</v>
      </c>
      <c r="P759" s="9"/>
      <c r="Q759" s="9"/>
      <c r="R759" s="9"/>
      <c r="S759" s="9"/>
      <c r="T759" s="9"/>
      <c r="U759" s="9"/>
      <c r="V759" s="9"/>
      <c r="W759" s="9"/>
      <c r="X759" s="9"/>
      <c r="Y759" s="9"/>
    </row>
    <row r="760" spans="1:25" ht="26.25" customHeight="1" x14ac:dyDescent="0.15">
      <c r="A760" s="9" t="str">
        <f ca="1">IFERROR(__xludf.DUMMYFUNCTION("""COMPUTED_VALUE"""),"Chaitra Mudili")</f>
        <v>Chaitra Mudili</v>
      </c>
      <c r="B760" s="9" t="str">
        <f ca="1">IFERROR(__xludf.DUMMYFUNCTION("""COMPUTED_VALUE"""),"18331A05A0")</f>
        <v>18331A05A0</v>
      </c>
      <c r="C760" s="78" t="str">
        <f ca="1">IFERROR(__xludf.DUMMYFUNCTION("""COMPUTED_VALUE"""),"Tools for Data Science")</f>
        <v>Tools for Data Science</v>
      </c>
      <c r="D760" s="9" t="str">
        <f ca="1">IFERROR(__xludf.DUMMYFUNCTION("""COMPUTED_VALUE"""),"Coursera | IBM")</f>
        <v>Coursera | IBM</v>
      </c>
      <c r="E760" s="9" t="str">
        <f ca="1">IFERROR(__xludf.DUMMYFUNCTION("""COMPUTED_VALUE"""),"4 weeks")</f>
        <v>4 weeks</v>
      </c>
      <c r="F760" s="79">
        <f ca="1">IFERROR(__xludf.DUMMYFUNCTION("""COMPUTED_VALUE"""),43983)</f>
        <v>43983</v>
      </c>
      <c r="G760" s="79">
        <f ca="1">IFERROR(__xludf.DUMMYFUNCTION("""COMPUTED_VALUE"""),44013)</f>
        <v>44013</v>
      </c>
      <c r="H760" s="72"/>
      <c r="I760" s="80">
        <f ca="1">IFERROR(__xludf.DUMMYFUNCTION("""COMPUTED_VALUE"""),100)</f>
        <v>100</v>
      </c>
      <c r="J760" s="9"/>
      <c r="K760" s="73" t="str">
        <f ca="1">IFERROR(__xludf.DUMMYFUNCTION("""COMPUTED_VALUE"""),"https://drive.google.com/open?id=1qZo9Dc2rM5HaH96_wJI3ejAwSphAT30F")</f>
        <v>https://drive.google.com/open?id=1qZo9Dc2rM5HaH96_wJI3ejAwSphAT30F</v>
      </c>
      <c r="L760" s="9"/>
      <c r="M760" s="9" t="str">
        <f ca="1">IFERROR(__xludf.DUMMYFUNCTION("""COMPUTED_VALUE"""),"S4: Student Certifications")</f>
        <v>S4: Student Certifications</v>
      </c>
      <c r="N760" s="9" t="str">
        <f ca="1">IFERROR(__xludf.DUMMYFUNCTION("""COMPUTED_VALUE"""),"chaitra2026@gmail.com")</f>
        <v>chaitra2026@gmail.com</v>
      </c>
      <c r="O760" s="9" t="str">
        <f ca="1">IFERROR(__xludf.DUMMYFUNCTION("""COMPUTED_VALUE"""),"SEM-4")</f>
        <v>SEM-4</v>
      </c>
      <c r="P760" s="9"/>
      <c r="Q760" s="9"/>
      <c r="R760" s="9"/>
      <c r="S760" s="9"/>
      <c r="T760" s="9"/>
      <c r="U760" s="9"/>
      <c r="V760" s="9"/>
      <c r="W760" s="9"/>
      <c r="X760" s="9"/>
      <c r="Y760" s="9"/>
    </row>
    <row r="761" spans="1:25" ht="26.25" customHeight="1" x14ac:dyDescent="0.15">
      <c r="A761" s="9" t="str">
        <f ca="1">IFERROR(__xludf.DUMMYFUNCTION("""COMPUTED_VALUE"""),"Gorsa Uma Mahesh")</f>
        <v>Gorsa Uma Mahesh</v>
      </c>
      <c r="B761" s="9" t="str">
        <f ca="1">IFERROR(__xludf.DUMMYFUNCTION("""COMPUTED_VALUE"""),"18331A0550")</f>
        <v>18331A0550</v>
      </c>
      <c r="C761" s="78" t="str">
        <f ca="1">IFERROR(__xludf.DUMMYFUNCTION("""COMPUTED_VALUE"""),"Basics of C Programming for Beginners")</f>
        <v>Basics of C Programming for Beginners</v>
      </c>
      <c r="D761" s="9" t="str">
        <f ca="1">IFERROR(__xludf.DUMMYFUNCTION("""COMPUTED_VALUE"""),"Udemy")</f>
        <v>Udemy</v>
      </c>
      <c r="E761" s="9" t="str">
        <f ca="1">IFERROR(__xludf.DUMMYFUNCTION("""COMPUTED_VALUE"""),"1 hour")</f>
        <v>1 hour</v>
      </c>
      <c r="F761" s="79">
        <f ca="1">IFERROR(__xludf.DUMMYFUNCTION("""COMPUTED_VALUE"""),43551)</f>
        <v>43551</v>
      </c>
      <c r="G761" s="79">
        <f ca="1">IFERROR(__xludf.DUMMYFUNCTION("""COMPUTED_VALUE"""),43551)</f>
        <v>43551</v>
      </c>
      <c r="H761" s="72"/>
      <c r="I761" s="80">
        <f ca="1">IFERROR(__xludf.DUMMYFUNCTION("""COMPUTED_VALUE"""),100)</f>
        <v>100</v>
      </c>
      <c r="J761" s="9"/>
      <c r="K761" s="73" t="str">
        <f ca="1">IFERROR(__xludf.DUMMYFUNCTION("""COMPUTED_VALUE"""),"https://drive.google.com/open?id=1MTeM3Sd0EsoYG10fpWvr0ewCGWgFZwd9")</f>
        <v>https://drive.google.com/open?id=1MTeM3Sd0EsoYG10fpWvr0ewCGWgFZwd9</v>
      </c>
      <c r="L761" s="9"/>
      <c r="M761" s="9" t="str">
        <f ca="1">IFERROR(__xludf.DUMMYFUNCTION("""COMPUTED_VALUE"""),"S4: Student Certifications")</f>
        <v>S4: Student Certifications</v>
      </c>
      <c r="N761" s="9" t="str">
        <f ca="1">IFERROR(__xludf.DUMMYFUNCTION("""COMPUTED_VALUE"""),"gorsaumamahesh@gmail.com")</f>
        <v>gorsaumamahesh@gmail.com</v>
      </c>
      <c r="O761" s="9" t="str">
        <f ca="1">IFERROR(__xludf.DUMMYFUNCTION("""COMPUTED_VALUE"""),"SEM-8")</f>
        <v>SEM-8</v>
      </c>
      <c r="P761" s="9"/>
      <c r="Q761" s="9"/>
      <c r="R761" s="9"/>
      <c r="S761" s="9"/>
      <c r="T761" s="9"/>
      <c r="U761" s="9"/>
      <c r="V761" s="9"/>
      <c r="W761" s="9"/>
      <c r="X761" s="9"/>
      <c r="Y761" s="9"/>
    </row>
    <row r="762" spans="1:25" ht="26.25" customHeight="1" x14ac:dyDescent="0.15">
      <c r="A762" s="9" t="str">
        <f ca="1">IFERROR(__xludf.DUMMYFUNCTION("""COMPUTED_VALUE"""),"Gorsa Uma Mahesh")</f>
        <v>Gorsa Uma Mahesh</v>
      </c>
      <c r="B762" s="9" t="str">
        <f ca="1">IFERROR(__xludf.DUMMYFUNCTION("""COMPUTED_VALUE"""),"18331A0550")</f>
        <v>18331A0550</v>
      </c>
      <c r="C762" s="78" t="str">
        <f ca="1">IFERROR(__xludf.DUMMYFUNCTION("""COMPUTED_VALUE"""),"Programming for Everybody (Getting Started with Python)")</f>
        <v>Programming for Everybody (Getting Started with Python)</v>
      </c>
      <c r="D762" s="9" t="str">
        <f ca="1">IFERROR(__xludf.DUMMYFUNCTION("""COMPUTED_VALUE"""),"Coursera")</f>
        <v>Coursera</v>
      </c>
      <c r="E762" s="9" t="str">
        <f ca="1">IFERROR(__xludf.DUMMYFUNCTION("""COMPUTED_VALUE"""),"30 Days")</f>
        <v>30 Days</v>
      </c>
      <c r="F762" s="79">
        <f ca="1">IFERROR(__xludf.DUMMYFUNCTION("""COMPUTED_VALUE"""),43995)</f>
        <v>43995</v>
      </c>
      <c r="G762" s="79">
        <f ca="1">IFERROR(__xludf.DUMMYFUNCTION("""COMPUTED_VALUE"""),44025)</f>
        <v>44025</v>
      </c>
      <c r="H762" s="72"/>
      <c r="I762" s="80">
        <f ca="1">IFERROR(__xludf.DUMMYFUNCTION("""COMPUTED_VALUE"""),100)</f>
        <v>100</v>
      </c>
      <c r="J762" s="9"/>
      <c r="K762" s="73" t="str">
        <f ca="1">IFERROR(__xludf.DUMMYFUNCTION("""COMPUTED_VALUE"""),"https://drive.google.com/open?id=1NziKGpNoGVQBJ--vVPZgARNfKMK01KI1")</f>
        <v>https://drive.google.com/open?id=1NziKGpNoGVQBJ--vVPZgARNfKMK01KI1</v>
      </c>
      <c r="L762" s="9"/>
      <c r="M762" s="9" t="str">
        <f ca="1">IFERROR(__xludf.DUMMYFUNCTION("""COMPUTED_VALUE"""),"S4: Student Certifications")</f>
        <v>S4: Student Certifications</v>
      </c>
      <c r="N762" s="9" t="str">
        <f ca="1">IFERROR(__xludf.DUMMYFUNCTION("""COMPUTED_VALUE"""),"gorsaumamahesh@gmail.com")</f>
        <v>gorsaumamahesh@gmail.com</v>
      </c>
      <c r="O762" s="9" t="str">
        <f ca="1">IFERROR(__xludf.DUMMYFUNCTION("""COMPUTED_VALUE"""),"SEM-8")</f>
        <v>SEM-8</v>
      </c>
      <c r="P762" s="9"/>
      <c r="Q762" s="9"/>
      <c r="R762" s="9"/>
      <c r="S762" s="9"/>
      <c r="T762" s="9"/>
      <c r="U762" s="9"/>
      <c r="V762" s="9"/>
      <c r="W762" s="9"/>
      <c r="X762" s="9"/>
      <c r="Y762" s="9"/>
    </row>
    <row r="763" spans="1:25" ht="26.25" customHeight="1" x14ac:dyDescent="0.15">
      <c r="A763" s="9" t="str">
        <f ca="1">IFERROR(__xludf.DUMMYFUNCTION("""COMPUTED_VALUE"""),"Gorsa Uma Mahesh")</f>
        <v>Gorsa Uma Mahesh</v>
      </c>
      <c r="B763" s="9" t="str">
        <f ca="1">IFERROR(__xludf.DUMMYFUNCTION("""COMPUTED_VALUE"""),"18331A0550")</f>
        <v>18331A0550</v>
      </c>
      <c r="C763" s="78" t="str">
        <f ca="1">IFERROR(__xludf.DUMMYFUNCTION("""COMPUTED_VALUE"""),"AI For Everyone")</f>
        <v>AI For Everyone</v>
      </c>
      <c r="D763" s="9" t="str">
        <f ca="1">IFERROR(__xludf.DUMMYFUNCTION("""COMPUTED_VALUE"""),"Coursera")</f>
        <v>Coursera</v>
      </c>
      <c r="E763" s="9" t="str">
        <f ca="1">IFERROR(__xludf.DUMMYFUNCTION("""COMPUTED_VALUE"""),"30 Days")</f>
        <v>30 Days</v>
      </c>
      <c r="F763" s="79">
        <f ca="1">IFERROR(__xludf.DUMMYFUNCTION("""COMPUTED_VALUE"""),44022)</f>
        <v>44022</v>
      </c>
      <c r="G763" s="79">
        <f ca="1">IFERROR(__xludf.DUMMYFUNCTION("""COMPUTED_VALUE"""),44053)</f>
        <v>44053</v>
      </c>
      <c r="H763" s="72"/>
      <c r="I763" s="80">
        <f ca="1">IFERROR(__xludf.DUMMYFUNCTION("""COMPUTED_VALUE"""),100)</f>
        <v>100</v>
      </c>
      <c r="J763" s="9"/>
      <c r="K763" s="73" t="str">
        <f ca="1">IFERROR(__xludf.DUMMYFUNCTION("""COMPUTED_VALUE"""),"https://drive.google.com/open?id=17Xyl8xQNFxBtNZKVP87TJtmMU77hgaS-")</f>
        <v>https://drive.google.com/open?id=17Xyl8xQNFxBtNZKVP87TJtmMU77hgaS-</v>
      </c>
      <c r="L763" s="9"/>
      <c r="M763" s="9" t="str">
        <f ca="1">IFERROR(__xludf.DUMMYFUNCTION("""COMPUTED_VALUE"""),"S4: Student Certifications")</f>
        <v>S4: Student Certifications</v>
      </c>
      <c r="N763" s="9" t="str">
        <f ca="1">IFERROR(__xludf.DUMMYFUNCTION("""COMPUTED_VALUE"""),"gorsaumamahesh@gmail.com")</f>
        <v>gorsaumamahesh@gmail.com</v>
      </c>
      <c r="O763" s="9" t="str">
        <f ca="1">IFERROR(__xludf.DUMMYFUNCTION("""COMPUTED_VALUE"""),"SEM-8")</f>
        <v>SEM-8</v>
      </c>
      <c r="P763" s="9"/>
      <c r="Q763" s="9"/>
      <c r="R763" s="9"/>
      <c r="S763" s="9"/>
      <c r="T763" s="9"/>
      <c r="U763" s="9"/>
      <c r="V763" s="9"/>
      <c r="W763" s="9"/>
      <c r="X763" s="9"/>
      <c r="Y763" s="9"/>
    </row>
    <row r="764" spans="1:25" ht="26.25" customHeight="1" x14ac:dyDescent="0.15">
      <c r="A764" s="9"/>
      <c r="B764" s="9"/>
      <c r="C764" s="78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</row>
    <row r="765" spans="1:25" ht="26.25" customHeight="1" x14ac:dyDescent="0.15">
      <c r="A765" s="9"/>
      <c r="B765" s="9"/>
      <c r="C765" s="78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</row>
    <row r="766" spans="1:25" ht="26.25" customHeight="1" x14ac:dyDescent="0.15">
      <c r="A766" s="9"/>
      <c r="B766" s="9"/>
      <c r="C766" s="78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</row>
    <row r="767" spans="1:25" ht="26.25" customHeight="1" x14ac:dyDescent="0.15">
      <c r="A767" s="9"/>
      <c r="B767" s="9"/>
      <c r="C767" s="78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</row>
    <row r="768" spans="1:25" ht="26.25" customHeight="1" x14ac:dyDescent="0.15">
      <c r="A768" s="9"/>
      <c r="B768" s="9"/>
      <c r="C768" s="78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</row>
    <row r="769" spans="1:25" ht="26.25" customHeight="1" x14ac:dyDescent="0.15">
      <c r="A769" s="9"/>
      <c r="B769" s="9"/>
      <c r="C769" s="78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</row>
    <row r="770" spans="1:25" ht="26.25" customHeight="1" x14ac:dyDescent="0.15">
      <c r="A770" s="9"/>
      <c r="B770" s="9"/>
      <c r="C770" s="78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</row>
    <row r="771" spans="1:25" ht="26.25" customHeight="1" x14ac:dyDescent="0.15">
      <c r="A771" s="9"/>
      <c r="B771" s="9"/>
      <c r="C771" s="78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</row>
    <row r="772" spans="1:25" ht="26.25" customHeight="1" x14ac:dyDescent="0.15">
      <c r="A772" s="9"/>
      <c r="B772" s="9"/>
      <c r="C772" s="78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</row>
    <row r="773" spans="1:25" ht="26.25" customHeight="1" x14ac:dyDescent="0.15">
      <c r="A773" s="9"/>
      <c r="B773" s="9"/>
      <c r="C773" s="78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</row>
    <row r="774" spans="1:25" ht="26.25" customHeight="1" x14ac:dyDescent="0.15">
      <c r="A774" s="9"/>
      <c r="B774" s="9"/>
      <c r="C774" s="78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</row>
    <row r="775" spans="1:25" ht="26.25" customHeight="1" x14ac:dyDescent="0.15">
      <c r="A775" s="9"/>
      <c r="B775" s="9"/>
      <c r="C775" s="78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</row>
    <row r="776" spans="1:25" ht="26.25" customHeight="1" x14ac:dyDescent="0.15">
      <c r="A776" s="9"/>
      <c r="B776" s="9"/>
      <c r="C776" s="78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</row>
    <row r="777" spans="1:25" ht="26.25" customHeight="1" x14ac:dyDescent="0.15">
      <c r="A777" s="9"/>
      <c r="B777" s="9"/>
      <c r="C777" s="78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</row>
    <row r="778" spans="1:25" ht="26.25" customHeight="1" x14ac:dyDescent="0.15">
      <c r="A778" s="9"/>
      <c r="B778" s="9"/>
      <c r="C778" s="78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</row>
    <row r="779" spans="1:25" ht="26.25" customHeight="1" x14ac:dyDescent="0.15">
      <c r="A779" s="9"/>
      <c r="B779" s="9"/>
      <c r="C779" s="78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</row>
    <row r="780" spans="1:25" ht="26.25" customHeight="1" x14ac:dyDescent="0.15">
      <c r="A780" s="9"/>
      <c r="B780" s="9"/>
      <c r="C780" s="78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</row>
    <row r="781" spans="1:25" ht="26.25" customHeight="1" x14ac:dyDescent="0.15">
      <c r="A781" s="9"/>
      <c r="B781" s="9"/>
      <c r="C781" s="78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</row>
    <row r="782" spans="1:25" ht="26.25" customHeight="1" x14ac:dyDescent="0.15">
      <c r="A782" s="9"/>
      <c r="B782" s="9"/>
      <c r="C782" s="78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</row>
    <row r="783" spans="1:25" ht="26.25" customHeight="1" x14ac:dyDescent="0.15">
      <c r="A783" s="9"/>
      <c r="B783" s="9"/>
      <c r="C783" s="78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</row>
    <row r="784" spans="1:25" ht="26.25" customHeight="1" x14ac:dyDescent="0.15">
      <c r="A784" s="9"/>
      <c r="B784" s="9"/>
      <c r="C784" s="78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</row>
    <row r="785" spans="1:25" ht="26.25" customHeight="1" x14ac:dyDescent="0.15">
      <c r="A785" s="9"/>
      <c r="B785" s="9"/>
      <c r="C785" s="78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</row>
    <row r="786" spans="1:25" ht="26.25" customHeight="1" x14ac:dyDescent="0.15">
      <c r="A786" s="9"/>
      <c r="B786" s="9"/>
      <c r="C786" s="78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</row>
    <row r="787" spans="1:25" ht="26.25" customHeight="1" x14ac:dyDescent="0.15">
      <c r="A787" s="9"/>
      <c r="B787" s="9"/>
      <c r="C787" s="78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</row>
    <row r="788" spans="1:25" ht="26.25" customHeight="1" x14ac:dyDescent="0.15">
      <c r="A788" s="9"/>
      <c r="B788" s="9"/>
      <c r="C788" s="78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</row>
    <row r="789" spans="1:25" ht="26.25" customHeight="1" x14ac:dyDescent="0.15">
      <c r="A789" s="9"/>
      <c r="B789" s="9"/>
      <c r="C789" s="78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</row>
    <row r="790" spans="1:25" ht="26.25" customHeight="1" x14ac:dyDescent="0.15">
      <c r="A790" s="9"/>
      <c r="B790" s="9"/>
      <c r="C790" s="78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</row>
    <row r="791" spans="1:25" ht="26.25" customHeight="1" x14ac:dyDescent="0.15">
      <c r="A791" s="9"/>
      <c r="B791" s="9"/>
      <c r="C791" s="78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</row>
    <row r="792" spans="1:25" ht="26.25" customHeight="1" x14ac:dyDescent="0.15">
      <c r="A792" s="9"/>
      <c r="B792" s="9"/>
      <c r="C792" s="78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</row>
    <row r="793" spans="1:25" ht="26.25" customHeight="1" x14ac:dyDescent="0.15">
      <c r="A793" s="9"/>
      <c r="B793" s="9"/>
      <c r="C793" s="78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</row>
    <row r="794" spans="1:25" ht="26.25" customHeight="1" x14ac:dyDescent="0.15">
      <c r="A794" s="9"/>
      <c r="B794" s="9"/>
      <c r="C794" s="78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</row>
    <row r="795" spans="1:25" ht="26.25" customHeight="1" x14ac:dyDescent="0.15">
      <c r="A795" s="9"/>
      <c r="B795" s="9"/>
      <c r="C795" s="78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</row>
    <row r="796" spans="1:25" ht="26.25" customHeight="1" x14ac:dyDescent="0.15">
      <c r="A796" s="9"/>
      <c r="B796" s="9"/>
      <c r="C796" s="78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</row>
    <row r="797" spans="1:25" ht="26.25" customHeight="1" x14ac:dyDescent="0.15">
      <c r="A797" s="9"/>
      <c r="B797" s="9"/>
      <c r="C797" s="78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</row>
    <row r="798" spans="1:25" ht="26.25" customHeight="1" x14ac:dyDescent="0.15">
      <c r="A798" s="9"/>
      <c r="B798" s="9"/>
      <c r="C798" s="78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</row>
    <row r="799" spans="1:25" ht="26.25" customHeight="1" x14ac:dyDescent="0.15">
      <c r="A799" s="9"/>
      <c r="B799" s="9"/>
      <c r="C799" s="78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</row>
    <row r="800" spans="1:25" ht="26.25" customHeight="1" x14ac:dyDescent="0.15">
      <c r="A800" s="9"/>
      <c r="B800" s="9"/>
      <c r="C800" s="78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</row>
    <row r="801" spans="1:25" ht="26.25" customHeight="1" x14ac:dyDescent="0.15">
      <c r="A801" s="9"/>
      <c r="B801" s="9"/>
      <c r="C801" s="78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</row>
    <row r="802" spans="1:25" ht="26.25" customHeight="1" x14ac:dyDescent="0.15">
      <c r="A802" s="9"/>
      <c r="B802" s="9"/>
      <c r="C802" s="78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</row>
    <row r="803" spans="1:25" ht="26.25" customHeight="1" x14ac:dyDescent="0.15">
      <c r="A803" s="9"/>
      <c r="B803" s="9"/>
      <c r="C803" s="78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</row>
    <row r="804" spans="1:25" ht="26.25" customHeight="1" x14ac:dyDescent="0.15">
      <c r="A804" s="9"/>
      <c r="B804" s="9"/>
      <c r="C804" s="78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</row>
    <row r="805" spans="1:25" ht="26.25" customHeight="1" x14ac:dyDescent="0.15">
      <c r="A805" s="9"/>
      <c r="B805" s="9"/>
      <c r="C805" s="78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</row>
    <row r="806" spans="1:25" ht="26.25" customHeight="1" x14ac:dyDescent="0.15">
      <c r="A806" s="9"/>
      <c r="B806" s="9"/>
      <c r="C806" s="78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</row>
    <row r="807" spans="1:25" ht="26.25" customHeight="1" x14ac:dyDescent="0.15">
      <c r="A807" s="9"/>
      <c r="B807" s="9"/>
      <c r="C807" s="78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</row>
    <row r="808" spans="1:25" ht="26.25" customHeight="1" x14ac:dyDescent="0.15">
      <c r="A808" s="9"/>
      <c r="B808" s="9"/>
      <c r="C808" s="78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</row>
    <row r="809" spans="1:25" ht="26.25" customHeight="1" x14ac:dyDescent="0.15">
      <c r="A809" s="9"/>
      <c r="B809" s="9"/>
      <c r="C809" s="78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</row>
    <row r="810" spans="1:25" ht="26.25" customHeight="1" x14ac:dyDescent="0.15">
      <c r="A810" s="9"/>
      <c r="B810" s="9"/>
      <c r="C810" s="78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</row>
    <row r="811" spans="1:25" ht="26.25" customHeight="1" x14ac:dyDescent="0.15">
      <c r="A811" s="9"/>
      <c r="B811" s="9"/>
      <c r="C811" s="78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</row>
    <row r="812" spans="1:25" ht="26.25" customHeight="1" x14ac:dyDescent="0.15">
      <c r="A812" s="9"/>
      <c r="B812" s="9"/>
      <c r="C812" s="78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</row>
    <row r="813" spans="1:25" ht="26.25" customHeight="1" x14ac:dyDescent="0.15">
      <c r="A813" s="9"/>
      <c r="B813" s="9"/>
      <c r="C813" s="78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</row>
    <row r="814" spans="1:25" ht="26.25" customHeight="1" x14ac:dyDescent="0.15">
      <c r="A814" s="9"/>
      <c r="B814" s="9"/>
      <c r="C814" s="78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</row>
    <row r="815" spans="1:25" ht="26.25" customHeight="1" x14ac:dyDescent="0.15">
      <c r="A815" s="9"/>
      <c r="B815" s="9"/>
      <c r="C815" s="78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</row>
    <row r="816" spans="1:25" ht="26.25" customHeight="1" x14ac:dyDescent="0.15">
      <c r="A816" s="9"/>
      <c r="B816" s="9"/>
      <c r="C816" s="78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</row>
    <row r="817" spans="1:25" ht="26.25" customHeight="1" x14ac:dyDescent="0.15">
      <c r="A817" s="9"/>
      <c r="B817" s="9"/>
      <c r="C817" s="78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</row>
    <row r="818" spans="1:25" ht="26.25" customHeight="1" x14ac:dyDescent="0.15">
      <c r="A818" s="9"/>
      <c r="B818" s="9"/>
      <c r="C818" s="78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</row>
    <row r="819" spans="1:25" ht="26.25" customHeight="1" x14ac:dyDescent="0.15">
      <c r="A819" s="9"/>
      <c r="B819" s="9"/>
      <c r="C819" s="78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</row>
    <row r="820" spans="1:25" ht="26.25" customHeight="1" x14ac:dyDescent="0.15">
      <c r="A820" s="9"/>
      <c r="B820" s="9"/>
      <c r="C820" s="78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</row>
    <row r="821" spans="1:25" ht="26.25" customHeight="1" x14ac:dyDescent="0.15">
      <c r="A821" s="9"/>
      <c r="B821" s="9"/>
      <c r="C821" s="78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</row>
    <row r="822" spans="1:25" ht="26.25" customHeight="1" x14ac:dyDescent="0.15">
      <c r="A822" s="9"/>
      <c r="B822" s="9"/>
      <c r="C822" s="78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</row>
    <row r="823" spans="1:25" ht="26.25" customHeight="1" x14ac:dyDescent="0.15">
      <c r="A823" s="9"/>
      <c r="B823" s="9"/>
      <c r="C823" s="78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</row>
    <row r="824" spans="1:25" ht="26.25" customHeight="1" x14ac:dyDescent="0.15">
      <c r="A824" s="9"/>
      <c r="B824" s="9"/>
      <c r="C824" s="78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</row>
    <row r="825" spans="1:25" ht="26.25" customHeight="1" x14ac:dyDescent="0.15">
      <c r="A825" s="9"/>
      <c r="B825" s="9"/>
      <c r="C825" s="78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</row>
    <row r="826" spans="1:25" ht="26.25" customHeight="1" x14ac:dyDescent="0.15">
      <c r="A826" s="9"/>
      <c r="B826" s="9"/>
      <c r="C826" s="78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</row>
    <row r="827" spans="1:25" ht="26.25" customHeight="1" x14ac:dyDescent="0.15">
      <c r="A827" s="9"/>
      <c r="B827" s="9"/>
      <c r="C827" s="78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</row>
    <row r="828" spans="1:25" ht="26.25" customHeight="1" x14ac:dyDescent="0.15">
      <c r="A828" s="9"/>
      <c r="B828" s="9"/>
      <c r="C828" s="78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</row>
    <row r="829" spans="1:25" ht="26.25" customHeight="1" x14ac:dyDescent="0.15">
      <c r="A829" s="9"/>
      <c r="B829" s="9"/>
      <c r="C829" s="78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</row>
    <row r="830" spans="1:25" ht="26.25" customHeight="1" x14ac:dyDescent="0.15">
      <c r="A830" s="9"/>
      <c r="B830" s="9"/>
      <c r="C830" s="78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</row>
    <row r="831" spans="1:25" ht="26.25" customHeight="1" x14ac:dyDescent="0.15">
      <c r="A831" s="9"/>
      <c r="B831" s="9"/>
      <c r="C831" s="78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</row>
    <row r="832" spans="1:25" ht="26.25" customHeight="1" x14ac:dyDescent="0.15">
      <c r="A832" s="9"/>
      <c r="B832" s="9"/>
      <c r="C832" s="78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</row>
    <row r="833" spans="1:25" ht="26.25" customHeight="1" x14ac:dyDescent="0.15">
      <c r="A833" s="9"/>
      <c r="B833" s="9"/>
      <c r="C833" s="78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</row>
    <row r="834" spans="1:25" ht="26.25" customHeight="1" x14ac:dyDescent="0.15">
      <c r="A834" s="9"/>
      <c r="B834" s="9"/>
      <c r="C834" s="78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</row>
    <row r="835" spans="1:25" ht="26.25" customHeight="1" x14ac:dyDescent="0.15">
      <c r="A835" s="9"/>
      <c r="B835" s="9"/>
      <c r="C835" s="78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</row>
    <row r="836" spans="1:25" ht="26.25" customHeight="1" x14ac:dyDescent="0.15">
      <c r="A836" s="9"/>
      <c r="B836" s="9"/>
      <c r="C836" s="78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</row>
    <row r="837" spans="1:25" ht="26.25" customHeight="1" x14ac:dyDescent="0.15">
      <c r="A837" s="9"/>
      <c r="B837" s="9"/>
      <c r="C837" s="78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</row>
    <row r="838" spans="1:25" ht="26.25" customHeight="1" x14ac:dyDescent="0.15">
      <c r="A838" s="9"/>
      <c r="B838" s="9"/>
      <c r="C838" s="78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</row>
    <row r="839" spans="1:25" ht="26.25" customHeight="1" x14ac:dyDescent="0.15">
      <c r="A839" s="9"/>
      <c r="B839" s="9"/>
      <c r="C839" s="78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</row>
    <row r="840" spans="1:25" ht="26.25" customHeight="1" x14ac:dyDescent="0.15">
      <c r="A840" s="9"/>
      <c r="B840" s="9"/>
      <c r="C840" s="78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</row>
    <row r="841" spans="1:25" ht="26.25" customHeight="1" x14ac:dyDescent="0.15">
      <c r="A841" s="9"/>
      <c r="B841" s="9"/>
      <c r="C841" s="78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</row>
    <row r="842" spans="1:25" ht="26.25" customHeight="1" x14ac:dyDescent="0.15">
      <c r="A842" s="9"/>
      <c r="B842" s="9"/>
      <c r="C842" s="78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</row>
    <row r="843" spans="1:25" ht="26.25" customHeight="1" x14ac:dyDescent="0.15">
      <c r="A843" s="9"/>
      <c r="B843" s="9"/>
      <c r="C843" s="78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</row>
    <row r="844" spans="1:25" ht="26.25" customHeight="1" x14ac:dyDescent="0.15">
      <c r="A844" s="9"/>
      <c r="B844" s="9"/>
      <c r="C844" s="78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</row>
    <row r="845" spans="1:25" ht="26.25" customHeight="1" x14ac:dyDescent="0.15">
      <c r="A845" s="9"/>
      <c r="B845" s="9"/>
      <c r="C845" s="78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</row>
    <row r="846" spans="1:25" ht="26.25" customHeight="1" x14ac:dyDescent="0.15">
      <c r="A846" s="9"/>
      <c r="B846" s="9"/>
      <c r="C846" s="78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</row>
    <row r="847" spans="1:25" ht="26.25" customHeight="1" x14ac:dyDescent="0.15">
      <c r="A847" s="9"/>
      <c r="B847" s="9"/>
      <c r="C847" s="78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</row>
    <row r="848" spans="1:25" ht="26.25" customHeight="1" x14ac:dyDescent="0.15">
      <c r="A848" s="9"/>
      <c r="B848" s="9"/>
      <c r="C848" s="78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</row>
    <row r="849" spans="1:25" ht="26.25" customHeight="1" x14ac:dyDescent="0.15">
      <c r="A849" s="9"/>
      <c r="B849" s="9"/>
      <c r="C849" s="78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</row>
    <row r="850" spans="1:25" ht="26.25" customHeight="1" x14ac:dyDescent="0.15">
      <c r="A850" s="9"/>
      <c r="B850" s="9"/>
      <c r="C850" s="78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</row>
    <row r="851" spans="1:25" ht="26.25" customHeight="1" x14ac:dyDescent="0.15">
      <c r="A851" s="9"/>
      <c r="B851" s="9"/>
      <c r="C851" s="78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</row>
    <row r="852" spans="1:25" ht="26.25" customHeight="1" x14ac:dyDescent="0.15">
      <c r="A852" s="9"/>
      <c r="B852" s="9"/>
      <c r="C852" s="78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</row>
    <row r="853" spans="1:25" ht="26.25" customHeight="1" x14ac:dyDescent="0.15">
      <c r="A853" s="9"/>
      <c r="B853" s="9"/>
      <c r="C853" s="78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</row>
    <row r="854" spans="1:25" ht="26.25" customHeight="1" x14ac:dyDescent="0.15">
      <c r="A854" s="9"/>
      <c r="B854" s="9"/>
      <c r="C854" s="78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</row>
    <row r="855" spans="1:25" ht="26.25" customHeight="1" x14ac:dyDescent="0.15">
      <c r="A855" s="9"/>
      <c r="B855" s="9"/>
      <c r="C855" s="78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</row>
    <row r="856" spans="1:25" ht="26.25" customHeight="1" x14ac:dyDescent="0.15">
      <c r="A856" s="9"/>
      <c r="B856" s="9"/>
      <c r="C856" s="78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</row>
    <row r="857" spans="1:25" ht="26.25" customHeight="1" x14ac:dyDescent="0.15">
      <c r="A857" s="9"/>
      <c r="B857" s="9"/>
      <c r="C857" s="78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</row>
    <row r="858" spans="1:25" ht="26.25" customHeight="1" x14ac:dyDescent="0.15">
      <c r="A858" s="9"/>
      <c r="B858" s="9"/>
      <c r="C858" s="78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</row>
    <row r="859" spans="1:25" ht="26.25" customHeight="1" x14ac:dyDescent="0.15">
      <c r="A859" s="9"/>
      <c r="B859" s="9"/>
      <c r="C859" s="78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</row>
    <row r="860" spans="1:25" ht="26.25" customHeight="1" x14ac:dyDescent="0.15">
      <c r="A860" s="9"/>
      <c r="B860" s="9"/>
      <c r="C860" s="78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</row>
    <row r="861" spans="1:25" ht="26.25" customHeight="1" x14ac:dyDescent="0.15">
      <c r="A861" s="9"/>
      <c r="B861" s="9"/>
      <c r="C861" s="78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</row>
    <row r="862" spans="1:25" ht="26.25" customHeight="1" x14ac:dyDescent="0.15">
      <c r="A862" s="9"/>
      <c r="B862" s="9"/>
      <c r="C862" s="78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</row>
    <row r="863" spans="1:25" ht="26.25" customHeight="1" x14ac:dyDescent="0.15">
      <c r="A863" s="9"/>
      <c r="B863" s="9"/>
      <c r="C863" s="78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</row>
    <row r="864" spans="1:25" ht="26.25" customHeight="1" x14ac:dyDescent="0.15">
      <c r="A864" s="9"/>
      <c r="B864" s="9"/>
      <c r="C864" s="78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</row>
    <row r="865" spans="1:25" ht="26.25" customHeight="1" x14ac:dyDescent="0.15">
      <c r="A865" s="9"/>
      <c r="B865" s="9"/>
      <c r="C865" s="78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</row>
    <row r="866" spans="1:25" ht="26.25" customHeight="1" x14ac:dyDescent="0.15">
      <c r="A866" s="9"/>
      <c r="B866" s="9"/>
      <c r="C866" s="78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</row>
    <row r="867" spans="1:25" ht="26.25" customHeight="1" x14ac:dyDescent="0.15">
      <c r="A867" s="9"/>
      <c r="B867" s="9"/>
      <c r="C867" s="78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</row>
    <row r="868" spans="1:25" ht="26.25" customHeight="1" x14ac:dyDescent="0.15">
      <c r="A868" s="9"/>
      <c r="B868" s="9"/>
      <c r="C868" s="78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</row>
    <row r="869" spans="1:25" ht="26.25" customHeight="1" x14ac:dyDescent="0.15">
      <c r="A869" s="9"/>
      <c r="B869" s="9"/>
      <c r="C869" s="78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</row>
    <row r="870" spans="1:25" ht="26.25" customHeight="1" x14ac:dyDescent="0.15">
      <c r="A870" s="9"/>
      <c r="B870" s="9"/>
      <c r="C870" s="78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</row>
    <row r="871" spans="1:25" ht="26.25" customHeight="1" x14ac:dyDescent="0.15">
      <c r="A871" s="9"/>
      <c r="B871" s="9"/>
      <c r="C871" s="78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</row>
    <row r="872" spans="1:25" ht="26.25" customHeight="1" x14ac:dyDescent="0.15">
      <c r="A872" s="9"/>
      <c r="B872" s="9"/>
      <c r="C872" s="78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</row>
    <row r="873" spans="1:25" ht="26.25" customHeight="1" x14ac:dyDescent="0.15">
      <c r="A873" s="9"/>
      <c r="B873" s="9"/>
      <c r="C873" s="78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</row>
    <row r="874" spans="1:25" ht="26.25" customHeight="1" x14ac:dyDescent="0.15">
      <c r="A874" s="9"/>
      <c r="B874" s="9"/>
      <c r="C874" s="78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</row>
    <row r="875" spans="1:25" ht="26.25" customHeight="1" x14ac:dyDescent="0.15">
      <c r="A875" s="9"/>
      <c r="B875" s="9"/>
      <c r="C875" s="78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</row>
    <row r="876" spans="1:25" ht="26.25" customHeight="1" x14ac:dyDescent="0.15">
      <c r="A876" s="9"/>
      <c r="B876" s="9"/>
      <c r="C876" s="78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</row>
    <row r="877" spans="1:25" ht="26.25" customHeight="1" x14ac:dyDescent="0.15">
      <c r="A877" s="9"/>
      <c r="B877" s="9"/>
      <c r="C877" s="78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</row>
    <row r="878" spans="1:25" ht="26.25" customHeight="1" x14ac:dyDescent="0.15">
      <c r="A878" s="9"/>
      <c r="B878" s="9"/>
      <c r="C878" s="78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</row>
    <row r="879" spans="1:25" ht="26.25" customHeight="1" x14ac:dyDescent="0.15">
      <c r="A879" s="9"/>
      <c r="B879" s="9"/>
      <c r="C879" s="78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</row>
    <row r="880" spans="1:25" ht="26.25" customHeight="1" x14ac:dyDescent="0.15">
      <c r="A880" s="9"/>
      <c r="B880" s="9"/>
      <c r="C880" s="78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</row>
    <row r="881" spans="1:25" ht="26.25" customHeight="1" x14ac:dyDescent="0.15">
      <c r="A881" s="9"/>
      <c r="B881" s="9"/>
      <c r="C881" s="78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</row>
    <row r="882" spans="1:25" ht="26.25" customHeight="1" x14ac:dyDescent="0.15">
      <c r="A882" s="9"/>
      <c r="B882" s="9"/>
      <c r="C882" s="78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</row>
    <row r="883" spans="1:25" ht="26.25" customHeight="1" x14ac:dyDescent="0.15">
      <c r="A883" s="9"/>
      <c r="B883" s="9"/>
      <c r="C883" s="78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</row>
    <row r="884" spans="1:25" ht="26.25" customHeight="1" x14ac:dyDescent="0.15">
      <c r="A884" s="9"/>
      <c r="B884" s="9"/>
      <c r="C884" s="78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</row>
    <row r="885" spans="1:25" ht="26.25" customHeight="1" x14ac:dyDescent="0.15">
      <c r="A885" s="9"/>
      <c r="B885" s="9"/>
      <c r="C885" s="78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</row>
    <row r="886" spans="1:25" ht="26.25" customHeight="1" x14ac:dyDescent="0.15">
      <c r="A886" s="9"/>
      <c r="B886" s="9"/>
      <c r="C886" s="78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</row>
    <row r="887" spans="1:25" ht="26.25" customHeight="1" x14ac:dyDescent="0.15">
      <c r="A887" s="9"/>
      <c r="B887" s="9"/>
      <c r="C887" s="78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</row>
    <row r="888" spans="1:25" ht="26.25" customHeight="1" x14ac:dyDescent="0.15">
      <c r="A888" s="9"/>
      <c r="B888" s="9"/>
      <c r="C888" s="78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</row>
    <row r="889" spans="1:25" ht="26.25" customHeight="1" x14ac:dyDescent="0.15">
      <c r="A889" s="9"/>
      <c r="B889" s="9"/>
      <c r="C889" s="78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</row>
    <row r="890" spans="1:25" ht="26.25" customHeight="1" x14ac:dyDescent="0.15">
      <c r="A890" s="9"/>
      <c r="B890" s="9"/>
      <c r="C890" s="78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</row>
    <row r="891" spans="1:25" ht="26.25" customHeight="1" x14ac:dyDescent="0.15">
      <c r="A891" s="9"/>
      <c r="B891" s="9"/>
      <c r="C891" s="78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</row>
    <row r="892" spans="1:25" ht="26.25" customHeight="1" x14ac:dyDescent="0.15">
      <c r="A892" s="9"/>
      <c r="B892" s="9"/>
      <c r="C892" s="78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</row>
    <row r="893" spans="1:25" ht="26.25" customHeight="1" x14ac:dyDescent="0.15">
      <c r="A893" s="9"/>
      <c r="B893" s="9"/>
      <c r="C893" s="78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</row>
    <row r="894" spans="1:25" ht="26.25" customHeight="1" x14ac:dyDescent="0.15">
      <c r="A894" s="9"/>
      <c r="B894" s="9"/>
      <c r="C894" s="78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</row>
    <row r="895" spans="1:25" ht="26.25" customHeight="1" x14ac:dyDescent="0.15">
      <c r="A895" s="9"/>
      <c r="B895" s="9"/>
      <c r="C895" s="78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</row>
    <row r="896" spans="1:25" ht="26.25" customHeight="1" x14ac:dyDescent="0.15">
      <c r="A896" s="9"/>
      <c r="B896" s="9"/>
      <c r="C896" s="78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</row>
    <row r="897" spans="1:25" ht="26.25" customHeight="1" x14ac:dyDescent="0.15">
      <c r="A897" s="9"/>
      <c r="B897" s="9"/>
      <c r="C897" s="78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</row>
    <row r="898" spans="1:25" ht="26.25" customHeight="1" x14ac:dyDescent="0.15">
      <c r="A898" s="9"/>
      <c r="B898" s="9"/>
      <c r="C898" s="78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</row>
    <row r="899" spans="1:25" ht="26.25" customHeight="1" x14ac:dyDescent="0.15">
      <c r="A899" s="9"/>
      <c r="B899" s="9"/>
      <c r="C899" s="78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</row>
    <row r="900" spans="1:25" ht="26.25" customHeight="1" x14ac:dyDescent="0.15">
      <c r="A900" s="9"/>
      <c r="B900" s="9"/>
      <c r="C900" s="78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</row>
    <row r="901" spans="1:25" ht="26.25" customHeight="1" x14ac:dyDescent="0.15">
      <c r="A901" s="9"/>
      <c r="B901" s="9"/>
      <c r="C901" s="78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</row>
    <row r="902" spans="1:25" ht="26.25" customHeight="1" x14ac:dyDescent="0.15">
      <c r="A902" s="9"/>
      <c r="B902" s="9"/>
      <c r="C902" s="78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</row>
    <row r="903" spans="1:25" ht="26.25" customHeight="1" x14ac:dyDescent="0.15">
      <c r="A903" s="9"/>
      <c r="B903" s="9"/>
      <c r="C903" s="78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</row>
    <row r="904" spans="1:25" ht="26.25" customHeight="1" x14ac:dyDescent="0.15">
      <c r="A904" s="9"/>
      <c r="B904" s="9"/>
      <c r="C904" s="78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</row>
    <row r="905" spans="1:25" ht="26.25" customHeight="1" x14ac:dyDescent="0.15">
      <c r="A905" s="9"/>
      <c r="B905" s="9"/>
      <c r="C905" s="78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</row>
    <row r="906" spans="1:25" ht="26.25" customHeight="1" x14ac:dyDescent="0.15">
      <c r="A906" s="9"/>
      <c r="B906" s="9"/>
      <c r="C906" s="78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</row>
    <row r="907" spans="1:25" ht="26.25" customHeight="1" x14ac:dyDescent="0.15">
      <c r="A907" s="9"/>
      <c r="B907" s="9"/>
      <c r="C907" s="78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</row>
    <row r="908" spans="1:25" ht="26.25" customHeight="1" x14ac:dyDescent="0.15">
      <c r="A908" s="9"/>
      <c r="B908" s="9"/>
      <c r="C908" s="78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</row>
    <row r="909" spans="1:25" ht="26.25" customHeight="1" x14ac:dyDescent="0.15">
      <c r="A909" s="9"/>
      <c r="B909" s="9"/>
      <c r="C909" s="78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</row>
    <row r="910" spans="1:25" ht="26.25" customHeight="1" x14ac:dyDescent="0.15">
      <c r="A910" s="9"/>
      <c r="B910" s="9"/>
      <c r="C910" s="78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</row>
    <row r="911" spans="1:25" ht="26.25" customHeight="1" x14ac:dyDescent="0.15">
      <c r="A911" s="9"/>
      <c r="B911" s="9"/>
      <c r="C911" s="78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</row>
    <row r="912" spans="1:25" ht="26.25" customHeight="1" x14ac:dyDescent="0.15">
      <c r="A912" s="9"/>
      <c r="B912" s="9"/>
      <c r="C912" s="78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</row>
    <row r="913" spans="1:25" ht="26.25" customHeight="1" x14ac:dyDescent="0.15">
      <c r="A913" s="9"/>
      <c r="B913" s="9"/>
      <c r="C913" s="78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</row>
    <row r="914" spans="1:25" ht="26.25" customHeight="1" x14ac:dyDescent="0.15">
      <c r="A914" s="9"/>
      <c r="B914" s="9"/>
      <c r="C914" s="78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</row>
    <row r="915" spans="1:25" ht="26.25" customHeight="1" x14ac:dyDescent="0.15">
      <c r="A915" s="9"/>
      <c r="B915" s="9"/>
      <c r="C915" s="78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</row>
    <row r="916" spans="1:25" ht="26.25" customHeight="1" x14ac:dyDescent="0.15">
      <c r="A916" s="9"/>
      <c r="B916" s="9"/>
      <c r="C916" s="78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</row>
    <row r="917" spans="1:25" ht="26.25" customHeight="1" x14ac:dyDescent="0.15">
      <c r="A917" s="9"/>
      <c r="B917" s="9"/>
      <c r="C917" s="78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</row>
    <row r="918" spans="1:25" ht="26.25" customHeight="1" x14ac:dyDescent="0.15">
      <c r="A918" s="9"/>
      <c r="B918" s="9"/>
      <c r="C918" s="78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</row>
    <row r="919" spans="1:25" ht="26.25" customHeight="1" x14ac:dyDescent="0.15">
      <c r="A919" s="9"/>
      <c r="B919" s="9"/>
      <c r="C919" s="78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</row>
    <row r="920" spans="1:25" ht="26.25" customHeight="1" x14ac:dyDescent="0.15">
      <c r="A920" s="9"/>
      <c r="B920" s="9"/>
      <c r="C920" s="78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</row>
    <row r="921" spans="1:25" ht="26.25" customHeight="1" x14ac:dyDescent="0.15">
      <c r="A921" s="9"/>
      <c r="B921" s="9"/>
      <c r="C921" s="78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</row>
    <row r="922" spans="1:25" ht="26.25" customHeight="1" x14ac:dyDescent="0.15">
      <c r="A922" s="9"/>
      <c r="B922" s="9"/>
      <c r="C922" s="78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</row>
    <row r="923" spans="1:25" ht="26.25" customHeight="1" x14ac:dyDescent="0.15">
      <c r="A923" s="9"/>
      <c r="B923" s="9"/>
      <c r="C923" s="78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</row>
    <row r="924" spans="1:25" ht="26.25" customHeight="1" x14ac:dyDescent="0.15">
      <c r="A924" s="9"/>
      <c r="B924" s="9"/>
      <c r="C924" s="78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</row>
    <row r="925" spans="1:25" ht="26.25" customHeight="1" x14ac:dyDescent="0.15">
      <c r="A925" s="9"/>
      <c r="B925" s="9"/>
      <c r="C925" s="78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</row>
    <row r="926" spans="1:25" ht="26.25" customHeight="1" x14ac:dyDescent="0.15">
      <c r="A926" s="9"/>
      <c r="B926" s="9"/>
      <c r="C926" s="78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</row>
    <row r="927" spans="1:25" ht="26.25" customHeight="1" x14ac:dyDescent="0.15">
      <c r="A927" s="9"/>
      <c r="B927" s="9"/>
      <c r="C927" s="78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</row>
    <row r="928" spans="1:25" ht="26.25" customHeight="1" x14ac:dyDescent="0.15">
      <c r="A928" s="9"/>
      <c r="B928" s="9"/>
      <c r="C928" s="78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</row>
    <row r="929" spans="1:25" ht="26.25" customHeight="1" x14ac:dyDescent="0.15">
      <c r="A929" s="9"/>
      <c r="B929" s="9"/>
      <c r="C929" s="78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</row>
    <row r="930" spans="1:25" ht="26.25" customHeight="1" x14ac:dyDescent="0.15">
      <c r="A930" s="9"/>
      <c r="B930" s="9"/>
      <c r="C930" s="78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</row>
    <row r="931" spans="1:25" ht="26.25" customHeight="1" x14ac:dyDescent="0.15">
      <c r="A931" s="9"/>
      <c r="B931" s="9"/>
      <c r="C931" s="78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</row>
    <row r="932" spans="1:25" ht="26.25" customHeight="1" x14ac:dyDescent="0.15">
      <c r="A932" s="9"/>
      <c r="B932" s="9"/>
      <c r="C932" s="78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</row>
    <row r="933" spans="1:25" ht="26.25" customHeight="1" x14ac:dyDescent="0.15">
      <c r="A933" s="9"/>
      <c r="B933" s="9"/>
      <c r="C933" s="78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</row>
    <row r="934" spans="1:25" ht="26.25" customHeight="1" x14ac:dyDescent="0.15">
      <c r="A934" s="9"/>
      <c r="B934" s="9"/>
      <c r="C934" s="78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</row>
    <row r="935" spans="1:25" ht="26.25" customHeight="1" x14ac:dyDescent="0.15">
      <c r="A935" s="9"/>
      <c r="B935" s="9"/>
      <c r="C935" s="78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</row>
    <row r="936" spans="1:25" ht="26.25" customHeight="1" x14ac:dyDescent="0.15">
      <c r="A936" s="9"/>
      <c r="B936" s="9"/>
      <c r="C936" s="78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</row>
    <row r="937" spans="1:25" ht="26.25" customHeight="1" x14ac:dyDescent="0.15">
      <c r="A937" s="9"/>
      <c r="B937" s="9"/>
      <c r="C937" s="78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</row>
    <row r="938" spans="1:25" ht="26.25" customHeight="1" x14ac:dyDescent="0.15">
      <c r="A938" s="9"/>
      <c r="B938" s="9"/>
      <c r="C938" s="78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</row>
    <row r="939" spans="1:25" ht="26.25" customHeight="1" x14ac:dyDescent="0.15">
      <c r="A939" s="9"/>
      <c r="B939" s="9"/>
      <c r="C939" s="78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</row>
    <row r="940" spans="1:25" ht="26.25" customHeight="1" x14ac:dyDescent="0.15">
      <c r="A940" s="9"/>
      <c r="B940" s="9"/>
      <c r="C940" s="78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</row>
    <row r="941" spans="1:25" ht="26.25" customHeight="1" x14ac:dyDescent="0.15">
      <c r="A941" s="9"/>
      <c r="B941" s="9"/>
      <c r="C941" s="78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</row>
    <row r="942" spans="1:25" ht="26.25" customHeight="1" x14ac:dyDescent="0.15">
      <c r="A942" s="9"/>
      <c r="B942" s="9"/>
      <c r="C942" s="78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</row>
    <row r="943" spans="1:25" ht="26.25" customHeight="1" x14ac:dyDescent="0.15">
      <c r="A943" s="9"/>
      <c r="B943" s="9"/>
      <c r="C943" s="78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</row>
    <row r="944" spans="1:25" ht="26.25" customHeight="1" x14ac:dyDescent="0.15">
      <c r="A944" s="9"/>
      <c r="B944" s="9"/>
      <c r="C944" s="78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</row>
    <row r="945" spans="1:25" ht="26.25" customHeight="1" x14ac:dyDescent="0.15">
      <c r="A945" s="9"/>
      <c r="B945" s="9"/>
      <c r="C945" s="78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</row>
    <row r="946" spans="1:25" ht="26.25" customHeight="1" x14ac:dyDescent="0.15">
      <c r="A946" s="9"/>
      <c r="B946" s="9"/>
      <c r="C946" s="78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</row>
    <row r="947" spans="1:25" ht="26.25" customHeight="1" x14ac:dyDescent="0.15">
      <c r="A947" s="9"/>
      <c r="B947" s="9"/>
      <c r="C947" s="78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</row>
    <row r="948" spans="1:25" ht="26.25" customHeight="1" x14ac:dyDescent="0.15">
      <c r="A948" s="9"/>
      <c r="B948" s="9"/>
      <c r="C948" s="78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</row>
    <row r="949" spans="1:25" ht="26.25" customHeight="1" x14ac:dyDescent="0.15">
      <c r="A949" s="9"/>
      <c r="B949" s="9"/>
      <c r="C949" s="78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</row>
    <row r="950" spans="1:25" ht="26.25" customHeight="1" x14ac:dyDescent="0.15">
      <c r="A950" s="9"/>
      <c r="B950" s="9"/>
      <c r="C950" s="78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</row>
    <row r="951" spans="1:25" ht="26.25" customHeight="1" x14ac:dyDescent="0.15">
      <c r="A951" s="9"/>
      <c r="B951" s="9"/>
      <c r="C951" s="78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</row>
    <row r="952" spans="1:25" ht="26.25" customHeight="1" x14ac:dyDescent="0.15">
      <c r="A952" s="9"/>
      <c r="B952" s="9"/>
      <c r="C952" s="78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</row>
    <row r="953" spans="1:25" ht="26.25" customHeight="1" x14ac:dyDescent="0.15">
      <c r="A953" s="9"/>
      <c r="B953" s="9"/>
      <c r="C953" s="78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</row>
    <row r="954" spans="1:25" ht="26.25" customHeight="1" x14ac:dyDescent="0.15">
      <c r="A954" s="9"/>
      <c r="B954" s="9"/>
      <c r="C954" s="78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</row>
    <row r="955" spans="1:25" ht="26.25" customHeight="1" x14ac:dyDescent="0.15">
      <c r="A955" s="9"/>
      <c r="B955" s="9"/>
      <c r="C955" s="78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</row>
    <row r="956" spans="1:25" ht="26.25" customHeight="1" x14ac:dyDescent="0.15">
      <c r="A956" s="9"/>
      <c r="B956" s="9"/>
      <c r="C956" s="78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</row>
    <row r="957" spans="1:25" ht="26.25" customHeight="1" x14ac:dyDescent="0.15">
      <c r="A957" s="9"/>
      <c r="B957" s="9"/>
      <c r="C957" s="78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</row>
    <row r="958" spans="1:25" ht="26.25" customHeight="1" x14ac:dyDescent="0.15">
      <c r="A958" s="9"/>
      <c r="B958" s="9"/>
      <c r="C958" s="78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</row>
    <row r="959" spans="1:25" ht="26.25" customHeight="1" x14ac:dyDescent="0.15">
      <c r="A959" s="9"/>
      <c r="B959" s="9"/>
      <c r="C959" s="78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</row>
    <row r="960" spans="1:25" ht="26.25" customHeight="1" x14ac:dyDescent="0.15">
      <c r="A960" s="9"/>
      <c r="B960" s="9"/>
      <c r="C960" s="78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</row>
    <row r="961" spans="1:25" ht="26.25" customHeight="1" x14ac:dyDescent="0.15">
      <c r="A961" s="9"/>
      <c r="B961" s="9"/>
      <c r="C961" s="78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</row>
    <row r="962" spans="1:25" ht="26.25" customHeight="1" x14ac:dyDescent="0.15">
      <c r="A962" s="9"/>
      <c r="B962" s="9"/>
      <c r="C962" s="78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</row>
    <row r="963" spans="1:25" ht="26.25" customHeight="1" x14ac:dyDescent="0.15">
      <c r="A963" s="9"/>
      <c r="B963" s="9"/>
      <c r="C963" s="78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</row>
    <row r="964" spans="1:25" ht="26.25" customHeight="1" x14ac:dyDescent="0.15">
      <c r="A964" s="9"/>
      <c r="B964" s="9"/>
      <c r="C964" s="78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</row>
    <row r="965" spans="1:25" ht="26.25" customHeight="1" x14ac:dyDescent="0.15">
      <c r="A965" s="9"/>
      <c r="B965" s="9"/>
      <c r="C965" s="78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</row>
    <row r="966" spans="1:25" ht="26.25" customHeight="1" x14ac:dyDescent="0.15">
      <c r="A966" s="9"/>
      <c r="B966" s="9"/>
      <c r="C966" s="78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</row>
    <row r="967" spans="1:25" ht="26.25" customHeight="1" x14ac:dyDescent="0.15">
      <c r="A967" s="9"/>
      <c r="B967" s="9"/>
      <c r="C967" s="78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</row>
    <row r="968" spans="1:25" ht="26.25" customHeight="1" x14ac:dyDescent="0.15">
      <c r="A968" s="9"/>
      <c r="B968" s="9"/>
      <c r="C968" s="78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</row>
    <row r="969" spans="1:25" ht="26.25" customHeight="1" x14ac:dyDescent="0.15">
      <c r="A969" s="9"/>
      <c r="B969" s="9"/>
      <c r="C969" s="78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</row>
    <row r="970" spans="1:25" ht="26.25" customHeight="1" x14ac:dyDescent="0.15">
      <c r="A970" s="9"/>
      <c r="B970" s="9"/>
      <c r="C970" s="78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</row>
    <row r="971" spans="1:25" ht="26.25" customHeight="1" x14ac:dyDescent="0.15">
      <c r="A971" s="9"/>
      <c r="B971" s="9"/>
      <c r="C971" s="78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</row>
    <row r="972" spans="1:25" ht="26.25" customHeight="1" x14ac:dyDescent="0.15">
      <c r="A972" s="9"/>
      <c r="B972" s="9"/>
      <c r="C972" s="78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</row>
    <row r="973" spans="1:25" ht="26.25" customHeight="1" x14ac:dyDescent="0.15">
      <c r="A973" s="9"/>
      <c r="B973" s="9"/>
      <c r="C973" s="78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</row>
    <row r="974" spans="1:25" ht="26.25" customHeight="1" x14ac:dyDescent="0.15">
      <c r="A974" s="9"/>
      <c r="B974" s="9"/>
      <c r="C974" s="78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</row>
    <row r="975" spans="1:25" ht="26.25" customHeight="1" x14ac:dyDescent="0.15">
      <c r="A975" s="9"/>
      <c r="B975" s="9"/>
      <c r="C975" s="78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</row>
    <row r="976" spans="1:25" ht="26.25" customHeight="1" x14ac:dyDescent="0.15">
      <c r="A976" s="9"/>
      <c r="B976" s="9"/>
      <c r="C976" s="78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</row>
    <row r="977" spans="1:25" ht="26.25" customHeight="1" x14ac:dyDescent="0.15">
      <c r="A977" s="9"/>
      <c r="B977" s="9"/>
      <c r="C977" s="78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</row>
    <row r="978" spans="1:25" ht="26.25" customHeight="1" x14ac:dyDescent="0.15">
      <c r="A978" s="9"/>
      <c r="B978" s="9"/>
      <c r="C978" s="78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</row>
    <row r="979" spans="1:25" ht="26.25" customHeight="1" x14ac:dyDescent="0.15">
      <c r="A979" s="9"/>
      <c r="B979" s="9"/>
      <c r="C979" s="78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</row>
    <row r="980" spans="1:25" ht="26.25" customHeight="1" x14ac:dyDescent="0.15">
      <c r="A980" s="9"/>
      <c r="B980" s="9"/>
      <c r="C980" s="78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</row>
    <row r="981" spans="1:25" ht="26.25" customHeight="1" x14ac:dyDescent="0.15">
      <c r="A981" s="9"/>
      <c r="B981" s="9"/>
      <c r="C981" s="78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</row>
    <row r="982" spans="1:25" ht="26.25" customHeight="1" x14ac:dyDescent="0.15">
      <c r="A982" s="9"/>
      <c r="B982" s="9"/>
      <c r="C982" s="78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</row>
    <row r="983" spans="1:25" ht="26.25" customHeight="1" x14ac:dyDescent="0.15">
      <c r="A983" s="9"/>
      <c r="B983" s="9"/>
      <c r="C983" s="78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</row>
    <row r="984" spans="1:25" ht="26.25" customHeight="1" x14ac:dyDescent="0.15">
      <c r="A984" s="9"/>
      <c r="B984" s="9"/>
      <c r="C984" s="78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</row>
    <row r="985" spans="1:25" ht="26.25" customHeight="1" x14ac:dyDescent="0.15">
      <c r="A985" s="9"/>
      <c r="B985" s="9"/>
      <c r="C985" s="78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</row>
    <row r="986" spans="1:25" ht="26.25" customHeight="1" x14ac:dyDescent="0.15">
      <c r="A986" s="9"/>
      <c r="B986" s="9"/>
      <c r="C986" s="78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</row>
    <row r="987" spans="1:25" ht="26.25" customHeight="1" x14ac:dyDescent="0.15">
      <c r="A987" s="9"/>
      <c r="B987" s="9"/>
      <c r="C987" s="78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</row>
    <row r="988" spans="1:25" ht="26.25" customHeight="1" x14ac:dyDescent="0.15">
      <c r="A988" s="9"/>
      <c r="B988" s="9"/>
      <c r="C988" s="78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</row>
    <row r="989" spans="1:25" ht="26.25" customHeight="1" x14ac:dyDescent="0.15">
      <c r="A989" s="9"/>
      <c r="B989" s="9"/>
      <c r="C989" s="78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</row>
    <row r="990" spans="1:25" ht="26.25" customHeight="1" x14ac:dyDescent="0.15">
      <c r="A990" s="9"/>
      <c r="B990" s="9"/>
      <c r="C990" s="78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</row>
    <row r="991" spans="1:25" ht="26.25" customHeight="1" x14ac:dyDescent="0.15">
      <c r="A991" s="9"/>
      <c r="B991" s="9"/>
      <c r="C991" s="78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</row>
    <row r="992" spans="1:25" ht="26.25" customHeight="1" x14ac:dyDescent="0.15">
      <c r="A992" s="9"/>
      <c r="B992" s="9"/>
      <c r="C992" s="78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</row>
    <row r="993" spans="1:25" ht="26.25" customHeight="1" x14ac:dyDescent="0.15">
      <c r="A993" s="9"/>
      <c r="B993" s="9"/>
      <c r="C993" s="78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</row>
    <row r="994" spans="1:25" ht="26.25" customHeight="1" x14ac:dyDescent="0.15">
      <c r="A994" s="9"/>
      <c r="B994" s="9"/>
      <c r="C994" s="78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</row>
    <row r="995" spans="1:25" ht="26.25" customHeight="1" x14ac:dyDescent="0.15">
      <c r="A995" s="9"/>
      <c r="B995" s="9"/>
      <c r="C995" s="78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</row>
    <row r="996" spans="1:25" ht="26.25" customHeight="1" x14ac:dyDescent="0.15">
      <c r="A996" s="9"/>
      <c r="B996" s="9"/>
      <c r="C996" s="78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</row>
  </sheetData>
  <hyperlinks>
    <hyperlink ref="K2" r:id="rId1" display="https://drive.google.com/open?id=14eo9gXW8eOYIUYK44iYmyknAgotMtBCt" xr:uid="{00000000-0004-0000-0500-000000000000}"/>
    <hyperlink ref="K3" r:id="rId2" display="https://drive.google.com/open?id=17F5rPbYSDTPITykm_JNA5_0jp_oZ9XnU" xr:uid="{00000000-0004-0000-0500-000001000000}"/>
    <hyperlink ref="K4" r:id="rId3" display="https://drive.google.com/open?id=1gwdqE6sXsNJcPK7gyGzJeWLjYnJvNtJD" xr:uid="{00000000-0004-0000-0500-000002000000}"/>
    <hyperlink ref="K5" r:id="rId4" display="https://drive.google.com/open?id=1e27Wps8S69r38ou72yivHyRDm3jqGar8" xr:uid="{00000000-0004-0000-0500-000003000000}"/>
    <hyperlink ref="K6" r:id="rId5" display="https://drive.google.com/open?id=1B4eqhT6xtlTOUszrwY6nfoBTshlHSD4l" xr:uid="{00000000-0004-0000-0500-000004000000}"/>
    <hyperlink ref="K7" r:id="rId6" display="https://drive.google.com/open?id=10uhrouQE2aJzqQfW3d72BRVy0pAyt6B0" xr:uid="{00000000-0004-0000-0500-000005000000}"/>
    <hyperlink ref="K8" r:id="rId7" display="https://drive.google.com/open?id=1Mac7rF7rgHOPwkrJYolg2b5WVbaFmM4I" xr:uid="{00000000-0004-0000-0500-000006000000}"/>
    <hyperlink ref="K9" r:id="rId8" display="https://drive.google.com/open?id=1sfxhRoYOsW8VWhJuHLcbG3HvHaFmXux_" xr:uid="{00000000-0004-0000-0500-000007000000}"/>
    <hyperlink ref="K10" r:id="rId9" display="https://drive.google.com/open?id=1KqskbhHVrDUN2HojQEHtK5JZwT3Tmxoz" xr:uid="{00000000-0004-0000-0500-000008000000}"/>
    <hyperlink ref="K11" r:id="rId10" display="https://drive.google.com/open?id=1cIMtORVa3wnEsp897bTMvo0w3xH7ckoV" xr:uid="{00000000-0004-0000-0500-000009000000}"/>
    <hyperlink ref="K12" r:id="rId11" display="https://drive.google.com/open?id=1u3KBvWfE8m3AhT0STmxwE86UySa-Bsr1" xr:uid="{00000000-0004-0000-0500-00000A000000}"/>
    <hyperlink ref="K13" r:id="rId12" display="https://drive.google.com/open?id=1kdGC3HxK8cyPhg5MkQpXA8YVXgwBKdYF" xr:uid="{00000000-0004-0000-0500-00000B000000}"/>
    <hyperlink ref="K14" r:id="rId13" display="https://drive.google.com/open?id=1TQNt9O5qvayRmvqgmj3pkfr5flOfdDtl" xr:uid="{00000000-0004-0000-0500-00000C000000}"/>
    <hyperlink ref="K15" r:id="rId14" display="https://drive.google.com/open?id=1oq2V-UqMhKBxHOEtz1AKdg2zDHkd5tBq" xr:uid="{00000000-0004-0000-0500-00000D000000}"/>
    <hyperlink ref="K16" r:id="rId15" display="https://drive.google.com/open?id=13TAkbd6WvVwYJiXluYi4yvFFwTDCz6uT" xr:uid="{00000000-0004-0000-0500-00000E000000}"/>
    <hyperlink ref="K17" r:id="rId16" display="https://drive.google.com/open?id=1ig_8iP1h4iycn08YAtmzeVSpDUbm7gtY" xr:uid="{00000000-0004-0000-0500-00000F000000}"/>
    <hyperlink ref="K18" r:id="rId17" display="https://drive.google.com/open?id=1FEcFbJNoMZeOSZ2XRUcnIxmPYpN1mJKR" xr:uid="{00000000-0004-0000-0500-000010000000}"/>
    <hyperlink ref="K19" r:id="rId18" display="https://drive.google.com/open?id=1Jb6MGZ2hFrOwp_ZbSYhLyHoB_QRaMyRJ" xr:uid="{00000000-0004-0000-0500-000011000000}"/>
    <hyperlink ref="K20" r:id="rId19" display="https://drive.google.com/open?id=1o97LtgjQqJ36vf4k-pOxjw_spMpmlq0J" xr:uid="{00000000-0004-0000-0500-000012000000}"/>
    <hyperlink ref="K21" r:id="rId20" display="https://drive.google.com/open?id=1TygJTBULgKD7q8GeQR5toar9zOHjDVEh" xr:uid="{00000000-0004-0000-0500-000013000000}"/>
    <hyperlink ref="K22" r:id="rId21" display="https://drive.google.com/open?id=1nfPh1Cv_7Q_0fIvYBaESrOMN0havByVR" xr:uid="{00000000-0004-0000-0500-000014000000}"/>
    <hyperlink ref="K23" r:id="rId22" display="https://drive.google.com/open?id=1XowCNI-6kjv_bJYJ1OROc-hXPvbArvwA" xr:uid="{00000000-0004-0000-0500-000015000000}"/>
    <hyperlink ref="K24" r:id="rId23" display="https://drive.google.com/open?id=1ScZ7IOZPdhhfDJUXPF-CMEI1xDbJyAAv" xr:uid="{00000000-0004-0000-0500-000016000000}"/>
    <hyperlink ref="K25" r:id="rId24" display="https://drive.google.com/open?id=1302qP7fBAPWTJKjCTBqpo-demIxhqNXY" xr:uid="{00000000-0004-0000-0500-000017000000}"/>
    <hyperlink ref="K26" r:id="rId25" display="https://drive.google.com/open?id=1Eri7YtVm9NkUJ8-580CvasGTHTCxPe_F" xr:uid="{00000000-0004-0000-0500-000018000000}"/>
    <hyperlink ref="K27" r:id="rId26" display="https://drive.google.com/open?id=1nCmT-2MVzYJ2cSjKXQ-RXQr60oPUlD_K" xr:uid="{00000000-0004-0000-0500-000019000000}"/>
    <hyperlink ref="K28" r:id="rId27" display="https://drive.google.com/open?id=1_fCZDqKNIBX0w3m-dkaM6PGiYSEGIZC1" xr:uid="{00000000-0004-0000-0500-00001A000000}"/>
    <hyperlink ref="K29" r:id="rId28" display="https://drive.google.com/open?id=1jyPW79fPV6fSlK6LANHzYP9sopxjR-lO" xr:uid="{00000000-0004-0000-0500-00001B000000}"/>
    <hyperlink ref="K30" r:id="rId29" display="https://drive.google.com/open?id=1qLwO9j6QWJqkrVFTFe1r7bBOvBWyxMrR" xr:uid="{00000000-0004-0000-0500-00001C000000}"/>
    <hyperlink ref="K31" r:id="rId30" display="https://drive.google.com/open?id=1xi_3_KryNHfhuwsF0rmwH-Qd-mqYuTLU" xr:uid="{00000000-0004-0000-0500-00001D000000}"/>
    <hyperlink ref="K32" r:id="rId31" display="https://drive.google.com/open?id=1y5dyz-4_Rx96Ob2UHhlEn0uTeO_arITJ" xr:uid="{00000000-0004-0000-0500-00001E000000}"/>
    <hyperlink ref="K33" r:id="rId32" display="https://drive.google.com/open?id=1GoETtWDzIgW_oAaP0040Hr6PSwh-t3GB" xr:uid="{00000000-0004-0000-0500-00001F000000}"/>
    <hyperlink ref="K34" r:id="rId33" display="https://drive.google.com/open?id=11rW9SYSxFKwYAVVe4rjhiUeQzmiKRoi5" xr:uid="{00000000-0004-0000-0500-000020000000}"/>
    <hyperlink ref="K35" r:id="rId34" display="https://drive.google.com/open?id=1FbWAOVoOljNV934Luz8kVJsk5CN-9IFP" xr:uid="{00000000-0004-0000-0500-000021000000}"/>
    <hyperlink ref="K36" r:id="rId35" display="https://drive.google.com/open?id=1QJRz-EbuXy_d6ZWpHTsrEjjdIKElpk0-" xr:uid="{00000000-0004-0000-0500-000022000000}"/>
    <hyperlink ref="K37" r:id="rId36" display="https://drive.google.com/open?id=1nv45MlqTCMcGUrLqupfue2-EpTWrTG8c" xr:uid="{00000000-0004-0000-0500-000023000000}"/>
    <hyperlink ref="K38" r:id="rId37" display="https://drive.google.com/open?id=1x3HYhUw40jhSMb8RRJ3qW95BZmPslygK" xr:uid="{00000000-0004-0000-0500-000024000000}"/>
    <hyperlink ref="K39" r:id="rId38" display="https://drive.google.com/open?id=1cPx_WF0s9doUfM1_GkZe3bOU5GdjrSt5" xr:uid="{00000000-0004-0000-0500-000025000000}"/>
    <hyperlink ref="K40" r:id="rId39" display="https://drive.google.com/open?id=1yr0kBqoZsc_zc9qQEBxEHDJokNdQsJKu" xr:uid="{00000000-0004-0000-0500-000026000000}"/>
    <hyperlink ref="K41" r:id="rId40" display="https://drive.google.com/open?id=1snLSTDItYM6XqrV7D2RDPUr_OFCaKzBn" xr:uid="{00000000-0004-0000-0500-000027000000}"/>
    <hyperlink ref="K42" r:id="rId41" display="https://drive.google.com/open?id=1DXcdXzCkOcbyhBhLXOKT4jhAX9XdM3_G" xr:uid="{00000000-0004-0000-0500-000028000000}"/>
    <hyperlink ref="K43" r:id="rId42" display="https://drive.google.com/open?id=17WoFN9WMB3spWhb84feUEwJqfHh35LmO" xr:uid="{00000000-0004-0000-0500-000029000000}"/>
    <hyperlink ref="K44" r:id="rId43" display="https://drive.google.com/open?id=1sQlYEdwj_KjmRMuHxd_Ck5LyLI73v53O" xr:uid="{00000000-0004-0000-0500-00002A000000}"/>
    <hyperlink ref="K45" r:id="rId44" display="https://drive.google.com/open?id=1RxUqwi4Bbgsj0-AYaZjFPewNmTLYF7RM" xr:uid="{00000000-0004-0000-0500-00002B000000}"/>
    <hyperlink ref="K46" r:id="rId45" display="https://drive.google.com/open?id=1rvgWR3i5McsxAnq_-ne6ZbqkJcF31fxr" xr:uid="{00000000-0004-0000-0500-00002C000000}"/>
    <hyperlink ref="K47" r:id="rId46" display="https://drive.google.com/open?id=1bH4XKH46QEMsaBFlfL864MyY17Fp4rhR" xr:uid="{00000000-0004-0000-0500-00002D000000}"/>
    <hyperlink ref="K48" r:id="rId47" display="https://drive.google.com/open?id=1e_2MubAzEkdFujWjr27BAhXJYOS91CyG" xr:uid="{00000000-0004-0000-0500-00002E000000}"/>
    <hyperlink ref="K49" r:id="rId48" display="https://drive.google.com/open?id=1bXQldzL7MuT1C-ThtJPgBjxOiWEm41c6" xr:uid="{00000000-0004-0000-0500-00002F000000}"/>
    <hyperlink ref="K50" r:id="rId49" display="https://drive.google.com/open?id=16P-7gXP6ohJrWg3eywzto-usP9EqpkTz" xr:uid="{00000000-0004-0000-0500-000030000000}"/>
    <hyperlink ref="K51" r:id="rId50" display="https://drive.google.com/open?id=1XFI_7JiumZfW1wC0twlAbqOlOW7O9NH4" xr:uid="{00000000-0004-0000-0500-000031000000}"/>
    <hyperlink ref="K52" r:id="rId51" display="https://drive.google.com/open?id=1jjoaRfGp6aVW5F5X17X0ibtIlEwpilm3" xr:uid="{00000000-0004-0000-0500-000032000000}"/>
    <hyperlink ref="K53" r:id="rId52" display="https://drive.google.com/open?id=1wZ6vEmX8t7uRppb1rzrUDY46gzb-WT52" xr:uid="{00000000-0004-0000-0500-000033000000}"/>
    <hyperlink ref="K54" r:id="rId53" display="https://drive.google.com/open?id=1lZco-aVK73UFtLeAGDTmSu_dhNTddkX_" xr:uid="{00000000-0004-0000-0500-000034000000}"/>
    <hyperlink ref="K55" r:id="rId54" display="https://drive.google.com/open?id=1juW1leyKoY2adY4coW49zQc9Xn91Wi_l" xr:uid="{00000000-0004-0000-0500-000035000000}"/>
    <hyperlink ref="K56" r:id="rId55" display="https://drive.google.com/open?id=1mnD5N7GnMRQCd8jftZCsJHHiDgkeDE3Q" xr:uid="{00000000-0004-0000-0500-000036000000}"/>
    <hyperlink ref="K57" r:id="rId56" display="https://drive.google.com/open?id=127AW0C839nzZAdcqYaMw-UrY4OUnaC49" xr:uid="{00000000-0004-0000-0500-000037000000}"/>
    <hyperlink ref="K58" r:id="rId57" display="https://drive.google.com/open?id=1BmT1EtI1k5GIYrLz2ZgDUKZUyM-VraZb" xr:uid="{00000000-0004-0000-0500-000038000000}"/>
    <hyperlink ref="K59" r:id="rId58" display="https://drive.google.com/open?id=1PaevZzctwiNstawvOgA2hOnh0j81xwO7" xr:uid="{00000000-0004-0000-0500-000039000000}"/>
    <hyperlink ref="K60" r:id="rId59" display="https://drive.google.com/open?id=1BgGg5XwToZYoBNupMBn0U5mPe5X9DExJ" xr:uid="{00000000-0004-0000-0500-00003A000000}"/>
    <hyperlink ref="K61" r:id="rId60" display="https://drive.google.com/open?id=1E8e34JvVoXED8RuuRU8oxi4f1e4Dsafs" xr:uid="{00000000-0004-0000-0500-00003B000000}"/>
    <hyperlink ref="K62" r:id="rId61" display="https://drive.google.com/open?id=1Ym3ufoG5hrPBXiCbrihB5TaL3YXbLlNc" xr:uid="{00000000-0004-0000-0500-00003C000000}"/>
    <hyperlink ref="K63" r:id="rId62" display="https://drive.google.com/open?id=1EqVwWxFgPBJOHvjZA0jScf8rURHuLvfM" xr:uid="{00000000-0004-0000-0500-00003D000000}"/>
    <hyperlink ref="K64" r:id="rId63" display="https://drive.google.com/open?id=1xqCzYUBCGabD8rGLakUdkhtRCClEnZlj" xr:uid="{00000000-0004-0000-0500-00003E000000}"/>
    <hyperlink ref="K65" r:id="rId64" display="https://drive.google.com/open?id=1y973qex__okkEKPhMTgBO-JPj-KbUioj" xr:uid="{00000000-0004-0000-0500-00003F000000}"/>
    <hyperlink ref="K66" r:id="rId65" display="https://drive.google.com/open?id=1OIEpS1he-XvUXsBSIAw6J0qTP92jKwkr" xr:uid="{00000000-0004-0000-0500-000040000000}"/>
    <hyperlink ref="K67" r:id="rId66" display="https://drive.google.com/open?id=1dI8_tPOHSzCb74KkjRi3HCoy2-bfgU5I" xr:uid="{00000000-0004-0000-0500-000041000000}"/>
    <hyperlink ref="K68" r:id="rId67" display="https://drive.google.com/open?id=1GBl0nnG0xx1XN603Yge18K4HSJemYzOJ" xr:uid="{00000000-0004-0000-0500-000042000000}"/>
    <hyperlink ref="K69" r:id="rId68" display="https://drive.google.com/open?id=1sCRyjn5e_QQuDBpkeNhqnyLnFdCEWrBp" xr:uid="{00000000-0004-0000-0500-000043000000}"/>
    <hyperlink ref="K70" r:id="rId69" display="https://drive.google.com/open?id=1hmBDFEQubi1xdeD9NNZO5E6rwOHsO1Ky" xr:uid="{00000000-0004-0000-0500-000044000000}"/>
    <hyperlink ref="K71" r:id="rId70" display="https://drive.google.com/open?id=1weMVHWhGnk2_8xnEmWSlproEiy_09tE9" xr:uid="{00000000-0004-0000-0500-000045000000}"/>
    <hyperlink ref="K72" r:id="rId71" display="https://drive.google.com/open?id=1LdzmjOYq2KIe8nkrqSa5ThZwK1bqixZg" xr:uid="{00000000-0004-0000-0500-000046000000}"/>
    <hyperlink ref="K73" r:id="rId72" display="https://drive.google.com/open?id=15m24HTsvhmCHTfpddNph-bNu08e1k0k_" xr:uid="{00000000-0004-0000-0500-000047000000}"/>
    <hyperlink ref="K74" r:id="rId73" display="https://drive.google.com/open?id=1Ubp8_c4h7akiK0B3O4DqW0FOv0a_NPLu" xr:uid="{00000000-0004-0000-0500-000048000000}"/>
    <hyperlink ref="K75" r:id="rId74" display="https://drive.google.com/open?id=1hWZ3IU_hEzghk26-0Zy6EkmUgvGEumIh" xr:uid="{00000000-0004-0000-0500-000049000000}"/>
    <hyperlink ref="K76" r:id="rId75" display="https://drive.google.com/open?id=17fDZDgI0IUlTGAQR7Oh1MKbR9td1xQNL" xr:uid="{00000000-0004-0000-0500-00004A000000}"/>
    <hyperlink ref="K77" r:id="rId76" display="https://drive.google.com/open?id=1OI6bpCgYEzw1K9uQUhVrnzdx_wk7OzEw" xr:uid="{00000000-0004-0000-0500-00004B000000}"/>
    <hyperlink ref="K78" r:id="rId77" display="https://drive.google.com/open?id=1Iz5WGeW5_Pf7x4xtRu9jFfSAZJGtPWoT" xr:uid="{00000000-0004-0000-0500-00004C000000}"/>
    <hyperlink ref="K79" r:id="rId78" display="https://drive.google.com/open?id=1L1zMhfxTvNoi-qU4SQcbTr004amwsT8L" xr:uid="{00000000-0004-0000-0500-00004D000000}"/>
    <hyperlink ref="K80" r:id="rId79" display="https://drive.google.com/open?id=1vMGLeUrSR3Dh6GgANjUHAzVvzXnuXo0B" xr:uid="{00000000-0004-0000-0500-00004E000000}"/>
    <hyperlink ref="K81" r:id="rId80" display="https://drive.google.com/open?id=1DNSPS149gUyqLMTKWt0qSnJScql9abxN" xr:uid="{00000000-0004-0000-0500-00004F000000}"/>
    <hyperlink ref="K82" r:id="rId81" display="https://drive.google.com/open?id=11O2rotzNzFdvp3cPl2KcpFSbjJsThz21" xr:uid="{00000000-0004-0000-0500-000050000000}"/>
    <hyperlink ref="K83" r:id="rId82" display="https://drive.google.com/open?id=1fSSORdeD8acofYQiHurdHVIzDt6LzyPy" xr:uid="{00000000-0004-0000-0500-000051000000}"/>
    <hyperlink ref="K84" r:id="rId83" display="https://drive.google.com/open?id=157mtY3fc8QYuVIVtyTbeJ4QX-mMTiq2I" xr:uid="{00000000-0004-0000-0500-000052000000}"/>
    <hyperlink ref="K85" r:id="rId84" display="https://drive.google.com/open?id=1PZnuH5tSVB26pRmJlwb2FJMFv4qiaUM3" xr:uid="{00000000-0004-0000-0500-000053000000}"/>
    <hyperlink ref="K86" r:id="rId85" display="https://drive.google.com/open?id=1W3R9v_hup1LUCJiss5p917DRrA5R7EIv" xr:uid="{00000000-0004-0000-0500-000054000000}"/>
    <hyperlink ref="K87" r:id="rId86" display="https://drive.google.com/open?id=14fV7fxncmH55U2ozhPZT7Y_pjan6yvMR" xr:uid="{00000000-0004-0000-0500-000055000000}"/>
    <hyperlink ref="K88" r:id="rId87" display="https://drive.google.com/open?id=1Eh1ZtTa1QnOLiqHCU_Xtc1vAhcsYeqNY" xr:uid="{00000000-0004-0000-0500-000056000000}"/>
    <hyperlink ref="K89" r:id="rId88" display="https://drive.google.com/open?id=1gac_Nud4F4G8I9PCCa9D0Btcm3uOxWZQ" xr:uid="{00000000-0004-0000-0500-000057000000}"/>
    <hyperlink ref="K90" r:id="rId89" display="https://drive.google.com/open?id=1KxtjneWk-xmDymWeFiQvMkzvSpLeO477" xr:uid="{00000000-0004-0000-0500-000058000000}"/>
    <hyperlink ref="K91" r:id="rId90" display="https://drive.google.com/open?id=1lz_Bl-sFcaCSf5bLkeZNU00wIlLysyUY" xr:uid="{00000000-0004-0000-0500-000059000000}"/>
    <hyperlink ref="K92" r:id="rId91" display="https://drive.google.com/open?id=1Xptl1fq8dz1QeoTmoamjU_iN5PqHa11t" xr:uid="{00000000-0004-0000-0500-00005A000000}"/>
    <hyperlink ref="K93" r:id="rId92" display="https://drive.google.com/open?id=1p8mCPDMdTmkYsb9TbiBpyzyVeoOg4PP8" xr:uid="{00000000-0004-0000-0500-00005B000000}"/>
    <hyperlink ref="K94" r:id="rId93" display="https://drive.google.com/open?id=15xS7hw95edEQiA3Z0-2edZvwijii28YG" xr:uid="{00000000-0004-0000-0500-00005C000000}"/>
    <hyperlink ref="K95" r:id="rId94" display="https://drive.google.com/open?id=181GeCtBVogSFrpfprg4RD4Ah_1lWhBn7" xr:uid="{00000000-0004-0000-0500-00005D000000}"/>
    <hyperlink ref="K96" r:id="rId95" display="https://drive.google.com/open?id=1Mty3rxcbLKf2IeeWugKzvR_8RUp42v3Y" xr:uid="{00000000-0004-0000-0500-00005E000000}"/>
    <hyperlink ref="K97" r:id="rId96" display="https://drive.google.com/open?id=12MytZyqxTtur7HDjKk7tzk42J7to-H0B" xr:uid="{00000000-0004-0000-0500-00005F000000}"/>
    <hyperlink ref="K98" r:id="rId97" display="https://drive.google.com/open?id=1rdisy0xDoX3c9uFLxKm_19fszA7Dhi4f" xr:uid="{00000000-0004-0000-0500-000060000000}"/>
    <hyperlink ref="K99" r:id="rId98" display="https://drive.google.com/open?id=1tHgTeOmv4x6dEn_N61Fd6rPcGaAfx2RS" xr:uid="{00000000-0004-0000-0500-000061000000}"/>
    <hyperlink ref="K100" r:id="rId99" display="https://drive.google.com/open?id=1hRUVOirhtpE6w5Buo_hQrdNvEfdzHtBY" xr:uid="{00000000-0004-0000-0500-000062000000}"/>
    <hyperlink ref="K101" r:id="rId100" display="https://drive.google.com/open?id=1h9YhIgUXtK2rBnqbP6g_f9Dx3QrR_pnD" xr:uid="{00000000-0004-0000-0500-000063000000}"/>
    <hyperlink ref="K102" r:id="rId101" display="https://drive.google.com/open?id=1Ya1eh77EFYh1RmxrFdj0Bgk9t3YDTADS" xr:uid="{00000000-0004-0000-0500-000064000000}"/>
    <hyperlink ref="K103" r:id="rId102" display="https://drive.google.com/open?id=140nJceU32DcUPhZT_yhidWWeYTPZkYVC" xr:uid="{00000000-0004-0000-0500-000065000000}"/>
    <hyperlink ref="K104" r:id="rId103" display="https://drive.google.com/open?id=1Yf2zDUoI8_xkNYtSbliWFcbfmxkzIlSp" xr:uid="{00000000-0004-0000-0500-000066000000}"/>
    <hyperlink ref="K105" r:id="rId104" display="https://drive.google.com/open?id=1VKlnt2b-FZFjBtRvA1PX9qSc4nwCLvid" xr:uid="{00000000-0004-0000-0500-000067000000}"/>
    <hyperlink ref="K106" r:id="rId105" display="https://drive.google.com/open?id=1-7cOBptRB-DD8CcNF69wOnEx9CBw8ZuN" xr:uid="{00000000-0004-0000-0500-000068000000}"/>
    <hyperlink ref="K107" r:id="rId106" display="https://drive.google.com/open?id=1rafPhd2JGq6PbQEtzK_z-f8bXhTqly8M" xr:uid="{00000000-0004-0000-0500-000069000000}"/>
    <hyperlink ref="K108" r:id="rId107" display="https://drive.google.com/open?id=13C09EPcX1B9VGsXLB2h1XTf93qbuA80k" xr:uid="{00000000-0004-0000-0500-00006A000000}"/>
    <hyperlink ref="K109" r:id="rId108" display="https://drive.google.com/open?id=1IWEHEfz3lbGYZAmHqbWoBE51TIggD5nL" xr:uid="{00000000-0004-0000-0500-00006B000000}"/>
    <hyperlink ref="K110" r:id="rId109" display="https://drive.google.com/open?id=1JY06WZOLqu14PhonWHVOlvTMYjZ6411P" xr:uid="{00000000-0004-0000-0500-00006C000000}"/>
    <hyperlink ref="K111" r:id="rId110" display="https://drive.google.com/open?id=1byWGeZTZx-0YwRF5T9ijQuTz8yqdfnDb" xr:uid="{00000000-0004-0000-0500-00006D000000}"/>
    <hyperlink ref="K112" r:id="rId111" display="https://drive.google.com/open?id=1Xt0pIDVap4OLOIehCGYbKilh3Ncco4Ld" xr:uid="{00000000-0004-0000-0500-00006E000000}"/>
    <hyperlink ref="K113" r:id="rId112" display="https://drive.google.com/open?id=1SHO-5VD9JUEPjog22cWO832kaqajphQy" xr:uid="{00000000-0004-0000-0500-00006F000000}"/>
    <hyperlink ref="K114" r:id="rId113" display="https://drive.google.com/open?id=1o8gU9LI-eJ4hrwHkz7b6V6vX8bc2YFb7" xr:uid="{00000000-0004-0000-0500-000070000000}"/>
    <hyperlink ref="K115" r:id="rId114" display="https://drive.google.com/open?id=1EfuGEnP_eBHvTjbT1pv_KO0PWBL4P-GW" xr:uid="{00000000-0004-0000-0500-000071000000}"/>
    <hyperlink ref="K116" r:id="rId115" display="https://drive.google.com/open?id=1YonZ6olGOZrggM5XjJjW_MC2fOeFo4X9" xr:uid="{00000000-0004-0000-0500-000072000000}"/>
    <hyperlink ref="K117" r:id="rId116" display="https://drive.google.com/open?id=1piUk9daAxG9HHSX9eiVkZqbXZtLN3M-g" xr:uid="{00000000-0004-0000-0500-000073000000}"/>
    <hyperlink ref="K118" r:id="rId117" display="https://drive.google.com/open?id=1AmiFS0aMD7bwcYvbhng9RsATTG5f7YaR" xr:uid="{00000000-0004-0000-0500-000074000000}"/>
    <hyperlink ref="K119" r:id="rId118" display="https://drive.google.com/open?id=1VUHajIfvsA2_Is5Aem3vaPKQ5aK14Pgy" xr:uid="{00000000-0004-0000-0500-000075000000}"/>
    <hyperlink ref="K120" r:id="rId119" display="https://drive.google.com/open?id=1kpORz2olsLac_KiQt0KQ39YxBR7-BvWk" xr:uid="{00000000-0004-0000-0500-000076000000}"/>
    <hyperlink ref="K121" r:id="rId120" display="https://drive.google.com/open?id=1kKr1bqJud7rueQacoJtL1uRgQoDkwQuk" xr:uid="{00000000-0004-0000-0500-000077000000}"/>
    <hyperlink ref="K122" r:id="rId121" display="https://drive.google.com/open?id=1w0iKuQmyjwGbJ7rYkESG66j1--K7Kw9x" xr:uid="{00000000-0004-0000-0500-000078000000}"/>
    <hyperlink ref="K123" r:id="rId122" display="https://drive.google.com/open?id=15fJA4e5vCmqFwiHh6LlpgGNYDCeSn6_o" xr:uid="{00000000-0004-0000-0500-000079000000}"/>
    <hyperlink ref="K124" r:id="rId123" display="https://drive.google.com/open?id=1lBR2uMs4Crdx2pUdhIF8OqE50WSzxF0M" xr:uid="{00000000-0004-0000-0500-00007A000000}"/>
    <hyperlink ref="K125" r:id="rId124" display="https://drive.google.com/open?id=1IqL4FoPNCX1j8hfwDq8zIaDgZf34hk3P" xr:uid="{00000000-0004-0000-0500-00007B000000}"/>
    <hyperlink ref="K126" r:id="rId125" display="https://drive.google.com/open?id=1b3VHZTk5JSmej9BlE4_egVB0SC9_mGf8" xr:uid="{00000000-0004-0000-0500-00007C000000}"/>
    <hyperlink ref="K127" r:id="rId126" display="https://drive.google.com/open?id=1IZY82G5m3K69SqYjyhhh8SYU1Lr1Ps6M" xr:uid="{00000000-0004-0000-0500-00007D000000}"/>
    <hyperlink ref="K128" r:id="rId127" display="https://drive.google.com/open?id=1KVm4N3gzrXfXIagHc0ay7TGiDHr14cyf" xr:uid="{00000000-0004-0000-0500-00007E000000}"/>
    <hyperlink ref="K129" r:id="rId128" display="https://drive.google.com/open?id=1K0hyaMAaPsme28BcbSbWerGiglJgibIZ" xr:uid="{00000000-0004-0000-0500-00007F000000}"/>
    <hyperlink ref="K130" r:id="rId129" display="https://drive.google.com/open?id=1ng_BFT84CIRQXxhWSzRE95sFg53StfXT" xr:uid="{00000000-0004-0000-0500-000080000000}"/>
    <hyperlink ref="K131" r:id="rId130" display="https://drive.google.com/open?id=1mdMxQKViLW6ytSLD-Vbdi4e36jaHSc9u" xr:uid="{00000000-0004-0000-0500-000081000000}"/>
    <hyperlink ref="K132" r:id="rId131" display="https://drive.google.com/open?id=17Z1Pj0_3s3CNdVQcwfvjW-EQpt6p9MI8" xr:uid="{00000000-0004-0000-0500-000082000000}"/>
    <hyperlink ref="K133" r:id="rId132" display="https://drive.google.com/open?id=12xA8tdA87ytI4YDWfbXDbBh_21lGhlC6" xr:uid="{00000000-0004-0000-0500-000083000000}"/>
    <hyperlink ref="K134" r:id="rId133" display="https://drive.google.com/open?id=1UCYsFcfdCkQbSjAfAGs7hvKdplw9pvJo" xr:uid="{00000000-0004-0000-0500-000084000000}"/>
    <hyperlink ref="K135" r:id="rId134" display="https://drive.google.com/open?id=1yH6xTcHoOf9YKgRhzLt1vsdSEVe9vBnF" xr:uid="{00000000-0004-0000-0500-000085000000}"/>
    <hyperlink ref="K136" r:id="rId135" display="https://drive.google.com/open?id=1LhLl8wf-mab2ISMydvdASHJw2x8W0HOp" xr:uid="{00000000-0004-0000-0500-000086000000}"/>
    <hyperlink ref="K137" r:id="rId136" display="https://drive.google.com/open?id=1iwLu_bWwmWVWWsS1xqwK7HIQDR5WiX5h" xr:uid="{00000000-0004-0000-0500-000087000000}"/>
    <hyperlink ref="K138" r:id="rId137" display="https://drive.google.com/open?id=1UUOc2bc6eY3QzSTHXsUfbAZ3XLFm1tgt" xr:uid="{00000000-0004-0000-0500-000088000000}"/>
    <hyperlink ref="K139" r:id="rId138" display="https://drive.google.com/open?id=1jBcezeHcAVh8Ra03iYZ5Gb6UyE3hDAEu" xr:uid="{00000000-0004-0000-0500-000089000000}"/>
    <hyperlink ref="K140" r:id="rId139" display="https://drive.google.com/open?id=1ma_stHfWBNm3aii_BEU928E9YL2sHdt2" xr:uid="{00000000-0004-0000-0500-00008A000000}"/>
    <hyperlink ref="K141" r:id="rId140" display="https://drive.google.com/open?id=1Dzwq6M6F0MneFVTbr_uNPH4It9kXbuBR" xr:uid="{00000000-0004-0000-0500-00008B000000}"/>
    <hyperlink ref="K142" r:id="rId141" display="https://drive.google.com/open?id=1MECCJigW9kZNViIwA4VPXhY5cUjsAjyS" xr:uid="{00000000-0004-0000-0500-00008C000000}"/>
    <hyperlink ref="K143" r:id="rId142" display="https://drive.google.com/open?id=1UBOwEJ9I9SCa4QjFoguP6K2cUsxIiAtY" xr:uid="{00000000-0004-0000-0500-00008D000000}"/>
    <hyperlink ref="K144" r:id="rId143" display="https://drive.google.com/open?id=1gtaQNNyKbecMF1hVt0kUst-Ow5gy0n_U" xr:uid="{00000000-0004-0000-0500-00008E000000}"/>
    <hyperlink ref="K145" r:id="rId144" display="https://drive.google.com/open?id=1QcqfuFaHa6H053vRvriHTe-x9DfBwCd5" xr:uid="{00000000-0004-0000-0500-00008F000000}"/>
    <hyperlink ref="K146" r:id="rId145" display="https://drive.google.com/open?id=1xOtwg-_8p-fxQ4Pa_pf12b4F16TkwHwQ" xr:uid="{00000000-0004-0000-0500-000090000000}"/>
    <hyperlink ref="K147" r:id="rId146" display="https://drive.google.com/open?id=15V76iEt4CxmdQlVon3hNfEC99jdl_76T" xr:uid="{00000000-0004-0000-0500-000091000000}"/>
    <hyperlink ref="K148" r:id="rId147" display="https://drive.google.com/open?id=1GfiUIYmtc5lHuKVXjJFvcD_dMpiJydpn" xr:uid="{00000000-0004-0000-0500-000092000000}"/>
    <hyperlink ref="K149" r:id="rId148" display="https://drive.google.com/open?id=1mDHA3t9wZzaCRSYZW_V_mQyWBk9Pz8ex" xr:uid="{00000000-0004-0000-0500-000093000000}"/>
    <hyperlink ref="K150" r:id="rId149" display="https://drive.google.com/open?id=1eVFF13KuKupbFEOlXh1v8SIRQmQg4b71" xr:uid="{00000000-0004-0000-0500-000094000000}"/>
    <hyperlink ref="K151" r:id="rId150" display="https://drive.google.com/open?id=1w-IsasqP3t24jS8fpAoDARXoUNdVPN0Y" xr:uid="{00000000-0004-0000-0500-000095000000}"/>
    <hyperlink ref="K152" r:id="rId151" display="https://drive.google.com/open?id=1pnUEp9JInySqXlPxfO-l_p6EtXy4QLJb" xr:uid="{00000000-0004-0000-0500-000096000000}"/>
    <hyperlink ref="K153" r:id="rId152" display="https://drive.google.com/open?id=1C1cf7JpQvnbLHJbkSl_GcfXU09Em_cL1" xr:uid="{00000000-0004-0000-0500-000097000000}"/>
    <hyperlink ref="K154" r:id="rId153" display="https://drive.google.com/open?id=1Rgp9RcpL0amYzwFCwfvoSHP8-_qz7L8J" xr:uid="{00000000-0004-0000-0500-000098000000}"/>
    <hyperlink ref="K155" r:id="rId154" display="https://drive.google.com/open?id=1nMcjeDp3LFt1z1cRZug48GyfV1fbyZTG" xr:uid="{00000000-0004-0000-0500-000099000000}"/>
    <hyperlink ref="K156" r:id="rId155" display="https://drive.google.com/open?id=1_x0w13DUxgU5mRVbSDHa4RMMIgT0_CiY" xr:uid="{00000000-0004-0000-0500-00009A000000}"/>
    <hyperlink ref="K157" r:id="rId156" display="https://drive.google.com/open?id=1vZ6h6NmWY4HXvyOSIHu-uiERHOWH-pa3" xr:uid="{00000000-0004-0000-0500-00009B000000}"/>
    <hyperlink ref="K158" r:id="rId157" display="https://drive.google.com/open?id=1jdJWtZhz8H41QJNUaf5RtjX52LNo8Api" xr:uid="{00000000-0004-0000-0500-00009C000000}"/>
    <hyperlink ref="K159" r:id="rId158" display="https://drive.google.com/open?id=1nRDBC7pTdfCiYyaiOh-weXyRCKy4G_dh" xr:uid="{00000000-0004-0000-0500-00009D000000}"/>
    <hyperlink ref="K160" r:id="rId159" display="https://drive.google.com/open?id=10DIYGLHZ9tYfI1fQ5KChqCTvurgWNlZo" xr:uid="{00000000-0004-0000-0500-00009E000000}"/>
    <hyperlink ref="K161" r:id="rId160" display="https://drive.google.com/open?id=1Nir40EKmnh1bKY3MAizZPSeaLrKAGV1h" xr:uid="{00000000-0004-0000-0500-00009F000000}"/>
    <hyperlink ref="K162" r:id="rId161" display="https://drive.google.com/open?id=1ZF9MwusSUKSs-S0c6iZa-SxEZTgYzEi5" xr:uid="{00000000-0004-0000-0500-0000A0000000}"/>
    <hyperlink ref="K163" r:id="rId162" display="https://drive.google.com/open?id=16YuOgPrHQn_L_0OMIhQ71G9-Q5oVq_75" xr:uid="{00000000-0004-0000-0500-0000A1000000}"/>
    <hyperlink ref="K164" r:id="rId163" display="https://drive.google.com/open?id=1wr-9g-h1nNPln7TH18Vd8LrJ__ulov_d" xr:uid="{00000000-0004-0000-0500-0000A2000000}"/>
    <hyperlink ref="K165" r:id="rId164" display="https://drive.google.com/open?id=16XuY4EmUqK2kjZQKWp85qX6PVR4EofpK" xr:uid="{00000000-0004-0000-0500-0000A3000000}"/>
    <hyperlink ref="K166" r:id="rId165" display="https://drive.google.com/open?id=1lkOA7apObZaQGPC_yRymnEcyRs5JFC-y" xr:uid="{00000000-0004-0000-0500-0000A4000000}"/>
    <hyperlink ref="K167" r:id="rId166" display="https://drive.google.com/open?id=1a01qIrRTj6Es2vSmI86QnjWKufkpZF5_" xr:uid="{00000000-0004-0000-0500-0000A5000000}"/>
    <hyperlink ref="K168" r:id="rId167" display="https://drive.google.com/open?id=1usRNj28J-Yv6kinZKevnEFcpZdFjXnlv" xr:uid="{00000000-0004-0000-0500-0000A6000000}"/>
    <hyperlink ref="K169" r:id="rId168" display="https://drive.google.com/open?id=1MX5GaLHjFSuq5PDC4RNThxuwL5EraFCr" xr:uid="{00000000-0004-0000-0500-0000A7000000}"/>
    <hyperlink ref="K170" r:id="rId169" display="https://drive.google.com/open?id=1XD6n55u4083weBmzcpH610mjDGhsoYfd" xr:uid="{00000000-0004-0000-0500-0000A8000000}"/>
    <hyperlink ref="K171" r:id="rId170" display="https://drive.google.com/open?id=1fr51ofb1W2cxRhP0PDjYmOEyIGpYgfmd" xr:uid="{00000000-0004-0000-0500-0000A9000000}"/>
    <hyperlink ref="K172" r:id="rId171" display="https://drive.google.com/open?id=1DYVycUg39LYXa1MTaM-5hZYiPhY52zHM" xr:uid="{00000000-0004-0000-0500-0000AA000000}"/>
    <hyperlink ref="K173" r:id="rId172" display="https://drive.google.com/open?id=1jXktun-HZQccdZTo1gydXxzOLTvv5CnM" xr:uid="{00000000-0004-0000-0500-0000AB000000}"/>
    <hyperlink ref="K174" r:id="rId173" display="https://drive.google.com/open?id=1HEFFnq8T2crffT5UhOJ7A7csKpf6EYKP" xr:uid="{00000000-0004-0000-0500-0000AC000000}"/>
    <hyperlink ref="K175" r:id="rId174" display="https://drive.google.com/open?id=1uiOk2DJDaRpvDEfg1RYv1Q7VzJqGW4l0" xr:uid="{00000000-0004-0000-0500-0000AD000000}"/>
    <hyperlink ref="K176" r:id="rId175" display="https://drive.google.com/open?id=1MiDY-YLGQZZKBUxNOYnsMV3T58qcYnWx" xr:uid="{00000000-0004-0000-0500-0000AE000000}"/>
    <hyperlink ref="K177" r:id="rId176" display="https://drive.google.com/open?id=1GHLPz2KKWtbbMW9wN7c_o4y2rt_PJ1IG" xr:uid="{00000000-0004-0000-0500-0000AF000000}"/>
    <hyperlink ref="K178" r:id="rId177" display="https://drive.google.com/open?id=1fppRokg8O_ztDJx0mkm7EqY01BpPMsrL" xr:uid="{00000000-0004-0000-0500-0000B0000000}"/>
    <hyperlink ref="K179" r:id="rId178" display="https://drive.google.com/open?id=1OD_4ylnlGP-3KVccawhDmymp_XieJ2JT" xr:uid="{00000000-0004-0000-0500-0000B1000000}"/>
    <hyperlink ref="K180" r:id="rId179" display="https://drive.google.com/open?id=1_6uI5I0pLhwAN-tYYgmJI22WJ1ACcGYu" xr:uid="{00000000-0004-0000-0500-0000B2000000}"/>
    <hyperlink ref="K181" r:id="rId180" display="https://drive.google.com/open?id=1VRlGOrW3Zj480S4jLzaknk543AyUWlZD" xr:uid="{00000000-0004-0000-0500-0000B3000000}"/>
    <hyperlink ref="K182" r:id="rId181" display="https://drive.google.com/open?id=1saIgyXhIKHIP0qj41JYjjetOKWSi9XTp" xr:uid="{00000000-0004-0000-0500-0000B4000000}"/>
    <hyperlink ref="K183" r:id="rId182" display="https://drive.google.com/open?id=1iMgoMdOng_18ssDd4lHi-8f00MaO0xdx" xr:uid="{00000000-0004-0000-0500-0000B5000000}"/>
    <hyperlink ref="K184" r:id="rId183" display="https://drive.google.com/open?id=1fIttXo-0e7AW-B6zZWeKtI9UqK1Vr7U-" xr:uid="{00000000-0004-0000-0500-0000B6000000}"/>
    <hyperlink ref="K185" r:id="rId184" display="https://drive.google.com/open?id=1TE7yeZAMwFyhxq-xeNKV41D9Sw_m3tKg" xr:uid="{00000000-0004-0000-0500-0000B7000000}"/>
    <hyperlink ref="K186" r:id="rId185" display="https://drive.google.com/open?id=1-SoacEr93mcC-8vYxjGNQEffwQCJoh-c" xr:uid="{00000000-0004-0000-0500-0000B8000000}"/>
    <hyperlink ref="K187" r:id="rId186" display="https://drive.google.com/open?id=1PGe_YhDZ1SXbP36ChnZ2JAqpqC42knJJ" xr:uid="{00000000-0004-0000-0500-0000B9000000}"/>
    <hyperlink ref="K188" r:id="rId187" display="https://drive.google.com/open?id=1wwftrjGcCgXc829tPDxaqXf_VUtsK_MT" xr:uid="{00000000-0004-0000-0500-0000BA000000}"/>
    <hyperlink ref="K189" r:id="rId188" display="https://drive.google.com/open?id=1-SvlkiljJgizcW340DsSkgyrIk5El_Fs" xr:uid="{00000000-0004-0000-0500-0000BB000000}"/>
    <hyperlink ref="K190" r:id="rId189" display="https://drive.google.com/open?id=1DWHd-7ka-ee46X0CkP17v6AZjHeQ7aA7" xr:uid="{00000000-0004-0000-0500-0000BC000000}"/>
    <hyperlink ref="K191" r:id="rId190" display="https://drive.google.com/open?id=17N3BeMW8Hmh9A0Hdl076geARXIkgtdJg" xr:uid="{00000000-0004-0000-0500-0000BD000000}"/>
    <hyperlink ref="K192" r:id="rId191" display="https://drive.google.com/open?id=12-80y08be4n2P68It-eHdVNU-Tzf5XWU" xr:uid="{00000000-0004-0000-0500-0000BE000000}"/>
    <hyperlink ref="K193" r:id="rId192" display="https://drive.google.com/open?id=1KKoUmR5Osd9B5_nwo1qlelMAibn-9ZoZ" xr:uid="{00000000-0004-0000-0500-0000BF000000}"/>
    <hyperlink ref="K194" r:id="rId193" display="https://drive.google.com/open?id=1lwiSYH1TMda63duErMfjJzJNHJ3lznq7" xr:uid="{00000000-0004-0000-0500-0000C0000000}"/>
    <hyperlink ref="K195" r:id="rId194" display="https://drive.google.com/open?id=18ZGvBLENRDpnFtEk8pa5vgpH8LovCSxW" xr:uid="{00000000-0004-0000-0500-0000C1000000}"/>
    <hyperlink ref="K196" r:id="rId195" display="https://drive.google.com/open?id=1YYL7ajowjC05hE-1lr9jnWEK3HxBaqXe" xr:uid="{00000000-0004-0000-0500-0000C2000000}"/>
    <hyperlink ref="K197" r:id="rId196" display="https://drive.google.com/open?id=1L9wjC6vG7nuYvjdimem2IuS0Bw1r4G8G" xr:uid="{00000000-0004-0000-0500-0000C3000000}"/>
    <hyperlink ref="K198" r:id="rId197" display="https://drive.google.com/open?id=1WrZ6G5U0Tk1c9ooBvCrvbKrBvHPNs9mF" xr:uid="{00000000-0004-0000-0500-0000C4000000}"/>
    <hyperlink ref="K199" r:id="rId198" display="https://drive.google.com/open?id=1-zCDceZm8HrT2MI98eNitL7FcvuByl22" xr:uid="{00000000-0004-0000-0500-0000C5000000}"/>
    <hyperlink ref="K200" r:id="rId199" display="https://drive.google.com/open?id=15XHduGDa7PgoZDaYpRg4GrCbAe0JtMuG" xr:uid="{00000000-0004-0000-0500-0000C6000000}"/>
    <hyperlink ref="K201" r:id="rId200" display="https://drive.google.com/open?id=1ruTJxLfRD91bBKO3FXzsuBZ404E4nE-J" xr:uid="{00000000-0004-0000-0500-0000C7000000}"/>
    <hyperlink ref="K202" r:id="rId201" display="https://drive.google.com/open?id=1qXwc475uw5BmiNnSXgm_E1KoedXTkkgW" xr:uid="{00000000-0004-0000-0500-0000C8000000}"/>
    <hyperlink ref="K203" r:id="rId202" display="https://drive.google.com/open?id=14K6nY5Zmu7aYFBOqjAHAjykSQh084Liz" xr:uid="{00000000-0004-0000-0500-0000C9000000}"/>
    <hyperlink ref="K204" r:id="rId203" display="https://drive.google.com/open?id=1Sa0mof6HF9WoRTINJHjV102SRQUn-hmg" xr:uid="{00000000-0004-0000-0500-0000CA000000}"/>
    <hyperlink ref="K205" r:id="rId204" display="https://drive.google.com/open?id=1GUfl4mlnXROBrfPau_24WDQdpP5kWsjX" xr:uid="{00000000-0004-0000-0500-0000CB000000}"/>
    <hyperlink ref="K206" r:id="rId205" display="https://drive.google.com/open?id=12i9WYJZrumjVke4Oq75AvPlAIc806ql5" xr:uid="{00000000-0004-0000-0500-0000CC000000}"/>
    <hyperlink ref="K207" r:id="rId206" display="https://drive.google.com/open?id=1WWEp-QqOIqYjBMhmUKbPZ36vniwhr2Av" xr:uid="{00000000-0004-0000-0500-0000CD000000}"/>
    <hyperlink ref="K208" r:id="rId207" display="https://drive.google.com/open?id=1P1eIRxNbNnIakpXu7ay-bcjoV6kb1-qp" xr:uid="{00000000-0004-0000-0500-0000CE000000}"/>
    <hyperlink ref="K209" r:id="rId208" display="https://drive.google.com/open?id=1aFiyWg3nKicVjRiTTKmWpmr6wrfEAy7Y" xr:uid="{00000000-0004-0000-0500-0000CF000000}"/>
    <hyperlink ref="K210" r:id="rId209" display="https://drive.google.com/open?id=1bmxenqMP3W4gpKKmI_TSTLICeQwEwlpP" xr:uid="{00000000-0004-0000-0500-0000D0000000}"/>
    <hyperlink ref="K211" r:id="rId210" display="https://drive.google.com/open?id=1nARL6r93gj8v1ZcpPA2aTvnZZw4YZEE2" xr:uid="{00000000-0004-0000-0500-0000D1000000}"/>
    <hyperlink ref="K212" r:id="rId211" display="https://drive.google.com/open?id=1L-6Rmu3CgF-8_Se78N5N2LfPSpaEXXgt" xr:uid="{00000000-0004-0000-0500-0000D2000000}"/>
    <hyperlink ref="K213" r:id="rId212" display="https://drive.google.com/open?id=1mXWQ22tEBum6Qeqx3u3J2UDzE1iF6z0M" xr:uid="{00000000-0004-0000-0500-0000D3000000}"/>
    <hyperlink ref="K214" r:id="rId213" display="https://drive.google.com/open?id=1ZP05LU2PnFrGBLhaKojrsGTwG9mpwlyI" xr:uid="{00000000-0004-0000-0500-0000D4000000}"/>
    <hyperlink ref="K215" r:id="rId214" display="https://drive.google.com/open?id=1aUFVkujqx_v1nB1Enlhrf5_3ygCp9yAP" xr:uid="{00000000-0004-0000-0500-0000D5000000}"/>
    <hyperlink ref="K216" r:id="rId215" display="https://drive.google.com/open?id=1yGuzfZwmMNrNPTASHcdU8xTj7U-OG277" xr:uid="{00000000-0004-0000-0500-0000D6000000}"/>
    <hyperlink ref="K217" r:id="rId216" display="https://drive.google.com/open?id=18ppfmiEPyncUUVBWULW5JrOKj_WdGpMZ" xr:uid="{00000000-0004-0000-0500-0000D7000000}"/>
    <hyperlink ref="K218" r:id="rId217" display="https://drive.google.com/open?id=1EEn3-aKrMe4UR2gUR2znSArjTP68kM0u" xr:uid="{00000000-0004-0000-0500-0000D8000000}"/>
    <hyperlink ref="K219" r:id="rId218" display="https://drive.google.com/open?id=1nPbHAHelH1Rzus_6GXDSVERUuLB1-m_y" xr:uid="{00000000-0004-0000-0500-0000D9000000}"/>
    <hyperlink ref="K220" r:id="rId219" display="https://drive.google.com/open?id=1_zRhbWe-ZIATBTKnt5Wrb3e5ad6h5zy4" xr:uid="{00000000-0004-0000-0500-0000DA000000}"/>
    <hyperlink ref="K221" r:id="rId220" display="https://drive.google.com/open?id=1NpMNOiwnBkrEYraqidO1Z-98GkhJaxhJ" xr:uid="{00000000-0004-0000-0500-0000DB000000}"/>
    <hyperlink ref="K222" r:id="rId221" display="https://drive.google.com/open?id=1jkM9Pz_-gM1Q-WaB6KkKawPZ14FeI4li" xr:uid="{00000000-0004-0000-0500-0000DC000000}"/>
    <hyperlink ref="K223" r:id="rId222" display="https://drive.google.com/open?id=1gsrEmS1hLfncbXA-rvRGaO_R2PbZQppF" xr:uid="{00000000-0004-0000-0500-0000DD000000}"/>
    <hyperlink ref="K224" r:id="rId223" display="https://drive.google.com/open?id=1yN5JNH56TE1t4RD3Q3mNwVCDsSXRiUpQ" xr:uid="{00000000-0004-0000-0500-0000DE000000}"/>
    <hyperlink ref="K225" r:id="rId224" display="https://drive.google.com/open?id=1ZQNdDhW7QVnMU3V3fNKSjWx8KRbBE20y" xr:uid="{00000000-0004-0000-0500-0000DF000000}"/>
    <hyperlink ref="K226" r:id="rId225" display="https://drive.google.com/open?id=1RJuokXaS3doZU8nzhvmSWD7IgeoPV_x4" xr:uid="{00000000-0004-0000-0500-0000E0000000}"/>
    <hyperlink ref="K227" r:id="rId226" display="https://drive.google.com/open?id=1oBQG3ddsVRj9xP203FS0eowppN38tU9h" xr:uid="{00000000-0004-0000-0500-0000E1000000}"/>
    <hyperlink ref="K228" r:id="rId227" display="https://drive.google.com/open?id=1KaG8ifl87vZVdinj78aAvxxBCvmdzON0" xr:uid="{00000000-0004-0000-0500-0000E2000000}"/>
    <hyperlink ref="K229" r:id="rId228" display="https://drive.google.com/open?id=1IIBfarkDFsZ9NAt0KrRtpOVyEgmB92Za" xr:uid="{00000000-0004-0000-0500-0000E3000000}"/>
    <hyperlink ref="K230" r:id="rId229" display="https://drive.google.com/open?id=1_MKGKDwRsGQXTZXyb1XI02-gZj3wRvhZ" xr:uid="{00000000-0004-0000-0500-0000E4000000}"/>
    <hyperlink ref="K231" r:id="rId230" display="https://drive.google.com/open?id=1DSJt6tFJ4O2jHUYmy6vh-Xa-G0Ke0L7V" xr:uid="{00000000-0004-0000-0500-0000E5000000}"/>
    <hyperlink ref="K232" r:id="rId231" display="https://drive.google.com/open?id=16y1iF3l2MA9mQJEl_Y8S7lqApti--mOm" xr:uid="{00000000-0004-0000-0500-0000E6000000}"/>
    <hyperlink ref="K233" r:id="rId232" display="https://drive.google.com/open?id=18TIirDTEcMvezXQ8kG1pGurYT2PnZ9xW" xr:uid="{00000000-0004-0000-0500-0000E7000000}"/>
    <hyperlink ref="K234" r:id="rId233" display="https://drive.google.com/open?id=1LsdtgiAGWx7Vab0obt7ZLMgD7sa7LOIh" xr:uid="{00000000-0004-0000-0500-0000E8000000}"/>
    <hyperlink ref="K235" r:id="rId234" display="https://drive.google.com/open?id=1unNQDUrlO24WN9Qw-Oz_biIXQnl2FzTf" xr:uid="{00000000-0004-0000-0500-0000E9000000}"/>
    <hyperlink ref="K236" r:id="rId235" display="https://drive.google.com/open?id=1Te42C1BjAkSS5lPVsAkrwzxRDe3HYG1t" xr:uid="{00000000-0004-0000-0500-0000EA000000}"/>
    <hyperlink ref="K237" r:id="rId236" display="https://drive.google.com/open?id=12YJ5IMud9HHYs3B98G5gZFsYH0UVkzhJ" xr:uid="{00000000-0004-0000-0500-0000EB000000}"/>
    <hyperlink ref="K238" r:id="rId237" display="https://drive.google.com/open?id=1S_xIhpWCnipqO8l3vqfjrx7_gB06fmn1" xr:uid="{00000000-0004-0000-0500-0000EC000000}"/>
    <hyperlink ref="K239" r:id="rId238" display="https://drive.google.com/open?id=163j5j2XeooYEkwlKvEJ11gq6V3MU9zTa" xr:uid="{00000000-0004-0000-0500-0000ED000000}"/>
    <hyperlink ref="K240" r:id="rId239" display="https://drive.google.com/open?id=1YxvWo0-QXKLcKQzguE7dv8y65JIh9gKX" xr:uid="{00000000-0004-0000-0500-0000EE000000}"/>
    <hyperlink ref="K241" r:id="rId240" display="https://drive.google.com/open?id=1de7x2fVjRWzN06eIg7w4V41EJ0irYQnv" xr:uid="{00000000-0004-0000-0500-0000EF000000}"/>
    <hyperlink ref="K242" r:id="rId241" display="https://drive.google.com/open?id=1iO3XouAEkbdhcbi2x1DPtekEr2EXacSH" xr:uid="{00000000-0004-0000-0500-0000F0000000}"/>
    <hyperlink ref="K243" r:id="rId242" display="https://drive.google.com/open?id=1nGRXkId6o5cqj3xIaeRBqo0koBoDqQqF" xr:uid="{00000000-0004-0000-0500-0000F1000000}"/>
    <hyperlink ref="K244" r:id="rId243" display="https://drive.google.com/open?id=14-6G2e_21ywg6bnLAmBUKYzIZlJF7i-X" xr:uid="{00000000-0004-0000-0500-0000F2000000}"/>
    <hyperlink ref="K245" r:id="rId244" display="https://drive.google.com/open?id=1TEMftiyrdghPbyJBdcw26PbaHhraB9Gt" xr:uid="{00000000-0004-0000-0500-0000F3000000}"/>
    <hyperlink ref="K246" r:id="rId245" display="https://drive.google.com/open?id=1D_K3ZQUUgJStHoH0_5tpdXyvMvpvv40N" xr:uid="{00000000-0004-0000-0500-0000F4000000}"/>
    <hyperlink ref="K247" r:id="rId246" display="https://drive.google.com/open?id=1sWMBO_Kz5DIB1sTOzC2ljXUUNi-6Jj7w" xr:uid="{00000000-0004-0000-0500-0000F5000000}"/>
    <hyperlink ref="K248" r:id="rId247" display="https://drive.google.com/open?id=1zn_3aP5fg2NK4Sa2zP-gGo0Bdj0__thB" xr:uid="{00000000-0004-0000-0500-0000F6000000}"/>
    <hyperlink ref="K249" r:id="rId248" display="https://drive.google.com/open?id=1zpmm0W3UGpW7gPZdfB1tomu7zAu655rf" xr:uid="{00000000-0004-0000-0500-0000F7000000}"/>
    <hyperlink ref="K250" r:id="rId249" display="https://drive.google.com/open?id=1vT3ht79J_rL3R2Y6cNERNbj2zqtKCjbQ" xr:uid="{00000000-0004-0000-0500-0000F8000000}"/>
    <hyperlink ref="K251" r:id="rId250" display="https://drive.google.com/open?id=1Btn5Fd1QtPh7OtnhdJFnojpZJ3vuU6is" xr:uid="{00000000-0004-0000-0500-0000F9000000}"/>
    <hyperlink ref="K252" r:id="rId251" display="https://drive.google.com/open?id=1QXxIknCStY1FADfkr_8n33MRValOUXhr" xr:uid="{00000000-0004-0000-0500-0000FA000000}"/>
    <hyperlink ref="K253" r:id="rId252" display="https://drive.google.com/open?id=1xj8sKmz3AYv0ZHoz3yUKwCxwhKOie9j4" xr:uid="{00000000-0004-0000-0500-0000FB000000}"/>
    <hyperlink ref="K254" r:id="rId253" display="https://drive.google.com/open?id=1StTaZaaV_ip8ZODPg62FDxhm_OrJUdMv" xr:uid="{00000000-0004-0000-0500-0000FC000000}"/>
    <hyperlink ref="K255" r:id="rId254" display="https://drive.google.com/open?id=1uVtJF_NIxSsHhdA36qHb5H9Q1jIBSLHj" xr:uid="{00000000-0004-0000-0500-0000FD000000}"/>
    <hyperlink ref="K256" r:id="rId255" display="https://drive.google.com/open?id=1gYjOMzNjOvKJepuv6ao08mqXhsq92C1T" xr:uid="{00000000-0004-0000-0500-0000FE000000}"/>
    <hyperlink ref="K257" r:id="rId256" display="https://drive.google.com/open?id=11bQE7iUqWXnUTU6vjyfJICAwQh-lTG5q" xr:uid="{00000000-0004-0000-0500-0000FF000000}"/>
    <hyperlink ref="K258" r:id="rId257" display="https://drive.google.com/open?id=1Un1H0AIrb1uOW-ZLxouxeSlD51o_s6yJ" xr:uid="{00000000-0004-0000-0500-000000010000}"/>
    <hyperlink ref="K259" r:id="rId258" display="https://drive.google.com/open?id=11vOXoyyj2R4fsgYVAYNT-egC_Om5iX96" xr:uid="{00000000-0004-0000-0500-000001010000}"/>
    <hyperlink ref="K260" r:id="rId259" display="https://drive.google.com/open?id=1KJE6jTvg3cwUXAjwv6DyLbIhO_2sf296" xr:uid="{00000000-0004-0000-0500-000002010000}"/>
    <hyperlink ref="K261" r:id="rId260" display="https://drive.google.com/open?id=1KmNugm_XisKqjzAylIcY0aqZxNJlRQzk" xr:uid="{00000000-0004-0000-0500-000003010000}"/>
    <hyperlink ref="K262" r:id="rId261" display="https://drive.google.com/open?id=1ToU8ynlyYDOTVYC4oabKICXuq5AnKW3p" xr:uid="{00000000-0004-0000-0500-000004010000}"/>
    <hyperlink ref="K263" r:id="rId262" display="https://drive.google.com/open?id=1pcLpbVr2HuqKqMGYfZNDpRDZ5rGJa3qz" xr:uid="{00000000-0004-0000-0500-000005010000}"/>
    <hyperlink ref="K264" r:id="rId263" display="https://drive.google.com/open?id=1__g9ayAlDo4o5BLco3HRndl_PozQVYIF" xr:uid="{00000000-0004-0000-0500-000006010000}"/>
    <hyperlink ref="K265" r:id="rId264" display="https://drive.google.com/open?id=1kJPv0I6H9Kk9nyK1ZXr0M2XPCPxfRoTd" xr:uid="{00000000-0004-0000-0500-000007010000}"/>
    <hyperlink ref="K266" r:id="rId265" display="https://drive.google.com/open?id=1ywwRx2BTwuQhj21kkoPE0IoFic1e0lG4" xr:uid="{00000000-0004-0000-0500-000008010000}"/>
    <hyperlink ref="K267" r:id="rId266" display="https://drive.google.com/open?id=1JQ5wy0mFP75VcieLkSgUlKUHipxnVgZB" xr:uid="{00000000-0004-0000-0500-000009010000}"/>
    <hyperlink ref="K268" r:id="rId267" display="https://drive.google.com/open?id=1E7huDsRdgt5PdBLlOHyYPh6mOB9NeyoA" xr:uid="{00000000-0004-0000-0500-00000A010000}"/>
    <hyperlink ref="K269" r:id="rId268" display="https://drive.google.com/open?id=1n9PlgNueWUsKnTR51cXZAMTfxtOvAthK" xr:uid="{00000000-0004-0000-0500-00000B010000}"/>
    <hyperlink ref="K270" r:id="rId269" display="https://drive.google.com/open?id=1h9mBg40srAoiXjTsWHdo3xEaW2L5sHlk" xr:uid="{00000000-0004-0000-0500-00000C010000}"/>
    <hyperlink ref="K271" r:id="rId270" display="https://drive.google.com/open?id=19jrZAI10BQmb-sfpxY5DRbl_KKgFEZOd" xr:uid="{00000000-0004-0000-0500-00000D010000}"/>
    <hyperlink ref="K272" r:id="rId271" display="https://drive.google.com/open?id=1tDOHp__OtFWbzJDmUCm6oh-7tDAAm6WE" xr:uid="{00000000-0004-0000-0500-00000E010000}"/>
    <hyperlink ref="K273" r:id="rId272" display="https://drive.google.com/open?id=1a89jgZ_mpPNAvxA-fn3pEpDnpQyYxyZM" xr:uid="{00000000-0004-0000-0500-00000F010000}"/>
    <hyperlink ref="K274" r:id="rId273" display="https://drive.google.com/open?id=1Oa6VnPsSdeAhKvr7XSPH2ZBfnjOkfsDN" xr:uid="{00000000-0004-0000-0500-000010010000}"/>
    <hyperlink ref="K275" r:id="rId274" display="https://drive.google.com/open?id=119hO-WqLyV7FzJ2-_hIX5dSvmZUDHsU-" xr:uid="{00000000-0004-0000-0500-000011010000}"/>
    <hyperlink ref="K276" r:id="rId275" display="https://drive.google.com/open?id=1I6zZ9K06c1wCT1L431NBOjkohm3g5IhF" xr:uid="{00000000-0004-0000-0500-000012010000}"/>
    <hyperlink ref="K277" r:id="rId276" display="https://drive.google.com/open?id=1T_NXKMeQmB7MiH4olcxYiiU7HYwI_m2z" xr:uid="{00000000-0004-0000-0500-000013010000}"/>
    <hyperlink ref="K278" r:id="rId277" display="https://drive.google.com/open?id=1bJOZk-Z-twZuGoL4UVAoKmqU_iTREof7" xr:uid="{00000000-0004-0000-0500-000014010000}"/>
    <hyperlink ref="K279" r:id="rId278" display="https://drive.google.com/open?id=1iix9taZqOSqzBb3UlKmCC1uecq-qn_xj" xr:uid="{00000000-0004-0000-0500-000015010000}"/>
    <hyperlink ref="K280" r:id="rId279" display="https://drive.google.com/open?id=1Lku-n1N6xKb4YeQ2ISDrulg3EnW8yOlb" xr:uid="{00000000-0004-0000-0500-000016010000}"/>
    <hyperlink ref="K281" r:id="rId280" display="https://drive.google.com/open?id=1woLJmmeh4K84uqSqrMp4r-wGbeA2Wlh2" xr:uid="{00000000-0004-0000-0500-000017010000}"/>
    <hyperlink ref="K282" r:id="rId281" display="https://drive.google.com/open?id=1nafLwFRJBG-q1nNRHwDX29EsbpCu0eL7" xr:uid="{00000000-0004-0000-0500-000018010000}"/>
    <hyperlink ref="K283" r:id="rId282" display="https://drive.google.com/open?id=1AmH3w3-44GU5sGNa3DzDod4lpkTUtORf" xr:uid="{00000000-0004-0000-0500-000019010000}"/>
    <hyperlink ref="K284" r:id="rId283" display="https://drive.google.com/open?id=11kUcBBqKkglYBl2WjxBweseQQrqhNbiJ" xr:uid="{00000000-0004-0000-0500-00001A010000}"/>
    <hyperlink ref="K285" r:id="rId284" display="https://drive.google.com/open?id=1jiIJU8ZvyKMBVP_vkvOEkTVZRG6nYWi9" xr:uid="{00000000-0004-0000-0500-00001B010000}"/>
    <hyperlink ref="K286" r:id="rId285" display="https://drive.google.com/open?id=1g4cAStMYWAGWLinDZd771nGBJDVj-ByV" xr:uid="{00000000-0004-0000-0500-00001C010000}"/>
    <hyperlink ref="K287" r:id="rId286" display="https://drive.google.com/open?id=18o0SK3peIRcyf0MCpt0WbB7IFzl3U_3J" xr:uid="{00000000-0004-0000-0500-00001D010000}"/>
    <hyperlink ref="K288" r:id="rId287" display="https://drive.google.com/open?id=16Z5RdP2vQp6lMUtgglv2xjoJf6auni2F" xr:uid="{00000000-0004-0000-0500-00001E010000}"/>
    <hyperlink ref="K289" r:id="rId288" display="https://drive.google.com/open?id=1buShck1TZ1p1G5nDkhqST59D4U3bZYLH" xr:uid="{00000000-0004-0000-0500-00001F010000}"/>
    <hyperlink ref="K290" r:id="rId289" display="https://drive.google.com/open?id=1G-l2_HdaTZMDsWqoGZ4rN5EPJbHtt5E_" xr:uid="{00000000-0004-0000-0500-000020010000}"/>
    <hyperlink ref="K291" r:id="rId290" display="https://drive.google.com/open?id=15Pk_sGZWE6Flko1Wb2O2twwEnxSdKUX2" xr:uid="{00000000-0004-0000-0500-000021010000}"/>
    <hyperlink ref="K292" r:id="rId291" display="https://drive.google.com/open?id=1pxy4YbkI-sDS6ij1d0Nqu69p9VIc-cBR" xr:uid="{00000000-0004-0000-0500-000022010000}"/>
    <hyperlink ref="K293" r:id="rId292" display="https://drive.google.com/open?id=1ND4We0vstlu_HdYGx2G6nGW02_8BM1Aj" xr:uid="{00000000-0004-0000-0500-000023010000}"/>
    <hyperlink ref="K294" r:id="rId293" display="https://drive.google.com/open?id=1w3Q2vDhXD7K6JmivRgDShFYxy502g-7Z" xr:uid="{00000000-0004-0000-0500-000024010000}"/>
    <hyperlink ref="K295" r:id="rId294" display="https://drive.google.com/open?id=1DR6n0B5vS7rx8FgO0IsPV3YHM7XgoHqq" xr:uid="{00000000-0004-0000-0500-000025010000}"/>
    <hyperlink ref="K296" r:id="rId295" display="https://drive.google.com/open?id=1qnoXfzoIm_xbQw2fRc9wW-eeTtUjs97_" xr:uid="{00000000-0004-0000-0500-000026010000}"/>
    <hyperlink ref="K297" r:id="rId296" display="https://drive.google.com/open?id=1XZPrlwYuQ8RNAX-qNAdMU_fytsLHWrYs" xr:uid="{00000000-0004-0000-0500-000027010000}"/>
    <hyperlink ref="K298" r:id="rId297" display="https://drive.google.com/open?id=149ESPV0oXnCADUJfxkqG3CkaYT08LuIp" xr:uid="{00000000-0004-0000-0500-000028010000}"/>
    <hyperlink ref="K299" r:id="rId298" display="https://drive.google.com/open?id=104yQPZ9U-vypFW9lO_evhFhRF4jQHd61" xr:uid="{00000000-0004-0000-0500-000029010000}"/>
    <hyperlink ref="K300" r:id="rId299" display="https://drive.google.com/open?id=1tOHKevKif4koHSLOdb0tc4-Ry3FHkosy" xr:uid="{00000000-0004-0000-0500-00002A010000}"/>
    <hyperlink ref="K301" r:id="rId300" display="https://drive.google.com/open?id=1IHDuFGK8kbwPdBAfTzfr3Yms7U5O4m0P" xr:uid="{00000000-0004-0000-0500-00002B010000}"/>
    <hyperlink ref="K302" r:id="rId301" display="https://drive.google.com/open?id=13jDW6BHQVmmW42YSPFBqxRreQFVJWysf" xr:uid="{00000000-0004-0000-0500-00002C010000}"/>
    <hyperlink ref="K303" r:id="rId302" display="https://drive.google.com/open?id=1lyip7oxDkH1x2-lP8ojF2p4l2zLatMLF" xr:uid="{00000000-0004-0000-0500-00002D010000}"/>
    <hyperlink ref="K304" r:id="rId303" display="https://drive.google.com/open?id=1vcHf6jIBARYMnFgJ8qweSZMkRjKwh6qh" xr:uid="{00000000-0004-0000-0500-00002E010000}"/>
    <hyperlink ref="K305" r:id="rId304" display="https://drive.google.com/open?id=1KtTbj7IeX1qRiGMk6w-TrmpeGOo0SNxk" xr:uid="{00000000-0004-0000-0500-00002F010000}"/>
    <hyperlink ref="K306" r:id="rId305" display="https://drive.google.com/open?id=1WgcdOGmJehGo22q_Q3xA0nKWoCTqTHG6" xr:uid="{00000000-0004-0000-0500-000030010000}"/>
    <hyperlink ref="K307" r:id="rId306" display="https://drive.google.com/open?id=1QS0nQI88rgIEiYjj7TO4KU58qQvkytVU" xr:uid="{00000000-0004-0000-0500-000031010000}"/>
    <hyperlink ref="K308" r:id="rId307" display="https://drive.google.com/open?id=1JG2cKnTAt6FFwBtdLaOvidtCwg1Gx4CN" xr:uid="{00000000-0004-0000-0500-000032010000}"/>
    <hyperlink ref="K309" r:id="rId308" display="https://drive.google.com/open?id=1B45LHuXyosLJYJfrfizCUPhkpMVKLUxC" xr:uid="{00000000-0004-0000-0500-000033010000}"/>
    <hyperlink ref="K310" r:id="rId309" display="https://drive.google.com/open?id=1nw46DLHTIhvxTqAm5_dB1SW8mAcDAZgU" xr:uid="{00000000-0004-0000-0500-000034010000}"/>
    <hyperlink ref="K311" r:id="rId310" display="https://drive.google.com/open?id=1yXWfjkTzVJACdP3CmygqEhe8TFipaIH7" xr:uid="{00000000-0004-0000-0500-000035010000}"/>
    <hyperlink ref="K312" r:id="rId311" display="https://drive.google.com/open?id=1QfD3YoKwUmM276CZ53kxVi9fxuGdfYai" xr:uid="{00000000-0004-0000-0500-000036010000}"/>
    <hyperlink ref="K313" r:id="rId312" display="https://drive.google.com/open?id=1AUlxpqtAYLI6dnxM8-qKO9Qz_T3OjvE4" xr:uid="{00000000-0004-0000-0500-000037010000}"/>
    <hyperlink ref="K314" r:id="rId313" display="https://drive.google.com/open?id=19aeJwC8b5XnMxqmN3pfcrhfeawrRDQwJ" xr:uid="{00000000-0004-0000-0500-000038010000}"/>
    <hyperlink ref="K315" r:id="rId314" display="https://drive.google.com/open?id=1VaUH-A22cfvXSe2NQUv3nyEdsF86eyPR" xr:uid="{00000000-0004-0000-0500-000039010000}"/>
    <hyperlink ref="K316" r:id="rId315" display="https://drive.google.com/open?id=1P8w8GvyxqUANvL9Jmnanhtu3FmIqQJiy" xr:uid="{00000000-0004-0000-0500-00003A010000}"/>
    <hyperlink ref="K317" r:id="rId316" display="https://drive.google.com/open?id=1Ck3LnQotgKdjvrT_F1Y9zbynAxV3l9Ys" xr:uid="{00000000-0004-0000-0500-00003B010000}"/>
    <hyperlink ref="K318" r:id="rId317" display="https://drive.google.com/open?id=1i8HHuCsfFOoOcbEvNBTOAB_bxCKoXHKN" xr:uid="{00000000-0004-0000-0500-00003C010000}"/>
    <hyperlink ref="K319" r:id="rId318" display="https://drive.google.com/open?id=1UBPcUGu-Eetauau5woeM7YBFkiac-EWx" xr:uid="{00000000-0004-0000-0500-00003D010000}"/>
    <hyperlink ref="K320" r:id="rId319" display="https://drive.google.com/open?id=19Bz4-TSyMFGw2NJTz2LV242aaUzJXp0-" xr:uid="{00000000-0004-0000-0500-00003E010000}"/>
    <hyperlink ref="K321" r:id="rId320" display="https://drive.google.com/open?id=1_3Y3Dn-fAuceIAkVOsN3hfSh-z_L91wz" xr:uid="{00000000-0004-0000-0500-00003F010000}"/>
    <hyperlink ref="K322" r:id="rId321" display="https://drive.google.com/open?id=19h15cFhPipW5vUj08jHS_uz6zvL_TrVJ" xr:uid="{00000000-0004-0000-0500-000040010000}"/>
    <hyperlink ref="K323" r:id="rId322" display="https://drive.google.com/open?id=1gL1-pFaJTVb4ekmp6tbUST46T9MTOiEa" xr:uid="{00000000-0004-0000-0500-000041010000}"/>
    <hyperlink ref="K324" r:id="rId323" display="https://drive.google.com/open?id=1z3bh4S-82Zij-0NQjhYOYn9onXj1uIj5" xr:uid="{00000000-0004-0000-0500-000042010000}"/>
    <hyperlink ref="K325" r:id="rId324" display="https://drive.google.com/open?id=1dSLAOq_qHDJ33dDwkguw-lP3lSBua3Rv" xr:uid="{00000000-0004-0000-0500-000043010000}"/>
    <hyperlink ref="K326" r:id="rId325" display="https://drive.google.com/open?id=1o9CmMMPo4x_cPDqfR1uAC4229rmDrOlE" xr:uid="{00000000-0004-0000-0500-000044010000}"/>
    <hyperlink ref="K327" r:id="rId326" display="https://drive.google.com/open?id=1j1LJB0cHO3-M56_bgxFu7Uv7ZXpyg8IL" xr:uid="{00000000-0004-0000-0500-000045010000}"/>
    <hyperlink ref="K328" r:id="rId327" display="https://drive.google.com/open?id=1DX0D2SIWhzLk7FMpUnFIMNLM8oPjm0_4" xr:uid="{00000000-0004-0000-0500-000046010000}"/>
    <hyperlink ref="K329" r:id="rId328" display="https://drive.google.com/open?id=1yoWewoCcYE_mAq1cw9T2GlSjw8VorDod" xr:uid="{00000000-0004-0000-0500-000047010000}"/>
    <hyperlink ref="K330" r:id="rId329" display="https://drive.google.com/open?id=1nco6whHmoSoug69oD_HlGJml4LsO4Mtu" xr:uid="{00000000-0004-0000-0500-000048010000}"/>
    <hyperlink ref="K331" r:id="rId330" display="https://drive.google.com/open?id=1Fx3MGZMylb2KB4VQ8-8ri0r51KfCvmQ4" xr:uid="{00000000-0004-0000-0500-000049010000}"/>
    <hyperlink ref="K332" r:id="rId331" display="https://drive.google.com/open?id=1Hus_hZaH_wddVaJby0dqKYREGOtrx7re" xr:uid="{00000000-0004-0000-0500-00004A010000}"/>
    <hyperlink ref="K333" r:id="rId332" display="https://drive.google.com/open?id=1Om5mTkeCm46j56W_vD94EOFJ_nV1AU5X" xr:uid="{00000000-0004-0000-0500-00004B010000}"/>
    <hyperlink ref="K334" r:id="rId333" display="https://drive.google.com/open?id=1oWasJFEXhwahVIPRB8q_8btbTW7ApZkQ" xr:uid="{00000000-0004-0000-0500-00004C010000}"/>
    <hyperlink ref="K335" r:id="rId334" display="https://drive.google.com/open?id=1xt5LEu5bBb-4_0oISAlYRhZxRlhgQLfX" xr:uid="{00000000-0004-0000-0500-00004D010000}"/>
    <hyperlink ref="K336" r:id="rId335" display="https://drive.google.com/open?id=1RweKqsvzDX5niTTmixe4L1DXbfBCvLMk" xr:uid="{00000000-0004-0000-0500-00004E010000}"/>
    <hyperlink ref="K337" r:id="rId336" display="https://drive.google.com/open?id=1DS6ZBes_FtFimJEeFfznz8YwMYxneyMB" xr:uid="{00000000-0004-0000-0500-00004F010000}"/>
    <hyperlink ref="K338" r:id="rId337" display="https://drive.google.com/open?id=1rOpA9Qf3MkBT8yJhdUGsZiyuUl0f6ufw" xr:uid="{00000000-0004-0000-0500-000050010000}"/>
    <hyperlink ref="K339" r:id="rId338" display="https://drive.google.com/open?id=1fzMlUctlFglMIqKFJADBsK49j0d5pd8G" xr:uid="{00000000-0004-0000-0500-000051010000}"/>
    <hyperlink ref="K340" r:id="rId339" display="https://drive.google.com/open?id=1eCpyWkLyc-6dr-tMZugc9DkqbKcpQtVl" xr:uid="{00000000-0004-0000-0500-000052010000}"/>
    <hyperlink ref="K341" r:id="rId340" display="https://drive.google.com/open?id=135Q2r1gTVjaVA3KaRMDJ0K-zgdyfsFgO" xr:uid="{00000000-0004-0000-0500-000053010000}"/>
    <hyperlink ref="K342" r:id="rId341" display="https://drive.google.com/open?id=1lbtq1ot8rFAJUeIqnZAXSgTiy6gaVoOc" xr:uid="{00000000-0004-0000-0500-000054010000}"/>
    <hyperlink ref="K343" r:id="rId342" display="https://drive.google.com/open?id=1Ctfpt_XIN9hAYn3bHXijID1hrcsz-gMV" xr:uid="{00000000-0004-0000-0500-000055010000}"/>
    <hyperlink ref="K344" r:id="rId343" display="https://drive.google.com/open?id=1ewXXWm2TWYbNSnabislMMRorrSBEDccP" xr:uid="{00000000-0004-0000-0500-000056010000}"/>
    <hyperlink ref="K345" r:id="rId344" display="https://drive.google.com/open?id=18dAxoIXFcIgmNM697BE2ZyWofCJK-k-S" xr:uid="{00000000-0004-0000-0500-000057010000}"/>
    <hyperlink ref="K346" r:id="rId345" display="https://drive.google.com/open?id=1KmZO2SOcVkXhna0Y1SSTfbCAazPqP9wm" xr:uid="{00000000-0004-0000-0500-000058010000}"/>
    <hyperlink ref="K347" r:id="rId346" display="https://drive.google.com/open?id=1KsJQ4g2v1OiJ-Y3MxO_I9mqFmrJrAW7S" xr:uid="{00000000-0004-0000-0500-000059010000}"/>
    <hyperlink ref="K348" r:id="rId347" display="https://drive.google.com/open?id=1CAgQLguOwJiwiLffS2m5njKmzhOeqroo" xr:uid="{00000000-0004-0000-0500-00005A010000}"/>
    <hyperlink ref="K349" r:id="rId348" display="https://drive.google.com/open?id=1EoNPL_1E82X1InuZl-Fo7mxvYqTLOY7X" xr:uid="{00000000-0004-0000-0500-00005B010000}"/>
    <hyperlink ref="K350" r:id="rId349" display="https://drive.google.com/open?id=1I3FsKgZVcxoWW5NeYzNV2ZxGBoIbCnKe" xr:uid="{00000000-0004-0000-0500-00005C010000}"/>
    <hyperlink ref="K351" r:id="rId350" display="https://drive.google.com/open?id=1kFaXnM7AKbPqvJ7OkEBuEez0r0yNOk4J" xr:uid="{00000000-0004-0000-0500-00005D010000}"/>
    <hyperlink ref="K352" r:id="rId351" display="https://drive.google.com/open?id=18pgc0gm0hmGPJP9oH8JCJDHPND5ntMnR" xr:uid="{00000000-0004-0000-0500-00005E010000}"/>
    <hyperlink ref="K353" r:id="rId352" display="https://drive.google.com/open?id=1mLca-pf2cnjAaPzLwB8dZU0P4r-iP5-v" xr:uid="{00000000-0004-0000-0500-00005F010000}"/>
    <hyperlink ref="K354" r:id="rId353" display="https://drive.google.com/open?id=1fD-93RwXXhC0K5ycSPrdDptYbiWhn34J" xr:uid="{00000000-0004-0000-0500-000060010000}"/>
    <hyperlink ref="K355" r:id="rId354" display="https://drive.google.com/open?id=1I29xo311bxhhi0UhASwQ_9tsxhTs0JSF" xr:uid="{00000000-0004-0000-0500-000061010000}"/>
    <hyperlink ref="K356" r:id="rId355" display="https://drive.google.com/open?id=1rXxIP0-ycjvngDbWwuTy-ueH2NHTPTs_" xr:uid="{00000000-0004-0000-0500-000062010000}"/>
    <hyperlink ref="K357" r:id="rId356" display="https://drive.google.com/open?id=1napAuTrFY6jTxUg6igWVS81ratYpZGNx" xr:uid="{00000000-0004-0000-0500-000063010000}"/>
    <hyperlink ref="K358" r:id="rId357" display="https://drive.google.com/open?id=10jN8ft_iXeXc4DHwstW5z-1I0QAWcWtR" xr:uid="{00000000-0004-0000-0500-000064010000}"/>
    <hyperlink ref="K359" r:id="rId358" display="https://drive.google.com/open?id=1BEfNeiiEu9LMjljlAsteG1kp_wTycme-" xr:uid="{00000000-0004-0000-0500-000065010000}"/>
    <hyperlink ref="K360" r:id="rId359" display="https://drive.google.com/open?id=1V3fybC-DGobMr_SsQLb8jGq39MBPwary" xr:uid="{00000000-0004-0000-0500-000066010000}"/>
    <hyperlink ref="K361" r:id="rId360" display="https://drive.google.com/open?id=1CDB0KVbPqd39RcXbdpdW2pLBV-s3QZtu" xr:uid="{00000000-0004-0000-0500-000067010000}"/>
    <hyperlink ref="K362" r:id="rId361" display="https://drive.google.com/open?id=1XzpEHnmsRo1Uja7H4Ago-dTSgB7E3juT" xr:uid="{00000000-0004-0000-0500-000068010000}"/>
    <hyperlink ref="K363" r:id="rId362" display="https://drive.google.com/open?id=16gZmeUvS9zZULTRIPtzvstcoMURbbR7z" xr:uid="{00000000-0004-0000-0500-000069010000}"/>
    <hyperlink ref="K364" r:id="rId363" display="https://drive.google.com/open?id=1sGz2Ht7iO4CJXa-dYUGiz7pcwTQPBs37" xr:uid="{00000000-0004-0000-0500-00006A010000}"/>
    <hyperlink ref="K365" r:id="rId364" display="https://drive.google.com/open?id=1RnC2GbH-CfcVWrmFfeFFuPPZWipJe-1V" xr:uid="{00000000-0004-0000-0500-00006B010000}"/>
    <hyperlink ref="K366" r:id="rId365" display="https://drive.google.com/open?id=1Sx1ZyD2BHcQN0GDSRkGEnVP0HUCSDu2X" xr:uid="{00000000-0004-0000-0500-00006C010000}"/>
    <hyperlink ref="K367" r:id="rId366" display="https://drive.google.com/open?id=1FrmD4FrVsbwjfv3n3SsjPWzxbBvJl3aH" xr:uid="{00000000-0004-0000-0500-00006D010000}"/>
    <hyperlink ref="K368" r:id="rId367" display="https://drive.google.com/open?id=1yvAZgwQQ0WAUyCgbaDFF-bYA-saESrT9" xr:uid="{00000000-0004-0000-0500-00006E010000}"/>
    <hyperlink ref="K369" r:id="rId368" display="https://drive.google.com/open?id=1vP7XB9PLCSVA5x3_RS9FgkgZg7Yg90Kh" xr:uid="{00000000-0004-0000-0500-00006F010000}"/>
    <hyperlink ref="K370" r:id="rId369" display="https://drive.google.com/open?id=1hxMUQFll5RKAmvU_5YVnns8Ot4gix8Ew" xr:uid="{00000000-0004-0000-0500-000070010000}"/>
    <hyperlink ref="K371" r:id="rId370" display="https://drive.google.com/open?id=1tluUCTW5833qn2Y2I016fUFLNcvU9wQN" xr:uid="{00000000-0004-0000-0500-000071010000}"/>
    <hyperlink ref="K372" r:id="rId371" display="https://drive.google.com/open?id=1BSdn0sj7sm_8k8qnMWJVLWe2eDruQRFu" xr:uid="{00000000-0004-0000-0500-000072010000}"/>
    <hyperlink ref="K373" r:id="rId372" display="https://drive.google.com/open?id=1KVLd8bu3XroEMIX5eGBRLp0Ny1PYDFLa" xr:uid="{00000000-0004-0000-0500-000073010000}"/>
    <hyperlink ref="K374" r:id="rId373" display="https://drive.google.com/open?id=1dclhAY9hOiRHeG2Veptfo-i5Pl2ti7ub" xr:uid="{00000000-0004-0000-0500-000074010000}"/>
    <hyperlink ref="K375" r:id="rId374" display="https://drive.google.com/open?id=1Ag7a8-iLv_jbwDS4g5LMfd_Qm1mYghCP" xr:uid="{00000000-0004-0000-0500-000075010000}"/>
    <hyperlink ref="K376" r:id="rId375" display="https://drive.google.com/open?id=1DGq3Z9Hv6wdsfDLdxFHWrkfim1dk2reA" xr:uid="{00000000-0004-0000-0500-000076010000}"/>
    <hyperlink ref="K377" r:id="rId376" display="https://drive.google.com/open?id=1jRQLjFUB42L-7lWbY9cFdYdWHXICyjt1" xr:uid="{00000000-0004-0000-0500-000077010000}"/>
    <hyperlink ref="K378" r:id="rId377" display="https://drive.google.com/open?id=1xuoVqr0QMgCsvz5rFTo9SVoMb5UeU67O" xr:uid="{00000000-0004-0000-0500-000078010000}"/>
    <hyperlink ref="K379" r:id="rId378" display="https://drive.google.com/open?id=1VksBdV3ybINuVdznQDBP-Cr4O1vi219V" xr:uid="{00000000-0004-0000-0500-000079010000}"/>
    <hyperlink ref="K380" r:id="rId379" display="https://drive.google.com/open?id=1ST4b8Hp_jhQRMiO7hFlz-QG0wtYMcjcr" xr:uid="{00000000-0004-0000-0500-00007A010000}"/>
    <hyperlink ref="K381" r:id="rId380" display="https://drive.google.com/open?id=149E4ROiJYHPw5OBN0KsGUY5hFPqL8gfC" xr:uid="{00000000-0004-0000-0500-00007B010000}"/>
    <hyperlink ref="K382" r:id="rId381" display="https://drive.google.com/open?id=1KZYZ-Lb9-WgsfgcK-Baipk7HTxVfU9w-" xr:uid="{00000000-0004-0000-0500-00007C010000}"/>
    <hyperlink ref="K383" r:id="rId382" display="https://drive.google.com/open?id=1NQc3uCU_vybJQ93r1wFSyFbEWe15DgTn" xr:uid="{00000000-0004-0000-0500-00007D010000}"/>
    <hyperlink ref="K384" r:id="rId383" display="https://drive.google.com/open?id=1GZ6HmXd0Z96Lgo4uEZ3qL3WT5kxQ6Pde" xr:uid="{00000000-0004-0000-0500-00007E010000}"/>
    <hyperlink ref="K385" r:id="rId384" display="https://drive.google.com/open?id=15zLmiPTwGlB263x4Rbuxp5ft-FbLEaKg" xr:uid="{00000000-0004-0000-0500-00007F010000}"/>
    <hyperlink ref="K386" r:id="rId385" display="https://drive.google.com/open?id=1lDoQoKhSD4BIbKrcvBDXhksloXGEnkvG" xr:uid="{00000000-0004-0000-0500-000080010000}"/>
    <hyperlink ref="K387" r:id="rId386" display="https://drive.google.com/open?id=1idI9O8jYBlqxO8yVanfpu18hvzSMfcj_" xr:uid="{00000000-0004-0000-0500-000081010000}"/>
    <hyperlink ref="K388" r:id="rId387" display="https://drive.google.com/open?id=1YXipXLsc-4Z-v_4cuaF6acWtj_t6PegX" xr:uid="{00000000-0004-0000-0500-000082010000}"/>
    <hyperlink ref="K389" r:id="rId388" display="https://drive.google.com/open?id=12vI9Z20YOFsMeRIFDcYp1nDbnAFwzEYW" xr:uid="{00000000-0004-0000-0500-000083010000}"/>
    <hyperlink ref="K390" r:id="rId389" display="https://drive.google.com/open?id=1uYuYXkdEWryncIHec1p4qelhklqO9KIq" xr:uid="{00000000-0004-0000-0500-000084010000}"/>
    <hyperlink ref="K391" r:id="rId390" display="https://drive.google.com/open?id=1WKQ6Zat4I6cv91_KTvrVBOEV6xr2MpY5" xr:uid="{00000000-0004-0000-0500-000085010000}"/>
    <hyperlink ref="K392" r:id="rId391" display="https://drive.google.com/open?id=1LlmpZ_qnGbwpVaiBXux7TglB4Rh5Ters" xr:uid="{00000000-0004-0000-0500-000086010000}"/>
    <hyperlink ref="K393" r:id="rId392" display="https://drive.google.com/open?id=1snsrBX1UnEHDW1ZYLbuttCJHV_PROQ0g" xr:uid="{00000000-0004-0000-0500-000087010000}"/>
    <hyperlink ref="K394" r:id="rId393" display="https://drive.google.com/open?id=1UtdWvpvtlF3ujQ68A99h3BMwzhOk8LTf" xr:uid="{00000000-0004-0000-0500-000088010000}"/>
    <hyperlink ref="K395" r:id="rId394" display="https://drive.google.com/open?id=1Gwih3gqGq6Q54ZAYZdM5T7GpIxCh4skf" xr:uid="{00000000-0004-0000-0500-000089010000}"/>
    <hyperlink ref="K396" r:id="rId395" display="https://drive.google.com/open?id=18LI4k02AlcJkQR7kYxO2sU6TvLjZRnR2" xr:uid="{00000000-0004-0000-0500-00008A010000}"/>
    <hyperlink ref="K397" r:id="rId396" display="https://drive.google.com/open?id=1TIANKWZqybsJ4s54dnDKxsWmd6fSGmzv" xr:uid="{00000000-0004-0000-0500-00008B010000}"/>
    <hyperlink ref="K398" r:id="rId397" display="https://drive.google.com/open?id=19J4nmDFGt6M9WCEJQNAyedpsrJrnPnSO" xr:uid="{00000000-0004-0000-0500-00008C010000}"/>
    <hyperlink ref="K399" r:id="rId398" display="https://drive.google.com/open?id=1ag8xXp9J_hg2avLex4CCudLV_lqvxbz9" xr:uid="{00000000-0004-0000-0500-00008D010000}"/>
    <hyperlink ref="K400" r:id="rId399" display="https://drive.google.com/open?id=1Ajs9l4X8WbxrWo2002eOfyCA9CGdMv9p" xr:uid="{00000000-0004-0000-0500-00008E010000}"/>
    <hyperlink ref="K401" r:id="rId400" display="https://drive.google.com/open?id=1I6lz0VHdmJ63xafnDKePv1Nz0ganYjql" xr:uid="{00000000-0004-0000-0500-00008F010000}"/>
    <hyperlink ref="K402" r:id="rId401" display="https://drive.google.com/open?id=16oKlg_rKMdoqmLF-Q6oHHqpa3u5Ey7al" xr:uid="{00000000-0004-0000-0500-000090010000}"/>
    <hyperlink ref="K403" r:id="rId402" display="https://drive.google.com/open?id=1iddx6GiyzoGylhxCDI-E-V5ifL8jy-ki" xr:uid="{00000000-0004-0000-0500-000091010000}"/>
    <hyperlink ref="K404" r:id="rId403" display="https://drive.google.com/open?id=1fjnwkCATs7XldWAR7MZNuQUb05pDdhNb" xr:uid="{00000000-0004-0000-0500-000092010000}"/>
    <hyperlink ref="K405" r:id="rId404" display="https://drive.google.com/open?id=1mn0SSjIJN5TMndifLbcIyvt7Gn7ZzLDt" xr:uid="{00000000-0004-0000-0500-000093010000}"/>
    <hyperlink ref="K406" r:id="rId405" display="https://drive.google.com/open?id=1oGd0TgPMSs2_aUaC7MhhXkTdYXkrrSp8" xr:uid="{00000000-0004-0000-0500-000094010000}"/>
    <hyperlink ref="K407" r:id="rId406" display="https://drive.google.com/open?id=107KWl7vHy4JvgbFp97Q2TqLetMA7I7ZT" xr:uid="{00000000-0004-0000-0500-000095010000}"/>
    <hyperlink ref="K408" r:id="rId407" display="https://drive.google.com/open?id=1erC_GJzEFzMEUrIt7RCB1gE5rOo1vD_9" xr:uid="{00000000-0004-0000-0500-000096010000}"/>
    <hyperlink ref="K409" r:id="rId408" display="https://drive.google.com/open?id=1hK2pBkdTZDKlPOmiNsZBHAE_l9PK0ReV" xr:uid="{00000000-0004-0000-0500-000097010000}"/>
    <hyperlink ref="K410" r:id="rId409" display="https://drive.google.com/open?id=1UH29DWZ7mNJAc3hFq7J6-52l9vH-o75V" xr:uid="{00000000-0004-0000-0500-000098010000}"/>
    <hyperlink ref="K411" r:id="rId410" display="https://drive.google.com/open?id=1gwt9YnCs_Mw_5hdc2VLXTf3wKncfuc6Q" xr:uid="{00000000-0004-0000-0500-000099010000}"/>
    <hyperlink ref="K412" r:id="rId411" display="https://drive.google.com/open?id=1MaIstHqnDkNHBOsPBnH7PCPqV-V-vA3u" xr:uid="{00000000-0004-0000-0500-00009A010000}"/>
    <hyperlink ref="K413" r:id="rId412" display="https://drive.google.com/open?id=1kCej-tFd2U_21HOqTq7dkkunOSUkz9PY" xr:uid="{00000000-0004-0000-0500-00009B010000}"/>
    <hyperlink ref="K414" r:id="rId413" display="https://drive.google.com/open?id=12D6tVmvoLlsK_hHZi7DYhiLtuyKu3-k3" xr:uid="{00000000-0004-0000-0500-00009C010000}"/>
    <hyperlink ref="K415" r:id="rId414" display="https://drive.google.com/open?id=1f4IbL3inliT5llRVq8Zb-tsbD5AxG-bz" xr:uid="{00000000-0004-0000-0500-00009D010000}"/>
    <hyperlink ref="K416" r:id="rId415" display="https://drive.google.com/open?id=1sGwuj9VRKy0EKAY8yVgQ1Dcof6o5oKcu" xr:uid="{00000000-0004-0000-0500-00009E010000}"/>
    <hyperlink ref="K417" r:id="rId416" display="https://drive.google.com/open?id=1j1-oZeZS2g_ZOxn2CBPUDerYewVdGTrB" xr:uid="{00000000-0004-0000-0500-00009F010000}"/>
    <hyperlink ref="K418" r:id="rId417" display="https://drive.google.com/open?id=17YaiJ7jsRQYYiWUOAI1WTjDUII1YWA80" xr:uid="{00000000-0004-0000-0500-0000A0010000}"/>
    <hyperlink ref="K419" r:id="rId418" display="https://drive.google.com/open?id=1TUx6HI9v0Krubux7DA1wOgRCNkWizT7H" xr:uid="{00000000-0004-0000-0500-0000A1010000}"/>
    <hyperlink ref="K420" r:id="rId419" display="https://drive.google.com/open?id=1Oon8p6ylgk_W4ZWn769axktQh7m85hqJ" xr:uid="{00000000-0004-0000-0500-0000A2010000}"/>
    <hyperlink ref="K421" r:id="rId420" display="https://drive.google.com/open?id=1a5C1fy7ElXVeE8z6o5zy1tZ2Ook-dC0p" xr:uid="{00000000-0004-0000-0500-0000A3010000}"/>
    <hyperlink ref="K422" r:id="rId421" display="https://drive.google.com/open?id=1ZZA504_CZJJomGE-VQrhHmlKo50Jlrb8" xr:uid="{00000000-0004-0000-0500-0000A4010000}"/>
    <hyperlink ref="K423" r:id="rId422" display="https://drive.google.com/open?id=1ySydhHPSGF509jC_hYDhMEh1dGCh1YnY" xr:uid="{00000000-0004-0000-0500-0000A5010000}"/>
    <hyperlink ref="K424" r:id="rId423" display="https://drive.google.com/open?id=1m4BTv5Etd4b2TIO038QhUJcszrtjqWra" xr:uid="{00000000-0004-0000-0500-0000A6010000}"/>
    <hyperlink ref="K425" r:id="rId424" display="https://drive.google.com/open?id=19GI5qFSQHScSiFk4Ywd1RnR0wG0_hQVG" xr:uid="{00000000-0004-0000-0500-0000A7010000}"/>
    <hyperlink ref="K426" r:id="rId425" display="https://drive.google.com/open?id=1a3rZb27uIXa2apvbeh2nvyIEJUoZY8CP" xr:uid="{00000000-0004-0000-0500-0000A8010000}"/>
    <hyperlink ref="K427" r:id="rId426" display="https://drive.google.com/open?id=1RbHsvYG8Vr-xXkN-ACZybU3Su2tqODs8" xr:uid="{00000000-0004-0000-0500-0000A9010000}"/>
    <hyperlink ref="K428" r:id="rId427" display="https://drive.google.com/open?id=133E3GUGhxSo-el8Nj3fbCzJgfrKNEtyF" xr:uid="{00000000-0004-0000-0500-0000AA010000}"/>
    <hyperlink ref="K429" r:id="rId428" display="https://drive.google.com/open?id=18tx_x8oqHtl_mYiqbPjDtWxVUocIfhOG" xr:uid="{00000000-0004-0000-0500-0000AB010000}"/>
    <hyperlink ref="K430" r:id="rId429" display="https://drive.google.com/open?id=17IHN36wQEF50A9mml5qyjIR9WamldUwy" xr:uid="{00000000-0004-0000-0500-0000AC010000}"/>
    <hyperlink ref="K431" r:id="rId430" display="https://drive.google.com/open?id=1_gG2F-FhMtSVQC3MCZ-ZTi5aDHgRVFQw" xr:uid="{00000000-0004-0000-0500-0000AD010000}"/>
    <hyperlink ref="K432" r:id="rId431" display="https://drive.google.com/open?id=1QMfaNPYetS7O2Ru9r_pgzrbBQQ9dHwz0" xr:uid="{00000000-0004-0000-0500-0000AE010000}"/>
    <hyperlink ref="K433" r:id="rId432" display="https://drive.google.com/open?id=1_y6iGGdoyvfMVY7JXc1BYWAP6GB_1jpL" xr:uid="{00000000-0004-0000-0500-0000AF010000}"/>
    <hyperlink ref="K434" r:id="rId433" display="https://drive.google.com/open?id=1akSfmutBOQ2wbe7JeqQbyvifchGO0q9a" xr:uid="{00000000-0004-0000-0500-0000B0010000}"/>
    <hyperlink ref="K435" r:id="rId434" display="https://drive.google.com/open?id=1tu1ObCtNEgwaW1ESur34JpG0BxnEKJ4o" xr:uid="{00000000-0004-0000-0500-0000B1010000}"/>
    <hyperlink ref="K436" r:id="rId435" display="https://drive.google.com/open?id=1s2j7xWnBz1z6TvxUo2Crr6p7f5ZN-w9u" xr:uid="{00000000-0004-0000-0500-0000B2010000}"/>
    <hyperlink ref="K437" r:id="rId436" display="https://drive.google.com/open?id=1ozV6zBev14iz3yyNal7hj2QhlxhgFLV6" xr:uid="{00000000-0004-0000-0500-0000B3010000}"/>
    <hyperlink ref="K438" r:id="rId437" display="https://drive.google.com/open?id=1WPfUXhW8cLHgHZxkW5IogO5j-ks-Ep7U" xr:uid="{00000000-0004-0000-0500-0000B4010000}"/>
    <hyperlink ref="K439" r:id="rId438" display="https://drive.google.com/open?id=1InkIWNhqHwMI_EK22-4sYbdW-AcASCU3" xr:uid="{00000000-0004-0000-0500-0000B5010000}"/>
    <hyperlink ref="K440" r:id="rId439" display="https://drive.google.com/open?id=1f_6RyJdXXACjMWev8ca0hIqydzsrtWcs" xr:uid="{00000000-0004-0000-0500-0000B6010000}"/>
    <hyperlink ref="K441" r:id="rId440" display="https://drive.google.com/open?id=12XH5RrfL2FOuXr7u4fG9Rx1Bs1pYuF3w" xr:uid="{00000000-0004-0000-0500-0000B7010000}"/>
    <hyperlink ref="K442" r:id="rId441" display="https://drive.google.com/open?id=1u7wm-N97PPXgI3ost1CrXrVe66wKvBsJ" xr:uid="{00000000-0004-0000-0500-0000B8010000}"/>
    <hyperlink ref="K443" r:id="rId442" display="https://drive.google.com/open?id=12zEjCujEAx38R7Mcz3Q5dj-Y8ZmURofK" xr:uid="{00000000-0004-0000-0500-0000B9010000}"/>
    <hyperlink ref="K444" r:id="rId443" display="https://drive.google.com/open?id=1qmWYkZ9uNISCKdJ2kUyd6rPe1yQQrs8m" xr:uid="{00000000-0004-0000-0500-0000BA010000}"/>
    <hyperlink ref="K445" r:id="rId444" display="https://drive.google.com/open?id=1pWjhSz02aRPeh3Gu2nw87YrCPDMuAnNn" xr:uid="{00000000-0004-0000-0500-0000BB010000}"/>
    <hyperlink ref="K446" r:id="rId445" display="https://drive.google.com/open?id=1rUsvBUcqTc4pCRFgLI6clp8DLaNqSU2s" xr:uid="{00000000-0004-0000-0500-0000BC010000}"/>
    <hyperlink ref="K447" r:id="rId446" display="https://drive.google.com/open?id=1zNDTOJTa-loY2JzE0YC6MTK-athBsanK" xr:uid="{00000000-0004-0000-0500-0000BD010000}"/>
    <hyperlink ref="K448" r:id="rId447" display="https://drive.google.com/open?id=1EJO0XC5P_pLAqOf-2Q8rbY0TxHWpxzxX" xr:uid="{00000000-0004-0000-0500-0000BE010000}"/>
    <hyperlink ref="K449" r:id="rId448" display="https://drive.google.com/open?id=1QtbtvLWTBhNXZvDVypiun7FhSG7Wn0YN" xr:uid="{00000000-0004-0000-0500-0000BF010000}"/>
    <hyperlink ref="K450" r:id="rId449" display="https://drive.google.com/open?id=1MyCa2fivlqQ7bcs1S2McWuvIsY-7DS9G" xr:uid="{00000000-0004-0000-0500-0000C0010000}"/>
    <hyperlink ref="K451" r:id="rId450" display="https://drive.google.com/open?id=1oaGjs8hJ2R12P4G98dW9kU2e-yGO4_xl" xr:uid="{00000000-0004-0000-0500-0000C1010000}"/>
    <hyperlink ref="K452" r:id="rId451" display="https://drive.google.com/open?id=1Wawjw-L04QCVpBY0em0_Y1SQLmOVcqrO" xr:uid="{00000000-0004-0000-0500-0000C2010000}"/>
    <hyperlink ref="K453" r:id="rId452" display="https://drive.google.com/open?id=1Z1JVlWAsHNb0NSCqusVw79G3BCC4Y88H" xr:uid="{00000000-0004-0000-0500-0000C3010000}"/>
    <hyperlink ref="K454" r:id="rId453" display="https://drive.google.com/open?id=1cqxllut2Fduqdqm6ZeBOazCpG_Pq87iB" xr:uid="{00000000-0004-0000-0500-0000C4010000}"/>
    <hyperlink ref="K455" r:id="rId454" display="https://drive.google.com/open?id=1sDjV3n0ZaZV91dbGI3HkFjaboiqhhNg-" xr:uid="{00000000-0004-0000-0500-0000C5010000}"/>
    <hyperlink ref="K456" r:id="rId455" display="https://drive.google.com/open?id=1OtVz7NJkJOxhAlctniZAXLM5rkioRXHd" xr:uid="{00000000-0004-0000-0500-0000C6010000}"/>
    <hyperlink ref="K457" r:id="rId456" display="https://drive.google.com/open?id=1l7eoNt7hRn6fxUZXYc909qxPbl4HUAbA" xr:uid="{00000000-0004-0000-0500-0000C7010000}"/>
    <hyperlink ref="K458" r:id="rId457" display="https://drive.google.com/open?id=1aq0xsrL_B-iQeN4e4rF3P7OQXUecsNFJ" xr:uid="{00000000-0004-0000-0500-0000C8010000}"/>
    <hyperlink ref="K459" r:id="rId458" display="https://drive.google.com/open?id=18j-pZ12BOZQwFqc_2u-9vRh6F7tBoz_M" xr:uid="{00000000-0004-0000-0500-0000C9010000}"/>
    <hyperlink ref="K460" r:id="rId459" display="https://drive.google.com/open?id=12U8nlGkFFj4wHZie88BUI6ywlqI9YugT" xr:uid="{00000000-0004-0000-0500-0000CA010000}"/>
    <hyperlink ref="K461" r:id="rId460" display="https://drive.google.com/open?id=17NyakmZ6ZsZ83DGgRdjSksxJJRHvzLvv" xr:uid="{00000000-0004-0000-0500-0000CB010000}"/>
    <hyperlink ref="K462" r:id="rId461" display="https://drive.google.com/open?id=1hPgl68HaJ-zzV1WqFQtYWNEhmfy5PCLs" xr:uid="{00000000-0004-0000-0500-0000CC010000}"/>
    <hyperlink ref="K463" r:id="rId462" display="https://drive.google.com/open?id=10QvYm-wuVcxAqSNrdtWB0ZlUg8veOEdU" xr:uid="{00000000-0004-0000-0500-0000CD010000}"/>
    <hyperlink ref="K464" r:id="rId463" display="https://drive.google.com/open?id=136LdQUNtmF9QaTM1zTx2W11doFVWTOLE" xr:uid="{00000000-0004-0000-0500-0000CE010000}"/>
    <hyperlink ref="K465" r:id="rId464" display="https://drive.google.com/open?id=1kAHHiXHPPzDaVNvKd1i1qugvelPnBGd5" xr:uid="{00000000-0004-0000-0500-0000CF010000}"/>
    <hyperlink ref="K466" r:id="rId465" display="https://drive.google.com/open?id=1jwEjX1eg1cjLCJcQyUFV20AYaopM1Rj_" xr:uid="{00000000-0004-0000-0500-0000D0010000}"/>
    <hyperlink ref="K467" r:id="rId466" display="https://drive.google.com/open?id=1UdFcBbraR4eMfq9v89NSg0Rw00m1jrLa" xr:uid="{00000000-0004-0000-0500-0000D1010000}"/>
    <hyperlink ref="K468" r:id="rId467" display="https://drive.google.com/open?id=1kB2dETgK9HrOxigXiDFEsWXGRNUPqNBB" xr:uid="{00000000-0004-0000-0500-0000D2010000}"/>
    <hyperlink ref="K469" r:id="rId468" display="https://drive.google.com/open?id=16gk4EJQdxCN0zUM15j7dKfdYYeYJjiMQ" xr:uid="{00000000-0004-0000-0500-0000D3010000}"/>
    <hyperlink ref="K470" r:id="rId469" display="https://drive.google.com/open?id=1Q_mxllZmRvTLTbcdP2WbjAIWSoLVVgED" xr:uid="{00000000-0004-0000-0500-0000D4010000}"/>
    <hyperlink ref="K471" r:id="rId470" display="https://drive.google.com/open?id=1kUCKamDQvSydly64EJmnG0x75hW8ZcJl" xr:uid="{00000000-0004-0000-0500-0000D5010000}"/>
    <hyperlink ref="K472" r:id="rId471" display="https://drive.google.com/open?id=1gb03XodkHPhoZhmWCb4BYT9_AYiuwvXC" xr:uid="{00000000-0004-0000-0500-0000D6010000}"/>
    <hyperlink ref="K473" r:id="rId472" display="https://drive.google.com/open?id=16PngkmY2MrkDIn-g-e6sl8BNXl8J7Lpi" xr:uid="{00000000-0004-0000-0500-0000D7010000}"/>
    <hyperlink ref="K474" r:id="rId473" display="https://drive.google.com/open?id=1qG4yKD0AhX79KjzGNKXGiMINRg-6-e_d" xr:uid="{00000000-0004-0000-0500-0000D8010000}"/>
    <hyperlink ref="K475" r:id="rId474" display="https://drive.google.com/open?id=1K7re4F4sjorGSy4xdqaaQ9iR-eljFBmp" xr:uid="{00000000-0004-0000-0500-0000D9010000}"/>
    <hyperlink ref="K476" r:id="rId475" display="https://drive.google.com/open?id=1egre4J8ROMfoWUd7u6ooYPskcd26Yji0" xr:uid="{00000000-0004-0000-0500-0000DA010000}"/>
    <hyperlink ref="K477" r:id="rId476" display="https://drive.google.com/open?id=1z5KkDpjCjsM7cmCqgb6ch6Zw6xDrHH7K" xr:uid="{00000000-0004-0000-0500-0000DB010000}"/>
    <hyperlink ref="K478" r:id="rId477" display="https://drive.google.com/open?id=1v01EIsd16wQQu_jl1eRzigztb8ixsaaB" xr:uid="{00000000-0004-0000-0500-0000DC010000}"/>
    <hyperlink ref="K479" r:id="rId478" display="https://drive.google.com/open?id=14M2s0Yb5IrkGYbOl1tHOF2UOlYrDb6lf" xr:uid="{00000000-0004-0000-0500-0000DD010000}"/>
    <hyperlink ref="K480" r:id="rId479" display="https://drive.google.com/open?id=1-2XRNFWqoYlC4fMcw_b0gR2AoUtJrEB5" xr:uid="{00000000-0004-0000-0500-0000DE010000}"/>
    <hyperlink ref="K481" r:id="rId480" display="https://drive.google.com/open?id=1-Kh2b0Mccdp5ibZVzDcX7rSa2CN-NJG8" xr:uid="{00000000-0004-0000-0500-0000DF010000}"/>
    <hyperlink ref="K482" r:id="rId481" display="https://drive.google.com/open?id=1LY1yS5lHsPfg_pPppzxlb8enwNd2sr7N" xr:uid="{00000000-0004-0000-0500-0000E0010000}"/>
    <hyperlink ref="K483" r:id="rId482" display="https://drive.google.com/open?id=1hPn17VP27yhvydDTY9traLQ1wHwZmrox" xr:uid="{00000000-0004-0000-0500-0000E1010000}"/>
    <hyperlink ref="K484" r:id="rId483" display="https://drive.google.com/open?id=1BKGViztp3IVXKGp0QsPQ8GzQD5egv4tn" xr:uid="{00000000-0004-0000-0500-0000E2010000}"/>
    <hyperlink ref="K485" r:id="rId484" display="https://drive.google.com/open?id=12RL8c1eDxOxloOcL-nQ5Q8_yqlWmTs1j" xr:uid="{00000000-0004-0000-0500-0000E3010000}"/>
    <hyperlink ref="K486" r:id="rId485" display="https://drive.google.com/open?id=1lJpU6p4HauFCn44XN7EJcAWZpal2R1b5" xr:uid="{00000000-0004-0000-0500-0000E4010000}"/>
    <hyperlink ref="K487" r:id="rId486" display="https://drive.google.com/open?id=1jJoTU4sgyRGXMbpfu72l4atFy68iFGgx" xr:uid="{00000000-0004-0000-0500-0000E5010000}"/>
    <hyperlink ref="K488" r:id="rId487" display="https://drive.google.com/open?id=1oATV4z38uVsk4DRsCVGk1JQtK1jyN3h9" xr:uid="{00000000-0004-0000-0500-0000E6010000}"/>
    <hyperlink ref="K489" r:id="rId488" display="https://drive.google.com/open?id=1zl0FM32wwsGqc5vNeMZ_jEgkKuRia6S2" xr:uid="{00000000-0004-0000-0500-0000E7010000}"/>
    <hyperlink ref="K490" r:id="rId489" display="https://drive.google.com/open?id=1OD1v1NPhwpIGDw1egj5-f8gTMb_M7LZF" xr:uid="{00000000-0004-0000-0500-0000E8010000}"/>
    <hyperlink ref="K491" r:id="rId490" display="https://drive.google.com/open?id=1EnSLOaNxEjnCT7OoDfIeiqBqy8uy1FsZ" xr:uid="{00000000-0004-0000-0500-0000E9010000}"/>
    <hyperlink ref="K492" r:id="rId491" display="https://drive.google.com/open?id=10E2Ll4SUAfNR9h_MRcegXemaUXhuQ-LK" xr:uid="{00000000-0004-0000-0500-0000EA010000}"/>
    <hyperlink ref="K493" r:id="rId492" display="https://drive.google.com/open?id=1KfBxR3zT_qNZ6b0gk50CYbmZIJNudz2s" xr:uid="{00000000-0004-0000-0500-0000EB010000}"/>
    <hyperlink ref="K494" r:id="rId493" display="https://drive.google.com/open?id=1icNJAJuu3Wy4ss4bug7-BgODwv2t1xhH" xr:uid="{00000000-0004-0000-0500-0000EC010000}"/>
    <hyperlink ref="K495" r:id="rId494" display="https://drive.google.com/open?id=1BH-PRg3x3i8kT7ptfZj5TSMnBWA5QRY1" xr:uid="{00000000-0004-0000-0500-0000ED010000}"/>
    <hyperlink ref="K496" r:id="rId495" display="https://drive.google.com/open?id=1h8NrepugU0ydNIsSDDJourgUc70hRnYH" xr:uid="{00000000-0004-0000-0500-0000EE010000}"/>
    <hyperlink ref="K497" r:id="rId496" display="https://drive.google.com/open?id=1Xf4evwkfBW0R1l-NdlxYWV8qBgHehXF5" xr:uid="{00000000-0004-0000-0500-0000EF010000}"/>
    <hyperlink ref="K498" r:id="rId497" display="https://drive.google.com/open?id=17tn4juU4_DUYU4WxjeD0_gQdnDwsFK4O" xr:uid="{00000000-0004-0000-0500-0000F0010000}"/>
    <hyperlink ref="K499" r:id="rId498" display="https://drive.google.com/open?id=1zIvJBF_xQ5S9qMEkM3UqEPmg3JTGPRFk" xr:uid="{00000000-0004-0000-0500-0000F1010000}"/>
    <hyperlink ref="K500" r:id="rId499" display="https://drive.google.com/open?id=1Ug5t3VNci3uyoMfvLwu4DoJcudtXmz6n" xr:uid="{00000000-0004-0000-0500-0000F2010000}"/>
    <hyperlink ref="K501" r:id="rId500" display="https://drive.google.com/open?id=1tZvwC6rzsQDCj5lbFaKWVh3P1rWKOafa" xr:uid="{00000000-0004-0000-0500-0000F3010000}"/>
    <hyperlink ref="K502" r:id="rId501" display="https://drive.google.com/open?id=1GUXYnrxGrBjKWI0LoOXMDiraPHF9jeui" xr:uid="{00000000-0004-0000-0500-0000F4010000}"/>
    <hyperlink ref="K503" r:id="rId502" display="https://drive.google.com/open?id=1cxSMeC_FJlUsEbswkGYBB-f3dR41ySBU" xr:uid="{00000000-0004-0000-0500-0000F5010000}"/>
    <hyperlink ref="K504" r:id="rId503" display="https://drive.google.com/open?id=1RKfLsFt74vnUJHLq7UFknSc1hSnykayV" xr:uid="{00000000-0004-0000-0500-0000F6010000}"/>
    <hyperlink ref="K505" r:id="rId504" display="https://drive.google.com/open?id=1cSM7x8o4W_E3LFnpiS_Jm2WLq9tnhRZ2" xr:uid="{00000000-0004-0000-0500-0000F7010000}"/>
    <hyperlink ref="K506" r:id="rId505" display="https://drive.google.com/open?id=1vKa_n_oyI4AoCh9UTGclxRUxxe2U_WzG" xr:uid="{00000000-0004-0000-0500-0000F8010000}"/>
    <hyperlink ref="K507" r:id="rId506" display="https://drive.google.com/open?id=1Dzn2hpi1Qp9w0A9xUJxLMx6IhlI2QGuk" xr:uid="{00000000-0004-0000-0500-0000F9010000}"/>
    <hyperlink ref="K508" r:id="rId507" display="https://drive.google.com/open?id=1TZeRWDVvLRWDIxlmQfpSSmfVPpff27yt" xr:uid="{00000000-0004-0000-0500-0000FA010000}"/>
    <hyperlink ref="K509" r:id="rId508" display="https://drive.google.com/open?id=1SU1986z5Bl7T2ntuXWAw2vduIF4Z19lT" xr:uid="{00000000-0004-0000-0500-0000FB010000}"/>
    <hyperlink ref="K510" r:id="rId509" display="https://drive.google.com/open?id=1paBUJfz_M4Gigm8Veby7U8NWn40KrzpW" xr:uid="{00000000-0004-0000-0500-0000FC010000}"/>
    <hyperlink ref="K511" r:id="rId510" display="https://drive.google.com/open?id=1LrTwKTVFOygHJ8gHCJ2OlPA3e0ySb62H" xr:uid="{00000000-0004-0000-0500-0000FD010000}"/>
    <hyperlink ref="K512" r:id="rId511" display="https://drive.google.com/open?id=198sBy60ZJuhV2m216INIEmBsIzHPJOir" xr:uid="{00000000-0004-0000-0500-0000FE010000}"/>
    <hyperlink ref="K513" r:id="rId512" display="https://drive.google.com/open?id=1CraJr1Nid3rqoJ1bVL8eBdrZi1yQ-kpC" xr:uid="{00000000-0004-0000-0500-0000FF010000}"/>
    <hyperlink ref="K514" r:id="rId513" display="https://drive.google.com/open?id=1pMTutEHS8VT2lEPvgSLuKWua8eBbMpnz" xr:uid="{00000000-0004-0000-0500-000000020000}"/>
    <hyperlink ref="K515" r:id="rId514" display="https://drive.google.com/open?id=1d5VMkEdhOE6wUBXgCuli559i34T1JNFq" xr:uid="{00000000-0004-0000-0500-000001020000}"/>
    <hyperlink ref="K516" r:id="rId515" display="https://drive.google.com/open?id=1pJnAHkwhsnPJtQBH37JAkhjqh901yg2r" xr:uid="{00000000-0004-0000-0500-000002020000}"/>
    <hyperlink ref="K517" r:id="rId516" display="https://drive.google.com/open?id=1yOJySaImIeqzV8zvtN7zLCZ8rTzC6P4y" xr:uid="{00000000-0004-0000-0500-000003020000}"/>
    <hyperlink ref="K518" r:id="rId517" display="https://drive.google.com/open?id=1kXrytMYKsJLrS-3i_-DaB6hKP07r6KbC" xr:uid="{00000000-0004-0000-0500-000004020000}"/>
    <hyperlink ref="K519" r:id="rId518" display="https://drive.google.com/open?id=1NiIHfvJgm5gpPCpKbnhOuxmv4ZnfWpQW" xr:uid="{00000000-0004-0000-0500-000005020000}"/>
    <hyperlink ref="K520" r:id="rId519" display="https://drive.google.com/open?id=1AJghTvCvOYf2111qo8ySsjxTH-es7gtq" xr:uid="{00000000-0004-0000-0500-000006020000}"/>
    <hyperlink ref="K521" r:id="rId520" display="https://drive.google.com/open?id=1mxzJH-OG4In_VvdEQaVkfMt6-qVrqc3K" xr:uid="{00000000-0004-0000-0500-000007020000}"/>
    <hyperlink ref="K522" r:id="rId521" display="https://drive.google.com/open?id=1zlp-hU7vPBWUBXOs7s5t0l2yaDufQLfH" xr:uid="{00000000-0004-0000-0500-000008020000}"/>
    <hyperlink ref="K523" r:id="rId522" display="https://drive.google.com/open?id=17Sl_rQ_ag42spqyJh38eNM10mb_mPENE" xr:uid="{00000000-0004-0000-0500-000009020000}"/>
    <hyperlink ref="K524" r:id="rId523" display="https://drive.google.com/open?id=1czIzAGfCjQHXOg3WrEvdsBQ0ELMRPG0z" xr:uid="{00000000-0004-0000-0500-00000A020000}"/>
    <hyperlink ref="K525" r:id="rId524" display="https://drive.google.com/open?id=1Qc5AqfMve3ctBRZ_w3MfmS_ctS2EU0GC" xr:uid="{00000000-0004-0000-0500-00000B020000}"/>
    <hyperlink ref="K526" r:id="rId525" display="https://drive.google.com/open?id=1nH8TaKBldh6ZDc0sW1vjSxEoDNNHr6gI" xr:uid="{00000000-0004-0000-0500-00000C020000}"/>
    <hyperlink ref="K527" r:id="rId526" display="https://drive.google.com/open?id=10YCOw4UsW0uhFlhA-QSLmEDz3KUDJMRG" xr:uid="{00000000-0004-0000-0500-00000D020000}"/>
    <hyperlink ref="K528" r:id="rId527" display="https://drive.google.com/open?id=1g1PPciummGlsJydx6Kye9TuF6hVVOtLV" xr:uid="{00000000-0004-0000-0500-00000E020000}"/>
    <hyperlink ref="K529" r:id="rId528" display="https://drive.google.com/open?id=1jXQvw4zGqm7fBrhjrUC98L7_ZuN9JyzH" xr:uid="{00000000-0004-0000-0500-00000F020000}"/>
    <hyperlink ref="K530" r:id="rId529" display="https://drive.google.com/open?id=1KvXPRrtHu5Ev8HODK-1xhlS1_HnHyN_5" xr:uid="{00000000-0004-0000-0500-000010020000}"/>
    <hyperlink ref="K531" r:id="rId530" display="https://drive.google.com/open?id=1NSplG2ly1V3XE_WGlxIRc7GYvwZOmQk4" xr:uid="{00000000-0004-0000-0500-000011020000}"/>
    <hyperlink ref="K532" r:id="rId531" display="https://drive.google.com/open?id=1qt7a5B2-6G4JsDP0xvOkYugdloNW3pP6" xr:uid="{00000000-0004-0000-0500-000012020000}"/>
    <hyperlink ref="K533" r:id="rId532" display="https://drive.google.com/open?id=1r6kjgn0k81G9upoY_aZZXrU3VZdSNE-5" xr:uid="{00000000-0004-0000-0500-000013020000}"/>
    <hyperlink ref="K534" r:id="rId533" display="https://drive.google.com/open?id=1lZlrMRlBl-ZLTW1m78YX4pxu7K-6bUBi" xr:uid="{00000000-0004-0000-0500-000014020000}"/>
    <hyperlink ref="K535" r:id="rId534" display="https://drive.google.com/open?id=1suhghNE_gGxnd0mnesNV1ieJ0Rzs88iu" xr:uid="{00000000-0004-0000-0500-000015020000}"/>
    <hyperlink ref="K536" r:id="rId535" display="https://drive.google.com/open?id=14LIehmwYyGdyv-HF6cs2pf9kDT6oLxKO" xr:uid="{00000000-0004-0000-0500-000016020000}"/>
    <hyperlink ref="K537" r:id="rId536" display="https://drive.google.com/open?id=1d0KR6IQNBkDE-A4-SJmWZRoAXQxrhI1_" xr:uid="{00000000-0004-0000-0500-000017020000}"/>
    <hyperlink ref="K538" r:id="rId537" display="https://drive.google.com/open?id=1wLqkG0B7CZj2enTBSaRevw6zhdZ39qcw" xr:uid="{00000000-0004-0000-0500-000018020000}"/>
    <hyperlink ref="K539" r:id="rId538" display="https://drive.google.com/open?id=1AmK6gtlJvyR9Zvdm5oy-YUJo4zmpxEwh" xr:uid="{00000000-0004-0000-0500-000019020000}"/>
    <hyperlink ref="K540" r:id="rId539" display="https://drive.google.com/open?id=1o3_ZxR1dQRBZMIFc6vqFHPGas0qFe5A1" xr:uid="{00000000-0004-0000-0500-00001A020000}"/>
    <hyperlink ref="K541" r:id="rId540" display="https://drive.google.com/open?id=1dZnSV-pHqcDQWPTUvehAvOrIez_YMVqD" xr:uid="{00000000-0004-0000-0500-00001B020000}"/>
    <hyperlink ref="K542" r:id="rId541" display="https://drive.google.com/open?id=1h1KZYLbmTaYH0uVr8nGP_oBlO4Por7L8" xr:uid="{00000000-0004-0000-0500-00001C020000}"/>
    <hyperlink ref="K543" r:id="rId542" display="https://drive.google.com/open?id=161gAY9xCIyUZGV70Ss5tKQa6hhdg7zkq" xr:uid="{00000000-0004-0000-0500-00001D020000}"/>
    <hyperlink ref="K544" r:id="rId543" display="https://drive.google.com/open?id=1xkg2nR2j_Anot_YEWevxyZVOJDL07W8H" xr:uid="{00000000-0004-0000-0500-00001E020000}"/>
    <hyperlink ref="K545" r:id="rId544" display="https://drive.google.com/open?id=1oFxnyj1h9VS2-8ETGMPGTcUZGcAYN4ZL" xr:uid="{00000000-0004-0000-0500-00001F020000}"/>
    <hyperlink ref="K546" r:id="rId545" display="https://drive.google.com/open?id=1kD3Hcy00znGez18lUtVsEhAYtW5COimF" xr:uid="{00000000-0004-0000-0500-000020020000}"/>
    <hyperlink ref="K547" r:id="rId546" display="https://drive.google.com/open?id=1i_ODEw_dzDJaiYVMOS22Ce2GY3djlGfQ" xr:uid="{00000000-0004-0000-0500-000021020000}"/>
    <hyperlink ref="K548" r:id="rId547" display="https://drive.google.com/open?id=1fnmAoSjTrUozP-Ro7MU303VLcipK9HKc" xr:uid="{00000000-0004-0000-0500-000022020000}"/>
    <hyperlink ref="K549" r:id="rId548" display="https://drive.google.com/open?id=1pCYnpmlYoFMaw-kdno5tsj-86aWCShCa" xr:uid="{00000000-0004-0000-0500-000023020000}"/>
    <hyperlink ref="K550" r:id="rId549" display="https://drive.google.com/open?id=1-gdyTvGMF5N5gPtaMIfHkTXB0qOBPXGF" xr:uid="{00000000-0004-0000-0500-000024020000}"/>
    <hyperlink ref="K551" r:id="rId550" display="https://drive.google.com/open?id=1_IwNi8vxw7ykR1mhqexmx1rJV-IOttVY" xr:uid="{00000000-0004-0000-0500-000025020000}"/>
    <hyperlink ref="K552" r:id="rId551" display="https://drive.google.com/open?id=1EKvphQSKtq5f-ziSqUg4ooo8NU3Fu-42" xr:uid="{00000000-0004-0000-0500-000026020000}"/>
    <hyperlink ref="K553" r:id="rId552" display="https://drive.google.com/open?id=1oDdwHExZvZNkf4-RZUZoekLUWPiO_iWN" xr:uid="{00000000-0004-0000-0500-000027020000}"/>
    <hyperlink ref="K554" r:id="rId553" display="https://drive.google.com/open?id=15firB2U7LSHc09kBS6Z0FyxPPWcjqaVm" xr:uid="{00000000-0004-0000-0500-000028020000}"/>
    <hyperlink ref="K555" r:id="rId554" display="https://drive.google.com/open?id=1ePKgLP0s2vCDChjGVBCeA6ZJpzBik2bC" xr:uid="{00000000-0004-0000-0500-000029020000}"/>
    <hyperlink ref="K556" r:id="rId555" display="https://drive.google.com/open?id=1A-N-7jEjlW6kHxSpgtnAohojK6S_jEE3" xr:uid="{00000000-0004-0000-0500-00002A020000}"/>
    <hyperlink ref="K557" r:id="rId556" display="https://drive.google.com/open?id=1oyxRrs_mpa1Wr7ea1u-YP_v0wp8XFQ7X" xr:uid="{00000000-0004-0000-0500-00002B020000}"/>
    <hyperlink ref="K558" r:id="rId557" display="https://drive.google.com/open?id=1lMJZ3oZCH0qJpBElyfqLRPrXbwiJjMEP" xr:uid="{00000000-0004-0000-0500-00002C020000}"/>
    <hyperlink ref="K559" r:id="rId558" display="https://drive.google.com/open?id=1LiMEyuEmNEP-JyQwa4-lr4x0Z7NOQKKZ" xr:uid="{00000000-0004-0000-0500-00002D020000}"/>
    <hyperlink ref="K560" r:id="rId559" display="https://drive.google.com/open?id=1d9vD1QBmDfwIF3W6hIiCWW4h5GHAugI0" xr:uid="{00000000-0004-0000-0500-00002E020000}"/>
    <hyperlink ref="K561" r:id="rId560" display="https://drive.google.com/open?id=1TeCR4HLMsWqwveJIj2vvFhZjbq9PpGSV" xr:uid="{00000000-0004-0000-0500-00002F020000}"/>
    <hyperlink ref="K562" r:id="rId561" display="https://drive.google.com/open?id=1zx7EtsWxcpgDi3bY2U3OCgWVposD6Bov" xr:uid="{00000000-0004-0000-0500-000030020000}"/>
    <hyperlink ref="K563" r:id="rId562" display="https://drive.google.com/open?id=1aTxFzkWMJR1cFhAQbVY1S978LynkQJJF" xr:uid="{00000000-0004-0000-0500-000031020000}"/>
    <hyperlink ref="K564" r:id="rId563" display="https://drive.google.com/open?id=1z9FKsD6U7nTC-TQYyGawgWr7RdiTZSd6" xr:uid="{00000000-0004-0000-0500-000032020000}"/>
    <hyperlink ref="K565" r:id="rId564" display="https://drive.google.com/open?id=1TKvjyjGK_LYjM1Pe4Vg6-icNLcx8xeHU" xr:uid="{00000000-0004-0000-0500-000033020000}"/>
    <hyperlink ref="K566" r:id="rId565" display="https://drive.google.com/open?id=1Lpp02xPGgkuz4gglZkiLOpSnHOGr7ch_" xr:uid="{00000000-0004-0000-0500-000034020000}"/>
    <hyperlink ref="K567" r:id="rId566" display="https://drive.google.com/open?id=1asfdN6lSuj55iV4vkzAY9juwk-RRH0uu" xr:uid="{00000000-0004-0000-0500-000035020000}"/>
    <hyperlink ref="K568" r:id="rId567" display="https://drive.google.com/open?id=1NufJUKEeVtUmXpXptTvkpK5zq_97wpre" xr:uid="{00000000-0004-0000-0500-000036020000}"/>
    <hyperlink ref="K569" r:id="rId568" display="https://drive.google.com/open?id=1U_VxK33JE_p7E3AnkwGdPKTxmcdgNasc" xr:uid="{00000000-0004-0000-0500-000037020000}"/>
    <hyperlink ref="K570" r:id="rId569" display="https://drive.google.com/open?id=1jFahULrBJExN0gHP4_RddGjUIpadqYGs" xr:uid="{00000000-0004-0000-0500-000038020000}"/>
    <hyperlink ref="K571" r:id="rId570" display="https://drive.google.com/open?id=16ASI1cuPXrKt31VDEX93KvQ581UNata8" xr:uid="{00000000-0004-0000-0500-000039020000}"/>
    <hyperlink ref="K572" r:id="rId571" display="https://drive.google.com/open?id=1J1uudxn4EbQFRAxanIm_1_diR2O7kAb6" xr:uid="{00000000-0004-0000-0500-00003A020000}"/>
    <hyperlink ref="K573" r:id="rId572" display="https://drive.google.com/open?id=1O9IChSxdXxCNQaVY-oWkutdb5PWmDKzV" xr:uid="{00000000-0004-0000-0500-00003B020000}"/>
    <hyperlink ref="K574" r:id="rId573" display="https://drive.google.com/open?id=1YYUrz4lf5EsBXTEPXNdUQAuk65vmtV5M" xr:uid="{00000000-0004-0000-0500-00003C020000}"/>
    <hyperlink ref="K575" r:id="rId574" display="https://drive.google.com/open?id=1rqDh4c8AZe0pallC8_DxVS483RzSNSns" xr:uid="{00000000-0004-0000-0500-00003D020000}"/>
    <hyperlink ref="K576" r:id="rId575" display="https://drive.google.com/open?id=19W1fVIBN315pgzRxfk00KUIixkX4M8-K" xr:uid="{00000000-0004-0000-0500-00003E020000}"/>
    <hyperlink ref="K577" r:id="rId576" display="https://drive.google.com/open?id=1k94jScnUdPRAllKESfy-MISeNFGATh6u" xr:uid="{00000000-0004-0000-0500-00003F020000}"/>
    <hyperlink ref="K578" r:id="rId577" display="https://drive.google.com/open?id=107vLh-tHpLz0JFCbzy4bv8VfAWSobwvQ" xr:uid="{00000000-0004-0000-0500-000040020000}"/>
    <hyperlink ref="K579" r:id="rId578" display="https://drive.google.com/open?id=1TxqaqLjacyv5BFLhT_3QiJotOsS_nRQa" xr:uid="{00000000-0004-0000-0500-000041020000}"/>
    <hyperlink ref="K580" r:id="rId579" display="https://drive.google.com/open?id=1Nf0dS9oKIfRUR7U6PeBNEFsfkp5dW3Sh" xr:uid="{00000000-0004-0000-0500-000042020000}"/>
    <hyperlink ref="K581" r:id="rId580" display="https://drive.google.com/open?id=15KlORbmmEYat07-YtUl0ZAjbTM255VC9" xr:uid="{00000000-0004-0000-0500-000043020000}"/>
    <hyperlink ref="K582" r:id="rId581" display="https://drive.google.com/open?id=10iRRL6oYzg9D17zZeW0XqU0pOWWcmdi0" xr:uid="{00000000-0004-0000-0500-000044020000}"/>
    <hyperlink ref="K583" r:id="rId582" display="https://drive.google.com/open?id=1p7w2l3SFw28Eb0ibzDAddGFhdRzJjgy2" xr:uid="{00000000-0004-0000-0500-000045020000}"/>
    <hyperlink ref="K584" r:id="rId583" display="https://drive.google.com/open?id=1T4gMGUJ4XFABiYSCEBCvvtmcUDdii7k5" xr:uid="{00000000-0004-0000-0500-000046020000}"/>
    <hyperlink ref="K585" r:id="rId584" display="https://drive.google.com/open?id=1wjZLp-d60u1u4pMLRVmZviNunuo4_dWL" xr:uid="{00000000-0004-0000-0500-000047020000}"/>
    <hyperlink ref="K586" r:id="rId585" display="https://drive.google.com/open?id=1NBVg10eIJsd6sM7PNq1K_ESwEvl-1Z9j" xr:uid="{00000000-0004-0000-0500-000048020000}"/>
    <hyperlink ref="K587" r:id="rId586" display="https://drive.google.com/open?id=13O7D2koIVXmXkx9n66CbjBhzklX6JNwE" xr:uid="{00000000-0004-0000-0500-000049020000}"/>
    <hyperlink ref="K588" r:id="rId587" display="https://drive.google.com/open?id=1Zb-15iaNboindLGRyqAmWXSM4jrarj4b" xr:uid="{00000000-0004-0000-0500-00004A020000}"/>
    <hyperlink ref="K589" r:id="rId588" display="https://drive.google.com/open?id=1DhSnZ69qVniIEuIV6Sj5XL01lXVYCBSB" xr:uid="{00000000-0004-0000-0500-00004B020000}"/>
    <hyperlink ref="K590" r:id="rId589" display="https://drive.google.com/open?id=13lGdItF7uLb_QJuHbKFSTIT2NCFM2qOI" xr:uid="{00000000-0004-0000-0500-00004C020000}"/>
    <hyperlink ref="K591" r:id="rId590" display="https://drive.google.com/open?id=1tXo0HN5OLkUMNJa9xtUoZ2zzgNTuxps5" xr:uid="{00000000-0004-0000-0500-00004D020000}"/>
    <hyperlink ref="K592" r:id="rId591" display="https://drive.google.com/open?id=1X6ppzp2_RQtZH-sMapbdVUJFv8cshZ_0" xr:uid="{00000000-0004-0000-0500-00004E020000}"/>
    <hyperlink ref="K593" r:id="rId592" display="https://drive.google.com/open?id=1TTKuv1PMBM3byrFdrOA4RuavOgVPs5_j" xr:uid="{00000000-0004-0000-0500-00004F020000}"/>
    <hyperlink ref="K594" r:id="rId593" display="https://drive.google.com/open?id=1yEpNi0SHGl5qQOLJpWfFDSVrtUwOq4Cb" xr:uid="{00000000-0004-0000-0500-000050020000}"/>
    <hyperlink ref="K595" r:id="rId594" display="https://drive.google.com/open?id=1QKPXuKgvVlA0gZbYZnTSSi7gWTbDZr8t" xr:uid="{00000000-0004-0000-0500-000051020000}"/>
    <hyperlink ref="K596" r:id="rId595" display="https://drive.google.com/open?id=1Pdt8aypHVSwSzDIWguiP8nWMrEdB33h0" xr:uid="{00000000-0004-0000-0500-000052020000}"/>
    <hyperlink ref="K597" r:id="rId596" display="https://drive.google.com/open?id=1iabDeur9k6QrEoaHZHRARPLPCSvizNGq" xr:uid="{00000000-0004-0000-0500-000053020000}"/>
    <hyperlink ref="K598" r:id="rId597" display="https://drive.google.com/open?id=1j1w0c2-FZYLuHintyze78-a8_CcCaP0D" xr:uid="{00000000-0004-0000-0500-000054020000}"/>
    <hyperlink ref="K599" r:id="rId598" display="https://drive.google.com/open?id=15ob4XbwSyJWO_uug8fiShIJkjG616DJV" xr:uid="{00000000-0004-0000-0500-000055020000}"/>
    <hyperlink ref="K600" r:id="rId599" display="https://drive.google.com/open?id=1mQBFKyhqohX-jOzI2tnPUxJ-CqO5aJpf" xr:uid="{00000000-0004-0000-0500-000056020000}"/>
    <hyperlink ref="K601" r:id="rId600" display="https://drive.google.com/open?id=1pSs7zzy3eJi0Z95pmNnGfABCvWGgsb_H" xr:uid="{00000000-0004-0000-0500-000057020000}"/>
    <hyperlink ref="K602" r:id="rId601" display="https://drive.google.com/open?id=1c5Y8DsJ-mMBKjKfPeXEF0JmLY5yb9AvC" xr:uid="{00000000-0004-0000-0500-000058020000}"/>
    <hyperlink ref="K603" r:id="rId602" display="https://drive.google.com/open?id=1wJBg05qypWnDdgAhRK0R2uvkoJeon6rR" xr:uid="{00000000-0004-0000-0500-000059020000}"/>
    <hyperlink ref="K604" r:id="rId603" display="https://drive.google.com/open?id=1ph83XLvX3vGd4A97E5ij08uGHbidKf49" xr:uid="{00000000-0004-0000-0500-00005A020000}"/>
    <hyperlink ref="K605" r:id="rId604" display="https://drive.google.com/open?id=1FnC69aIhT2LBAjYSJwvd29MN09KMBmLd" xr:uid="{00000000-0004-0000-0500-00005B020000}"/>
    <hyperlink ref="K606" r:id="rId605" display="https://drive.google.com/open?id=1u5W3xc7M36C7uqNkrMs988SSF17BWLHi" xr:uid="{00000000-0004-0000-0500-00005C020000}"/>
    <hyperlink ref="K607" r:id="rId606" display="https://drive.google.com/open?id=1sLv63GFElaZzg0tPVD_8qw9BRyVWvQLV" xr:uid="{00000000-0004-0000-0500-00005D020000}"/>
    <hyperlink ref="K608" r:id="rId607" display="https://drive.google.com/open?id=1syo7UaH687D-JpxJyPvut1j1pK3BMbje" xr:uid="{00000000-0004-0000-0500-00005E020000}"/>
    <hyperlink ref="K609" r:id="rId608" display="https://drive.google.com/open?id=1bEEb_67tfTUMaadwqxyH1kLGgXu06L-o" xr:uid="{00000000-0004-0000-0500-00005F020000}"/>
    <hyperlink ref="K610" r:id="rId609" display="https://drive.google.com/open?id=1eC1pDXpm6Na2Yw9X6EHoZDI1_VQx9eSV" xr:uid="{00000000-0004-0000-0500-000060020000}"/>
    <hyperlink ref="K611" r:id="rId610" display="https://drive.google.com/open?id=1foONca1k4A6XjEfgyT-fpPpAfD8E744q" xr:uid="{00000000-0004-0000-0500-000061020000}"/>
    <hyperlink ref="K612" r:id="rId611" display="https://drive.google.com/open?id=1UR6VzrlXN7BED6ACISPUMmROl_Ggh1qz" xr:uid="{00000000-0004-0000-0500-000062020000}"/>
    <hyperlink ref="K613" r:id="rId612" display="https://drive.google.com/open?id=1pe3p-2freuWa5Y6VlateFoOG8VVzNEWA" xr:uid="{00000000-0004-0000-0500-000063020000}"/>
    <hyperlink ref="K614" r:id="rId613" display="https://drive.google.com/open?id=19pm2_Q5iWB3TaA9W5JNLMBYNbUk4cqmc" xr:uid="{00000000-0004-0000-0500-000064020000}"/>
    <hyperlink ref="K615" r:id="rId614" display="https://drive.google.com/open?id=1DdtP4Jce1Hzh89cx91TIYbMBw-Eoyw6i" xr:uid="{00000000-0004-0000-0500-000065020000}"/>
    <hyperlink ref="K616" r:id="rId615" display="https://drive.google.com/open?id=1Ezod3LTtx06q8Nryu-0ZbTaoweFYbeQy" xr:uid="{00000000-0004-0000-0500-000066020000}"/>
    <hyperlink ref="K617" r:id="rId616" display="https://drive.google.com/open?id=1RTtyq3k-N2F7MeRaIQQUEPr2Q6jliTEQ" xr:uid="{00000000-0004-0000-0500-000067020000}"/>
    <hyperlink ref="K618" r:id="rId617" display="https://drive.google.com/open?id=1ZjUgIOn4CrJjrvYAAfjeeemjC-MPDfNq" xr:uid="{00000000-0004-0000-0500-000068020000}"/>
    <hyperlink ref="K619" r:id="rId618" display="https://drive.google.com/open?id=1fOz66l3-hJZ8uJ9WTF7kYbv6x4urVCfn" xr:uid="{00000000-0004-0000-0500-000069020000}"/>
    <hyperlink ref="K620" r:id="rId619" display="https://drive.google.com/open?id=1-s6hUkyyPvazo85I9mZCbqlJIFZTi6sR" xr:uid="{00000000-0004-0000-0500-00006A020000}"/>
    <hyperlink ref="K621" r:id="rId620" display="https://drive.google.com/open?id=1jEjFpyfV984wjTf7K6bTamn6PHOO9whM" xr:uid="{00000000-0004-0000-0500-00006B020000}"/>
    <hyperlink ref="K622" r:id="rId621" display="https://drive.google.com/open?id=1eKMg0MuP3auzH31G2IsRDH1H5c5-rriI" xr:uid="{00000000-0004-0000-0500-00006C020000}"/>
    <hyperlink ref="K623" r:id="rId622" display="https://drive.google.com/open?id=1l0vq1U6sdFw3l4NRBTGo5zxgvr-9dRuI" xr:uid="{00000000-0004-0000-0500-00006D020000}"/>
    <hyperlink ref="K624" r:id="rId623" display="https://drive.google.com/open?id=18qymJHQtd7_s6vxpDGKyC3Av6MtUIRUq" xr:uid="{00000000-0004-0000-0500-00006E020000}"/>
    <hyperlink ref="K625" r:id="rId624" display="https://drive.google.com/open?id=15uViMoGjxNAkEyV4Y1Q8HhaRwq88LVNU" xr:uid="{00000000-0004-0000-0500-00006F020000}"/>
    <hyperlink ref="K626" r:id="rId625" display="https://drive.google.com/open?id=1FfDpT2xxMiSopeSUAR15TtLoVpZTPc4Q" xr:uid="{00000000-0004-0000-0500-000070020000}"/>
    <hyperlink ref="K627" r:id="rId626" display="https://drive.google.com/open?id=1qbg09HWRvHvWMuQIuQSJ6sD4O5Mao3IC" xr:uid="{00000000-0004-0000-0500-000071020000}"/>
    <hyperlink ref="K628" r:id="rId627" display="https://drive.google.com/open?id=1EvXscih3t8GNcIkdo5_8G4zI0SWazPz8" xr:uid="{00000000-0004-0000-0500-000072020000}"/>
    <hyperlink ref="K629" r:id="rId628" display="https://drive.google.com/open?id=1RZJGkxLxMIWCLo4siZnkp-f5pBgLSxfj" xr:uid="{00000000-0004-0000-0500-000073020000}"/>
    <hyperlink ref="K630" r:id="rId629" display="https://drive.google.com/open?id=1CDQp-PBZmfOaWRAP94IsgsbraIKHtdWL" xr:uid="{00000000-0004-0000-0500-000074020000}"/>
    <hyperlink ref="K631" r:id="rId630" display="https://drive.google.com/open?id=1V0NQc24We23LH8EhxU-DoWWBxbWP-qw8" xr:uid="{00000000-0004-0000-0500-000075020000}"/>
    <hyperlink ref="K632" r:id="rId631" display="https://drive.google.com/open?id=1L9EdbAfI7EPrI4X-M6NqXT4KXwvZicpg" xr:uid="{00000000-0004-0000-0500-000076020000}"/>
    <hyperlink ref="K633" r:id="rId632" display="https://drive.google.com/open?id=1jZqgHUFv77c-1WLKoijFh6ALBy9Ux1It" xr:uid="{00000000-0004-0000-0500-000077020000}"/>
    <hyperlink ref="K634" r:id="rId633" display="https://drive.google.com/open?id=1FE0_HvNkyx3uHLZDuU658DZshp-63E4t" xr:uid="{00000000-0004-0000-0500-000078020000}"/>
    <hyperlink ref="K635" r:id="rId634" display="https://drive.google.com/open?id=1m23VxHdX4Zs3AvCLywt75uFllkTGKKTd" xr:uid="{00000000-0004-0000-0500-000079020000}"/>
    <hyperlink ref="K636" r:id="rId635" display="https://drive.google.com/open?id=18UCOVjctEmUkeWvKSK3EwxxqYBTuhM8l" xr:uid="{00000000-0004-0000-0500-00007A020000}"/>
    <hyperlink ref="K637" r:id="rId636" display="https://drive.google.com/open?id=1Br9osdp4Z29Y2syRxU08Ud0JMlMK7QRZ" xr:uid="{00000000-0004-0000-0500-00007B020000}"/>
    <hyperlink ref="K638" r:id="rId637" display="https://drive.google.com/open?id=1j4dQCVh65KHXq89qFXkKzrxq4tCfzD-j" xr:uid="{00000000-0004-0000-0500-00007C020000}"/>
    <hyperlink ref="K639" r:id="rId638" display="https://drive.google.com/open?id=1Gk5FuNyOEn3ZKyId4GWfgMUKEX9yMALO" xr:uid="{00000000-0004-0000-0500-00007D020000}"/>
    <hyperlink ref="K640" r:id="rId639" display="https://drive.google.com/open?id=16FQHEBK1Sq5igP7cNRw9fRLyPnYvM-ms" xr:uid="{00000000-0004-0000-0500-00007E020000}"/>
    <hyperlink ref="K641" r:id="rId640" display="https://drive.google.com/open?id=1TUdexaEHNdOiYPHV3Cha4uQbX5XqPZhW" xr:uid="{00000000-0004-0000-0500-00007F020000}"/>
    <hyperlink ref="K642" r:id="rId641" display="https://drive.google.com/open?id=1pfY5xSV0Jpjkm30jccWxoPYm0rBdu9_6" xr:uid="{00000000-0004-0000-0500-000080020000}"/>
    <hyperlink ref="K643" r:id="rId642" display="https://drive.google.com/open?id=1Ue1zY6fmjTuNMCQ1eMzNM_hDW5JfeMAS" xr:uid="{00000000-0004-0000-0500-000081020000}"/>
    <hyperlink ref="K644" r:id="rId643" display="https://drive.google.com/open?id=1vIBeMPhSVPqi4P2p2StgeIVMPCBYCVJX" xr:uid="{00000000-0004-0000-0500-000082020000}"/>
    <hyperlink ref="K645" r:id="rId644" display="https://drive.google.com/open?id=1c29JlK1hYarwHb69KZRXURiOigcjghFZ" xr:uid="{00000000-0004-0000-0500-000083020000}"/>
    <hyperlink ref="K646" r:id="rId645" display="https://drive.google.com/open?id=1DtxFggTTAZr71CIcaovN-iBadE1uZmlF" xr:uid="{00000000-0004-0000-0500-000084020000}"/>
    <hyperlink ref="K647" r:id="rId646" display="https://drive.google.com/open?id=1og0LMMSqRPdxLyrHtf_XEsnDTBkDJ4pD" xr:uid="{00000000-0004-0000-0500-000085020000}"/>
    <hyperlink ref="K648" r:id="rId647" display="https://drive.google.com/open?id=1pXQ52xlKblkbSofigaUXkxIeYb6x4PYn" xr:uid="{00000000-0004-0000-0500-000086020000}"/>
    <hyperlink ref="K649" r:id="rId648" display="https://drive.google.com/open?id=1G1RlYV30pCbXGPQFAePsPFOPnByNKUBj" xr:uid="{00000000-0004-0000-0500-000087020000}"/>
    <hyperlink ref="K650" r:id="rId649" display="https://drive.google.com/open?id=1iWb8zN9FhCMzxE4WZdSAZflQ-SsHEGZ3" xr:uid="{00000000-0004-0000-0500-000088020000}"/>
    <hyperlink ref="K651" r:id="rId650" display="https://drive.google.com/open?id=1_837iaXdqKZSRBHMpo4hYm5uxdJYxCes" xr:uid="{00000000-0004-0000-0500-000089020000}"/>
    <hyperlink ref="K652" r:id="rId651" display="https://drive.google.com/open?id=17S0nuZ621-AqdZ9vMxAoKdI3ofBUA95x" xr:uid="{00000000-0004-0000-0500-00008A020000}"/>
    <hyperlink ref="K653" r:id="rId652" display="https://drive.google.com/open?id=1vJQH7fGPhFeeAZJ54BPjtBO_OabI-2vI" xr:uid="{00000000-0004-0000-0500-00008B020000}"/>
    <hyperlink ref="K654" r:id="rId653" display="https://drive.google.com/open?id=1-90Ka40C2sh_JsPUKuWSPnoEThIkJSYD" xr:uid="{00000000-0004-0000-0500-00008C020000}"/>
    <hyperlink ref="K655" r:id="rId654" display="https://drive.google.com/open?id=1wIkb9l78C23oE0wK1jzdByx3n-fv8k0S" xr:uid="{00000000-0004-0000-0500-00008D020000}"/>
    <hyperlink ref="K656" r:id="rId655" display="https://drive.google.com/open?id=14AuT_Gvb74eDAlwEuQ8_yb8X9RlK6cAF" xr:uid="{00000000-0004-0000-0500-00008E020000}"/>
    <hyperlink ref="K657" r:id="rId656" display="https://drive.google.com/open?id=1F73gH2TnGuGRWSf3wNPieF-hlO86hBUO" xr:uid="{00000000-0004-0000-0500-00008F020000}"/>
    <hyperlink ref="K658" r:id="rId657" display="https://drive.google.com/open?id=1wGDKh6_IAgs70gC199Ruzn6O_l4R_sjR" xr:uid="{00000000-0004-0000-0500-000090020000}"/>
    <hyperlink ref="K659" r:id="rId658" display="https://drive.google.com/open?id=1xHihBp9ffEgJqHIj-0yVXJ4us0-ljW7f" xr:uid="{00000000-0004-0000-0500-000091020000}"/>
    <hyperlink ref="K660" r:id="rId659" display="https://drive.google.com/open?id=1bQZN1sdfANiS5a7TIxmGbUcEMHCKl7ad" xr:uid="{00000000-0004-0000-0500-000092020000}"/>
    <hyperlink ref="K661" r:id="rId660" display="https://drive.google.com/open?id=1benE_3z7zTx6AB3LHanz1gZmijC1bplb" xr:uid="{00000000-0004-0000-0500-000093020000}"/>
    <hyperlink ref="K662" r:id="rId661" display="https://drive.google.com/open?id=1zdKVzFpKrRvN7sqZM-u0JVTBml7nW9-l" xr:uid="{00000000-0004-0000-0500-000094020000}"/>
    <hyperlink ref="K663" r:id="rId662" display="https://drive.google.com/open?id=1IXNg6qLnKfWsK2iqSCIwl14UWLZf5Gng" xr:uid="{00000000-0004-0000-0500-000095020000}"/>
    <hyperlink ref="K664" r:id="rId663" display="https://drive.google.com/open?id=1s4rTgaYg372hFb6Ef0SbSzDyX97adY06" xr:uid="{00000000-0004-0000-0500-000096020000}"/>
    <hyperlink ref="K665" r:id="rId664" display="https://drive.google.com/open?id=1DJ9AuQ01JXB1hfVVa6krufEJTLEmmFqF" xr:uid="{00000000-0004-0000-0500-000097020000}"/>
    <hyperlink ref="K666" r:id="rId665" display="https://drive.google.com/open?id=1B9ct4MPV1Vcd-RGJ3roeiFas5NsBB8jn" xr:uid="{00000000-0004-0000-0500-000098020000}"/>
    <hyperlink ref="K667" r:id="rId666" display="https://drive.google.com/open?id=1twtW4Nmwd1QXFtq_YqRwnnhHTCc_X3wn" xr:uid="{00000000-0004-0000-0500-000099020000}"/>
    <hyperlink ref="K668" r:id="rId667" display="https://drive.google.com/open?id=1HE_sU7ihsjFY9Zn7HSqOddJpEYLzlZUs" xr:uid="{00000000-0004-0000-0500-00009A020000}"/>
    <hyperlink ref="K669" r:id="rId668" display="https://drive.google.com/open?id=19V65fDAsmzYsKtW_7ul6jlT-GZPbdWXF" xr:uid="{00000000-0004-0000-0500-00009B020000}"/>
    <hyperlink ref="K670" r:id="rId669" display="https://drive.google.com/open?id=1djJ7yt9jsVHRgtdQVcYef5dfrx7mU5yA" xr:uid="{00000000-0004-0000-0500-00009C020000}"/>
    <hyperlink ref="K671" r:id="rId670" display="https://drive.google.com/open?id=1RVHBo2QHs2bB2b0WTEiVrErGkm_Wjn46" xr:uid="{00000000-0004-0000-0500-00009D020000}"/>
    <hyperlink ref="K672" r:id="rId671" display="https://drive.google.com/open?id=14afhFOkdnB5rEsja8iGygpazUdl9FQWN" xr:uid="{00000000-0004-0000-0500-00009E020000}"/>
    <hyperlink ref="K673" r:id="rId672" display="https://drive.google.com/open?id=1HSQRDFFKCAxJ34V9aVB02tY8b_mh5Dh9" xr:uid="{00000000-0004-0000-0500-00009F020000}"/>
    <hyperlink ref="K674" r:id="rId673" display="https://drive.google.com/open?id=1CTAggaGmWTa_Z_oX62ADl7cNoIMHqgFQ" xr:uid="{00000000-0004-0000-0500-0000A0020000}"/>
    <hyperlink ref="K675" r:id="rId674" display="https://drive.google.com/open?id=1TIC7rZHNZU6MD-QHqtoh3i_iyqz9Hx28" xr:uid="{00000000-0004-0000-0500-0000A1020000}"/>
    <hyperlink ref="K676" r:id="rId675" display="https://drive.google.com/open?id=1-LFn7PcmXIQWpMV6LbdeEcsANKveXTo9" xr:uid="{00000000-0004-0000-0500-0000A2020000}"/>
    <hyperlink ref="K677" r:id="rId676" display="https://drive.google.com/open?id=16awzWsVSW6x-uXQz_gNSXT0pJp1ebLvo" xr:uid="{00000000-0004-0000-0500-0000A3020000}"/>
    <hyperlink ref="K678" r:id="rId677" display="https://drive.google.com/open?id=1F0bEQ0NIRcGA9hAz_lnJMgqUTieVjbys" xr:uid="{00000000-0004-0000-0500-0000A4020000}"/>
    <hyperlink ref="K679" r:id="rId678" display="https://drive.google.com/open?id=1RmRH9d-znfWB9L3KEO-EuDEVRAiudBDE" xr:uid="{00000000-0004-0000-0500-0000A5020000}"/>
    <hyperlink ref="K680" r:id="rId679" display="https://drive.google.com/open?id=1NlwexNlI5-hIUf2y7wGIhsAvMt8BJJDt" xr:uid="{00000000-0004-0000-0500-0000A6020000}"/>
    <hyperlink ref="K681" r:id="rId680" display="https://drive.google.com/open?id=1aWdn87-2tElC3hWhZB0tvAKUMOeNeY7x" xr:uid="{00000000-0004-0000-0500-0000A7020000}"/>
    <hyperlink ref="K682" r:id="rId681" display="https://drive.google.com/open?id=1TtXiDIB95NPCallip9Obht9tCrK4fGSF" xr:uid="{00000000-0004-0000-0500-0000A8020000}"/>
    <hyperlink ref="K683" r:id="rId682" display="https://drive.google.com/open?id=1Dhp6qjthgFEOThTQDTfWho_H-WWT44_b" xr:uid="{00000000-0004-0000-0500-0000A9020000}"/>
    <hyperlink ref="K684" r:id="rId683" display="https://drive.google.com/open?id=1fi0Z1H19IdAX4JGRgcJSA1UhyaJIif94" xr:uid="{00000000-0004-0000-0500-0000AA020000}"/>
    <hyperlink ref="K685" r:id="rId684" display="https://drive.google.com/open?id=1cAMFTLKCHjWkBV2I-GunXg0YeOIJ-00c" xr:uid="{00000000-0004-0000-0500-0000AB020000}"/>
    <hyperlink ref="K686" r:id="rId685" display="https://drive.google.com/open?id=1i71iub01sPYIBOcM1Koogh6BbkGyxtuM" xr:uid="{00000000-0004-0000-0500-0000AC020000}"/>
    <hyperlink ref="K687" r:id="rId686" display="https://drive.google.com/open?id=1OeXhP9BX7EjRXA4AybYm8u_PnjA2vZD_" xr:uid="{00000000-0004-0000-0500-0000AD020000}"/>
    <hyperlink ref="K688" r:id="rId687" display="https://drive.google.com/open?id=1xrvdPblNZdieK7Tl45AKSy8hEruk14kh" xr:uid="{00000000-0004-0000-0500-0000AE020000}"/>
    <hyperlink ref="K689" r:id="rId688" display="https://drive.google.com/open?id=1fKww0SyugKLD3tmwY4Wlsn4glHuSBXmG" xr:uid="{00000000-0004-0000-0500-0000AF020000}"/>
    <hyperlink ref="K690" r:id="rId689" display="https://drive.google.com/open?id=1WhM43UDaOxHQY-7GS8YGWIJ5hm16RGGe" xr:uid="{00000000-0004-0000-0500-0000B0020000}"/>
    <hyperlink ref="K691" r:id="rId690" display="https://drive.google.com/open?id=1a0W0kLYN6X4c54EQ7RRsH55ywL6cAV93" xr:uid="{00000000-0004-0000-0500-0000B1020000}"/>
    <hyperlink ref="K692" r:id="rId691" display="https://drive.google.com/open?id=1h2MA5r0Ck1hOcDIAJNWn-uQu9n7mREza" xr:uid="{00000000-0004-0000-0500-0000B2020000}"/>
    <hyperlink ref="K693" r:id="rId692" display="https://drive.google.com/open?id=1ODyqIWUkd6i6dH0w4AFh0zSaFqiFfCxW" xr:uid="{00000000-0004-0000-0500-0000B3020000}"/>
    <hyperlink ref="K694" r:id="rId693" display="https://drive.google.com/open?id=1nL8AdyHgv4YausgtW3ZE5zV2xptm94I7" xr:uid="{00000000-0004-0000-0500-0000B4020000}"/>
    <hyperlink ref="K695" r:id="rId694" display="https://drive.google.com/open?id=1lLxtMRP2ELaLy5b41reH8OKSLYl15arf" xr:uid="{00000000-0004-0000-0500-0000B5020000}"/>
    <hyperlink ref="K696" r:id="rId695" display="https://drive.google.com/open?id=1Nkz5PR1YPhs_TLj1JDtDK297yuCOyOj9" xr:uid="{00000000-0004-0000-0500-0000B6020000}"/>
    <hyperlink ref="K697" r:id="rId696" display="https://drive.google.com/open?id=1IChILDybsyCgmiy0xTgwZRQRNyD1L1iM" xr:uid="{00000000-0004-0000-0500-0000B7020000}"/>
    <hyperlink ref="K698" r:id="rId697" display="https://drive.google.com/open?id=1q2e-Y4xZqdTIYqEXbAuYj3OY0mnStQt2" xr:uid="{00000000-0004-0000-0500-0000B8020000}"/>
    <hyperlink ref="K699" r:id="rId698" display="https://drive.google.com/open?id=1TLVMJLG3Vte-wTocvZp7D-Nq3kFNHmd-" xr:uid="{00000000-0004-0000-0500-0000B9020000}"/>
    <hyperlink ref="K700" r:id="rId699" display="https://drive.google.com/open?id=1iT3aQy7f8kCQcjnxTkXNfUB3IGNLj-sQ" xr:uid="{00000000-0004-0000-0500-0000BA020000}"/>
    <hyperlink ref="K701" r:id="rId700" display="https://drive.google.com/open?id=1MEbN5MWCX2wNv3XIVa6p968qPB2__6Wl" xr:uid="{00000000-0004-0000-0500-0000BB020000}"/>
    <hyperlink ref="K702" r:id="rId701" display="https://drive.google.com/open?id=1wockfBLR9-p_ifH9J_TQPOIruR5HqX3x" xr:uid="{00000000-0004-0000-0500-0000BC020000}"/>
    <hyperlink ref="K703" r:id="rId702" display="https://drive.google.com/open?id=16lL8xJ7ia6XBEqe-syiOCaeqpyReCcQ_" xr:uid="{00000000-0004-0000-0500-0000BD020000}"/>
    <hyperlink ref="K704" r:id="rId703" display="https://drive.google.com/open?id=1ydiGn9-TTGx7T-Txl569YI_sFP3n9J_C" xr:uid="{00000000-0004-0000-0500-0000BE020000}"/>
    <hyperlink ref="K705" r:id="rId704" display="https://drive.google.com/open?id=1Rhhs-qPEZEVOUicbNK5xhYO7WNkLgKRA" xr:uid="{00000000-0004-0000-0500-0000BF020000}"/>
    <hyperlink ref="K706" r:id="rId705" display="https://drive.google.com/open?id=1rq61bT7Bx7y7Xz401NzPLnHS4802-wa8" xr:uid="{00000000-0004-0000-0500-0000C0020000}"/>
    <hyperlink ref="K707" r:id="rId706" display="https://drive.google.com/open?id=1gH1vW6Sntwpf3ODV0cAlRreSK7Udgp9c" xr:uid="{00000000-0004-0000-0500-0000C1020000}"/>
    <hyperlink ref="K708" r:id="rId707" display="https://drive.google.com/open?id=1DUtRjF0FYTBKwAhrHP_jsOTf3dXMYtNp" xr:uid="{00000000-0004-0000-0500-0000C2020000}"/>
    <hyperlink ref="K709" r:id="rId708" display="https://drive.google.com/open?id=19I4jWirCiejN_NsQQxeD0QGuWIl4a_6d" xr:uid="{00000000-0004-0000-0500-0000C3020000}"/>
    <hyperlink ref="K710" r:id="rId709" display="https://drive.google.com/open?id=1bsMiDlZDRBWq4-h5hseMgfcMaG09BRWx" xr:uid="{00000000-0004-0000-0500-0000C4020000}"/>
    <hyperlink ref="K711" r:id="rId710" display="https://drive.google.com/open?id=1vRieVmaby2W5XuKahptQb6fJno4nR5jr" xr:uid="{00000000-0004-0000-0500-0000C5020000}"/>
    <hyperlink ref="K712" r:id="rId711" display="https://drive.google.com/open?id=1phbmltLQEK2mR3kTPLZlKXtmJkqUjbKv" xr:uid="{00000000-0004-0000-0500-0000C6020000}"/>
    <hyperlink ref="K713" r:id="rId712" display="https://drive.google.com/open?id=100PDgqWEA8HbqwvaYupWvx8R42Of-o-H" xr:uid="{00000000-0004-0000-0500-0000C7020000}"/>
    <hyperlink ref="K714" r:id="rId713" display="https://drive.google.com/open?id=1wEJyme1v4uefj-4pjZ-EKIdLtaioyXwa" xr:uid="{00000000-0004-0000-0500-0000C8020000}"/>
    <hyperlink ref="K715" r:id="rId714" display="https://drive.google.com/open?id=1huanhUtI8JvM0vhCehWdEas9XixByueS" xr:uid="{00000000-0004-0000-0500-0000C9020000}"/>
    <hyperlink ref="K716" r:id="rId715" display="https://drive.google.com/open?id=1DyiaPLijpbCG-XVC9VwD49bqqZ2URv9k" xr:uid="{00000000-0004-0000-0500-0000CA020000}"/>
    <hyperlink ref="K717" r:id="rId716" display="https://drive.google.com/open?id=1TUyODFuA8SDUk4pmlJD0pYlai6s0PrGx" xr:uid="{00000000-0004-0000-0500-0000CB020000}"/>
    <hyperlink ref="K718" r:id="rId717" display="https://drive.google.com/open?id=1OzI_clNZODyIGXGq0gPExTdi8hKCS5BN" xr:uid="{00000000-0004-0000-0500-0000CC020000}"/>
    <hyperlink ref="K719" r:id="rId718" display="https://drive.google.com/open?id=1kSiwWkQ34BKq0Ei_9oEe4MLdRbI53C-B" xr:uid="{00000000-0004-0000-0500-0000CD020000}"/>
    <hyperlink ref="K720" r:id="rId719" display="https://drive.google.com/open?id=1Ogss-ENczLrCs4d5vr2tJpBAjtiOg7jg" xr:uid="{00000000-0004-0000-0500-0000CE020000}"/>
    <hyperlink ref="K721" r:id="rId720" display="https://drive.google.com/open?id=1EDcPrN2JzsFd4R7QWV2jFMn4R53gDygq" xr:uid="{00000000-0004-0000-0500-0000CF020000}"/>
    <hyperlink ref="K722" r:id="rId721" display="https://drive.google.com/open?id=1P0l-zn9L90WIfJqqqW8e8-0Dp_7Vc2pg" xr:uid="{00000000-0004-0000-0500-0000D0020000}"/>
    <hyperlink ref="K723" r:id="rId722" display="https://drive.google.com/open?id=1ZPfIrmV7dCUeaFjoT2l1nJVDvHUuN3Dx" xr:uid="{00000000-0004-0000-0500-0000D1020000}"/>
    <hyperlink ref="K724" r:id="rId723" display="https://drive.google.com/open?id=1UQv-1XseNPEtsjbnCm_DGGa2REEN7v9Q" xr:uid="{00000000-0004-0000-0500-0000D2020000}"/>
    <hyperlink ref="K725" r:id="rId724" display="https://drive.google.com/open?id=1dlD-oI48yw-XP-Dlyc2dEHZuFm7ytl5h" xr:uid="{00000000-0004-0000-0500-0000D3020000}"/>
    <hyperlink ref="K726" r:id="rId725" display="https://drive.google.com/open?id=1sYnksARkbBRH36DH4LM5fqEX289sdZyx" xr:uid="{00000000-0004-0000-0500-0000D4020000}"/>
    <hyperlink ref="K727" r:id="rId726" display="https://drive.google.com/open?id=1FjXr1Ng9TffXmB4XF1qXNJ2ZIcpbIWnl" xr:uid="{00000000-0004-0000-0500-0000D5020000}"/>
    <hyperlink ref="K728" r:id="rId727" display="https://drive.google.com/open?id=1D_MqyYU6mykNhb6EVNBTre0c9nh9ypiJ" xr:uid="{00000000-0004-0000-0500-0000D6020000}"/>
    <hyperlink ref="K729" r:id="rId728" display="https://drive.google.com/open?id=1i8sDJwLtpKbK6AFs-xf4UsDOFGjdbMWl" xr:uid="{00000000-0004-0000-0500-0000D7020000}"/>
    <hyperlink ref="K730" r:id="rId729" display="https://drive.google.com/open?id=1y1fCL2YVjhAfki385uViUN7wTPMWnbzv" xr:uid="{00000000-0004-0000-0500-0000D8020000}"/>
    <hyperlink ref="K731" r:id="rId730" display="https://drive.google.com/open?id=1X1i0BWIEiZUQ6fk01-qqsazvTIQhfUSp" xr:uid="{00000000-0004-0000-0500-0000D9020000}"/>
    <hyperlink ref="K732" r:id="rId731" display="https://drive.google.com/open?id=1cocAhpT7zGXy2a1UrnMnHWoY1uvn3s-E" xr:uid="{00000000-0004-0000-0500-0000DA020000}"/>
    <hyperlink ref="K733" r:id="rId732" display="https://drive.google.com/open?id=1kn2t1IVtdYwTvsCKKJrPPP0afcMDfMAt" xr:uid="{00000000-0004-0000-0500-0000DB020000}"/>
    <hyperlink ref="K734" r:id="rId733" display="https://drive.google.com/open?id=1BMaENX90Y4WR0qcOD1aitqdZuLUI3Y_e" xr:uid="{00000000-0004-0000-0500-0000DC020000}"/>
    <hyperlink ref="K735" r:id="rId734" display="https://drive.google.com/open?id=1gDbmkgWMEq04Q5zhILe0mPyQGDKe69Rx" xr:uid="{00000000-0004-0000-0500-0000DD020000}"/>
    <hyperlink ref="D736" r:id="rId735" display="http://deeplearning.ai/" xr:uid="{00000000-0004-0000-0500-0000DE020000}"/>
    <hyperlink ref="K736" r:id="rId736" display="https://drive.google.com/open?id=1MqwlNBjN4GdPpbDSL5mQ0tolJ7I2sXUI" xr:uid="{00000000-0004-0000-0500-0000DF020000}"/>
    <hyperlink ref="K737" r:id="rId737" display="https://drive.google.com/open?id=175hZfT5mALbCnDjklXXHfa7xUoGcLVfa" xr:uid="{00000000-0004-0000-0500-0000E0020000}"/>
    <hyperlink ref="K738" r:id="rId738" display="https://drive.google.com/open?id=195bDlEcFeF8Dkc1EwuP4HOHcdR4wl_h6" xr:uid="{00000000-0004-0000-0500-0000E1020000}"/>
    <hyperlink ref="K739" r:id="rId739" display="https://drive.google.com/open?id=1AlUvaHkYa-_TmleSQ5sZqJdmTYWxcgK2" xr:uid="{00000000-0004-0000-0500-0000E2020000}"/>
    <hyperlink ref="K740" r:id="rId740" display="https://drive.google.com/open?id=1tl3mhFHOZyf6mgjcf4xPv-7-oHQyLmz5" xr:uid="{00000000-0004-0000-0500-0000E3020000}"/>
    <hyperlink ref="K741" r:id="rId741" display="https://drive.google.com/open?id=1cebBPJw2Cag9Y_PrtgN1o5PEGewL-_M-" xr:uid="{00000000-0004-0000-0500-0000E4020000}"/>
    <hyperlink ref="K742" r:id="rId742" display="https://drive.google.com/open?id=1-PetfB6Tp194MjK0e-W1uHlAXhoGA3di" xr:uid="{00000000-0004-0000-0500-0000E5020000}"/>
    <hyperlink ref="K743" r:id="rId743" display="https://drive.google.com/open?id=1yW-xpepQVwiCMkNuqsgGvt74qKTyQXq_" xr:uid="{00000000-0004-0000-0500-0000E6020000}"/>
    <hyperlink ref="K744" r:id="rId744" display="https://drive.google.com/open?id=18mtx8Qh8QHls3niSfI1jM6LKdhvuuQeL" xr:uid="{00000000-0004-0000-0500-0000E7020000}"/>
    <hyperlink ref="K745" r:id="rId745" display="https://drive.google.com/open?id=1msBWVmdG51966EXk0B4Mv4FHLbIxwHRY" xr:uid="{00000000-0004-0000-0500-0000E8020000}"/>
    <hyperlink ref="K746" r:id="rId746" display="https://drive.google.com/open?id=112veMJq0xzh0LinE6l_JRL7s4NSz_v9u" xr:uid="{00000000-0004-0000-0500-0000E9020000}"/>
    <hyperlink ref="K747" r:id="rId747" display="https://drive.google.com/open?id=1GkJLAiWs5OCkGJFarEqQDBiY9ZkOQXz3" xr:uid="{00000000-0004-0000-0500-0000EA020000}"/>
    <hyperlink ref="K748" r:id="rId748" display="https://drive.google.com/open?id=1HbBOBFjpWwJUWbWeFISPsLGnbI5b-Rk6" xr:uid="{00000000-0004-0000-0500-0000EB020000}"/>
    <hyperlink ref="K749" r:id="rId749" display="https://drive.google.com/open?id=192CUUib81oebiH3Uwg1EQpKZbzFPu8ch" xr:uid="{00000000-0004-0000-0500-0000EC020000}"/>
    <hyperlink ref="K750" r:id="rId750" display="https://drive.google.com/open?id=1K2pP69l4IZpEayf9v7vG7Bc3FFkps-Bh" xr:uid="{00000000-0004-0000-0500-0000ED020000}"/>
    <hyperlink ref="K751" r:id="rId751" display="https://drive.google.com/open?id=1wePIJtkTPBZxuduivAe0mSpK9IJ6_eEh" xr:uid="{00000000-0004-0000-0500-0000EE020000}"/>
    <hyperlink ref="K752" r:id="rId752" display="https://drive.google.com/open?id=1OMYU9aO2e5oGVHpE80UbbKtuVvO-SPuR" xr:uid="{00000000-0004-0000-0500-0000EF020000}"/>
    <hyperlink ref="K753" r:id="rId753" display="https://drive.google.com/open?id=1Siem2AsY6JCok9s2uwpBm_bmhUkH5mib" xr:uid="{00000000-0004-0000-0500-0000F0020000}"/>
    <hyperlink ref="K754" r:id="rId754" display="https://drive.google.com/open?id=14dCAhb9W-sYw6z5Dnv2tUAUHwKPQNhfT" xr:uid="{00000000-0004-0000-0500-0000F1020000}"/>
    <hyperlink ref="K755" r:id="rId755" display="https://drive.google.com/open?id=1gvIeJBmIWboglyfy7muQNi943qgd3l6N" xr:uid="{00000000-0004-0000-0500-0000F2020000}"/>
    <hyperlink ref="K756" r:id="rId756" display="https://drive.google.com/open?id=1l7KFUu-g2M5J8Qrkjw4GQKVPhWKr5RYW" xr:uid="{00000000-0004-0000-0500-0000F3020000}"/>
    <hyperlink ref="K757" r:id="rId757" display="https://drive.google.com/open?id=1z8tJnoJolWBpv8YcnfnaZzeDb5Xdm8zZ" xr:uid="{00000000-0004-0000-0500-0000F4020000}"/>
    <hyperlink ref="K758" r:id="rId758" display="https://drive.google.com/open?id=1uMYoubfB8v7-pspQFMkVvPtH4JmIEAP6" xr:uid="{00000000-0004-0000-0500-0000F5020000}"/>
    <hyperlink ref="K759" r:id="rId759" display="https://drive.google.com/open?id=1-F0i1lHRs4e9kzsaOJlVkCKSC8lyLuhr" xr:uid="{00000000-0004-0000-0500-0000F6020000}"/>
    <hyperlink ref="K760" r:id="rId760" display="https://drive.google.com/open?id=1qZo9Dc2rM5HaH96_wJI3ejAwSphAT30F" xr:uid="{00000000-0004-0000-0500-0000F7020000}"/>
    <hyperlink ref="K761" r:id="rId761" display="https://drive.google.com/open?id=1MTeM3Sd0EsoYG10fpWvr0ewCGWgFZwd9" xr:uid="{00000000-0004-0000-0500-0000F8020000}"/>
    <hyperlink ref="K762" r:id="rId762" display="https://drive.google.com/open?id=1NziKGpNoGVQBJ--vVPZgARNfKMK01KI1" xr:uid="{00000000-0004-0000-0500-0000F9020000}"/>
    <hyperlink ref="K763" r:id="rId763" display="https://drive.google.com/open?id=17Xyl8xQNFxBtNZKVP87TJtmMU77hgaS-" xr:uid="{00000000-0004-0000-0500-0000FA02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Y996"/>
  <sheetViews>
    <sheetView workbookViewId="0"/>
  </sheetViews>
  <sheetFormatPr baseColWidth="10" defaultColWidth="12.6640625" defaultRowHeight="15.75" customHeight="1" x14ac:dyDescent="0.15"/>
  <cols>
    <col min="1" max="1" width="44.6640625" customWidth="1"/>
    <col min="2" max="3" width="11.6640625" customWidth="1"/>
    <col min="4" max="4" width="30.1640625" customWidth="1"/>
    <col min="5" max="5" width="74" customWidth="1"/>
    <col min="6" max="6" width="12.33203125" customWidth="1"/>
    <col min="7" max="8" width="9.33203125" customWidth="1"/>
    <col min="9" max="9" width="63.5" customWidth="1"/>
    <col min="10" max="10" width="76.1640625" customWidth="1"/>
    <col min="11" max="11" width="19" customWidth="1"/>
    <col min="12" max="12" width="25.33203125" customWidth="1"/>
    <col min="13" max="13" width="42.1640625" customWidth="1"/>
    <col min="14" max="14" width="64.5" customWidth="1"/>
    <col min="15" max="15" width="15.1640625" customWidth="1"/>
    <col min="16" max="16" width="31.33203125" customWidth="1"/>
    <col min="17" max="17" width="31.6640625" customWidth="1"/>
    <col min="18" max="18" width="10.1640625" customWidth="1"/>
    <col min="19" max="25" width="12.6640625" customWidth="1"/>
  </cols>
  <sheetData>
    <row r="1" spans="1:25" ht="26.25" customHeight="1" x14ac:dyDescent="0.15">
      <c r="A1" s="13" t="s">
        <v>25</v>
      </c>
      <c r="B1" s="13" t="s">
        <v>26</v>
      </c>
      <c r="C1" s="13" t="s">
        <v>68</v>
      </c>
      <c r="D1" s="13" t="s">
        <v>3883</v>
      </c>
      <c r="E1" s="13" t="s">
        <v>70</v>
      </c>
      <c r="F1" s="13" t="s">
        <v>3884</v>
      </c>
      <c r="G1" s="13" t="s">
        <v>55</v>
      </c>
      <c r="H1" s="13" t="s">
        <v>56</v>
      </c>
      <c r="I1" s="13" t="s">
        <v>72</v>
      </c>
      <c r="J1" s="13" t="s">
        <v>73</v>
      </c>
      <c r="K1" s="13" t="s">
        <v>3885</v>
      </c>
      <c r="L1" s="13" t="s">
        <v>3886</v>
      </c>
      <c r="M1" s="13" t="s">
        <v>3887</v>
      </c>
      <c r="N1" s="13" t="s">
        <v>77</v>
      </c>
      <c r="O1" s="65" t="s">
        <v>24</v>
      </c>
      <c r="P1" s="56" t="s">
        <v>1</v>
      </c>
      <c r="Q1" s="65" t="s">
        <v>113</v>
      </c>
      <c r="R1" s="65" t="s">
        <v>114</v>
      </c>
      <c r="S1" s="9"/>
      <c r="T1" s="9"/>
      <c r="U1" s="9"/>
      <c r="V1" s="9"/>
      <c r="W1" s="9"/>
      <c r="X1" s="9"/>
      <c r="Y1" s="9"/>
    </row>
    <row r="2" spans="1:25" ht="26.25" customHeight="1" x14ac:dyDescent="0.15">
      <c r="A2" s="18" t="str">
        <f ca="1">IFERROR(__xludf.DUMMYFUNCTION("QUERY(MasterData!A1:NK11244,""select BI,BJ,BK,BL,BM,BN,BO,BP,BQ,BR,BS,BT,BU,BV,B,C,FL,FM where C='S5: Student Workshops/Conf attended'"",0)"),"Kundrapu Jayanth Naidu")</f>
        <v>Kundrapu Jayanth Naidu</v>
      </c>
      <c r="B2" s="18" t="str">
        <f ca="1">IFERROR(__xludf.DUMMYFUNCTION("""COMPUTED_VALUE"""),"18331A0582")</f>
        <v>18331A0582</v>
      </c>
      <c r="C2" s="18" t="str">
        <f ca="1">IFERROR(__xludf.DUMMYFUNCTION("""COMPUTED_VALUE"""),"2018-2019")</f>
        <v>2018-2019</v>
      </c>
      <c r="D2" s="18" t="str">
        <f ca="1">IFERROR(__xludf.DUMMYFUNCTION("""COMPUTED_VALUE"""),"Conference")</f>
        <v>Conference</v>
      </c>
      <c r="E2" s="18" t="str">
        <f ca="1">IFERROR(__xludf.DUMMYFUNCTION("""COMPUTED_VALUE"""),"International Conference on Cognitive Science and Artificial Intelligence")</f>
        <v>International Conference on Cognitive Science and Artificial Intelligence</v>
      </c>
      <c r="F2" s="18">
        <f ca="1">IFERROR(__xludf.DUMMYFUNCTION("""COMPUTED_VALUE"""),2)</f>
        <v>2</v>
      </c>
      <c r="G2" s="84">
        <f ca="1">IFERROR(__xludf.DUMMYFUNCTION("""COMPUTED_VALUE"""),43462)</f>
        <v>43462</v>
      </c>
      <c r="H2" s="84">
        <f ca="1">IFERROR(__xludf.DUMMYFUNCTION("""COMPUTED_VALUE"""),43463)</f>
        <v>43463</v>
      </c>
      <c r="I2" s="18" t="str">
        <f ca="1">IFERROR(__xludf.DUMMYFUNCTION("""COMPUTED_VALUE"""),"Institute of Bioinformatics and computational Biology")</f>
        <v>Institute of Bioinformatics and computational Biology</v>
      </c>
      <c r="J2" s="18" t="str">
        <f ca="1">IFERROR(__xludf.DUMMYFUNCTION("""COMPUTED_VALUE"""),"Dr P.SATHEESH ")</f>
        <v xml:space="preserve">Dr P.SATHEESH </v>
      </c>
      <c r="K2" s="18" t="str">
        <f ca="1">IFERROR(__xludf.DUMMYFUNCTION("""COMPUTED_VALUE"""),"International")</f>
        <v>International</v>
      </c>
      <c r="L2" s="18" t="str">
        <f ca="1">IFERROR(__xludf.DUMMYFUNCTION("""COMPUTED_VALUE"""),"Free")</f>
        <v>Free</v>
      </c>
      <c r="M2" s="18"/>
      <c r="N2" s="85" t="str">
        <f ca="1">IFERROR(__xludf.DUMMYFUNCTION("""COMPUTED_VALUE"""),"https://drive.google.com/open?id=1GzSlloib5_ZjM3U8BaXAS0iZVY4Qvefl")</f>
        <v>https://drive.google.com/open?id=1GzSlloib5_ZjM3U8BaXAS0iZVY4Qvefl</v>
      </c>
      <c r="O2" s="59" t="str">
        <f ca="1">IFERROR(__xludf.DUMMYFUNCTION("""COMPUTED_VALUE"""),"5")</f>
        <v>5</v>
      </c>
      <c r="P2" s="59" t="str">
        <f ca="1">IFERROR(__xludf.DUMMYFUNCTION("""COMPUTED_VALUE"""),"S5: Student Workshops/Conf attended")</f>
        <v>S5: Student Workshops/Conf attended</v>
      </c>
      <c r="Q2" s="59" t="str">
        <f ca="1">IFERROR(__xludf.DUMMYFUNCTION("""COMPUTED_VALUE"""),"18331a0582@mvgrce.edu.in")</f>
        <v>18331a0582@mvgrce.edu.in</v>
      </c>
      <c r="R2" s="59"/>
      <c r="S2" s="9"/>
      <c r="T2" s="9"/>
      <c r="U2" s="9"/>
      <c r="V2" s="9"/>
      <c r="W2" s="9"/>
      <c r="X2" s="9"/>
      <c r="Y2" s="9"/>
    </row>
    <row r="3" spans="1:25" ht="26.25" customHeight="1" x14ac:dyDescent="0.15">
      <c r="A3" s="18" t="str">
        <f ca="1">IFERROR(__xludf.DUMMYFUNCTION("""COMPUTED_VALUE"""),"BHUPATHIRAJU S S SOWJANYA LAKSHMI")</f>
        <v>BHUPATHIRAJU S S SOWJANYA LAKSHMI</v>
      </c>
      <c r="B3" s="18" t="str">
        <f ca="1">IFERROR(__xludf.DUMMYFUNCTION("""COMPUTED_VALUE"""),"19331D8401")</f>
        <v>19331D8401</v>
      </c>
      <c r="C3" s="18" t="str">
        <f ca="1">IFERROR(__xludf.DUMMYFUNCTION("""COMPUTED_VALUE"""),"2020-2021")</f>
        <v>2020-2021</v>
      </c>
      <c r="D3" s="18" t="str">
        <f ca="1">IFERROR(__xludf.DUMMYFUNCTION("""COMPUTED_VALUE"""),"Webinar")</f>
        <v>Webinar</v>
      </c>
      <c r="E3" s="18" t="str">
        <f ca="1">IFERROR(__xludf.DUMMYFUNCTION("""COMPUTED_VALUE"""),"IPR Strategy for startups and MSMEs")</f>
        <v>IPR Strategy for startups and MSMEs</v>
      </c>
      <c r="F3" s="18">
        <f ca="1">IFERROR(__xludf.DUMMYFUNCTION("""COMPUTED_VALUE"""),1)</f>
        <v>1</v>
      </c>
      <c r="G3" s="84">
        <f ca="1">IFERROR(__xludf.DUMMYFUNCTION("""COMPUTED_VALUE"""),44254)</f>
        <v>44254</v>
      </c>
      <c r="H3" s="84">
        <f ca="1">IFERROR(__xludf.DUMMYFUNCTION("""COMPUTED_VALUE"""),44254)</f>
        <v>44254</v>
      </c>
      <c r="I3" s="18" t="str">
        <f ca="1">IFERROR(__xludf.DUMMYFUNCTION("""COMPUTED_VALUE"""),"MSME- Development Institute, Visakhapatnam &amp; MVGR College Of Engineering")</f>
        <v>MSME- Development Institute, Visakhapatnam &amp; MVGR College Of Engineering</v>
      </c>
      <c r="J3" s="18" t="str">
        <f ca="1">IFERROR(__xludf.DUMMYFUNCTION("""COMPUTED_VALUE"""),"1.	Dr. Dayanada Murthy 
2.	Dr. B.K Sahu
3.	Shri. Ravi Gadde
4.	G.V.R. Naidu
5.	Shri. Satish Kumar
6.	Dr.R.Ramesh")</f>
        <v>1.	Dr. Dayanada Murthy 
2.	Dr. B.K Sahu
3.	Shri. Ravi Gadde
4.	G.V.R. Naidu
5.	Shri. Satish Kumar
6.	Dr.R.Ramesh</v>
      </c>
      <c r="K3" s="18" t="str">
        <f ca="1">IFERROR(__xludf.DUMMYFUNCTION("""COMPUTED_VALUE"""),"National")</f>
        <v>National</v>
      </c>
      <c r="L3" s="18" t="str">
        <f ca="1">IFERROR(__xludf.DUMMYFUNCTION("""COMPUTED_VALUE"""),"Free")</f>
        <v>Free</v>
      </c>
      <c r="M3" s="18"/>
      <c r="N3" s="85" t="str">
        <f ca="1">IFERROR(__xludf.DUMMYFUNCTION("""COMPUTED_VALUE"""),"https://drive.google.com/open?id=1nOXIgsmw_1iZ20dMcolXCnFpxNh3geu6")</f>
        <v>https://drive.google.com/open?id=1nOXIgsmw_1iZ20dMcolXCnFpxNh3geu6</v>
      </c>
      <c r="O3" s="59" t="str">
        <f ca="1">IFERROR(__xludf.DUMMYFUNCTION("""COMPUTED_VALUE"""),"3")</f>
        <v>3</v>
      </c>
      <c r="P3" s="59" t="str">
        <f ca="1">IFERROR(__xludf.DUMMYFUNCTION("""COMPUTED_VALUE"""),"S5: Student Workshops/Conf attended")</f>
        <v>S5: Student Workshops/Conf attended</v>
      </c>
      <c r="Q3" s="59" t="str">
        <f ca="1">IFERROR(__xludf.DUMMYFUNCTION("""COMPUTED_VALUE"""),"placementcse@mvgrce.edu.in")</f>
        <v>placementcse@mvgrce.edu.in</v>
      </c>
      <c r="R3" s="59"/>
      <c r="S3" s="9"/>
      <c r="T3" s="9"/>
      <c r="U3" s="9"/>
      <c r="V3" s="9"/>
      <c r="W3" s="9"/>
      <c r="X3" s="9"/>
      <c r="Y3" s="9"/>
    </row>
    <row r="4" spans="1:25" ht="26.25" customHeight="1" x14ac:dyDescent="0.15">
      <c r="A4" s="18" t="str">
        <f ca="1">IFERROR(__xludf.DUMMYFUNCTION("""COMPUTED_VALUE"""),"CHENDA ARUN HYDE")</f>
        <v>CHENDA ARUN HYDE</v>
      </c>
      <c r="B4" s="18" t="str">
        <f ca="1">IFERROR(__xludf.DUMMYFUNCTION("""COMPUTED_VALUE"""),"19331D8402")</f>
        <v>19331D8402</v>
      </c>
      <c r="C4" s="18" t="str">
        <f ca="1">IFERROR(__xludf.DUMMYFUNCTION("""COMPUTED_VALUE"""),"2020-2021")</f>
        <v>2020-2021</v>
      </c>
      <c r="D4" s="18" t="str">
        <f ca="1">IFERROR(__xludf.DUMMYFUNCTION("""COMPUTED_VALUE"""),"Webinar")</f>
        <v>Webinar</v>
      </c>
      <c r="E4" s="18" t="str">
        <f ca="1">IFERROR(__xludf.DUMMYFUNCTION("""COMPUTED_VALUE"""),"IPR Strategy for startups and MSMEs")</f>
        <v>IPR Strategy for startups and MSMEs</v>
      </c>
      <c r="F4" s="18">
        <f ca="1">IFERROR(__xludf.DUMMYFUNCTION("""COMPUTED_VALUE"""),1)</f>
        <v>1</v>
      </c>
      <c r="G4" s="84">
        <f ca="1">IFERROR(__xludf.DUMMYFUNCTION("""COMPUTED_VALUE"""),44254)</f>
        <v>44254</v>
      </c>
      <c r="H4" s="84">
        <f ca="1">IFERROR(__xludf.DUMMYFUNCTION("""COMPUTED_VALUE"""),44254)</f>
        <v>44254</v>
      </c>
      <c r="I4" s="18" t="str">
        <f ca="1">IFERROR(__xludf.DUMMYFUNCTION("""COMPUTED_VALUE"""),"MSME- Development Institute, Visakhapatnam &amp; MVGR College Of Engineering")</f>
        <v>MSME- Development Institute, Visakhapatnam &amp; MVGR College Of Engineering</v>
      </c>
      <c r="J4" s="18" t="str">
        <f ca="1">IFERROR(__xludf.DUMMYFUNCTION("""COMPUTED_VALUE"""),"1.	Dr. Dayanada Murthy C P director,Academic Affairs and Research,DSNLU
2.	Dr. B.K Sahu,Regional Manager and Officer Incharge IPFC&amp; TISC,NRDC,GOVT OF INDIA.
3.	Shri. Ravi Gadde,Joint Director,MSME Development Institute,Visakhapatnam.
4.	G.V.R. Naidu,Asst."&amp;" Director, MSME Development Institute,Visakhapatnam.
5.	Shri. Satish Kumar,Asst.DirectorIPR Cell,O/o DC(MSME),New Delhi.
6.	Dr.R.Ramesh,Dean R&amp;D,MVGR College of Engineering,Vizianagaram.
")</f>
        <v xml:space="preserve">1.	Dr. Dayanada Murthy C P director,Academic Affairs and Research,DSNLU
2.	Dr. B.K Sahu,Regional Manager and Officer Incharge IPFC&amp; TISC,NRDC,GOVT OF INDIA.
3.	Shri. Ravi Gadde,Joint Director,MSME Development Institute,Visakhapatnam.
4.	G.V.R. Naidu,Asst. Director, MSME Development Institute,Visakhapatnam.
5.	Shri. Satish Kumar,Asst.DirectorIPR Cell,O/o DC(MSME),New Delhi.
6.	Dr.R.Ramesh,Dean R&amp;D,MVGR College of Engineering,Vizianagaram.
</v>
      </c>
      <c r="K4" s="18" t="str">
        <f ca="1">IFERROR(__xludf.DUMMYFUNCTION("""COMPUTED_VALUE"""),"National")</f>
        <v>National</v>
      </c>
      <c r="L4" s="18" t="str">
        <f ca="1">IFERROR(__xludf.DUMMYFUNCTION("""COMPUTED_VALUE"""),"Free")</f>
        <v>Free</v>
      </c>
      <c r="M4" s="18"/>
      <c r="N4" s="85" t="str">
        <f ca="1">IFERROR(__xludf.DUMMYFUNCTION("""COMPUTED_VALUE"""),"https://drive.google.com/open?id=1afo59aMa85woopBPrtJmp_56u-PY7HTs")</f>
        <v>https://drive.google.com/open?id=1afo59aMa85woopBPrtJmp_56u-PY7HTs</v>
      </c>
      <c r="O4" s="59" t="str">
        <f ca="1">IFERROR(__xludf.DUMMYFUNCTION("""COMPUTED_VALUE"""),"3")</f>
        <v>3</v>
      </c>
      <c r="P4" s="59" t="str">
        <f ca="1">IFERROR(__xludf.DUMMYFUNCTION("""COMPUTED_VALUE"""),"S5: Student Workshops/Conf attended")</f>
        <v>S5: Student Workshops/Conf attended</v>
      </c>
      <c r="Q4" s="59" t="str">
        <f ca="1">IFERROR(__xludf.DUMMYFUNCTION("""COMPUTED_VALUE"""),"placementcse@mvgrce.edu.in")</f>
        <v>placementcse@mvgrce.edu.in</v>
      </c>
      <c r="R4" s="59"/>
      <c r="S4" s="9"/>
      <c r="T4" s="9"/>
      <c r="U4" s="9"/>
      <c r="V4" s="9"/>
      <c r="W4" s="9"/>
      <c r="X4" s="9"/>
      <c r="Y4" s="9"/>
    </row>
    <row r="5" spans="1:25" ht="26.25" customHeight="1" x14ac:dyDescent="0.15">
      <c r="A5" s="18" t="str">
        <f ca="1">IFERROR(__xludf.DUMMYFUNCTION("""COMPUTED_VALUE"""),"LOLLA KIRAN KUMAR")</f>
        <v>LOLLA KIRAN KUMAR</v>
      </c>
      <c r="B5" s="18" t="str">
        <f ca="1">IFERROR(__xludf.DUMMYFUNCTION("""COMPUTED_VALUE"""),"19331D8403")</f>
        <v>19331D8403</v>
      </c>
      <c r="C5" s="18" t="str">
        <f ca="1">IFERROR(__xludf.DUMMYFUNCTION("""COMPUTED_VALUE"""),"2020-2021")</f>
        <v>2020-2021</v>
      </c>
      <c r="D5" s="18" t="str">
        <f ca="1">IFERROR(__xludf.DUMMYFUNCTION("""COMPUTED_VALUE"""),"Webinar")</f>
        <v>Webinar</v>
      </c>
      <c r="E5" s="18" t="str">
        <f ca="1">IFERROR(__xludf.DUMMYFUNCTION("""COMPUTED_VALUE"""),"IPR Strategy for startups and MSMEs ")</f>
        <v xml:space="preserve">IPR Strategy for startups and MSMEs </v>
      </c>
      <c r="F5" s="18">
        <f ca="1">IFERROR(__xludf.DUMMYFUNCTION("""COMPUTED_VALUE"""),1)</f>
        <v>1</v>
      </c>
      <c r="G5" s="84">
        <f ca="1">IFERROR(__xludf.DUMMYFUNCTION("""COMPUTED_VALUE"""),44254)</f>
        <v>44254</v>
      </c>
      <c r="H5" s="84">
        <f ca="1">IFERROR(__xludf.DUMMYFUNCTION("""COMPUTED_VALUE"""),44254)</f>
        <v>44254</v>
      </c>
      <c r="I5" s="18" t="str">
        <f ca="1">IFERROR(__xludf.DUMMYFUNCTION("""COMPUTED_VALUE"""),"MSME- Development Institute, Visakhapatnam &amp; MVGR College Of Engineering")</f>
        <v>MSME- Development Institute, Visakhapatnam &amp; MVGR College Of Engineering</v>
      </c>
      <c r="J5" s="18" t="str">
        <f ca="1">IFERROR(__xludf.DUMMYFUNCTION("""COMPUTED_VALUE"""),"1.	Dr. Dayanada Murthy C P director,Academic Affairs and Research,DSNLU
2.	Dr. B.K Sahu,Regional Manager and Officer Incharge IPFC&amp; TISC,NRDC,GOVT OF INDIA.
3.	Shri. Ravi Gadde,Joint Director,MSME Development Institute,Visakhapatnam.
4.	G.V.R. Naidu,Asst."&amp;" Director, MSME Development Institute,Visakhapatnam.
5.	Shri. Satish Kumar,Asst.DirectorIPR Cell,O/o DC(MSME),New Delhi.
6.	Dr.R.Ramesh,Dean R&amp;D,MVGR College of Engineering,Vizianagaram.")</f>
        <v>1.	Dr. Dayanada Murthy C P director,Academic Affairs and Research,DSNLU
2.	Dr. B.K Sahu,Regional Manager and Officer Incharge IPFC&amp; TISC,NRDC,GOVT OF INDIA.
3.	Shri. Ravi Gadde,Joint Director,MSME Development Institute,Visakhapatnam.
4.	G.V.R. Naidu,Asst. Director, MSME Development Institute,Visakhapatnam.
5.	Shri. Satish Kumar,Asst.DirectorIPR Cell,O/o DC(MSME),New Delhi.
6.	Dr.R.Ramesh,Dean R&amp;D,MVGR College of Engineering,Vizianagaram.</v>
      </c>
      <c r="K5" s="18" t="str">
        <f ca="1">IFERROR(__xludf.DUMMYFUNCTION("""COMPUTED_VALUE"""),"National")</f>
        <v>National</v>
      </c>
      <c r="L5" s="18" t="str">
        <f ca="1">IFERROR(__xludf.DUMMYFUNCTION("""COMPUTED_VALUE"""),"Free")</f>
        <v>Free</v>
      </c>
      <c r="M5" s="18"/>
      <c r="N5" s="85" t="str">
        <f ca="1">IFERROR(__xludf.DUMMYFUNCTION("""COMPUTED_VALUE"""),"https://drive.google.com/open?id=1QmIkUIxHvdzBAcki1wIXRP47a-PU77Kk")</f>
        <v>https://drive.google.com/open?id=1QmIkUIxHvdzBAcki1wIXRP47a-PU77Kk</v>
      </c>
      <c r="O5" s="59" t="str">
        <f ca="1">IFERROR(__xludf.DUMMYFUNCTION("""COMPUTED_VALUE"""),"3")</f>
        <v>3</v>
      </c>
      <c r="P5" s="59" t="str">
        <f ca="1">IFERROR(__xludf.DUMMYFUNCTION("""COMPUTED_VALUE"""),"S5: Student Workshops/Conf attended")</f>
        <v>S5: Student Workshops/Conf attended</v>
      </c>
      <c r="Q5" s="59" t="str">
        <f ca="1">IFERROR(__xludf.DUMMYFUNCTION("""COMPUTED_VALUE"""),"placementcse@mvgrce.edu.in")</f>
        <v>placementcse@mvgrce.edu.in</v>
      </c>
      <c r="R5" s="59"/>
      <c r="S5" s="9"/>
      <c r="T5" s="9"/>
      <c r="U5" s="9"/>
      <c r="V5" s="9"/>
      <c r="W5" s="9"/>
      <c r="X5" s="9"/>
      <c r="Y5" s="9"/>
    </row>
    <row r="6" spans="1:25" ht="26.25" customHeight="1" x14ac:dyDescent="0.15">
      <c r="A6" s="18" t="str">
        <f ca="1">IFERROR(__xludf.DUMMYFUNCTION("""COMPUTED_VALUE"""),"TADELA PRADEEP ")</f>
        <v xml:space="preserve">TADELA PRADEEP </v>
      </c>
      <c r="B6" s="18" t="str">
        <f ca="1">IFERROR(__xludf.DUMMYFUNCTION("""COMPUTED_VALUE"""),"19331D8404")</f>
        <v>19331D8404</v>
      </c>
      <c r="C6" s="18" t="str">
        <f ca="1">IFERROR(__xludf.DUMMYFUNCTION("""COMPUTED_VALUE"""),"2020-2021")</f>
        <v>2020-2021</v>
      </c>
      <c r="D6" s="18" t="str">
        <f ca="1">IFERROR(__xludf.DUMMYFUNCTION("""COMPUTED_VALUE"""),"Webinar")</f>
        <v>Webinar</v>
      </c>
      <c r="E6" s="18" t="str">
        <f ca="1">IFERROR(__xludf.DUMMYFUNCTION("""COMPUTED_VALUE"""),"IPR Strategy for startups and MSMEs ")</f>
        <v xml:space="preserve">IPR Strategy for startups and MSMEs </v>
      </c>
      <c r="F6" s="18">
        <f ca="1">IFERROR(__xludf.DUMMYFUNCTION("""COMPUTED_VALUE"""),1)</f>
        <v>1</v>
      </c>
      <c r="G6" s="84">
        <f ca="1">IFERROR(__xludf.DUMMYFUNCTION("""COMPUTED_VALUE"""),44254)</f>
        <v>44254</v>
      </c>
      <c r="H6" s="84">
        <f ca="1">IFERROR(__xludf.DUMMYFUNCTION("""COMPUTED_VALUE"""),44254)</f>
        <v>44254</v>
      </c>
      <c r="I6" s="18" t="str">
        <f ca="1">IFERROR(__xludf.DUMMYFUNCTION("""COMPUTED_VALUE"""),"MSME- Development Institute, Visakhapatnam &amp; MVGR College Of Engineering")</f>
        <v>MSME- Development Institute, Visakhapatnam &amp; MVGR College Of Engineering</v>
      </c>
      <c r="J6" s="18" t="str">
        <f ca="1">IFERROR(__xludf.DUMMYFUNCTION("""COMPUTED_VALUE"""),"1.	Dr. Dayanada Murthy C P director,Academic Affairs and Research,DSNLU
2.	Dr. B.K Sahu,Regional Manager and Officer Incharge IPFC&amp; TISC,NRDC,GOVT OF INDIA.
3.	Shri. Ravi Gadde,Joint Director,MSME Development Institute,Visakhapatnam.
4.	G.V.R. Naidu,Asst."&amp;" Director, MSME Development Institute,Visakhapatnam.
5.	Shri. Satish Kumar,Asst.DirectorIPR Cell,O/o DC(MSME),New Delhi.
6.	Dr.R.Ramesh,Dean R&amp;D,MVGR College of Engineering,Vizianagaram")</f>
        <v>1.	Dr. Dayanada Murthy C P director,Academic Affairs and Research,DSNLU
2.	Dr. B.K Sahu,Regional Manager and Officer Incharge IPFC&amp; TISC,NRDC,GOVT OF INDIA.
3.	Shri. Ravi Gadde,Joint Director,MSME Development Institute,Visakhapatnam.
4.	G.V.R. Naidu,Asst. Director, MSME Development Institute,Visakhapatnam.
5.	Shri. Satish Kumar,Asst.DirectorIPR Cell,O/o DC(MSME),New Delhi.
6.	Dr.R.Ramesh,Dean R&amp;D,MVGR College of Engineering,Vizianagaram</v>
      </c>
      <c r="K6" s="18" t="str">
        <f ca="1">IFERROR(__xludf.DUMMYFUNCTION("""COMPUTED_VALUE"""),"National")</f>
        <v>National</v>
      </c>
      <c r="L6" s="18" t="str">
        <f ca="1">IFERROR(__xludf.DUMMYFUNCTION("""COMPUTED_VALUE"""),"Free")</f>
        <v>Free</v>
      </c>
      <c r="M6" s="18"/>
      <c r="N6" s="85" t="str">
        <f ca="1">IFERROR(__xludf.DUMMYFUNCTION("""COMPUTED_VALUE"""),"https://drive.google.com/open?id=1Pe0T8pWf12QdeQ2l38yTmPICsIyeZbQy")</f>
        <v>https://drive.google.com/open?id=1Pe0T8pWf12QdeQ2l38yTmPICsIyeZbQy</v>
      </c>
      <c r="O6" s="59" t="str">
        <f ca="1">IFERROR(__xludf.DUMMYFUNCTION("""COMPUTED_VALUE"""),"3")</f>
        <v>3</v>
      </c>
      <c r="P6" s="59" t="str">
        <f ca="1">IFERROR(__xludf.DUMMYFUNCTION("""COMPUTED_VALUE"""),"S5: Student Workshops/Conf attended")</f>
        <v>S5: Student Workshops/Conf attended</v>
      </c>
      <c r="Q6" s="59" t="str">
        <f ca="1">IFERROR(__xludf.DUMMYFUNCTION("""COMPUTED_VALUE"""),"placementcse@mvgrce.edu.in")</f>
        <v>placementcse@mvgrce.edu.in</v>
      </c>
      <c r="R6" s="59"/>
      <c r="S6" s="9"/>
      <c r="T6" s="9"/>
      <c r="U6" s="9"/>
      <c r="V6" s="9"/>
      <c r="W6" s="9"/>
      <c r="X6" s="9"/>
      <c r="Y6" s="9"/>
    </row>
    <row r="7" spans="1:25" ht="26.25" customHeight="1" x14ac:dyDescent="0.15">
      <c r="A7" s="18" t="str">
        <f ca="1">IFERROR(__xludf.DUMMYFUNCTION("""COMPUTED_VALUE"""),"UPPALAPATI BHARATHI")</f>
        <v>UPPALAPATI BHARATHI</v>
      </c>
      <c r="B7" s="18" t="str">
        <f ca="1">IFERROR(__xludf.DUMMYFUNCTION("""COMPUTED_VALUE"""),"19331D8405")</f>
        <v>19331D8405</v>
      </c>
      <c r="C7" s="18" t="str">
        <f ca="1">IFERROR(__xludf.DUMMYFUNCTION("""COMPUTED_VALUE"""),"2020-2021")</f>
        <v>2020-2021</v>
      </c>
      <c r="D7" s="18" t="str">
        <f ca="1">IFERROR(__xludf.DUMMYFUNCTION("""COMPUTED_VALUE"""),"Webinar")</f>
        <v>Webinar</v>
      </c>
      <c r="E7" s="18" t="str">
        <f ca="1">IFERROR(__xludf.DUMMYFUNCTION("""COMPUTED_VALUE"""),"IPR Strategy for startups and MSMEs ")</f>
        <v xml:space="preserve">IPR Strategy for startups and MSMEs </v>
      </c>
      <c r="F7" s="18">
        <f ca="1">IFERROR(__xludf.DUMMYFUNCTION("""COMPUTED_VALUE"""),1)</f>
        <v>1</v>
      </c>
      <c r="G7" s="84">
        <f ca="1">IFERROR(__xludf.DUMMYFUNCTION("""COMPUTED_VALUE"""),44254)</f>
        <v>44254</v>
      </c>
      <c r="H7" s="84">
        <f ca="1">IFERROR(__xludf.DUMMYFUNCTION("""COMPUTED_VALUE"""),44254)</f>
        <v>44254</v>
      </c>
      <c r="I7" s="18" t="str">
        <f ca="1">IFERROR(__xludf.DUMMYFUNCTION("""COMPUTED_VALUE"""),"MSME- Development Institute, Visakhapatnam &amp; MVGR College Of Engineering")</f>
        <v>MSME- Development Institute, Visakhapatnam &amp; MVGR College Of Engineering</v>
      </c>
      <c r="J7" s="18" t="str">
        <f ca="1">IFERROR(__xludf.DUMMYFUNCTION("""COMPUTED_VALUE"""),"1.	Dr. Dayanada Murthy C P director,Academic Affairs and Research,DSNLU
2.	Dr. B.K Sahu,Regional Manager and Officer Incharge IPFC&amp; TISC,NRDC,GOVT OF INDIA.
3.	Shri. Ravi Gadde,Joint Director,MSME Development Institute,Visakhapatnam.
4.	G.V.R. Naidu,Asst."&amp;" Director, MSME Development Institute,Visakhapatnam.
5.	Shri. Satish Kumar,Asst.DirectorIPR Cell,O/o DC(MSME),New Delhi.
6.	Dr.R.Ramesh,Dean R&amp;D,MVGR College of Engineering,Vizianagaram")</f>
        <v>1.	Dr. Dayanada Murthy C P director,Academic Affairs and Research,DSNLU
2.	Dr. B.K Sahu,Regional Manager and Officer Incharge IPFC&amp; TISC,NRDC,GOVT OF INDIA.
3.	Shri. Ravi Gadde,Joint Director,MSME Development Institute,Visakhapatnam.
4.	G.V.R. Naidu,Asst. Director, MSME Development Institute,Visakhapatnam.
5.	Shri. Satish Kumar,Asst.DirectorIPR Cell,O/o DC(MSME),New Delhi.
6.	Dr.R.Ramesh,Dean R&amp;D,MVGR College of Engineering,Vizianagaram</v>
      </c>
      <c r="K7" s="18" t="str">
        <f ca="1">IFERROR(__xludf.DUMMYFUNCTION("""COMPUTED_VALUE"""),"National")</f>
        <v>National</v>
      </c>
      <c r="L7" s="18" t="str">
        <f ca="1">IFERROR(__xludf.DUMMYFUNCTION("""COMPUTED_VALUE"""),"Free")</f>
        <v>Free</v>
      </c>
      <c r="M7" s="18"/>
      <c r="N7" s="85" t="str">
        <f ca="1">IFERROR(__xludf.DUMMYFUNCTION("""COMPUTED_VALUE"""),"https://drive.google.com/open?id=1W3oS3s45iTQmlMEJQi1z29zqvH6WU2Oe")</f>
        <v>https://drive.google.com/open?id=1W3oS3s45iTQmlMEJQi1z29zqvH6WU2Oe</v>
      </c>
      <c r="O7" s="59" t="str">
        <f ca="1">IFERROR(__xludf.DUMMYFUNCTION("""COMPUTED_VALUE"""),"3")</f>
        <v>3</v>
      </c>
      <c r="P7" s="59" t="str">
        <f ca="1">IFERROR(__xludf.DUMMYFUNCTION("""COMPUTED_VALUE"""),"S5: Student Workshops/Conf attended")</f>
        <v>S5: Student Workshops/Conf attended</v>
      </c>
      <c r="Q7" s="59" t="str">
        <f ca="1">IFERROR(__xludf.DUMMYFUNCTION("""COMPUTED_VALUE"""),"placementcse@mvgrce.edu.in")</f>
        <v>placementcse@mvgrce.edu.in</v>
      </c>
      <c r="R7" s="59"/>
      <c r="S7" s="9"/>
      <c r="T7" s="9"/>
      <c r="U7" s="9"/>
      <c r="V7" s="9"/>
      <c r="W7" s="9"/>
      <c r="X7" s="9"/>
      <c r="Y7" s="9"/>
    </row>
    <row r="8" spans="1:25" ht="26.25" customHeight="1" x14ac:dyDescent="0.15">
      <c r="A8" s="18" t="str">
        <f ca="1">IFERROR(__xludf.DUMMYFUNCTION("""COMPUTED_VALUE"""),"BHUPATHIRAJU S S SOWJANYA LAKSHMI")</f>
        <v>BHUPATHIRAJU S S SOWJANYA LAKSHMI</v>
      </c>
      <c r="B8" s="18" t="str">
        <f ca="1">IFERROR(__xludf.DUMMYFUNCTION("""COMPUTED_VALUE"""),"19331D8401")</f>
        <v>19331D8401</v>
      </c>
      <c r="C8" s="18" t="str">
        <f ca="1">IFERROR(__xludf.DUMMYFUNCTION("""COMPUTED_VALUE"""),"2020-2021")</f>
        <v>2020-2021</v>
      </c>
      <c r="D8" s="18" t="str">
        <f ca="1">IFERROR(__xludf.DUMMYFUNCTION("""COMPUTED_VALUE"""),"Conference")</f>
        <v>Conference</v>
      </c>
      <c r="E8" s="18" t="str">
        <f ca="1">IFERROR(__xludf.DUMMYFUNCTION("""COMPUTED_VALUE"""),"Intellectual Property Rights (IPRs)-Trademarks and Copyrights ")</f>
        <v xml:space="preserve">Intellectual Property Rights (IPRs)-Trademarks and Copyrights </v>
      </c>
      <c r="F8" s="18">
        <f ca="1">IFERROR(__xludf.DUMMYFUNCTION("""COMPUTED_VALUE"""),1)</f>
        <v>1</v>
      </c>
      <c r="G8" s="84">
        <f ca="1">IFERROR(__xludf.DUMMYFUNCTION("""COMPUTED_VALUE"""),44267)</f>
        <v>44267</v>
      </c>
      <c r="H8" s="84">
        <f ca="1">IFERROR(__xludf.DUMMYFUNCTION("""COMPUTED_VALUE"""),44267)</f>
        <v>44267</v>
      </c>
      <c r="I8" s="18" t="str">
        <f ca="1">IFERROR(__xludf.DUMMYFUNCTION("""COMPUTED_VALUE"""),"MSME- Development Institute, Visakhapatnam &amp; MVGR College Of Engineering")</f>
        <v>MSME- Development Institute, Visakhapatnam &amp; MVGR College Of Engineering</v>
      </c>
      <c r="J8" s="18" t="str">
        <f ca="1">IFERROR(__xludf.DUMMYFUNCTION("""COMPUTED_VALUE"""),"1.	Dr. H.Purushotham,DPIIT-IPR Chair,Andhra University EX-CMD,NRDC.
2.	Dr. S.K kar Head(marketing and consultancy),MSMETC,Bhubaneshwar.
3.	Shri. Ravi Gadde,Joint Director,MSME Development Institute,Visakhapatnam.
4.	Shri. G.V.R. Naidu,Asst. Director, MSME"&amp;" Development Institute,Visakhapatnam.
5.	Shri. Satish Kumar,Asst.DirectorIPR Cell,O/o DC(MSME),New Delhi.
6.	Dr.R.Ramesh,Dean R&amp;D,MVGR College of Engineering,Vizianagaram.
")</f>
        <v xml:space="preserve">1.	Dr. H.Purushotham,DPIIT-IPR Chair,Andhra University EX-CMD,NRDC.
2.	Dr. S.K kar Head(marketing and consultancy),MSMETC,Bhubaneshwar.
3.	Shri. Ravi Gadde,Joint Director,MSME Development Institute,Visakhapatnam.
4.	Shri. G.V.R. Naidu,Asst. Director, MSME Development Institute,Visakhapatnam.
5.	Shri. Satish Kumar,Asst.DirectorIPR Cell,O/o DC(MSME),New Delhi.
6.	Dr.R.Ramesh,Dean R&amp;D,MVGR College of Engineering,Vizianagaram.
</v>
      </c>
      <c r="K8" s="18" t="str">
        <f ca="1">IFERROR(__xludf.DUMMYFUNCTION("""COMPUTED_VALUE"""),"National")</f>
        <v>National</v>
      </c>
      <c r="L8" s="18" t="str">
        <f ca="1">IFERROR(__xludf.DUMMYFUNCTION("""COMPUTED_VALUE"""),"Free")</f>
        <v>Free</v>
      </c>
      <c r="M8" s="18">
        <f ca="1">IFERROR(__xludf.DUMMYFUNCTION("""COMPUTED_VALUE"""),0)</f>
        <v>0</v>
      </c>
      <c r="N8" s="85" t="str">
        <f ca="1">IFERROR(__xludf.DUMMYFUNCTION("""COMPUTED_VALUE"""),"https://drive.google.com/open?id=1RgZ80kmSdlvQtzc3UJScqGgKGkzKnbfI")</f>
        <v>https://drive.google.com/open?id=1RgZ80kmSdlvQtzc3UJScqGgKGkzKnbfI</v>
      </c>
      <c r="O8" s="59" t="str">
        <f ca="1">IFERROR(__xludf.DUMMYFUNCTION("""COMPUTED_VALUE"""),"3")</f>
        <v>3</v>
      </c>
      <c r="P8" s="59" t="str">
        <f ca="1">IFERROR(__xludf.DUMMYFUNCTION("""COMPUTED_VALUE"""),"S5: Student Workshops/Conf attended")</f>
        <v>S5: Student Workshops/Conf attended</v>
      </c>
      <c r="Q8" s="59" t="str">
        <f ca="1">IFERROR(__xludf.DUMMYFUNCTION("""COMPUTED_VALUE"""),"narendrakumar@mvgrce.edu.in")</f>
        <v>narendrakumar@mvgrce.edu.in</v>
      </c>
      <c r="R8" s="59"/>
      <c r="S8" s="9"/>
      <c r="T8" s="9"/>
      <c r="U8" s="9"/>
      <c r="V8" s="9"/>
      <c r="W8" s="9"/>
      <c r="X8" s="9"/>
      <c r="Y8" s="9"/>
    </row>
    <row r="9" spans="1:25" ht="26.25" customHeight="1" x14ac:dyDescent="0.15">
      <c r="A9" s="18" t="str">
        <f ca="1">IFERROR(__xludf.DUMMYFUNCTION("""COMPUTED_VALUE"""),"CHENDA ARUN HYDE")</f>
        <v>CHENDA ARUN HYDE</v>
      </c>
      <c r="B9" s="18" t="str">
        <f ca="1">IFERROR(__xludf.DUMMYFUNCTION("""COMPUTED_VALUE"""),"19331D8402")</f>
        <v>19331D8402</v>
      </c>
      <c r="C9" s="18" t="str">
        <f ca="1">IFERROR(__xludf.DUMMYFUNCTION("""COMPUTED_VALUE"""),"2020-2021")</f>
        <v>2020-2021</v>
      </c>
      <c r="D9" s="18" t="str">
        <f ca="1">IFERROR(__xludf.DUMMYFUNCTION("""COMPUTED_VALUE"""),"Webinar")</f>
        <v>Webinar</v>
      </c>
      <c r="E9" s="18" t="str">
        <f ca="1">IFERROR(__xludf.DUMMYFUNCTION("""COMPUTED_VALUE"""),"Intellectual Property Rights (IPRs)-Trademarks and Copyrights ")</f>
        <v xml:space="preserve">Intellectual Property Rights (IPRs)-Trademarks and Copyrights </v>
      </c>
      <c r="F9" s="18">
        <f ca="1">IFERROR(__xludf.DUMMYFUNCTION("""COMPUTED_VALUE"""),1)</f>
        <v>1</v>
      </c>
      <c r="G9" s="84">
        <f ca="1">IFERROR(__xludf.DUMMYFUNCTION("""COMPUTED_VALUE"""),44267)</f>
        <v>44267</v>
      </c>
      <c r="H9" s="84">
        <f ca="1">IFERROR(__xludf.DUMMYFUNCTION("""COMPUTED_VALUE"""),44267)</f>
        <v>44267</v>
      </c>
      <c r="I9" s="18" t="str">
        <f ca="1">IFERROR(__xludf.DUMMYFUNCTION("""COMPUTED_VALUE"""),"MSME- Development Institute, Visakhapatnam &amp; MVGR College Of Engineering")</f>
        <v>MSME- Development Institute, Visakhapatnam &amp; MVGR College Of Engineering</v>
      </c>
      <c r="J9" s="18" t="str">
        <f ca="1">IFERROR(__xludf.DUMMYFUNCTION("""COMPUTED_VALUE"""),"1.	Dr. H.Purushotham,DPIIT-IPR Chair,Andhra University EX-CMD,NRDC.
2.	Dr. S.K kar Head(marketing and consultancy),MSMETC,Bhubaneshwar.
3.	Shri. Ravi Gadde,Joint Director,MSME Development Institute,Visakhapatnam.
4.	Shri. G.V.R. Naidu,Asst. Director, MSME"&amp;" Development Institute,Visakhapatnam.
5.	Shri. Satish Kumar,Asst.DirectorIPR Cell,O/o DC(MSME),New Delhi.
6.	Dr.R.Ramesh,Dean R&amp;D,MVGR College of Engineering,Vizianagaram.
")</f>
        <v xml:space="preserve">1.	Dr. H.Purushotham,DPIIT-IPR Chair,Andhra University EX-CMD,NRDC.
2.	Dr. S.K kar Head(marketing and consultancy),MSMETC,Bhubaneshwar.
3.	Shri. Ravi Gadde,Joint Director,MSME Development Institute,Visakhapatnam.
4.	Shri. G.V.R. Naidu,Asst. Director, MSME Development Institute,Visakhapatnam.
5.	Shri. Satish Kumar,Asst.DirectorIPR Cell,O/o DC(MSME),New Delhi.
6.	Dr.R.Ramesh,Dean R&amp;D,MVGR College of Engineering,Vizianagaram.
</v>
      </c>
      <c r="K9" s="18" t="str">
        <f ca="1">IFERROR(__xludf.DUMMYFUNCTION("""COMPUTED_VALUE"""),"National")</f>
        <v>National</v>
      </c>
      <c r="L9" s="18" t="str">
        <f ca="1">IFERROR(__xludf.DUMMYFUNCTION("""COMPUTED_VALUE"""),"Free")</f>
        <v>Free</v>
      </c>
      <c r="M9" s="18">
        <f ca="1">IFERROR(__xludf.DUMMYFUNCTION("""COMPUTED_VALUE"""),0)</f>
        <v>0</v>
      </c>
      <c r="N9" s="85" t="str">
        <f ca="1">IFERROR(__xludf.DUMMYFUNCTION("""COMPUTED_VALUE"""),"https://drive.google.com/open?id=1dK_D_RDE24bPlmDiUo1YrkdeeNUXFGV-")</f>
        <v>https://drive.google.com/open?id=1dK_D_RDE24bPlmDiUo1YrkdeeNUXFGV-</v>
      </c>
      <c r="O9" s="59" t="str">
        <f ca="1">IFERROR(__xludf.DUMMYFUNCTION("""COMPUTED_VALUE"""),"3")</f>
        <v>3</v>
      </c>
      <c r="P9" s="59" t="str">
        <f ca="1">IFERROR(__xludf.DUMMYFUNCTION("""COMPUTED_VALUE"""),"S5: Student Workshops/Conf attended")</f>
        <v>S5: Student Workshops/Conf attended</v>
      </c>
      <c r="Q9" s="59" t="str">
        <f ca="1">IFERROR(__xludf.DUMMYFUNCTION("""COMPUTED_VALUE"""),"narendrakumar@mvgrce.edu.in")</f>
        <v>narendrakumar@mvgrce.edu.in</v>
      </c>
      <c r="R9" s="59"/>
      <c r="S9" s="9"/>
      <c r="T9" s="9"/>
      <c r="U9" s="9"/>
      <c r="V9" s="9"/>
      <c r="W9" s="9"/>
      <c r="X9" s="9"/>
      <c r="Y9" s="9"/>
    </row>
    <row r="10" spans="1:25" ht="26.25" customHeight="1" x14ac:dyDescent="0.15">
      <c r="A10" s="18" t="str">
        <f ca="1">IFERROR(__xludf.DUMMYFUNCTION("""COMPUTED_VALUE"""),"LOLLA KIRAN KUMAR")</f>
        <v>LOLLA KIRAN KUMAR</v>
      </c>
      <c r="B10" s="18" t="str">
        <f ca="1">IFERROR(__xludf.DUMMYFUNCTION("""COMPUTED_VALUE"""),"19331D8403	")</f>
        <v xml:space="preserve">19331D8403	</v>
      </c>
      <c r="C10" s="18" t="str">
        <f ca="1">IFERROR(__xludf.DUMMYFUNCTION("""COMPUTED_VALUE"""),"2020-2021")</f>
        <v>2020-2021</v>
      </c>
      <c r="D10" s="18" t="str">
        <f ca="1">IFERROR(__xludf.DUMMYFUNCTION("""COMPUTED_VALUE"""),"Webinar")</f>
        <v>Webinar</v>
      </c>
      <c r="E10" s="18" t="str">
        <f ca="1">IFERROR(__xludf.DUMMYFUNCTION("""COMPUTED_VALUE"""),"Intellectual Property Rights (IPRs)-Trademarks and Copyrights ")</f>
        <v xml:space="preserve">Intellectual Property Rights (IPRs)-Trademarks and Copyrights </v>
      </c>
      <c r="F10" s="18">
        <f ca="1">IFERROR(__xludf.DUMMYFUNCTION("""COMPUTED_VALUE"""),1)</f>
        <v>1</v>
      </c>
      <c r="G10" s="84">
        <f ca="1">IFERROR(__xludf.DUMMYFUNCTION("""COMPUTED_VALUE"""),44267)</f>
        <v>44267</v>
      </c>
      <c r="H10" s="84">
        <f ca="1">IFERROR(__xludf.DUMMYFUNCTION("""COMPUTED_VALUE"""),44267)</f>
        <v>44267</v>
      </c>
      <c r="I10" s="18" t="str">
        <f ca="1">IFERROR(__xludf.DUMMYFUNCTION("""COMPUTED_VALUE"""),"MSME- Development Institute, Visakhapatnam &amp; MVGR College Of Engineering")</f>
        <v>MSME- Development Institute, Visakhapatnam &amp; MVGR College Of Engineering</v>
      </c>
      <c r="J10" s="18" t="str">
        <f ca="1">IFERROR(__xludf.DUMMYFUNCTION("""COMPUTED_VALUE"""),"1.	Dr. H.Purushotham,DPIIT-IPR Chair,Andhra University EX-CMD,NRDC.
2.	Dr. S.K kar Head(marketing and consultancy),MSMETC,Bhubaneshwar.
3.	Shri. Ravi Gadde,Joint Director,MSME Development Institute,Visakhapatnam.
4.	Shri. G.V.R. Naidu,Asst. Director, MSME"&amp;" Development Institute,Visakhapatnam.
5.	Shri. Satish Kumar,Asst.DirectorIPR Cell,O/o DC(MSME),New Delhi.
6.	Dr.R.Ramesh,Dean R&amp;D,MVGR College of Engineering,Vizianagaram.
")</f>
        <v xml:space="preserve">1.	Dr. H.Purushotham,DPIIT-IPR Chair,Andhra University EX-CMD,NRDC.
2.	Dr. S.K kar Head(marketing and consultancy),MSMETC,Bhubaneshwar.
3.	Shri. Ravi Gadde,Joint Director,MSME Development Institute,Visakhapatnam.
4.	Shri. G.V.R. Naidu,Asst. Director, MSME Development Institute,Visakhapatnam.
5.	Shri. Satish Kumar,Asst.DirectorIPR Cell,O/o DC(MSME),New Delhi.
6.	Dr.R.Ramesh,Dean R&amp;D,MVGR College of Engineering,Vizianagaram.
</v>
      </c>
      <c r="K10" s="18" t="str">
        <f ca="1">IFERROR(__xludf.DUMMYFUNCTION("""COMPUTED_VALUE"""),"National")</f>
        <v>National</v>
      </c>
      <c r="L10" s="18" t="str">
        <f ca="1">IFERROR(__xludf.DUMMYFUNCTION("""COMPUTED_VALUE"""),"Free")</f>
        <v>Free</v>
      </c>
      <c r="M10" s="18"/>
      <c r="N10" s="85" t="str">
        <f ca="1">IFERROR(__xludf.DUMMYFUNCTION("""COMPUTED_VALUE"""),"https://drive.google.com/open?id=1TYqCMYsPfhi8HRht_jC-sxycUMe9HGFz")</f>
        <v>https://drive.google.com/open?id=1TYqCMYsPfhi8HRht_jC-sxycUMe9HGFz</v>
      </c>
      <c r="O10" s="59" t="str">
        <f ca="1">IFERROR(__xludf.DUMMYFUNCTION("""COMPUTED_VALUE"""),"3")</f>
        <v>3</v>
      </c>
      <c r="P10" s="59" t="str">
        <f ca="1">IFERROR(__xludf.DUMMYFUNCTION("""COMPUTED_VALUE"""),"S5: Student Workshops/Conf attended")</f>
        <v>S5: Student Workshops/Conf attended</v>
      </c>
      <c r="Q10" s="59" t="str">
        <f ca="1">IFERROR(__xludf.DUMMYFUNCTION("""COMPUTED_VALUE"""),"narendrakumar@mvgrce.edu.in")</f>
        <v>narendrakumar@mvgrce.edu.in</v>
      </c>
      <c r="R10" s="59"/>
      <c r="S10" s="9"/>
      <c r="T10" s="9"/>
      <c r="U10" s="9"/>
      <c r="V10" s="9"/>
      <c r="W10" s="9"/>
      <c r="X10" s="9"/>
      <c r="Y10" s="9"/>
    </row>
    <row r="11" spans="1:25" ht="26.25" customHeight="1" x14ac:dyDescent="0.15">
      <c r="A11" s="18" t="str">
        <f ca="1">IFERROR(__xludf.DUMMYFUNCTION("""COMPUTED_VALUE"""),"TADELA PRADEEP ")</f>
        <v xml:space="preserve">TADELA PRADEEP </v>
      </c>
      <c r="B11" s="18" t="str">
        <f ca="1">IFERROR(__xludf.DUMMYFUNCTION("""COMPUTED_VALUE"""),"19331D8404	")</f>
        <v xml:space="preserve">19331D8404	</v>
      </c>
      <c r="C11" s="18" t="str">
        <f ca="1">IFERROR(__xludf.DUMMYFUNCTION("""COMPUTED_VALUE"""),"2020-2021")</f>
        <v>2020-2021</v>
      </c>
      <c r="D11" s="18" t="str">
        <f ca="1">IFERROR(__xludf.DUMMYFUNCTION("""COMPUTED_VALUE"""),"Webinar")</f>
        <v>Webinar</v>
      </c>
      <c r="E11" s="18" t="str">
        <f ca="1">IFERROR(__xludf.DUMMYFUNCTION("""COMPUTED_VALUE"""),"Intellectual Property Rights (IPRs)-Trademarks and Copyrights")</f>
        <v>Intellectual Property Rights (IPRs)-Trademarks and Copyrights</v>
      </c>
      <c r="F11" s="18">
        <f ca="1">IFERROR(__xludf.DUMMYFUNCTION("""COMPUTED_VALUE"""),1)</f>
        <v>1</v>
      </c>
      <c r="G11" s="84">
        <f ca="1">IFERROR(__xludf.DUMMYFUNCTION("""COMPUTED_VALUE"""),44267)</f>
        <v>44267</v>
      </c>
      <c r="H11" s="84">
        <f ca="1">IFERROR(__xludf.DUMMYFUNCTION("""COMPUTED_VALUE"""),44267)</f>
        <v>44267</v>
      </c>
      <c r="I11" s="18" t="str">
        <f ca="1">IFERROR(__xludf.DUMMYFUNCTION("""COMPUTED_VALUE"""),"MSME- Development Institute, Visakhapatnam &amp; MVGR College Of Engineering")</f>
        <v>MSME- Development Institute, Visakhapatnam &amp; MVGR College Of Engineering</v>
      </c>
      <c r="J11" s="18" t="str">
        <f ca="1">IFERROR(__xludf.DUMMYFUNCTION("""COMPUTED_VALUE"""),"1.	Dr. H.Purushotham,DPIIT-IPR Chair,Andhra University EX-CMD,NRDC.
2.	Dr. S.K kar Head(marketing and consultancy),MSMETC,Bhubaneshwar.
3.	Shri. Ravi Gadde,Joint Director,MSME Development Institute,Visakhapatnam.
4.	Shri. G.V.R. Naidu,Asst. Director, MSME"&amp;" Development Institute,Visakhapatnam.
5.	Shri. Satish Kumar,Asst.DirectorIPR Cell,O/o DC(MSME),New Delhi.
6.	Dr.R.Ramesh,Dean R&amp;D,MVGR College of Engineering,Vizianagaram.")</f>
        <v>1.	Dr. H.Purushotham,DPIIT-IPR Chair,Andhra University EX-CMD,NRDC.
2.	Dr. S.K kar Head(marketing and consultancy),MSMETC,Bhubaneshwar.
3.	Shri. Ravi Gadde,Joint Director,MSME Development Institute,Visakhapatnam.
4.	Shri. G.V.R. Naidu,Asst. Director, MSME Development Institute,Visakhapatnam.
5.	Shri. Satish Kumar,Asst.DirectorIPR Cell,O/o DC(MSME),New Delhi.
6.	Dr.R.Ramesh,Dean R&amp;D,MVGR College of Engineering,Vizianagaram.</v>
      </c>
      <c r="K11" s="18" t="str">
        <f ca="1">IFERROR(__xludf.DUMMYFUNCTION("""COMPUTED_VALUE"""),"National")</f>
        <v>National</v>
      </c>
      <c r="L11" s="18" t="str">
        <f ca="1">IFERROR(__xludf.DUMMYFUNCTION("""COMPUTED_VALUE"""),"Free")</f>
        <v>Free</v>
      </c>
      <c r="M11" s="18">
        <f ca="1">IFERROR(__xludf.DUMMYFUNCTION("""COMPUTED_VALUE"""),0)</f>
        <v>0</v>
      </c>
      <c r="N11" s="85" t="str">
        <f ca="1">IFERROR(__xludf.DUMMYFUNCTION("""COMPUTED_VALUE"""),"https://drive.google.com/open?id=1uuWNhUbL1MBPVA0Q1VgPjVpSFZOEDzao")</f>
        <v>https://drive.google.com/open?id=1uuWNhUbL1MBPVA0Q1VgPjVpSFZOEDzao</v>
      </c>
      <c r="O11" s="59" t="str">
        <f ca="1">IFERROR(__xludf.DUMMYFUNCTION("""COMPUTED_VALUE"""),"3")</f>
        <v>3</v>
      </c>
      <c r="P11" s="59" t="str">
        <f ca="1">IFERROR(__xludf.DUMMYFUNCTION("""COMPUTED_VALUE"""),"S5: Student Workshops/Conf attended")</f>
        <v>S5: Student Workshops/Conf attended</v>
      </c>
      <c r="Q11" s="59" t="str">
        <f ca="1">IFERROR(__xludf.DUMMYFUNCTION("""COMPUTED_VALUE"""),"narendrakumar@mvgrce.edu.in")</f>
        <v>narendrakumar@mvgrce.edu.in</v>
      </c>
      <c r="R11" s="59"/>
      <c r="S11" s="9"/>
      <c r="T11" s="9"/>
      <c r="U11" s="9"/>
      <c r="V11" s="9"/>
      <c r="W11" s="9"/>
      <c r="X11" s="9"/>
      <c r="Y11" s="9"/>
    </row>
    <row r="12" spans="1:25" ht="26.25" customHeight="1" x14ac:dyDescent="0.15">
      <c r="A12" s="18" t="str">
        <f ca="1">IFERROR(__xludf.DUMMYFUNCTION("""COMPUTED_VALUE"""),"UPPALAPATI BHARATHI")</f>
        <v>UPPALAPATI BHARATHI</v>
      </c>
      <c r="B12" s="18" t="str">
        <f ca="1">IFERROR(__xludf.DUMMYFUNCTION("""COMPUTED_VALUE"""),"19331D8405	")</f>
        <v xml:space="preserve">19331D8405	</v>
      </c>
      <c r="C12" s="18" t="str">
        <f ca="1">IFERROR(__xludf.DUMMYFUNCTION("""COMPUTED_VALUE"""),"2020-2021")</f>
        <v>2020-2021</v>
      </c>
      <c r="D12" s="18" t="str">
        <f ca="1">IFERROR(__xludf.DUMMYFUNCTION("""COMPUTED_VALUE"""),"Webinar")</f>
        <v>Webinar</v>
      </c>
      <c r="E12" s="18" t="str">
        <f ca="1">IFERROR(__xludf.DUMMYFUNCTION("""COMPUTED_VALUE"""),"Intellectual Property Rights (IPRs)-Trademarks and Copyrights ")</f>
        <v xml:space="preserve">Intellectual Property Rights (IPRs)-Trademarks and Copyrights </v>
      </c>
      <c r="F12" s="18">
        <f ca="1">IFERROR(__xludf.DUMMYFUNCTION("""COMPUTED_VALUE"""),1)</f>
        <v>1</v>
      </c>
      <c r="G12" s="84">
        <f ca="1">IFERROR(__xludf.DUMMYFUNCTION("""COMPUTED_VALUE"""),44267)</f>
        <v>44267</v>
      </c>
      <c r="H12" s="84">
        <f ca="1">IFERROR(__xludf.DUMMYFUNCTION("""COMPUTED_VALUE"""),44267)</f>
        <v>44267</v>
      </c>
      <c r="I12" s="18" t="str">
        <f ca="1">IFERROR(__xludf.DUMMYFUNCTION("""COMPUTED_VALUE"""),"MSME- Development Institute, Visakhapatnam &amp; MVGR College Of Engineering")</f>
        <v>MSME- Development Institute, Visakhapatnam &amp; MVGR College Of Engineering</v>
      </c>
      <c r="J12" s="18" t="str">
        <f ca="1">IFERROR(__xludf.DUMMYFUNCTION("""COMPUTED_VALUE"""),"1.	Dr. H.Purushotham,DPIIT-IPR Chair,Andhra University EX-CMD,NRDC.
2.	Dr. S.K kar Head(marketing and consultancy),MSMETC,Bhubaneshwar.
3.	Shri. Ravi Gadde,Joint Director,MSME Development Institute,Visakhapatnam.
4.	Shri. G.V.R. Naidu,Asst. Director, MSME"&amp;" Development Institute,Visakhapatnam.
5.	Shri. Satish Kumar,Asst.DirectorIPR Cell,O/o DC(MSME),New Delhi.
6.	Dr.R.Ramesh,Dean R&amp;D,MVGR College of Engineering,Vizianagaram.")</f>
        <v>1.	Dr. H.Purushotham,DPIIT-IPR Chair,Andhra University EX-CMD,NRDC.
2.	Dr. S.K kar Head(marketing and consultancy),MSMETC,Bhubaneshwar.
3.	Shri. Ravi Gadde,Joint Director,MSME Development Institute,Visakhapatnam.
4.	Shri. G.V.R. Naidu,Asst. Director, MSME Development Institute,Visakhapatnam.
5.	Shri. Satish Kumar,Asst.DirectorIPR Cell,O/o DC(MSME),New Delhi.
6.	Dr.R.Ramesh,Dean R&amp;D,MVGR College of Engineering,Vizianagaram.</v>
      </c>
      <c r="K12" s="18" t="str">
        <f ca="1">IFERROR(__xludf.DUMMYFUNCTION("""COMPUTED_VALUE"""),"National")</f>
        <v>National</v>
      </c>
      <c r="L12" s="18" t="str">
        <f ca="1">IFERROR(__xludf.DUMMYFUNCTION("""COMPUTED_VALUE"""),"Free")</f>
        <v>Free</v>
      </c>
      <c r="M12" s="18">
        <f ca="1">IFERROR(__xludf.DUMMYFUNCTION("""COMPUTED_VALUE"""),0)</f>
        <v>0</v>
      </c>
      <c r="N12" s="85" t="str">
        <f ca="1">IFERROR(__xludf.DUMMYFUNCTION("""COMPUTED_VALUE"""),"https://drive.google.com/open?id=1uAFAwt3dYk4mRC_UPUBn5AW5Zxo56IkM")</f>
        <v>https://drive.google.com/open?id=1uAFAwt3dYk4mRC_UPUBn5AW5Zxo56IkM</v>
      </c>
      <c r="O12" s="59" t="str">
        <f ca="1">IFERROR(__xludf.DUMMYFUNCTION("""COMPUTED_VALUE"""),"3")</f>
        <v>3</v>
      </c>
      <c r="P12" s="59" t="str">
        <f ca="1">IFERROR(__xludf.DUMMYFUNCTION("""COMPUTED_VALUE"""),"S5: Student Workshops/Conf attended")</f>
        <v>S5: Student Workshops/Conf attended</v>
      </c>
      <c r="Q12" s="59" t="str">
        <f ca="1">IFERROR(__xludf.DUMMYFUNCTION("""COMPUTED_VALUE"""),"narendrakumar@mvgrce.edu.in")</f>
        <v>narendrakumar@mvgrce.edu.in</v>
      </c>
      <c r="R12" s="59"/>
      <c r="S12" s="9"/>
      <c r="T12" s="9"/>
      <c r="U12" s="9"/>
      <c r="V12" s="9"/>
      <c r="W12" s="9"/>
      <c r="X12" s="9"/>
      <c r="Y12" s="9"/>
    </row>
    <row r="13" spans="1:25" ht="26.25" customHeight="1" x14ac:dyDescent="0.15">
      <c r="A13" s="18" t="str">
        <f ca="1">IFERROR(__xludf.DUMMYFUNCTION("""COMPUTED_VALUE"""),"11 students")</f>
        <v>11 students</v>
      </c>
      <c r="B13" s="18" t="str">
        <f ca="1">IFERROR(__xludf.DUMMYFUNCTION("""COMPUTED_VALUE"""),"11 students")</f>
        <v>11 students</v>
      </c>
      <c r="C13" s="18" t="str">
        <f ca="1">IFERROR(__xludf.DUMMYFUNCTION("""COMPUTED_VALUE"""),"2018-2019")</f>
        <v>2018-2019</v>
      </c>
      <c r="D13" s="18" t="str">
        <f ca="1">IFERROR(__xludf.DUMMYFUNCTION("""COMPUTED_VALUE"""),"Conference")</f>
        <v>Conference</v>
      </c>
      <c r="E13" s="18" t="str">
        <f ca="1">IFERROR(__xludf.DUMMYFUNCTION("""COMPUTED_VALUE""")," Swecha AP 3rd State Conference")</f>
        <v xml:space="preserve"> Swecha AP 3rd State Conference</v>
      </c>
      <c r="F13" s="18">
        <f ca="1">IFERROR(__xludf.DUMMYFUNCTION("""COMPUTED_VALUE"""),3)</f>
        <v>3</v>
      </c>
      <c r="G13" s="84">
        <f ca="1">IFERROR(__xludf.DUMMYFUNCTION("""COMPUTED_VALUE"""),44540)</f>
        <v>44540</v>
      </c>
      <c r="H13" s="84">
        <f ca="1">IFERROR(__xludf.DUMMYFUNCTION("""COMPUTED_VALUE"""),44542)</f>
        <v>44542</v>
      </c>
      <c r="I13" s="18" t="str">
        <f ca="1">IFERROR(__xludf.DUMMYFUNCTION("""COMPUTED_VALUE""")," Swecha")</f>
        <v xml:space="preserve"> Swecha</v>
      </c>
      <c r="J13" s="18" t="str">
        <f ca="1">IFERROR(__xludf.DUMMYFUNCTION("""COMPUTED_VALUE"""),"Sripath Roy
General Secretary
Swecha AP")</f>
        <v>Sripath Roy
General Secretary
Swecha AP</v>
      </c>
      <c r="K13" s="18" t="str">
        <f ca="1">IFERROR(__xludf.DUMMYFUNCTION("""COMPUTED_VALUE"""),"State")</f>
        <v>State</v>
      </c>
      <c r="L13" s="18" t="str">
        <f ca="1">IFERROR(__xludf.DUMMYFUNCTION("""COMPUTED_VALUE"""),"Free")</f>
        <v>Free</v>
      </c>
      <c r="M13" s="18"/>
      <c r="N13" s="85" t="str">
        <f ca="1">IFERROR(__xludf.DUMMYFUNCTION("""COMPUTED_VALUE"""),"https://drive.google.com/open?id=18nREiU1AqlhbNSEtT3q_qfWZ3kD-lLE5")</f>
        <v>https://drive.google.com/open?id=18nREiU1AqlhbNSEtT3q_qfWZ3kD-lLE5</v>
      </c>
      <c r="O13" s="59" t="str">
        <f ca="1">IFERROR(__xludf.DUMMYFUNCTION("""COMPUTED_VALUE"""),"2018-2022")</f>
        <v>2018-2022</v>
      </c>
      <c r="P13" s="59" t="str">
        <f ca="1">IFERROR(__xludf.DUMMYFUNCTION("""COMPUTED_VALUE"""),"S5: Student Workshops/Conf attended")</f>
        <v>S5: Student Workshops/Conf attended</v>
      </c>
      <c r="Q13" s="59" t="str">
        <f ca="1">IFERROR(__xludf.DUMMYFUNCTION("""COMPUTED_VALUE"""),"mvamsi@mvgrce.edu.in")</f>
        <v>mvamsi@mvgrce.edu.in</v>
      </c>
      <c r="R13" s="59" t="str">
        <f ca="1">IFERROR(__xludf.DUMMYFUNCTION("""COMPUTED_VALUE"""),"SEM-7")</f>
        <v>SEM-7</v>
      </c>
      <c r="S13" s="9"/>
      <c r="T13" s="9"/>
      <c r="U13" s="9"/>
      <c r="V13" s="9"/>
      <c r="W13" s="9"/>
      <c r="X13" s="9"/>
      <c r="Y13" s="9"/>
    </row>
    <row r="14" spans="1:25" ht="26.25" customHeight="1" x14ac:dyDescent="0.15">
      <c r="A14" s="18" t="str">
        <f ca="1">IFERROR(__xludf.DUMMYFUNCTION("""COMPUTED_VALUE"""),"Boddapati Rajesh")</f>
        <v>Boddapati Rajesh</v>
      </c>
      <c r="B14" s="18" t="str">
        <f ca="1">IFERROR(__xludf.DUMMYFUNCTION("""COMPUTED_VALUE"""),"18331A0515")</f>
        <v>18331A0515</v>
      </c>
      <c r="C14" s="18" t="str">
        <f ca="1">IFERROR(__xludf.DUMMYFUNCTION("""COMPUTED_VALUE"""),"2021-2022")</f>
        <v>2021-2022</v>
      </c>
      <c r="D14" s="18" t="str">
        <f ca="1">IFERROR(__xludf.DUMMYFUNCTION("""COMPUTED_VALUE"""),"Webinar")</f>
        <v>Webinar</v>
      </c>
      <c r="E14" s="18" t="str">
        <f ca="1">IFERROR(__xludf.DUMMYFUNCTION("""COMPUTED_VALUE"""),"How to get placement in Multinational Companies")</f>
        <v>How to get placement in Multinational Companies</v>
      </c>
      <c r="F14" s="18">
        <f ca="1">IFERROR(__xludf.DUMMYFUNCTION("""COMPUTED_VALUE"""),1)</f>
        <v>1</v>
      </c>
      <c r="G14" s="84">
        <f ca="1">IFERROR(__xludf.DUMMYFUNCTION("""COMPUTED_VALUE"""),44516)</f>
        <v>44516</v>
      </c>
      <c r="H14" s="84">
        <f ca="1">IFERROR(__xludf.DUMMYFUNCTION("""COMPUTED_VALUE"""),44516)</f>
        <v>44516</v>
      </c>
      <c r="I14" s="18" t="str">
        <f ca="1">IFERROR(__xludf.DUMMYFUNCTION("""COMPUTED_VALUE"""),"IIT madras")</f>
        <v>IIT madras</v>
      </c>
      <c r="J14" s="18" t="str">
        <f ca="1">IFERROR(__xludf.DUMMYFUNCTION("""COMPUTED_VALUE"""),"IIT madras training department")</f>
        <v>IIT madras training department</v>
      </c>
      <c r="K14" s="18" t="str">
        <f ca="1">IFERROR(__xludf.DUMMYFUNCTION("""COMPUTED_VALUE"""),"International")</f>
        <v>International</v>
      </c>
      <c r="L14" s="18" t="str">
        <f ca="1">IFERROR(__xludf.DUMMYFUNCTION("""COMPUTED_VALUE"""),"Free")</f>
        <v>Free</v>
      </c>
      <c r="M14" s="18"/>
      <c r="N14" s="85" t="str">
        <f ca="1">IFERROR(__xludf.DUMMYFUNCTION("""COMPUTED_VALUE"""),"https://drive.google.com/open?id=1a0rY2N1aRx84OJCd0TO_zTJMfUd5I30t")</f>
        <v>https://drive.google.com/open?id=1a0rY2N1aRx84OJCd0TO_zTJMfUd5I30t</v>
      </c>
      <c r="O14" s="59" t="str">
        <f ca="1">IFERROR(__xludf.DUMMYFUNCTION("""COMPUTED_VALUE"""),"2018-2022")</f>
        <v>2018-2022</v>
      </c>
      <c r="P14" s="59" t="str">
        <f ca="1">IFERROR(__xludf.DUMMYFUNCTION("""COMPUTED_VALUE"""),"S5: Student Workshops/Conf attended")</f>
        <v>S5: Student Workshops/Conf attended</v>
      </c>
      <c r="Q14" s="59" t="str">
        <f ca="1">IFERROR(__xludf.DUMMYFUNCTION("""COMPUTED_VALUE"""),"rajeshboddapati37@gmail.com")</f>
        <v>rajeshboddapati37@gmail.com</v>
      </c>
      <c r="R14" s="59" t="str">
        <f ca="1">IFERROR(__xludf.DUMMYFUNCTION("""COMPUTED_VALUE"""),"SEM-7")</f>
        <v>SEM-7</v>
      </c>
      <c r="S14" s="9"/>
      <c r="T14" s="9"/>
      <c r="U14" s="9"/>
      <c r="V14" s="9"/>
      <c r="W14" s="9"/>
      <c r="X14" s="9"/>
      <c r="Y14" s="9"/>
    </row>
    <row r="15" spans="1:25" ht="26.25" customHeight="1" x14ac:dyDescent="0.15">
      <c r="A15" s="18" t="str">
        <f ca="1">IFERROR(__xludf.DUMMYFUNCTION("""COMPUTED_VALUE"""),"Boddapati Rajesh")</f>
        <v>Boddapati Rajesh</v>
      </c>
      <c r="B15" s="18" t="str">
        <f ca="1">IFERROR(__xludf.DUMMYFUNCTION("""COMPUTED_VALUE"""),"18331A0515")</f>
        <v>18331A0515</v>
      </c>
      <c r="C15" s="18" t="str">
        <f ca="1">IFERROR(__xludf.DUMMYFUNCTION("""COMPUTED_VALUE"""),"2021-2022")</f>
        <v>2021-2022</v>
      </c>
      <c r="D15" s="18" t="str">
        <f ca="1">IFERROR(__xludf.DUMMYFUNCTION("""COMPUTED_VALUE"""),"Webinar")</f>
        <v>Webinar</v>
      </c>
      <c r="E15" s="18" t="str">
        <f ca="1">IFERROR(__xludf.DUMMYFUNCTION("""COMPUTED_VALUE"""),"Career in Emerging Technologies – Big Data, Cloud Computing, AI/ML")</f>
        <v>Career in Emerging Technologies – Big Data, Cloud Computing, AI/ML</v>
      </c>
      <c r="F15" s="18">
        <f ca="1">IFERROR(__xludf.DUMMYFUNCTION("""COMPUTED_VALUE"""),1)</f>
        <v>1</v>
      </c>
      <c r="G15" s="84">
        <f ca="1">IFERROR(__xludf.DUMMYFUNCTION("""COMPUTED_VALUE"""),44637)</f>
        <v>44637</v>
      </c>
      <c r="H15" s="84">
        <f ca="1">IFERROR(__xludf.DUMMYFUNCTION("""COMPUTED_VALUE"""),44637)</f>
        <v>44637</v>
      </c>
      <c r="I15" s="18" t="str">
        <f ca="1">IFERROR(__xludf.DUMMYFUNCTION("""COMPUTED_VALUE"""),"TCS Moderator")</f>
        <v>TCS Moderator</v>
      </c>
      <c r="J15" s="18" t="str">
        <f ca="1">IFERROR(__xludf.DUMMYFUNCTION("""COMPUTED_VALUE"""),"Debashish khan")</f>
        <v>Debashish khan</v>
      </c>
      <c r="K15" s="18" t="str">
        <f ca="1">IFERROR(__xludf.DUMMYFUNCTION("""COMPUTED_VALUE"""),"National")</f>
        <v>National</v>
      </c>
      <c r="L15" s="18" t="str">
        <f ca="1">IFERROR(__xludf.DUMMYFUNCTION("""COMPUTED_VALUE"""),"Free")</f>
        <v>Free</v>
      </c>
      <c r="M15" s="18"/>
      <c r="N15" s="85" t="str">
        <f ca="1">IFERROR(__xludf.DUMMYFUNCTION("""COMPUTED_VALUE"""),"https://drive.google.com/open?id=1t2RW8Ou2_Z21Ub-FmXX3n8O8MdXYovhZ")</f>
        <v>https://drive.google.com/open?id=1t2RW8Ou2_Z21Ub-FmXX3n8O8MdXYovhZ</v>
      </c>
      <c r="O15" s="59" t="str">
        <f ca="1">IFERROR(__xludf.DUMMYFUNCTION("""COMPUTED_VALUE"""),"2018-2022")</f>
        <v>2018-2022</v>
      </c>
      <c r="P15" s="59" t="str">
        <f ca="1">IFERROR(__xludf.DUMMYFUNCTION("""COMPUTED_VALUE"""),"S5: Student Workshops/Conf attended")</f>
        <v>S5: Student Workshops/Conf attended</v>
      </c>
      <c r="Q15" s="59" t="str">
        <f ca="1">IFERROR(__xludf.DUMMYFUNCTION("""COMPUTED_VALUE"""),"rajeshboddapati37@gmail.com")</f>
        <v>rajeshboddapati37@gmail.com</v>
      </c>
      <c r="R15" s="59" t="str">
        <f ca="1">IFERROR(__xludf.DUMMYFUNCTION("""COMPUTED_VALUE"""),"SEM-8")</f>
        <v>SEM-8</v>
      </c>
      <c r="S15" s="9"/>
      <c r="T15" s="9"/>
      <c r="U15" s="9"/>
      <c r="V15" s="9"/>
      <c r="W15" s="9"/>
      <c r="X15" s="9"/>
      <c r="Y15" s="9"/>
    </row>
    <row r="16" spans="1:25" ht="26.25" customHeight="1" x14ac:dyDescent="0.15">
      <c r="A16" s="59" t="str">
        <f ca="1">IFERROR(__xludf.DUMMYFUNCTION("""COMPUTED_VALUE"""),"yashwanth boggarapu")</f>
        <v>yashwanth boggarapu</v>
      </c>
      <c r="B16" s="59" t="str">
        <f ca="1">IFERROR(__xludf.DUMMYFUNCTION("""COMPUTED_VALUE"""),"18331A0517")</f>
        <v>18331A0517</v>
      </c>
      <c r="C16" s="59" t="str">
        <f ca="1">IFERROR(__xludf.DUMMYFUNCTION("""COMPUTED_VALUE"""),"2020-2021")</f>
        <v>2020-2021</v>
      </c>
      <c r="D16" s="59" t="str">
        <f ca="1">IFERROR(__xludf.DUMMYFUNCTION("""COMPUTED_VALUE"""),"Webinar")</f>
        <v>Webinar</v>
      </c>
      <c r="E16" s="59" t="str">
        <f ca="1">IFERROR(__xludf.DUMMYFUNCTION("""COMPUTED_VALUE"""),"Intellectual Property Rights (IPRs)-Trademarks and Copyrights ")</f>
        <v xml:space="preserve">Intellectual Property Rights (IPRs)-Trademarks and Copyrights </v>
      </c>
      <c r="F16" s="59">
        <f ca="1">IFERROR(__xludf.DUMMYFUNCTION("""COMPUTED_VALUE"""),1)</f>
        <v>1</v>
      </c>
      <c r="G16" s="70">
        <f ca="1">IFERROR(__xludf.DUMMYFUNCTION("""COMPUTED_VALUE"""),44533)</f>
        <v>44533</v>
      </c>
      <c r="H16" s="70">
        <f ca="1">IFERROR(__xludf.DUMMYFUNCTION("""COMPUTED_VALUE"""),44533)</f>
        <v>44533</v>
      </c>
      <c r="I16" s="59" t="str">
        <f ca="1">IFERROR(__xludf.DUMMYFUNCTION("""COMPUTED_VALUE"""),"MSME- Development Institute, Visakhapatnam &amp; MVGR College Of Engineering")</f>
        <v>MSME- Development Institute, Visakhapatnam &amp; MVGR College Of Engineering</v>
      </c>
      <c r="J16" s="59" t="str">
        <f ca="1">IFERROR(__xludf.DUMMYFUNCTION("""COMPUTED_VALUE"""),"1.	Dr. Dayanada Murthy C P director,Academic Affairs and Research,DSNLU
2.	Dr. B.K Sahu,Regional Manager and Officer Incharge IPFC&amp; TISC,NRDC,GOVT OF INDIA.
3.	Shri. Ravi Gadde,Joint Director,MSME Development Institute,Visakhapatnam.
4.	G.V.R. Naidu,Asst."&amp;" Director, MSME Development Institute,Visakhapatnam.
5.	Shri. Satish Kumar,Asst.DirectorIPR Cell,O/o DC(MSME),New Delhi.
6.	Dr.R.Ramesh,Dean R&amp;D,MVGR College of Engineering,Vizianagaram.
")</f>
        <v xml:space="preserve">1.	Dr. Dayanada Murthy C P director,Academic Affairs and Research,DSNLU
2.	Dr. B.K Sahu,Regional Manager and Officer Incharge IPFC&amp; TISC,NRDC,GOVT OF INDIA.
3.	Shri. Ravi Gadde,Joint Director,MSME Development Institute,Visakhapatnam.
4.	G.V.R. Naidu,Asst. Director, MSME Development Institute,Visakhapatnam.
5.	Shri. Satish Kumar,Asst.DirectorIPR Cell,O/o DC(MSME),New Delhi.
6.	Dr.R.Ramesh,Dean R&amp;D,MVGR College of Engineering,Vizianagaram.
</v>
      </c>
      <c r="K16" s="59" t="str">
        <f ca="1">IFERROR(__xludf.DUMMYFUNCTION("""COMPUTED_VALUE"""),"National")</f>
        <v>National</v>
      </c>
      <c r="L16" s="59" t="str">
        <f ca="1">IFERROR(__xludf.DUMMYFUNCTION("""COMPUTED_VALUE"""),"Free")</f>
        <v>Free</v>
      </c>
      <c r="M16" s="59"/>
      <c r="N16" s="71" t="str">
        <f ca="1">IFERROR(__xludf.DUMMYFUNCTION("""COMPUTED_VALUE"""),"https://drive.google.com/open?id=1cXf0pIBBC1kOVLsyX-_DetYOgp09YzA_")</f>
        <v>https://drive.google.com/open?id=1cXf0pIBBC1kOVLsyX-_DetYOgp09YzA_</v>
      </c>
      <c r="O16" s="59" t="str">
        <f ca="1">IFERROR(__xludf.DUMMYFUNCTION("""COMPUTED_VALUE"""),"2018-2022")</f>
        <v>2018-2022</v>
      </c>
      <c r="P16" s="59" t="str">
        <f ca="1">IFERROR(__xludf.DUMMYFUNCTION("""COMPUTED_VALUE"""),"S5: Student Workshops/Conf attended")</f>
        <v>S5: Student Workshops/Conf attended</v>
      </c>
      <c r="Q16" s="59" t="str">
        <f ca="1">IFERROR(__xludf.DUMMYFUNCTION("""COMPUTED_VALUE"""),"yashwanthboggarapu2000@gmail.com")</f>
        <v>yashwanthboggarapu2000@gmail.com</v>
      </c>
      <c r="R16" s="59" t="str">
        <f ca="1">IFERROR(__xludf.DUMMYFUNCTION("""COMPUTED_VALUE"""),"SEM-7")</f>
        <v>SEM-7</v>
      </c>
      <c r="S16" s="9"/>
      <c r="T16" s="9"/>
      <c r="U16" s="9"/>
      <c r="V16" s="9"/>
      <c r="W16" s="9"/>
      <c r="X16" s="9"/>
      <c r="Y16" s="9"/>
    </row>
    <row r="17" spans="1:25" ht="26.25" customHeight="1" x14ac:dyDescent="0.15">
      <c r="A17" s="59" t="str">
        <f ca="1">IFERROR(__xludf.DUMMYFUNCTION("""COMPUTED_VALUE"""),"Venkata Jaswanth Potnuru")</f>
        <v>Venkata Jaswanth Potnuru</v>
      </c>
      <c r="B17" s="59" t="str">
        <f ca="1">IFERROR(__xludf.DUMMYFUNCTION("""COMPUTED_VALUE"""),"19335A0513")</f>
        <v>19335A0513</v>
      </c>
      <c r="C17" s="59" t="str">
        <f ca="1">IFERROR(__xludf.DUMMYFUNCTION("""COMPUTED_VALUE"""),"2020-2021")</f>
        <v>2020-2021</v>
      </c>
      <c r="D17" s="59" t="str">
        <f ca="1">IFERROR(__xludf.DUMMYFUNCTION("""COMPUTED_VALUE"""),"Webinar")</f>
        <v>Webinar</v>
      </c>
      <c r="E17" s="59" t="str">
        <f ca="1">IFERROR(__xludf.DUMMYFUNCTION("""COMPUTED_VALUE"""),"DATA ANALYST: The Booming  Technology In IT")</f>
        <v>DATA ANALYST: The Booming  Technology In IT</v>
      </c>
      <c r="F17" s="59">
        <f ca="1">IFERROR(__xludf.DUMMYFUNCTION("""COMPUTED_VALUE"""),1)</f>
        <v>1</v>
      </c>
      <c r="G17" s="70">
        <f ca="1">IFERROR(__xludf.DUMMYFUNCTION("""COMPUTED_VALUE"""),44017)</f>
        <v>44017</v>
      </c>
      <c r="H17" s="70">
        <f ca="1">IFERROR(__xludf.DUMMYFUNCTION("""COMPUTED_VALUE"""),44017)</f>
        <v>44017</v>
      </c>
      <c r="I17" s="59" t="str">
        <f ca="1">IFERROR(__xludf.DUMMYFUNCTION("""COMPUTED_VALUE"""),"National Skill Development Corporation")</f>
        <v>National Skill Development Corporation</v>
      </c>
      <c r="J17" s="59" t="str">
        <f ca="1">IFERROR(__xludf.DUMMYFUNCTION("""COMPUTED_VALUE"""),"EXCELR SOLUTIONS")</f>
        <v>EXCELR SOLUTIONS</v>
      </c>
      <c r="K17" s="59" t="str">
        <f ca="1">IFERROR(__xludf.DUMMYFUNCTION("""COMPUTED_VALUE"""),"National")</f>
        <v>National</v>
      </c>
      <c r="L17" s="59" t="str">
        <f ca="1">IFERROR(__xludf.DUMMYFUNCTION("""COMPUTED_VALUE"""),"Free")</f>
        <v>Free</v>
      </c>
      <c r="M17" s="59"/>
      <c r="N17" s="71" t="str">
        <f ca="1">IFERROR(__xludf.DUMMYFUNCTION("""COMPUTED_VALUE"""),"https://drive.google.com/open?id=1DJ2JnCvQr30lA7e1yMtsehGcovvjzUil")</f>
        <v>https://drive.google.com/open?id=1DJ2JnCvQr30lA7e1yMtsehGcovvjzUil</v>
      </c>
      <c r="O17" s="59" t="str">
        <f ca="1">IFERROR(__xludf.DUMMYFUNCTION("""COMPUTED_VALUE"""),"2018-2022")</f>
        <v>2018-2022</v>
      </c>
      <c r="P17" s="59" t="str">
        <f ca="1">IFERROR(__xludf.DUMMYFUNCTION("""COMPUTED_VALUE"""),"S5: Student Workshops/Conf attended")</f>
        <v>S5: Student Workshops/Conf attended</v>
      </c>
      <c r="Q17" s="59" t="str">
        <f ca="1">IFERROR(__xludf.DUMMYFUNCTION("""COMPUTED_VALUE"""),"venkatajaswanth10@gmail.com")</f>
        <v>venkatajaswanth10@gmail.com</v>
      </c>
      <c r="R17" s="59" t="str">
        <f ca="1">IFERROR(__xludf.DUMMYFUNCTION("""COMPUTED_VALUE"""),"SEM-4")</f>
        <v>SEM-4</v>
      </c>
      <c r="S17" s="9"/>
      <c r="T17" s="9"/>
      <c r="U17" s="9"/>
      <c r="V17" s="9"/>
      <c r="W17" s="9"/>
      <c r="X17" s="9"/>
      <c r="Y17" s="9"/>
    </row>
    <row r="18" spans="1:25" ht="26.25" customHeight="1" x14ac:dyDescent="0.15">
      <c r="A18" s="66" t="str">
        <f ca="1">IFERROR(__xludf.DUMMYFUNCTION("""COMPUTED_VALUE"""),"ganta manoj kumar")</f>
        <v>ganta manoj kumar</v>
      </c>
      <c r="B18" s="66" t="str">
        <f ca="1">IFERROR(__xludf.DUMMYFUNCTION("""COMPUTED_VALUE"""),"18331A0542")</f>
        <v>18331A0542</v>
      </c>
      <c r="C18" s="66" t="str">
        <f ca="1">IFERROR(__xludf.DUMMYFUNCTION("""COMPUTED_VALUE"""),"2021-2022")</f>
        <v>2021-2022</v>
      </c>
      <c r="D18" s="66" t="str">
        <f ca="1">IFERROR(__xludf.DUMMYFUNCTION("""COMPUTED_VALUE"""),"Webinar")</f>
        <v>Webinar</v>
      </c>
      <c r="E18" s="66" t="str">
        <f ca="1">IFERROR(__xludf.DUMMYFUNCTION("""COMPUTED_VALUE"""),"IP Awareness/Training program")</f>
        <v>IP Awareness/Training program</v>
      </c>
      <c r="F18" s="66">
        <f ca="1">IFERROR(__xludf.DUMMYFUNCTION("""COMPUTED_VALUE"""),1)</f>
        <v>1</v>
      </c>
      <c r="G18" s="67">
        <f ca="1">IFERROR(__xludf.DUMMYFUNCTION("""COMPUTED_VALUE"""),44567)</f>
        <v>44567</v>
      </c>
      <c r="H18" s="67">
        <f ca="1">IFERROR(__xludf.DUMMYFUNCTION("""COMPUTED_VALUE"""),44567)</f>
        <v>44567</v>
      </c>
      <c r="I18" s="66" t="str">
        <f ca="1">IFERROR(__xludf.DUMMYFUNCTION("""COMPUTED_VALUE"""),"Intellectual Property Office")</f>
        <v>Intellectual Property Office</v>
      </c>
      <c r="J18" s="66" t="str">
        <f ca="1">IFERROR(__xludf.DUMMYFUNCTION("""COMPUTED_VALUE"""),"M vamsiKrishna")</f>
        <v>M vamsiKrishna</v>
      </c>
      <c r="K18" s="66" t="str">
        <f ca="1">IFERROR(__xludf.DUMMYFUNCTION("""COMPUTED_VALUE"""),"National")</f>
        <v>National</v>
      </c>
      <c r="L18" s="66" t="str">
        <f ca="1">IFERROR(__xludf.DUMMYFUNCTION("""COMPUTED_VALUE"""),"Free")</f>
        <v>Free</v>
      </c>
      <c r="M18" s="66"/>
      <c r="N18" s="68" t="str">
        <f ca="1">IFERROR(__xludf.DUMMYFUNCTION("""COMPUTED_VALUE"""),"https://drive.google.com/open?id=1bymUP6eHfxlufPNEm_LBn01j8OdUH3ZD")</f>
        <v>https://drive.google.com/open?id=1bymUP6eHfxlufPNEm_LBn01j8OdUH3ZD</v>
      </c>
      <c r="O18" s="66" t="str">
        <f ca="1">IFERROR(__xludf.DUMMYFUNCTION("""COMPUTED_VALUE"""),"2018-2022")</f>
        <v>2018-2022</v>
      </c>
      <c r="P18" s="66" t="str">
        <f ca="1">IFERROR(__xludf.DUMMYFUNCTION("""COMPUTED_VALUE"""),"S5: Student Workshops/Conf attended")</f>
        <v>S5: Student Workshops/Conf attended</v>
      </c>
      <c r="Q18" s="66" t="str">
        <f ca="1">IFERROR(__xludf.DUMMYFUNCTION("""COMPUTED_VALUE"""),"gmanoj2k08@gmail.com")</f>
        <v>gmanoj2k08@gmail.com</v>
      </c>
      <c r="R18" s="66" t="str">
        <f ca="1">IFERROR(__xludf.DUMMYFUNCTION("""COMPUTED_VALUE"""),"SEM-7")</f>
        <v>SEM-7</v>
      </c>
      <c r="S18" s="69"/>
      <c r="T18" s="69"/>
      <c r="U18" s="69"/>
      <c r="V18" s="69"/>
      <c r="W18" s="69"/>
      <c r="X18" s="69"/>
      <c r="Y18" s="69"/>
    </row>
    <row r="19" spans="1:25" ht="26.25" customHeight="1" x14ac:dyDescent="0.15">
      <c r="A19" s="59" t="str">
        <f ca="1">IFERROR(__xludf.DUMMYFUNCTION("""COMPUTED_VALUE"""),"Jayanth Naidu Kundrapu")</f>
        <v>Jayanth Naidu Kundrapu</v>
      </c>
      <c r="B19" s="59" t="str">
        <f ca="1">IFERROR(__xludf.DUMMYFUNCTION("""COMPUTED_VALUE"""),"18331A0582")</f>
        <v>18331A0582</v>
      </c>
      <c r="C19" s="59" t="str">
        <f ca="1">IFERROR(__xludf.DUMMYFUNCTION("""COMPUTED_VALUE"""),"2018-2019")</f>
        <v>2018-2019</v>
      </c>
      <c r="D19" s="59" t="str">
        <f ca="1">IFERROR(__xludf.DUMMYFUNCTION("""COMPUTED_VALUE"""),"Conference")</f>
        <v>Conference</v>
      </c>
      <c r="E19" s="59" t="str">
        <f ca="1">IFERROR(__xludf.DUMMYFUNCTION("""COMPUTED_VALUE"""),"5th international5th International Conference on Cognitive Science and Artificial Intelligence")</f>
        <v>5th international5th International Conference on Cognitive Science and Artificial Intelligence</v>
      </c>
      <c r="F19" s="59">
        <f ca="1">IFERROR(__xludf.DUMMYFUNCTION("""COMPUTED_VALUE"""),2)</f>
        <v>2</v>
      </c>
      <c r="G19" s="70">
        <f ca="1">IFERROR(__xludf.DUMMYFUNCTION("""COMPUTED_VALUE"""),43462)</f>
        <v>43462</v>
      </c>
      <c r="H19" s="70">
        <f ca="1">IFERROR(__xludf.DUMMYFUNCTION("""COMPUTED_VALUE"""),43463)</f>
        <v>43463</v>
      </c>
      <c r="I19" s="59" t="str">
        <f ca="1">IFERROR(__xludf.DUMMYFUNCTION("""COMPUTED_VALUE"""),"Institute of Bioinformatics and Computational Biology")</f>
        <v>Institute of Bioinformatics and Computational Biology</v>
      </c>
      <c r="J19" s="59" t="str">
        <f ca="1">IFERROR(__xludf.DUMMYFUNCTION("""COMPUTED_VALUE"""),"Dr. P Satheesh, Dr. Ch Divakar, Prof. Allam Appa Rao")</f>
        <v>Dr. P Satheesh, Dr. Ch Divakar, Prof. Allam Appa Rao</v>
      </c>
      <c r="K19" s="59" t="str">
        <f ca="1">IFERROR(__xludf.DUMMYFUNCTION("""COMPUTED_VALUE"""),"International")</f>
        <v>International</v>
      </c>
      <c r="L19" s="59" t="str">
        <f ca="1">IFERROR(__xludf.DUMMYFUNCTION("""COMPUTED_VALUE"""),"Free")</f>
        <v>Free</v>
      </c>
      <c r="M19" s="59"/>
      <c r="N19" s="71" t="str">
        <f ca="1">IFERROR(__xludf.DUMMYFUNCTION("""COMPUTED_VALUE"""),"https://drive.google.com/open?id=1L1Qo1Mxhgikalx904HBgg4GAs8INbe9I")</f>
        <v>https://drive.google.com/open?id=1L1Qo1Mxhgikalx904HBgg4GAs8INbe9I</v>
      </c>
      <c r="O19" s="59" t="str">
        <f ca="1">IFERROR(__xludf.DUMMYFUNCTION("""COMPUTED_VALUE"""),"2018-2022")</f>
        <v>2018-2022</v>
      </c>
      <c r="P19" s="59" t="str">
        <f ca="1">IFERROR(__xludf.DUMMYFUNCTION("""COMPUTED_VALUE"""),"S5: Student Workshops/Conf attended")</f>
        <v>S5: Student Workshops/Conf attended</v>
      </c>
      <c r="Q19" s="59" t="str">
        <f ca="1">IFERROR(__xludf.DUMMYFUNCTION("""COMPUTED_VALUE"""),"jayanth.kundrapu013@gmail.com")</f>
        <v>jayanth.kundrapu013@gmail.com</v>
      </c>
      <c r="R19" s="59" t="str">
        <f ca="1">IFERROR(__xludf.DUMMYFUNCTION("""COMPUTED_VALUE"""),"SEM-8")</f>
        <v>SEM-8</v>
      </c>
      <c r="S19" s="9"/>
      <c r="T19" s="9"/>
      <c r="U19" s="9"/>
      <c r="V19" s="9"/>
      <c r="W19" s="9"/>
      <c r="X19" s="9"/>
      <c r="Y19" s="9"/>
    </row>
    <row r="20" spans="1:25" ht="26.25" customHeight="1" x14ac:dyDescent="0.15">
      <c r="A20" s="59" t="str">
        <f ca="1">IFERROR(__xludf.DUMMYFUNCTION("""COMPUTED_VALUE"""),"VUGGINA VEERA VENKATA SATYA VARAHA AYYAPPA")</f>
        <v>VUGGINA VEERA VENKATA SATYA VARAHA AYYAPPA</v>
      </c>
      <c r="B20" s="59" t="str">
        <f ca="1">IFERROR(__xludf.DUMMYFUNCTION("""COMPUTED_VALUE"""),"19335A0518")</f>
        <v>19335A0518</v>
      </c>
      <c r="C20" s="59" t="str">
        <f ca="1">IFERROR(__xludf.DUMMYFUNCTION("""COMPUTED_VALUE"""),"2021-2022")</f>
        <v>2021-2022</v>
      </c>
      <c r="D20" s="59" t="str">
        <f ca="1">IFERROR(__xludf.DUMMYFUNCTION("""COMPUTED_VALUE"""),"Webinar")</f>
        <v>Webinar</v>
      </c>
      <c r="E20" s="59" t="str">
        <f ca="1">IFERROR(__xludf.DUMMYFUNCTION("""COMPUTED_VALUE"""),"Intellectual Property Rights (IPRs)-Trademarks and Copyrights ")</f>
        <v xml:space="preserve">Intellectual Property Rights (IPRs)-Trademarks and Copyrights </v>
      </c>
      <c r="F20" s="59">
        <f ca="1">IFERROR(__xludf.DUMMYFUNCTION("""COMPUTED_VALUE"""),1)</f>
        <v>1</v>
      </c>
      <c r="G20" s="70">
        <f ca="1">IFERROR(__xludf.DUMMYFUNCTION("""COMPUTED_VALUE"""),44619)</f>
        <v>44619</v>
      </c>
      <c r="H20" s="70">
        <f ca="1">IFERROR(__xludf.DUMMYFUNCTION("""COMPUTED_VALUE"""),44619)</f>
        <v>44619</v>
      </c>
      <c r="I20" s="59" t="str">
        <f ca="1">IFERROR(__xludf.DUMMYFUNCTION("""COMPUTED_VALUE"""),"MSME- Development Institute, Visakhapatnam &amp; MVGR College Of Engineering")</f>
        <v>MSME- Development Institute, Visakhapatnam &amp; MVGR College Of Engineering</v>
      </c>
      <c r="J20" s="59" t="str">
        <f ca="1">IFERROR(__xludf.DUMMYFUNCTION("""COMPUTED_VALUE"""),"1.	Dr. H.Purushotham,DPIIT-IPR Chair,Andhra University EX-CMD,NRDC.
2.	Dr. S.K kar Head(marketing and consultancy),MSMETC,Bhubaneshwar.
3.	Shri. Ravi Gadde,Joint Director,MSME Development Institute,Visakhapatnam.
4.	Shri. G.V.R. Naidu,Asst. Director, MSME"&amp;" Development Institute,Visakhapatnam.
5.	Shri. Satish Kumar,Asst.DirectorIPR Cell,O/o DC(MSME),New Delhi.
6.	Dr.R.Ramesh,Dean R&amp;D,MVGR College of Engineering,Vizianagaram.
")</f>
        <v xml:space="preserve">1.	Dr. H.Purushotham,DPIIT-IPR Chair,Andhra University EX-CMD,NRDC.
2.	Dr. S.K kar Head(marketing and consultancy),MSMETC,Bhubaneshwar.
3.	Shri. Ravi Gadde,Joint Director,MSME Development Institute,Visakhapatnam.
4.	Shri. G.V.R. Naidu,Asst. Director, MSME Development Institute,Visakhapatnam.
5.	Shri. Satish Kumar,Asst.DirectorIPR Cell,O/o DC(MSME),New Delhi.
6.	Dr.R.Ramesh,Dean R&amp;D,MVGR College of Engineering,Vizianagaram.
</v>
      </c>
      <c r="K20" s="59" t="str">
        <f ca="1">IFERROR(__xludf.DUMMYFUNCTION("""COMPUTED_VALUE"""),"National")</f>
        <v>National</v>
      </c>
      <c r="L20" s="59" t="str">
        <f ca="1">IFERROR(__xludf.DUMMYFUNCTION("""COMPUTED_VALUE"""),"Free")</f>
        <v>Free</v>
      </c>
      <c r="M20" s="59"/>
      <c r="N20" s="71" t="str">
        <f ca="1">IFERROR(__xludf.DUMMYFUNCTION("""COMPUTED_VALUE"""),"https://drive.google.com/open?id=1rWOtnSib5pNevDKPrBsgqUJemwthqMRE")</f>
        <v>https://drive.google.com/open?id=1rWOtnSib5pNevDKPrBsgqUJemwthqMRE</v>
      </c>
      <c r="O20" s="59" t="str">
        <f ca="1">IFERROR(__xludf.DUMMYFUNCTION("""COMPUTED_VALUE"""),"2018-2022")</f>
        <v>2018-2022</v>
      </c>
      <c r="P20" s="59" t="str">
        <f ca="1">IFERROR(__xludf.DUMMYFUNCTION("""COMPUTED_VALUE"""),"S5: Student Workshops/Conf attended")</f>
        <v>S5: Student Workshops/Conf attended</v>
      </c>
      <c r="Q20" s="59" t="str">
        <f ca="1">IFERROR(__xludf.DUMMYFUNCTION("""COMPUTED_VALUE"""),"ayyappa.vuggina01@gmail.com")</f>
        <v>ayyappa.vuggina01@gmail.com</v>
      </c>
      <c r="R20" s="59" t="str">
        <f ca="1">IFERROR(__xludf.DUMMYFUNCTION("""COMPUTED_VALUE"""),"SEM-8")</f>
        <v>SEM-8</v>
      </c>
      <c r="S20" s="9"/>
      <c r="T20" s="9"/>
      <c r="U20" s="9"/>
      <c r="V20" s="9"/>
      <c r="W20" s="9"/>
      <c r="X20" s="9"/>
      <c r="Y20" s="9"/>
    </row>
    <row r="21" spans="1:25" ht="26.25" customHeight="1" x14ac:dyDescent="0.15">
      <c r="A21" s="59" t="str">
        <f ca="1">IFERROR(__xludf.DUMMYFUNCTION("""COMPUTED_VALUE"""),"Venkata Jaswanth Potnuru")</f>
        <v>Venkata Jaswanth Potnuru</v>
      </c>
      <c r="B21" s="59" t="str">
        <f ca="1">IFERROR(__xludf.DUMMYFUNCTION("""COMPUTED_VALUE"""),"19335A0513")</f>
        <v>19335A0513</v>
      </c>
      <c r="C21" s="59" t="str">
        <f ca="1">IFERROR(__xludf.DUMMYFUNCTION("""COMPUTED_VALUE"""),"2020-2021")</f>
        <v>2020-2021</v>
      </c>
      <c r="D21" s="59" t="str">
        <f ca="1">IFERROR(__xludf.DUMMYFUNCTION("""COMPUTED_VALUE"""),"Webinar")</f>
        <v>Webinar</v>
      </c>
      <c r="E21" s="59" t="str">
        <f ca="1">IFERROR(__xludf.DUMMYFUNCTION("""COMPUTED_VALUE"""),"Cyber Security")</f>
        <v>Cyber Security</v>
      </c>
      <c r="F21" s="59">
        <f ca="1">IFERROR(__xludf.DUMMYFUNCTION("""COMPUTED_VALUE"""),1)</f>
        <v>1</v>
      </c>
      <c r="G21" s="70">
        <f ca="1">IFERROR(__xludf.DUMMYFUNCTION("""COMPUTED_VALUE"""),44020)</f>
        <v>44020</v>
      </c>
      <c r="H21" s="70">
        <f ca="1">IFERROR(__xludf.DUMMYFUNCTION("""COMPUTED_VALUE"""),44020)</f>
        <v>44020</v>
      </c>
      <c r="I21" s="59" t="str">
        <f ca="1">IFERROR(__xludf.DUMMYFUNCTION("""COMPUTED_VALUE"""),"Andhra Pradesh State Skill Development Corporation(APSSDC)")</f>
        <v>Andhra Pradesh State Skill Development Corporation(APSSDC)</v>
      </c>
      <c r="J21" s="59" t="str">
        <f ca="1">IFERROR(__xludf.DUMMYFUNCTION("""COMPUTED_VALUE"""),"Dr. Rajesh Nimmagadda")</f>
        <v>Dr. Rajesh Nimmagadda</v>
      </c>
      <c r="K21" s="59" t="str">
        <f ca="1">IFERROR(__xludf.DUMMYFUNCTION("""COMPUTED_VALUE"""),"State")</f>
        <v>State</v>
      </c>
      <c r="L21" s="59" t="str">
        <f ca="1">IFERROR(__xludf.DUMMYFUNCTION("""COMPUTED_VALUE"""),"Free")</f>
        <v>Free</v>
      </c>
      <c r="M21" s="59"/>
      <c r="N21" s="71" t="str">
        <f ca="1">IFERROR(__xludf.DUMMYFUNCTION("""COMPUTED_VALUE"""),"https://drive.google.com/open?id=1k-RdzvCgtdevHdpknc1frcI8zeceBy31")</f>
        <v>https://drive.google.com/open?id=1k-RdzvCgtdevHdpknc1frcI8zeceBy31</v>
      </c>
      <c r="O21" s="59" t="str">
        <f ca="1">IFERROR(__xludf.DUMMYFUNCTION("""COMPUTED_VALUE"""),"2018-2022")</f>
        <v>2018-2022</v>
      </c>
      <c r="P21" s="59" t="str">
        <f ca="1">IFERROR(__xludf.DUMMYFUNCTION("""COMPUTED_VALUE"""),"S5: Student Workshops/Conf attended")</f>
        <v>S5: Student Workshops/Conf attended</v>
      </c>
      <c r="Q21" s="59" t="str">
        <f ca="1">IFERROR(__xludf.DUMMYFUNCTION("""COMPUTED_VALUE"""),"venkatajaswanth10@gmail.com")</f>
        <v>venkatajaswanth10@gmail.com</v>
      </c>
      <c r="R21" s="59" t="str">
        <f ca="1">IFERROR(__xludf.DUMMYFUNCTION("""COMPUTED_VALUE"""),"SEM-5")</f>
        <v>SEM-5</v>
      </c>
      <c r="S21" s="9"/>
      <c r="T21" s="9"/>
      <c r="U21" s="9"/>
      <c r="V21" s="9"/>
      <c r="W21" s="9"/>
      <c r="X21" s="9"/>
      <c r="Y21" s="9"/>
    </row>
    <row r="22" spans="1:25" ht="26.25" customHeight="1" x14ac:dyDescent="0.15">
      <c r="A22" s="59" t="str">
        <f ca="1">IFERROR(__xludf.DUMMYFUNCTION("""COMPUTED_VALUE"""),"Venkata Jaswanth Potnuru")</f>
        <v>Venkata Jaswanth Potnuru</v>
      </c>
      <c r="B22" s="59" t="str">
        <f ca="1">IFERROR(__xludf.DUMMYFUNCTION("""COMPUTED_VALUE"""),"19335A0513")</f>
        <v>19335A0513</v>
      </c>
      <c r="C22" s="59" t="str">
        <f ca="1">IFERROR(__xludf.DUMMYFUNCTION("""COMPUTED_VALUE"""),"2020-2021")</f>
        <v>2020-2021</v>
      </c>
      <c r="D22" s="59" t="str">
        <f ca="1">IFERROR(__xludf.DUMMYFUNCTION("""COMPUTED_VALUE"""),"Webinar")</f>
        <v>Webinar</v>
      </c>
      <c r="E22" s="59" t="str">
        <f ca="1">IFERROR(__xludf.DUMMYFUNCTION("""COMPUTED_VALUE"""),"Antennas")</f>
        <v>Antennas</v>
      </c>
      <c r="F22" s="59">
        <f ca="1">IFERROR(__xludf.DUMMYFUNCTION("""COMPUTED_VALUE"""),1)</f>
        <v>1</v>
      </c>
      <c r="G22" s="70">
        <f ca="1">IFERROR(__xludf.DUMMYFUNCTION("""COMPUTED_VALUE"""),44024)</f>
        <v>44024</v>
      </c>
      <c r="H22" s="70">
        <f ca="1">IFERROR(__xludf.DUMMYFUNCTION("""COMPUTED_VALUE"""),44024)</f>
        <v>44024</v>
      </c>
      <c r="I22" s="59" t="str">
        <f ca="1">IFERROR(__xludf.DUMMYFUNCTION("""COMPUTED_VALUE""")," Andhra Pradesh State Skill Development Corporation(APSSDC)")</f>
        <v xml:space="preserve"> Andhra Pradesh State Skill Development Corporation(APSSDC)</v>
      </c>
      <c r="J22" s="59" t="str">
        <f ca="1">IFERROR(__xludf.DUMMYFUNCTION("""COMPUTED_VALUE"""),"Dr. Kiran Kumar Nallamekala")</f>
        <v>Dr. Kiran Kumar Nallamekala</v>
      </c>
      <c r="K22" s="59" t="str">
        <f ca="1">IFERROR(__xludf.DUMMYFUNCTION("""COMPUTED_VALUE"""),"State")</f>
        <v>State</v>
      </c>
      <c r="L22" s="59" t="str">
        <f ca="1">IFERROR(__xludf.DUMMYFUNCTION("""COMPUTED_VALUE"""),"Free")</f>
        <v>Free</v>
      </c>
      <c r="M22" s="59"/>
      <c r="N22" s="71" t="str">
        <f ca="1">IFERROR(__xludf.DUMMYFUNCTION("""COMPUTED_VALUE"""),"https://drive.google.com/open?id=1u9whwEgeafFtxo1K4e69WtfCHd4-5x7u")</f>
        <v>https://drive.google.com/open?id=1u9whwEgeafFtxo1K4e69WtfCHd4-5x7u</v>
      </c>
      <c r="O22" s="59" t="str">
        <f ca="1">IFERROR(__xludf.DUMMYFUNCTION("""COMPUTED_VALUE"""),"2018-2022")</f>
        <v>2018-2022</v>
      </c>
      <c r="P22" s="59" t="str">
        <f ca="1">IFERROR(__xludf.DUMMYFUNCTION("""COMPUTED_VALUE"""),"S5: Student Workshops/Conf attended")</f>
        <v>S5: Student Workshops/Conf attended</v>
      </c>
      <c r="Q22" s="59" t="str">
        <f ca="1">IFERROR(__xludf.DUMMYFUNCTION("""COMPUTED_VALUE"""),"venkatajaswanth10@gmail.com")</f>
        <v>venkatajaswanth10@gmail.com</v>
      </c>
      <c r="R22" s="59" t="str">
        <f ca="1">IFERROR(__xludf.DUMMYFUNCTION("""COMPUTED_VALUE"""),"SEM-5")</f>
        <v>SEM-5</v>
      </c>
      <c r="S22" s="9"/>
      <c r="T22" s="9"/>
      <c r="U22" s="9"/>
      <c r="V22" s="9"/>
      <c r="W22" s="9"/>
      <c r="X22" s="9"/>
      <c r="Y22" s="9"/>
    </row>
    <row r="23" spans="1:25" ht="26.25" customHeight="1" x14ac:dyDescent="0.15">
      <c r="A23" s="59" t="str">
        <f ca="1">IFERROR(__xludf.DUMMYFUNCTION("""COMPUTED_VALUE"""),"Pooja Madhurima Salapu")</f>
        <v>Pooja Madhurima Salapu</v>
      </c>
      <c r="B23" s="59" t="str">
        <f ca="1">IFERROR(__xludf.DUMMYFUNCTION("""COMPUTED_VALUE"""),"18331A05D5")</f>
        <v>18331A05D5</v>
      </c>
      <c r="C23" s="59" t="str">
        <f ca="1">IFERROR(__xludf.DUMMYFUNCTION("""COMPUTED_VALUE"""),"2019-2020")</f>
        <v>2019-2020</v>
      </c>
      <c r="D23" s="59" t="str">
        <f ca="1">IFERROR(__xludf.DUMMYFUNCTION("""COMPUTED_VALUE"""),"Webinar")</f>
        <v>Webinar</v>
      </c>
      <c r="E23" s="59" t="str">
        <f ca="1">IFERROR(__xludf.DUMMYFUNCTION("""COMPUTED_VALUE"""),"Trending technologies by EXCELR APSSDC")</f>
        <v>Trending technologies by EXCELR APSSDC</v>
      </c>
      <c r="F23" s="59">
        <f ca="1">IFERROR(__xludf.DUMMYFUNCTION("""COMPUTED_VALUE"""),30)</f>
        <v>30</v>
      </c>
      <c r="G23" s="70">
        <f ca="1">IFERROR(__xludf.DUMMYFUNCTION("""COMPUTED_VALUE"""),44075)</f>
        <v>44075</v>
      </c>
      <c r="H23" s="70">
        <f ca="1">IFERROR(__xludf.DUMMYFUNCTION("""COMPUTED_VALUE"""),44105)</f>
        <v>44105</v>
      </c>
      <c r="I23" s="59" t="str">
        <f ca="1">IFERROR(__xludf.DUMMYFUNCTION("""COMPUTED_VALUE"""),"APSSDC EXCELR")</f>
        <v>APSSDC EXCELR</v>
      </c>
      <c r="J23" s="59" t="str">
        <f ca="1">IFERROR(__xludf.DUMMYFUNCTION("""COMPUTED_VALUE"""),"NA")</f>
        <v>NA</v>
      </c>
      <c r="K23" s="59" t="str">
        <f ca="1">IFERROR(__xludf.DUMMYFUNCTION("""COMPUTED_VALUE"""),"State")</f>
        <v>State</v>
      </c>
      <c r="L23" s="59" t="str">
        <f ca="1">IFERROR(__xludf.DUMMYFUNCTION("""COMPUTED_VALUE"""),"Free")</f>
        <v>Free</v>
      </c>
      <c r="M23" s="59">
        <f ca="1">IFERROR(__xludf.DUMMYFUNCTION("""COMPUTED_VALUE"""),0)</f>
        <v>0</v>
      </c>
      <c r="N23" s="71" t="str">
        <f ca="1">IFERROR(__xludf.DUMMYFUNCTION("""COMPUTED_VALUE"""),"https://drive.google.com/open?id=1Y9_qqWpPAcz7k69iFzE4GAdFFfx03ljx")</f>
        <v>https://drive.google.com/open?id=1Y9_qqWpPAcz7k69iFzE4GAdFFfx03ljx</v>
      </c>
      <c r="O23" s="59" t="str">
        <f ca="1">IFERROR(__xludf.DUMMYFUNCTION("""COMPUTED_VALUE"""),"2018-2022")</f>
        <v>2018-2022</v>
      </c>
      <c r="P23" s="59" t="str">
        <f ca="1">IFERROR(__xludf.DUMMYFUNCTION("""COMPUTED_VALUE"""),"S5: Student Workshops/Conf attended")</f>
        <v>S5: Student Workshops/Conf attended</v>
      </c>
      <c r="Q23" s="59" t="str">
        <f ca="1">IFERROR(__xludf.DUMMYFUNCTION("""COMPUTED_VALUE"""),"poojasalapu@gmail.com")</f>
        <v>poojasalapu@gmail.com</v>
      </c>
      <c r="R23" s="59" t="str">
        <f ca="1">IFERROR(__xludf.DUMMYFUNCTION("""COMPUTED_VALUE"""),"SEM-4")</f>
        <v>SEM-4</v>
      </c>
      <c r="S23" s="9"/>
      <c r="T23" s="9"/>
      <c r="U23" s="9"/>
      <c r="V23" s="9"/>
      <c r="W23" s="9"/>
      <c r="X23" s="9"/>
      <c r="Y23" s="9"/>
    </row>
    <row r="24" spans="1:25" ht="26.25" customHeight="1" x14ac:dyDescent="0.15">
      <c r="A24" s="59" t="str">
        <f ca="1">IFERROR(__xludf.DUMMYFUNCTION("""COMPUTED_VALUE"""),"Pooja Madhurima Salapu")</f>
        <v>Pooja Madhurima Salapu</v>
      </c>
      <c r="B24" s="59" t="str">
        <f ca="1">IFERROR(__xludf.DUMMYFUNCTION("""COMPUTED_VALUE"""),"18331A05D5")</f>
        <v>18331A05D5</v>
      </c>
      <c r="C24" s="59" t="str">
        <f ca="1">IFERROR(__xludf.DUMMYFUNCTION("""COMPUTED_VALUE"""),"2021-2022")</f>
        <v>2021-2022</v>
      </c>
      <c r="D24" s="59" t="str">
        <f ca="1">IFERROR(__xludf.DUMMYFUNCTION("""COMPUTED_VALUE"""),"Webinar")</f>
        <v>Webinar</v>
      </c>
      <c r="E24" s="59" t="str">
        <f ca="1">IFERROR(__xludf.DUMMYFUNCTION("""COMPUTED_VALUE"""),"National intellectual property awareness mission")</f>
        <v>National intellectual property awareness mission</v>
      </c>
      <c r="F24" s="59">
        <f ca="1">IFERROR(__xludf.DUMMYFUNCTION("""COMPUTED_VALUE"""),1)</f>
        <v>1</v>
      </c>
      <c r="G24" s="70">
        <f ca="1">IFERROR(__xludf.DUMMYFUNCTION("""COMPUTED_VALUE"""),44567)</f>
        <v>44567</v>
      </c>
      <c r="H24" s="70">
        <f ca="1">IFERROR(__xludf.DUMMYFUNCTION("""COMPUTED_VALUE"""),44567)</f>
        <v>44567</v>
      </c>
      <c r="I24" s="59" t="str">
        <f ca="1">IFERROR(__xludf.DUMMYFUNCTION("""COMPUTED_VALUE"""),"NIPAM")</f>
        <v>NIPAM</v>
      </c>
      <c r="J24" s="59" t="str">
        <f ca="1">IFERROR(__xludf.DUMMYFUNCTION("""COMPUTED_VALUE"""),"NIPAM")</f>
        <v>NIPAM</v>
      </c>
      <c r="K24" s="59" t="str">
        <f ca="1">IFERROR(__xludf.DUMMYFUNCTION("""COMPUTED_VALUE"""),"National")</f>
        <v>National</v>
      </c>
      <c r="L24" s="59" t="str">
        <f ca="1">IFERROR(__xludf.DUMMYFUNCTION("""COMPUTED_VALUE"""),"Free")</f>
        <v>Free</v>
      </c>
      <c r="M24" s="59">
        <f ca="1">IFERROR(__xludf.DUMMYFUNCTION("""COMPUTED_VALUE"""),0)</f>
        <v>0</v>
      </c>
      <c r="N24" s="71" t="str">
        <f ca="1">IFERROR(__xludf.DUMMYFUNCTION("""COMPUTED_VALUE"""),"https://drive.google.com/open?id=1f68sWt-5rGKluE20-P2Im7xMMD-04opV")</f>
        <v>https://drive.google.com/open?id=1f68sWt-5rGKluE20-P2Im7xMMD-04opV</v>
      </c>
      <c r="O24" s="59" t="str">
        <f ca="1">IFERROR(__xludf.DUMMYFUNCTION("""COMPUTED_VALUE"""),"2018-2022")</f>
        <v>2018-2022</v>
      </c>
      <c r="P24" s="59" t="str">
        <f ca="1">IFERROR(__xludf.DUMMYFUNCTION("""COMPUTED_VALUE"""),"S5: Student Workshops/Conf attended")</f>
        <v>S5: Student Workshops/Conf attended</v>
      </c>
      <c r="Q24" s="59" t="str">
        <f ca="1">IFERROR(__xludf.DUMMYFUNCTION("""COMPUTED_VALUE"""),"poojasalapu@gmail.com")</f>
        <v>poojasalapu@gmail.com</v>
      </c>
      <c r="R24" s="59" t="str">
        <f ca="1">IFERROR(__xludf.DUMMYFUNCTION("""COMPUTED_VALUE"""),"SEM-7")</f>
        <v>SEM-7</v>
      </c>
      <c r="S24" s="9"/>
      <c r="T24" s="9"/>
      <c r="U24" s="9"/>
      <c r="V24" s="9"/>
      <c r="W24" s="9"/>
      <c r="X24" s="9"/>
      <c r="Y24" s="9"/>
    </row>
    <row r="25" spans="1:25" ht="26.25" customHeight="1" x14ac:dyDescent="0.15">
      <c r="A25" s="59" t="str">
        <f ca="1">IFERROR(__xludf.DUMMYFUNCTION("""COMPUTED_VALUE"""),"GANTA  GAYATRI")</f>
        <v>GANTA  GAYATRI</v>
      </c>
      <c r="B25" s="59" t="str">
        <f ca="1">IFERROR(__xludf.DUMMYFUNCTION("""COMPUTED_VALUE"""),"18331A0541")</f>
        <v>18331A0541</v>
      </c>
      <c r="C25" s="59" t="str">
        <f ca="1">IFERROR(__xludf.DUMMYFUNCTION("""COMPUTED_VALUE"""),"2019-2020")</f>
        <v>2019-2020</v>
      </c>
      <c r="D25" s="59" t="str">
        <f ca="1">IFERROR(__xludf.DUMMYFUNCTION("""COMPUTED_VALUE"""),"Conference")</f>
        <v>Conference</v>
      </c>
      <c r="E25" s="59" t="str">
        <f ca="1">IFERROR(__xludf.DUMMYFUNCTION("""COMPUTED_VALUE"""),"SWECHA FREEDOM FEST")</f>
        <v>SWECHA FREEDOM FEST</v>
      </c>
      <c r="F25" s="59">
        <f ca="1">IFERROR(__xludf.DUMMYFUNCTION("""COMPUTED_VALUE"""),2)</f>
        <v>2</v>
      </c>
      <c r="G25" s="70">
        <f ca="1">IFERROR(__xludf.DUMMYFUNCTION("""COMPUTED_VALUE"""),43505)</f>
        <v>43505</v>
      </c>
      <c r="H25" s="70">
        <f ca="1">IFERROR(__xludf.DUMMYFUNCTION("""COMPUTED_VALUE"""),43506)</f>
        <v>43506</v>
      </c>
      <c r="I25" s="59" t="str">
        <f ca="1">IFERROR(__xludf.DUMMYFUNCTION("""COMPUTED_VALUE"""),"SWECHA")</f>
        <v>SWECHA</v>
      </c>
      <c r="J25" s="59" t="str">
        <f ca="1">IFERROR(__xludf.DUMMYFUNCTION("""COMPUTED_VALUE"""),"Vamsi Krishna")</f>
        <v>Vamsi Krishna</v>
      </c>
      <c r="K25" s="59" t="str">
        <f ca="1">IFERROR(__xludf.DUMMYFUNCTION("""COMPUTED_VALUE"""),"State")</f>
        <v>State</v>
      </c>
      <c r="L25" s="59" t="str">
        <f ca="1">IFERROR(__xludf.DUMMYFUNCTION("""COMPUTED_VALUE"""),"Paid")</f>
        <v>Paid</v>
      </c>
      <c r="M25" s="59">
        <f ca="1">IFERROR(__xludf.DUMMYFUNCTION("""COMPUTED_VALUE"""),200)</f>
        <v>200</v>
      </c>
      <c r="N25" s="71" t="str">
        <f ca="1">IFERROR(__xludf.DUMMYFUNCTION("""COMPUTED_VALUE"""),"https://drive.google.com/open?id=13LkRJTs4XF0_4gVHPtBDYYbiBl1B3cT3")</f>
        <v>https://drive.google.com/open?id=13LkRJTs4XF0_4gVHPtBDYYbiBl1B3cT3</v>
      </c>
      <c r="O25" s="59" t="str">
        <f ca="1">IFERROR(__xludf.DUMMYFUNCTION("""COMPUTED_VALUE"""),"2018-2022")</f>
        <v>2018-2022</v>
      </c>
      <c r="P25" s="59" t="str">
        <f ca="1">IFERROR(__xludf.DUMMYFUNCTION("""COMPUTED_VALUE"""),"S5: Student Workshops/Conf attended")</f>
        <v>S5: Student Workshops/Conf attended</v>
      </c>
      <c r="Q25" s="59" t="str">
        <f ca="1">IFERROR(__xludf.DUMMYFUNCTION("""COMPUTED_VALUE"""),"gantagayatri490@gmail.com")</f>
        <v>gantagayatri490@gmail.com</v>
      </c>
      <c r="R25" s="59" t="str">
        <f ca="1">IFERROR(__xludf.DUMMYFUNCTION("""COMPUTED_VALUE"""),"SEM-2")</f>
        <v>SEM-2</v>
      </c>
      <c r="S25" s="9"/>
      <c r="T25" s="9"/>
      <c r="U25" s="9"/>
      <c r="V25" s="9"/>
      <c r="W25" s="9"/>
      <c r="X25" s="9"/>
      <c r="Y25" s="9"/>
    </row>
    <row r="26" spans="1:25" ht="26.25" customHeight="1" x14ac:dyDescent="0.15">
      <c r="A26" s="59" t="str">
        <f ca="1">IFERROR(__xludf.DUMMYFUNCTION("""COMPUTED_VALUE"""),"V Sowdamini")</f>
        <v>V Sowdamini</v>
      </c>
      <c r="B26" s="59" t="str">
        <f ca="1">IFERROR(__xludf.DUMMYFUNCTION("""COMPUTED_VALUE"""),"19335A0517")</f>
        <v>19335A0517</v>
      </c>
      <c r="C26" s="59" t="str">
        <f ca="1">IFERROR(__xludf.DUMMYFUNCTION("""COMPUTED_VALUE"""),"2021-2022")</f>
        <v>2021-2022</v>
      </c>
      <c r="D26" s="59" t="str">
        <f ca="1">IFERROR(__xludf.DUMMYFUNCTION("""COMPUTED_VALUE"""),"Webinar")</f>
        <v>Webinar</v>
      </c>
      <c r="E26" s="59" t="str">
        <f ca="1">IFERROR(__xludf.DUMMYFUNCTION("""COMPUTED_VALUE"""),"IP Awareness/Training program ")</f>
        <v xml:space="preserve">IP Awareness/Training program </v>
      </c>
      <c r="F26" s="59">
        <f ca="1">IFERROR(__xludf.DUMMYFUNCTION("""COMPUTED_VALUE"""),1)</f>
        <v>1</v>
      </c>
      <c r="G26" s="70">
        <f ca="1">IFERROR(__xludf.DUMMYFUNCTION("""COMPUTED_VALUE"""),44572)</f>
        <v>44572</v>
      </c>
      <c r="H26" s="70">
        <f ca="1">IFERROR(__xludf.DUMMYFUNCTION("""COMPUTED_VALUE"""),44572)</f>
        <v>44572</v>
      </c>
      <c r="I26" s="59" t="str">
        <f ca="1">IFERROR(__xludf.DUMMYFUNCTION("""COMPUTED_VALUE"""),"Intellectual property office india")</f>
        <v>Intellectual property office india</v>
      </c>
      <c r="J26" s="59" t="str">
        <f ca="1">IFERROR(__xludf.DUMMYFUNCTION("""COMPUTED_VALUE"""),"M VAMSI krishna")</f>
        <v>M VAMSI krishna</v>
      </c>
      <c r="K26" s="59" t="str">
        <f ca="1">IFERROR(__xludf.DUMMYFUNCTION("""COMPUTED_VALUE"""),"National")</f>
        <v>National</v>
      </c>
      <c r="L26" s="59" t="str">
        <f ca="1">IFERROR(__xludf.DUMMYFUNCTION("""COMPUTED_VALUE"""),"Free")</f>
        <v>Free</v>
      </c>
      <c r="M26" s="59"/>
      <c r="N26" s="71" t="str">
        <f ca="1">IFERROR(__xludf.DUMMYFUNCTION("""COMPUTED_VALUE"""),"https://drive.google.com/open?id=1MN72QEOBlsJEpBytw8ieoI5Y1fdvvO8B")</f>
        <v>https://drive.google.com/open?id=1MN72QEOBlsJEpBytw8ieoI5Y1fdvvO8B</v>
      </c>
      <c r="O26" s="59" t="str">
        <f ca="1">IFERROR(__xludf.DUMMYFUNCTION("""COMPUTED_VALUE"""),"2018-2022")</f>
        <v>2018-2022</v>
      </c>
      <c r="P26" s="59" t="str">
        <f ca="1">IFERROR(__xludf.DUMMYFUNCTION("""COMPUTED_VALUE"""),"S5: Student Workshops/Conf attended")</f>
        <v>S5: Student Workshops/Conf attended</v>
      </c>
      <c r="Q26" s="59" t="str">
        <f ca="1">IFERROR(__xludf.DUMMYFUNCTION("""COMPUTED_VALUE"""),"sowdaminivanamali5931@gmail.com")</f>
        <v>sowdaminivanamali5931@gmail.com</v>
      </c>
      <c r="R26" s="59" t="str">
        <f ca="1">IFERROR(__xludf.DUMMYFUNCTION("""COMPUTED_VALUE"""),"SEM-7")</f>
        <v>SEM-7</v>
      </c>
      <c r="S26" s="9"/>
      <c r="T26" s="9"/>
      <c r="U26" s="9"/>
      <c r="V26" s="9"/>
      <c r="W26" s="9"/>
      <c r="X26" s="9"/>
      <c r="Y26" s="9"/>
    </row>
    <row r="27" spans="1:25" ht="26.25" customHeight="1" x14ac:dyDescent="0.15">
      <c r="A27" s="59" t="str">
        <f ca="1">IFERROR(__xludf.DUMMYFUNCTION("""COMPUTED_VALUE"""),"V Sowdamini")</f>
        <v>V Sowdamini</v>
      </c>
      <c r="B27" s="59" t="str">
        <f ca="1">IFERROR(__xludf.DUMMYFUNCTION("""COMPUTED_VALUE"""),"19335A0517")</f>
        <v>19335A0517</v>
      </c>
      <c r="C27" s="59" t="str">
        <f ca="1">IFERROR(__xludf.DUMMYFUNCTION("""COMPUTED_VALUE"""),"2020-2021")</f>
        <v>2020-2021</v>
      </c>
      <c r="D27" s="59" t="str">
        <f ca="1">IFERROR(__xludf.DUMMYFUNCTION("""COMPUTED_VALUE"""),"Webinar")</f>
        <v>Webinar</v>
      </c>
      <c r="E27" s="59" t="str">
        <f ca="1">IFERROR(__xludf.DUMMYFUNCTION("""COMPUTED_VALUE"""),"Foundations of artificial intelligence and machine learning")</f>
        <v>Foundations of artificial intelligence and machine learning</v>
      </c>
      <c r="F27" s="59">
        <f ca="1">IFERROR(__xludf.DUMMYFUNCTION("""COMPUTED_VALUE"""),1)</f>
        <v>1</v>
      </c>
      <c r="G27" s="70">
        <f ca="1">IFERROR(__xludf.DUMMYFUNCTION("""COMPUTED_VALUE"""),44375)</f>
        <v>44375</v>
      </c>
      <c r="H27" s="70">
        <f ca="1">IFERROR(__xludf.DUMMYFUNCTION("""COMPUTED_VALUE"""),44405)</f>
        <v>44405</v>
      </c>
      <c r="I27" s="59" t="str">
        <f ca="1">IFERROR(__xludf.DUMMYFUNCTION("""COMPUTED_VALUE"""),"Anucet Ieee subsection")</f>
        <v>Anucet Ieee subsection</v>
      </c>
      <c r="J27" s="59" t="str">
        <f ca="1">IFERROR(__xludf.DUMMYFUNCTION("""COMPUTED_VALUE"""),"K Chaitanya")</f>
        <v>K Chaitanya</v>
      </c>
      <c r="K27" s="59" t="str">
        <f ca="1">IFERROR(__xludf.DUMMYFUNCTION("""COMPUTED_VALUE"""),"State")</f>
        <v>State</v>
      </c>
      <c r="L27" s="59" t="str">
        <f ca="1">IFERROR(__xludf.DUMMYFUNCTION("""COMPUTED_VALUE"""),"Free")</f>
        <v>Free</v>
      </c>
      <c r="M27" s="59"/>
      <c r="N27" s="71" t="str">
        <f ca="1">IFERROR(__xludf.DUMMYFUNCTION("""COMPUTED_VALUE"""),"https://drive.google.com/open?id=1mmZ91l860Gob8yBSsKcYE-clugg18T9H")</f>
        <v>https://drive.google.com/open?id=1mmZ91l860Gob8yBSsKcYE-clugg18T9H</v>
      </c>
      <c r="O27" s="59" t="str">
        <f ca="1">IFERROR(__xludf.DUMMYFUNCTION("""COMPUTED_VALUE"""),"2018-2022")</f>
        <v>2018-2022</v>
      </c>
      <c r="P27" s="59" t="str">
        <f ca="1">IFERROR(__xludf.DUMMYFUNCTION("""COMPUTED_VALUE"""),"S5: Student Workshops/Conf attended")</f>
        <v>S5: Student Workshops/Conf attended</v>
      </c>
      <c r="Q27" s="59" t="str">
        <f ca="1">IFERROR(__xludf.DUMMYFUNCTION("""COMPUTED_VALUE"""),"sowdaminivanamali5931@gmail.com")</f>
        <v>sowdaminivanamali5931@gmail.com</v>
      </c>
      <c r="R27" s="59" t="str">
        <f ca="1">IFERROR(__xludf.DUMMYFUNCTION("""COMPUTED_VALUE"""),"SEM-6")</f>
        <v>SEM-6</v>
      </c>
      <c r="S27" s="9"/>
      <c r="T27" s="9"/>
      <c r="U27" s="9"/>
      <c r="V27" s="9"/>
      <c r="W27" s="9"/>
      <c r="X27" s="9"/>
      <c r="Y27" s="9"/>
    </row>
    <row r="28" spans="1:25" ht="26.25" customHeight="1" x14ac:dyDescent="0.15">
      <c r="A28" s="59" t="str">
        <f ca="1">IFERROR(__xludf.DUMMYFUNCTION("""COMPUTED_VALUE"""),"Syed ali zulfekar")</f>
        <v>Syed ali zulfekar</v>
      </c>
      <c r="B28" s="59" t="str">
        <f ca="1">IFERROR(__xludf.DUMMYFUNCTION("""COMPUTED_VALUE"""),"18331A05E9")</f>
        <v>18331A05E9</v>
      </c>
      <c r="C28" s="59" t="str">
        <f ca="1">IFERROR(__xludf.DUMMYFUNCTION("""COMPUTED_VALUE"""),"2019-2020")</f>
        <v>2019-2020</v>
      </c>
      <c r="D28" s="59" t="str">
        <f ca="1">IFERROR(__xludf.DUMMYFUNCTION("""COMPUTED_VALUE"""),"Seminar")</f>
        <v>Seminar</v>
      </c>
      <c r="E28" s="59" t="str">
        <f ca="1">IFERROR(__xludf.DUMMYFUNCTION("""COMPUTED_VALUE"""),"Ethical hacking")</f>
        <v>Ethical hacking</v>
      </c>
      <c r="F28" s="59">
        <f ca="1">IFERROR(__xludf.DUMMYFUNCTION("""COMPUTED_VALUE"""),2)</f>
        <v>2</v>
      </c>
      <c r="G28" s="70">
        <f ca="1">IFERROR(__xludf.DUMMYFUNCTION("""COMPUTED_VALUE"""),43518)</f>
        <v>43518</v>
      </c>
      <c r="H28" s="70">
        <f ca="1">IFERROR(__xludf.DUMMYFUNCTION("""COMPUTED_VALUE"""),43520)</f>
        <v>43520</v>
      </c>
      <c r="I28" s="59" t="str">
        <f ca="1">IFERROR(__xludf.DUMMYFUNCTION("""COMPUTED_VALUE"""),"azure skynet")</f>
        <v>azure skynet</v>
      </c>
      <c r="J28" s="59" t="str">
        <f ca="1">IFERROR(__xludf.DUMMYFUNCTION("""COMPUTED_VALUE"""),"Manish bhardwaj")</f>
        <v>Manish bhardwaj</v>
      </c>
      <c r="K28" s="59" t="str">
        <f ca="1">IFERROR(__xludf.DUMMYFUNCTION("""COMPUTED_VALUE"""),"National")</f>
        <v>National</v>
      </c>
      <c r="L28" s="59" t="str">
        <f ca="1">IFERROR(__xludf.DUMMYFUNCTION("""COMPUTED_VALUE"""),"Paid")</f>
        <v>Paid</v>
      </c>
      <c r="M28" s="59">
        <f ca="1">IFERROR(__xludf.DUMMYFUNCTION("""COMPUTED_VALUE"""),0)</f>
        <v>0</v>
      </c>
      <c r="N28" s="71" t="str">
        <f ca="1">IFERROR(__xludf.DUMMYFUNCTION("""COMPUTED_VALUE"""),"https://drive.google.com/open?id=1ERDbRT7AXsv2WVl9XVABo_pFFLRjA9xp")</f>
        <v>https://drive.google.com/open?id=1ERDbRT7AXsv2WVl9XVABo_pFFLRjA9xp</v>
      </c>
      <c r="O28" s="59" t="str">
        <f ca="1">IFERROR(__xludf.DUMMYFUNCTION("""COMPUTED_VALUE"""),"2018-2022")</f>
        <v>2018-2022</v>
      </c>
      <c r="P28" s="59" t="str">
        <f ca="1">IFERROR(__xludf.DUMMYFUNCTION("""COMPUTED_VALUE"""),"S5: Student Workshops/Conf attended")</f>
        <v>S5: Student Workshops/Conf attended</v>
      </c>
      <c r="Q28" s="59" t="str">
        <f ca="1">IFERROR(__xludf.DUMMYFUNCTION("""COMPUTED_VALUE"""),"tillu812@gmail.com")</f>
        <v>tillu812@gmail.com</v>
      </c>
      <c r="R28" s="59" t="str">
        <f ca="1">IFERROR(__xludf.DUMMYFUNCTION("""COMPUTED_VALUE"""),"SEM-8")</f>
        <v>SEM-8</v>
      </c>
      <c r="S28" s="9"/>
      <c r="T28" s="9"/>
      <c r="U28" s="9"/>
      <c r="V28" s="9"/>
      <c r="W28" s="9"/>
      <c r="X28" s="9"/>
      <c r="Y28" s="9"/>
    </row>
    <row r="29" spans="1:25" ht="26.25" customHeight="1" x14ac:dyDescent="0.15">
      <c r="A29" s="59" t="str">
        <f ca="1">IFERROR(__xludf.DUMMYFUNCTION("""COMPUTED_VALUE"""),"Sruthi")</f>
        <v>Sruthi</v>
      </c>
      <c r="B29" s="59" t="str">
        <f ca="1">IFERROR(__xludf.DUMMYFUNCTION("""COMPUTED_VALUE"""),"18331A05C5")</f>
        <v>18331A05C5</v>
      </c>
      <c r="C29" s="59" t="str">
        <f ca="1">IFERROR(__xludf.DUMMYFUNCTION("""COMPUTED_VALUE"""),"2018-2019")</f>
        <v>2018-2019</v>
      </c>
      <c r="D29" s="59" t="str">
        <f ca="1">IFERROR(__xludf.DUMMYFUNCTION("""COMPUTED_VALUE"""),"Seminar")</f>
        <v>Seminar</v>
      </c>
      <c r="E29" s="59" t="str">
        <f ca="1">IFERROR(__xludf.DUMMYFUNCTION("""COMPUTED_VALUE"""),"DATA SCIENCE TECHNOLOGIES")</f>
        <v>DATA SCIENCE TECHNOLOGIES</v>
      </c>
      <c r="F29" s="59">
        <f ca="1">IFERROR(__xludf.DUMMYFUNCTION("""COMPUTED_VALUE"""),2)</f>
        <v>2</v>
      </c>
      <c r="G29" s="70">
        <f ca="1">IFERROR(__xludf.DUMMYFUNCTION("""COMPUTED_VALUE"""),43694)</f>
        <v>43694</v>
      </c>
      <c r="H29" s="70">
        <f ca="1">IFERROR(__xludf.DUMMYFUNCTION("""COMPUTED_VALUE"""),43695)</f>
        <v>43695</v>
      </c>
      <c r="I29" s="59" t="str">
        <f ca="1">IFERROR(__xludf.DUMMYFUNCTION("""COMPUTED_VALUE"""),"KYRION TECHNOLOGIES")</f>
        <v>KYRION TECHNOLOGIES</v>
      </c>
      <c r="J29" s="59" t="str">
        <f ca="1">IFERROR(__xludf.DUMMYFUNCTION("""COMPUTED_VALUE"""),"IITH")</f>
        <v>IITH</v>
      </c>
      <c r="K29" s="59" t="str">
        <f ca="1">IFERROR(__xludf.DUMMYFUNCTION("""COMPUTED_VALUE"""),"National")</f>
        <v>National</v>
      </c>
      <c r="L29" s="59" t="str">
        <f ca="1">IFERROR(__xludf.DUMMYFUNCTION("""COMPUTED_VALUE"""),"Paid")</f>
        <v>Paid</v>
      </c>
      <c r="M29" s="59">
        <f ca="1">IFERROR(__xludf.DUMMYFUNCTION("""COMPUTED_VALUE"""),0)</f>
        <v>0</v>
      </c>
      <c r="N29" s="71" t="str">
        <f ca="1">IFERROR(__xludf.DUMMYFUNCTION("""COMPUTED_VALUE"""),"https://drive.google.com/open?id=1lwSOwIwTVqpRGpHUzE0w7n6RB76vPn-L")</f>
        <v>https://drive.google.com/open?id=1lwSOwIwTVqpRGpHUzE0w7n6RB76vPn-L</v>
      </c>
      <c r="O29" s="59" t="str">
        <f ca="1">IFERROR(__xludf.DUMMYFUNCTION("""COMPUTED_VALUE"""),"2018-2022")</f>
        <v>2018-2022</v>
      </c>
      <c r="P29" s="59" t="str">
        <f ca="1">IFERROR(__xludf.DUMMYFUNCTION("""COMPUTED_VALUE"""),"S5: Student Workshops/Conf attended")</f>
        <v>S5: Student Workshops/Conf attended</v>
      </c>
      <c r="Q29" s="59" t="str">
        <f ca="1">IFERROR(__xludf.DUMMYFUNCTION("""COMPUTED_VALUE"""),"sruthirokalla369@gmail.com")</f>
        <v>sruthirokalla369@gmail.com</v>
      </c>
      <c r="R29" s="59" t="str">
        <f ca="1">IFERROR(__xludf.DUMMYFUNCTION("""COMPUTED_VALUE"""),"SEM-8")</f>
        <v>SEM-8</v>
      </c>
      <c r="S29" s="9"/>
      <c r="T29" s="9"/>
      <c r="U29" s="9"/>
      <c r="V29" s="9"/>
      <c r="W29" s="9"/>
      <c r="X29" s="9"/>
      <c r="Y29" s="9"/>
    </row>
    <row r="30" spans="1:25" ht="26.25" customHeight="1" x14ac:dyDescent="0.15">
      <c r="A30" s="59" t="str">
        <f ca="1">IFERROR(__xludf.DUMMYFUNCTION("""COMPUTED_VALUE"""),"sruthi")</f>
        <v>sruthi</v>
      </c>
      <c r="B30" s="59" t="str">
        <f ca="1">IFERROR(__xludf.DUMMYFUNCTION("""COMPUTED_VALUE"""),"18331A05C5")</f>
        <v>18331A05C5</v>
      </c>
      <c r="C30" s="59" t="str">
        <f ca="1">IFERROR(__xludf.DUMMYFUNCTION("""COMPUTED_VALUE"""),"2019-2020")</f>
        <v>2019-2020</v>
      </c>
      <c r="D30" s="59" t="str">
        <f ca="1">IFERROR(__xludf.DUMMYFUNCTION("""COMPUTED_VALUE"""),"Seminar")</f>
        <v>Seminar</v>
      </c>
      <c r="E30" s="59" t="str">
        <f ca="1">IFERROR(__xludf.DUMMYFUNCTION("""COMPUTED_VALUE"""),"SWECHA FEST")</f>
        <v>SWECHA FEST</v>
      </c>
      <c r="F30" s="59">
        <f ca="1">IFERROR(__xludf.DUMMYFUNCTION("""COMPUTED_VALUE"""),2)</f>
        <v>2</v>
      </c>
      <c r="G30" s="70">
        <f ca="1">IFERROR(__xludf.DUMMYFUNCTION("""COMPUTED_VALUE"""),43505)</f>
        <v>43505</v>
      </c>
      <c r="H30" s="70">
        <f ca="1">IFERROR(__xludf.DUMMYFUNCTION("""COMPUTED_VALUE"""),43506)</f>
        <v>43506</v>
      </c>
      <c r="I30" s="59" t="str">
        <f ca="1">IFERROR(__xludf.DUMMYFUNCTION("""COMPUTED_VALUE"""),"SWECHA")</f>
        <v>SWECHA</v>
      </c>
      <c r="J30" s="59" t="str">
        <f ca="1">IFERROR(__xludf.DUMMYFUNCTION("""COMPUTED_VALUE"""),"VAMSI KRISHNA M")</f>
        <v>VAMSI KRISHNA M</v>
      </c>
      <c r="K30" s="59" t="str">
        <f ca="1">IFERROR(__xludf.DUMMYFUNCTION("""COMPUTED_VALUE"""),"State")</f>
        <v>State</v>
      </c>
      <c r="L30" s="59" t="str">
        <f ca="1">IFERROR(__xludf.DUMMYFUNCTION("""COMPUTED_VALUE"""),"Free")</f>
        <v>Free</v>
      </c>
      <c r="M30" s="59"/>
      <c r="N30" s="71" t="str">
        <f ca="1">IFERROR(__xludf.DUMMYFUNCTION("""COMPUTED_VALUE"""),"https://drive.google.com/open?id=1YJN4rRyY1B01XvUq4hn70_L_LIvcg3Kv")</f>
        <v>https://drive.google.com/open?id=1YJN4rRyY1B01XvUq4hn70_L_LIvcg3Kv</v>
      </c>
      <c r="O30" s="59" t="str">
        <f ca="1">IFERROR(__xludf.DUMMYFUNCTION("""COMPUTED_VALUE"""),"2018-2022")</f>
        <v>2018-2022</v>
      </c>
      <c r="P30" s="59" t="str">
        <f ca="1">IFERROR(__xludf.DUMMYFUNCTION("""COMPUTED_VALUE"""),"S5: Student Workshops/Conf attended")</f>
        <v>S5: Student Workshops/Conf attended</v>
      </c>
      <c r="Q30" s="59" t="str">
        <f ca="1">IFERROR(__xludf.DUMMYFUNCTION("""COMPUTED_VALUE"""),"sruthirokalla369@gmail.com")</f>
        <v>sruthirokalla369@gmail.com</v>
      </c>
      <c r="R30" s="59" t="str">
        <f ca="1">IFERROR(__xludf.DUMMYFUNCTION("""COMPUTED_VALUE"""),"SEM-2")</f>
        <v>SEM-2</v>
      </c>
      <c r="S30" s="9"/>
      <c r="T30" s="9"/>
      <c r="U30" s="9"/>
      <c r="V30" s="9"/>
      <c r="W30" s="9"/>
      <c r="X30" s="9"/>
      <c r="Y30" s="9"/>
    </row>
    <row r="31" spans="1:25" ht="26.25" customHeight="1" x14ac:dyDescent="0.15">
      <c r="A31" s="59" t="str">
        <f ca="1">IFERROR(__xludf.DUMMYFUNCTION("""COMPUTED_VALUE"""),"Yuvaraj Chowdary Ratnala")</f>
        <v>Yuvaraj Chowdary Ratnala</v>
      </c>
      <c r="B31" s="59" t="str">
        <f ca="1">IFERROR(__xludf.DUMMYFUNCTION("""COMPUTED_VALUE"""),"18331A05C3")</f>
        <v>18331A05C3</v>
      </c>
      <c r="C31" s="59" t="str">
        <f ca="1">IFERROR(__xludf.DUMMYFUNCTION("""COMPUTED_VALUE"""),"2018-2019")</f>
        <v>2018-2019</v>
      </c>
      <c r="D31" s="59" t="str">
        <f ca="1">IFERROR(__xludf.DUMMYFUNCTION("""COMPUTED_VALUE"""),"Conference")</f>
        <v>Conference</v>
      </c>
      <c r="E31" s="59" t="str">
        <f ca="1">IFERROR(__xludf.DUMMYFUNCTION("""COMPUTED_VALUE"""),"Swecha Freedom Fest")</f>
        <v>Swecha Freedom Fest</v>
      </c>
      <c r="F31" s="59">
        <f ca="1">IFERROR(__xludf.DUMMYFUNCTION("""COMPUTED_VALUE"""),2)</f>
        <v>2</v>
      </c>
      <c r="G31" s="70">
        <f ca="1">IFERROR(__xludf.DUMMYFUNCTION("""COMPUTED_VALUE"""),43505)</f>
        <v>43505</v>
      </c>
      <c r="H31" s="70">
        <f ca="1">IFERROR(__xludf.DUMMYFUNCTION("""COMPUTED_VALUE"""),43506)</f>
        <v>43506</v>
      </c>
      <c r="I31" s="59" t="str">
        <f ca="1">IFERROR(__xludf.DUMMYFUNCTION("""COMPUTED_VALUE"""),"MVGR GLUG")</f>
        <v>MVGR GLUG</v>
      </c>
      <c r="J31" s="59" t="str">
        <f ca="1">IFERROR(__xludf.DUMMYFUNCTION("""COMPUTED_VALUE"""),"Mr. M. Vamsi Krishna")</f>
        <v>Mr. M. Vamsi Krishna</v>
      </c>
      <c r="K31" s="59" t="str">
        <f ca="1">IFERROR(__xludf.DUMMYFUNCTION("""COMPUTED_VALUE"""),"State")</f>
        <v>State</v>
      </c>
      <c r="L31" s="59" t="str">
        <f ca="1">IFERROR(__xludf.DUMMYFUNCTION("""COMPUTED_VALUE"""),"Paid")</f>
        <v>Paid</v>
      </c>
      <c r="M31" s="59"/>
      <c r="N31" s="71" t="str">
        <f ca="1">IFERROR(__xludf.DUMMYFUNCTION("""COMPUTED_VALUE"""),"https://drive.google.com/open?id=1_AmuudImeuAke-60a-pwhO2xVaxGX9rn")</f>
        <v>https://drive.google.com/open?id=1_AmuudImeuAke-60a-pwhO2xVaxGX9rn</v>
      </c>
      <c r="O31" s="59" t="str">
        <f ca="1">IFERROR(__xludf.DUMMYFUNCTION("""COMPUTED_VALUE"""),"2018-2022")</f>
        <v>2018-2022</v>
      </c>
      <c r="P31" s="59" t="str">
        <f ca="1">IFERROR(__xludf.DUMMYFUNCTION("""COMPUTED_VALUE"""),"S5: Student Workshops/Conf attended")</f>
        <v>S5: Student Workshops/Conf attended</v>
      </c>
      <c r="Q31" s="59" t="str">
        <f ca="1">IFERROR(__xludf.DUMMYFUNCTION("""COMPUTED_VALUE"""),"18331A05C3@mvgrce.edu.in")</f>
        <v>18331A05C3@mvgrce.edu.in</v>
      </c>
      <c r="R31" s="59" t="str">
        <f ca="1">IFERROR(__xludf.DUMMYFUNCTION("""COMPUTED_VALUE"""),"SEM-8")</f>
        <v>SEM-8</v>
      </c>
      <c r="S31" s="9"/>
      <c r="T31" s="9"/>
      <c r="U31" s="9"/>
      <c r="V31" s="9"/>
      <c r="W31" s="9"/>
      <c r="X31" s="9"/>
      <c r="Y31" s="9"/>
    </row>
    <row r="32" spans="1:25" ht="26.25" customHeight="1" x14ac:dyDescent="0.15">
      <c r="A32" s="59" t="str">
        <f ca="1">IFERROR(__xludf.DUMMYFUNCTION("""COMPUTED_VALUE"""),"METTA VAMSI PRANAV")</f>
        <v>METTA VAMSI PRANAV</v>
      </c>
      <c r="B32" s="59" t="str">
        <f ca="1">IFERROR(__xludf.DUMMYFUNCTION("""COMPUTED_VALUE"""),"18331A0598")</f>
        <v>18331A0598</v>
      </c>
      <c r="C32" s="59" t="str">
        <f ca="1">IFERROR(__xludf.DUMMYFUNCTION("""COMPUTED_VALUE"""),"2021-2022")</f>
        <v>2021-2022</v>
      </c>
      <c r="D32" s="59" t="str">
        <f ca="1">IFERROR(__xludf.DUMMYFUNCTION("""COMPUTED_VALUE"""),"Seminar")</f>
        <v>Seminar</v>
      </c>
      <c r="E32" s="59" t="str">
        <f ca="1">IFERROR(__xludf.DUMMYFUNCTION("""COMPUTED_VALUE"""),"Intellectual Property Rights (IPRs)-Trademarks and Copyrights ")</f>
        <v xml:space="preserve">Intellectual Property Rights (IPRs)-Trademarks and Copyrights </v>
      </c>
      <c r="F32" s="59">
        <f ca="1">IFERROR(__xludf.DUMMYFUNCTION("""COMPUTED_VALUE"""),1)</f>
        <v>1</v>
      </c>
      <c r="G32" s="70">
        <f ca="1">IFERROR(__xludf.DUMMYFUNCTION("""COMPUTED_VALUE"""),44567)</f>
        <v>44567</v>
      </c>
      <c r="H32" s="70">
        <f ca="1">IFERROR(__xludf.DUMMYFUNCTION("""COMPUTED_VALUE"""),44567)</f>
        <v>44567</v>
      </c>
      <c r="I32" s="59" t="str">
        <f ca="1">IFERROR(__xludf.DUMMYFUNCTION("""COMPUTED_VALUE"""),"Intellectual Property Office, India")</f>
        <v>Intellectual Property Office, India</v>
      </c>
      <c r="J32" s="59" t="str">
        <f ca="1">IFERROR(__xludf.DUMMYFUNCTION("""COMPUTED_VALUE"""),"M.Vamsi Krishna")</f>
        <v>M.Vamsi Krishna</v>
      </c>
      <c r="K32" s="59" t="str">
        <f ca="1">IFERROR(__xludf.DUMMYFUNCTION("""COMPUTED_VALUE"""),"National")</f>
        <v>National</v>
      </c>
      <c r="L32" s="59" t="str">
        <f ca="1">IFERROR(__xludf.DUMMYFUNCTION("""COMPUTED_VALUE"""),"Free")</f>
        <v>Free</v>
      </c>
      <c r="M32" s="59"/>
      <c r="N32" s="71" t="str">
        <f ca="1">IFERROR(__xludf.DUMMYFUNCTION("""COMPUTED_VALUE"""),"https://drive.google.com/open?id=1v5U4mH5Q8y5JkinMsVnRQk6Qam2Nz3kX")</f>
        <v>https://drive.google.com/open?id=1v5U4mH5Q8y5JkinMsVnRQk6Qam2Nz3kX</v>
      </c>
      <c r="O32" s="59" t="str">
        <f ca="1">IFERROR(__xludf.DUMMYFUNCTION("""COMPUTED_VALUE"""),"2018-2022")</f>
        <v>2018-2022</v>
      </c>
      <c r="P32" s="59" t="str">
        <f ca="1">IFERROR(__xludf.DUMMYFUNCTION("""COMPUTED_VALUE"""),"S5: Student Workshops/Conf attended")</f>
        <v>S5: Student Workshops/Conf attended</v>
      </c>
      <c r="Q32" s="59" t="str">
        <f ca="1">IFERROR(__xludf.DUMMYFUNCTION("""COMPUTED_VALUE"""),"vamsipranav9948@gmail.com")</f>
        <v>vamsipranav9948@gmail.com</v>
      </c>
      <c r="R32" s="59" t="str">
        <f ca="1">IFERROR(__xludf.DUMMYFUNCTION("""COMPUTED_VALUE"""),"SEM-7")</f>
        <v>SEM-7</v>
      </c>
      <c r="S32" s="9"/>
      <c r="T32" s="9"/>
      <c r="U32" s="9"/>
      <c r="V32" s="9"/>
      <c r="W32" s="9"/>
      <c r="X32" s="9"/>
      <c r="Y32" s="9"/>
    </row>
    <row r="33" spans="1:25" ht="26.25" customHeight="1" x14ac:dyDescent="0.15">
      <c r="A33" s="59" t="str">
        <f ca="1">IFERROR(__xludf.DUMMYFUNCTION("""COMPUTED_VALUE"""),"Yuvaraj Chowdary Ratnala")</f>
        <v>Yuvaraj Chowdary Ratnala</v>
      </c>
      <c r="B33" s="59" t="str">
        <f ca="1">IFERROR(__xludf.DUMMYFUNCTION("""COMPUTED_VALUE"""),"18331A05C3")</f>
        <v>18331A05C3</v>
      </c>
      <c r="C33" s="59" t="str">
        <f ca="1">IFERROR(__xludf.DUMMYFUNCTION("""COMPUTED_VALUE"""),"2018-2019")</f>
        <v>2018-2019</v>
      </c>
      <c r="D33" s="59" t="str">
        <f ca="1">IFERROR(__xludf.DUMMYFUNCTION("""COMPUTED_VALUE"""),"Conference")</f>
        <v>Conference</v>
      </c>
      <c r="E33" s="59" t="str">
        <f ca="1">IFERROR(__xludf.DUMMYFUNCTION("""COMPUTED_VALUE"""),"Summer Camp")</f>
        <v>Summer Camp</v>
      </c>
      <c r="F33" s="59">
        <f ca="1">IFERROR(__xludf.DUMMYFUNCTION("""COMPUTED_VALUE"""),15)</f>
        <v>15</v>
      </c>
      <c r="G33" s="70">
        <f ca="1">IFERROR(__xludf.DUMMYFUNCTION("""COMPUTED_VALUE"""),43598)</f>
        <v>43598</v>
      </c>
      <c r="H33" s="70">
        <f ca="1">IFERROR(__xludf.DUMMYFUNCTION("""COMPUTED_VALUE"""),43612)</f>
        <v>43612</v>
      </c>
      <c r="I33" s="59" t="str">
        <f ca="1">IFERROR(__xludf.DUMMYFUNCTION("""COMPUTED_VALUE"""),"Swecha")</f>
        <v>Swecha</v>
      </c>
      <c r="J33" s="59" t="str">
        <f ca="1">IFERROR(__xludf.DUMMYFUNCTION("""COMPUTED_VALUE"""),"Mr. M Vamsi Krishna")</f>
        <v>Mr. M Vamsi Krishna</v>
      </c>
      <c r="K33" s="59" t="str">
        <f ca="1">IFERROR(__xludf.DUMMYFUNCTION("""COMPUTED_VALUE"""),"State")</f>
        <v>State</v>
      </c>
      <c r="L33" s="59" t="str">
        <f ca="1">IFERROR(__xludf.DUMMYFUNCTION("""COMPUTED_VALUE"""),"Paid")</f>
        <v>Paid</v>
      </c>
      <c r="M33" s="59"/>
      <c r="N33" s="71" t="str">
        <f ca="1">IFERROR(__xludf.DUMMYFUNCTION("""COMPUTED_VALUE"""),"https://drive.google.com/open?id=1dMNxi_Or7UhKxJPL3YEinENFdowglzpI")</f>
        <v>https://drive.google.com/open?id=1dMNxi_Or7UhKxJPL3YEinENFdowglzpI</v>
      </c>
      <c r="O33" s="59" t="str">
        <f ca="1">IFERROR(__xludf.DUMMYFUNCTION("""COMPUTED_VALUE"""),"2018-2022")</f>
        <v>2018-2022</v>
      </c>
      <c r="P33" s="59" t="str">
        <f ca="1">IFERROR(__xludf.DUMMYFUNCTION("""COMPUTED_VALUE"""),"S5: Student Workshops/Conf attended")</f>
        <v>S5: Student Workshops/Conf attended</v>
      </c>
      <c r="Q33" s="59" t="str">
        <f ca="1">IFERROR(__xludf.DUMMYFUNCTION("""COMPUTED_VALUE"""),"18331A05C3@mvgrce.edu.in")</f>
        <v>18331A05C3@mvgrce.edu.in</v>
      </c>
      <c r="R33" s="59" t="str">
        <f ca="1">IFERROR(__xludf.DUMMYFUNCTION("""COMPUTED_VALUE"""),"SEM-8")</f>
        <v>SEM-8</v>
      </c>
      <c r="S33" s="9"/>
      <c r="T33" s="9"/>
      <c r="U33" s="9"/>
      <c r="V33" s="9"/>
      <c r="W33" s="9"/>
      <c r="X33" s="9"/>
      <c r="Y33" s="9"/>
    </row>
    <row r="34" spans="1:25" ht="26.25" customHeight="1" x14ac:dyDescent="0.15">
      <c r="A34" s="59" t="str">
        <f ca="1">IFERROR(__xludf.DUMMYFUNCTION("""COMPUTED_VALUE"""),"Yuvaraj Chowdary Ratnala")</f>
        <v>Yuvaraj Chowdary Ratnala</v>
      </c>
      <c r="B34" s="59" t="str">
        <f ca="1">IFERROR(__xludf.DUMMYFUNCTION("""COMPUTED_VALUE"""),"18331A05C33")</f>
        <v>18331A05C33</v>
      </c>
      <c r="C34" s="59" t="str">
        <f ca="1">IFERROR(__xludf.DUMMYFUNCTION("""COMPUTED_VALUE"""),"2019-2020")</f>
        <v>2019-2020</v>
      </c>
      <c r="D34" s="59" t="str">
        <f ca="1">IFERROR(__xludf.DUMMYFUNCTION("""COMPUTED_VALUE"""),"Seminar")</f>
        <v>Seminar</v>
      </c>
      <c r="E34" s="59" t="str">
        <f ca="1">IFERROR(__xludf.DUMMYFUNCTION("""COMPUTED_VALUE"""),"Maths Day")</f>
        <v>Maths Day</v>
      </c>
      <c r="F34" s="59">
        <f ca="1">IFERROR(__xludf.DUMMYFUNCTION("""COMPUTED_VALUE"""),2)</f>
        <v>2</v>
      </c>
      <c r="G34" s="70">
        <f ca="1">IFERROR(__xludf.DUMMYFUNCTION("""COMPUTED_VALUE"""),43817)</f>
        <v>43817</v>
      </c>
      <c r="H34" s="70">
        <f ca="1">IFERROR(__xludf.DUMMYFUNCTION("""COMPUTED_VALUE"""),43819)</f>
        <v>43819</v>
      </c>
      <c r="I34" s="59" t="str">
        <f ca="1">IFERROR(__xludf.DUMMYFUNCTION("""COMPUTED_VALUE"""),"Department of Mathematics")</f>
        <v>Department of Mathematics</v>
      </c>
      <c r="J34" s="59" t="str">
        <f ca="1">IFERROR(__xludf.DUMMYFUNCTION("""COMPUTED_VALUE"""),"Dr. M. Krishna Sastry")</f>
        <v>Dr. M. Krishna Sastry</v>
      </c>
      <c r="K34" s="59" t="str">
        <f ca="1">IFERROR(__xludf.DUMMYFUNCTION("""COMPUTED_VALUE"""),"State")</f>
        <v>State</v>
      </c>
      <c r="L34" s="59" t="str">
        <f ca="1">IFERROR(__xludf.DUMMYFUNCTION("""COMPUTED_VALUE"""),"Free")</f>
        <v>Free</v>
      </c>
      <c r="M34" s="59"/>
      <c r="N34" s="71" t="str">
        <f ca="1">IFERROR(__xludf.DUMMYFUNCTION("""COMPUTED_VALUE"""),"https://drive.google.com/open?id=19Ka6YBVza_JMpDFUmAyufew4waw_D5y0")</f>
        <v>https://drive.google.com/open?id=19Ka6YBVza_JMpDFUmAyufew4waw_D5y0</v>
      </c>
      <c r="O34" s="59" t="str">
        <f ca="1">IFERROR(__xludf.DUMMYFUNCTION("""COMPUTED_VALUE"""),"2018-2022")</f>
        <v>2018-2022</v>
      </c>
      <c r="P34" s="59" t="str">
        <f ca="1">IFERROR(__xludf.DUMMYFUNCTION("""COMPUTED_VALUE"""),"S5: Student Workshops/Conf attended")</f>
        <v>S5: Student Workshops/Conf attended</v>
      </c>
      <c r="Q34" s="59" t="str">
        <f ca="1">IFERROR(__xludf.DUMMYFUNCTION("""COMPUTED_VALUE"""),"18331A05C3@mvgrce.edu.in")</f>
        <v>18331A05C3@mvgrce.edu.in</v>
      </c>
      <c r="R34" s="59" t="str">
        <f ca="1">IFERROR(__xludf.DUMMYFUNCTION("""COMPUTED_VALUE"""),"SEM-8")</f>
        <v>SEM-8</v>
      </c>
      <c r="S34" s="9"/>
      <c r="T34" s="9"/>
      <c r="U34" s="9"/>
      <c r="V34" s="9"/>
      <c r="W34" s="9"/>
      <c r="X34" s="9"/>
      <c r="Y34" s="9"/>
    </row>
    <row r="35" spans="1:25" ht="26.25" customHeight="1" x14ac:dyDescent="0.15">
      <c r="A35" s="59" t="str">
        <f ca="1">IFERROR(__xludf.DUMMYFUNCTION("""COMPUTED_VALUE"""),"Kusuma Patnaik Murahari")</f>
        <v>Kusuma Patnaik Murahari</v>
      </c>
      <c r="B35" s="59" t="str">
        <f ca="1">IFERROR(__xludf.DUMMYFUNCTION("""COMPUTED_VALUE"""),"18331A0584")</f>
        <v>18331A0584</v>
      </c>
      <c r="C35" s="59" t="str">
        <f ca="1">IFERROR(__xludf.DUMMYFUNCTION("""COMPUTED_VALUE"""),"2021-2022")</f>
        <v>2021-2022</v>
      </c>
      <c r="D35" s="59" t="str">
        <f ca="1">IFERROR(__xludf.DUMMYFUNCTION("""COMPUTED_VALUE"""),"Webinar")</f>
        <v>Webinar</v>
      </c>
      <c r="E35" s="59" t="str">
        <f ca="1">IFERROR(__xludf.DUMMYFUNCTION("""COMPUTED_VALUE"""),"The Women Rock-IT Program")</f>
        <v>The Women Rock-IT Program</v>
      </c>
      <c r="F35" s="59">
        <f ca="1">IFERROR(__xludf.DUMMYFUNCTION("""COMPUTED_VALUE"""),1)</f>
        <v>1</v>
      </c>
      <c r="G35" s="70">
        <f ca="1">IFERROR(__xludf.DUMMYFUNCTION("""COMPUTED_VALUE"""),44469)</f>
        <v>44469</v>
      </c>
      <c r="H35" s="70">
        <f ca="1">IFERROR(__xludf.DUMMYFUNCTION("""COMPUTED_VALUE"""),44469)</f>
        <v>44469</v>
      </c>
      <c r="I35" s="59" t="str">
        <f ca="1">IFERROR(__xludf.DUMMYFUNCTION("""COMPUTED_VALUE"""),"Cisco Networking Academy")</f>
        <v>Cisco Networking Academy</v>
      </c>
      <c r="J35" s="59" t="str">
        <f ca="1">IFERROR(__xludf.DUMMYFUNCTION("""COMPUTED_VALUE"""),"Emma Reid")</f>
        <v>Emma Reid</v>
      </c>
      <c r="K35" s="59" t="str">
        <f ca="1">IFERROR(__xludf.DUMMYFUNCTION("""COMPUTED_VALUE"""),"International")</f>
        <v>International</v>
      </c>
      <c r="L35" s="59" t="str">
        <f ca="1">IFERROR(__xludf.DUMMYFUNCTION("""COMPUTED_VALUE"""),"Free")</f>
        <v>Free</v>
      </c>
      <c r="M35" s="59"/>
      <c r="N35" s="71" t="str">
        <f ca="1">IFERROR(__xludf.DUMMYFUNCTION("""COMPUTED_VALUE"""),"https://drive.google.com/open?id=1snuULu0HwVOJ687g5nrp_n5xXeDOBAOD")</f>
        <v>https://drive.google.com/open?id=1snuULu0HwVOJ687g5nrp_n5xXeDOBAOD</v>
      </c>
      <c r="O35" s="59" t="str">
        <f ca="1">IFERROR(__xludf.DUMMYFUNCTION("""COMPUTED_VALUE"""),"2018-2022")</f>
        <v>2018-2022</v>
      </c>
      <c r="P35" s="59" t="str">
        <f ca="1">IFERROR(__xludf.DUMMYFUNCTION("""COMPUTED_VALUE"""),"S5: Student Workshops/Conf attended")</f>
        <v>S5: Student Workshops/Conf attended</v>
      </c>
      <c r="Q35" s="59" t="str">
        <f ca="1">IFERROR(__xludf.DUMMYFUNCTION("""COMPUTED_VALUE"""),"muraharikusum2000@gmail.com")</f>
        <v>muraharikusum2000@gmail.com</v>
      </c>
      <c r="R35" s="59" t="str">
        <f ca="1">IFERROR(__xludf.DUMMYFUNCTION("""COMPUTED_VALUE"""),"SEM-8")</f>
        <v>SEM-8</v>
      </c>
      <c r="S35" s="9"/>
      <c r="T35" s="9"/>
      <c r="U35" s="9"/>
      <c r="V35" s="9"/>
      <c r="W35" s="9"/>
      <c r="X35" s="9"/>
      <c r="Y35" s="9"/>
    </row>
    <row r="36" spans="1:25" ht="26.25" customHeight="1" x14ac:dyDescent="0.15">
      <c r="A36" s="59" t="str">
        <f ca="1">IFERROR(__xludf.DUMMYFUNCTION("""COMPUTED_VALUE"""),"METTA VAMSI PRANAV")</f>
        <v>METTA VAMSI PRANAV</v>
      </c>
      <c r="B36" s="59" t="str">
        <f ca="1">IFERROR(__xludf.DUMMYFUNCTION("""COMPUTED_VALUE"""),"18331A0598")</f>
        <v>18331A0598</v>
      </c>
      <c r="C36" s="59" t="str">
        <f ca="1">IFERROR(__xludf.DUMMYFUNCTION("""COMPUTED_VALUE"""),"2021-2022")</f>
        <v>2021-2022</v>
      </c>
      <c r="D36" s="59" t="str">
        <f ca="1">IFERROR(__xludf.DUMMYFUNCTION("""COMPUTED_VALUE"""),"Webinar")</f>
        <v>Webinar</v>
      </c>
      <c r="E36" s="59" t="str">
        <f ca="1">IFERROR(__xludf.DUMMYFUNCTION("""COMPUTED_VALUE"""),"How UBER Saves Your Time?")</f>
        <v>How UBER Saves Your Time?</v>
      </c>
      <c r="F36" s="59">
        <f ca="1">IFERROR(__xludf.DUMMYFUNCTION("""COMPUTED_VALUE"""),1)</f>
        <v>1</v>
      </c>
      <c r="G36" s="70">
        <f ca="1">IFERROR(__xludf.DUMMYFUNCTION("""COMPUTED_VALUE"""),44568)</f>
        <v>44568</v>
      </c>
      <c r="H36" s="70">
        <f ca="1">IFERROR(__xludf.DUMMYFUNCTION("""COMPUTED_VALUE"""),44568)</f>
        <v>44568</v>
      </c>
      <c r="I36" s="59" t="str">
        <f ca="1">IFERROR(__xludf.DUMMYFUNCTION("""COMPUTED_VALUE"""),"Tech Learn")</f>
        <v>Tech Learn</v>
      </c>
      <c r="J36" s="59" t="str">
        <f ca="1">IFERROR(__xludf.DUMMYFUNCTION("""COMPUTED_VALUE"""),"Kishore Reddy")</f>
        <v>Kishore Reddy</v>
      </c>
      <c r="K36" s="59" t="str">
        <f ca="1">IFERROR(__xludf.DUMMYFUNCTION("""COMPUTED_VALUE"""),"National")</f>
        <v>National</v>
      </c>
      <c r="L36" s="59" t="str">
        <f ca="1">IFERROR(__xludf.DUMMYFUNCTION("""COMPUTED_VALUE"""),"Free")</f>
        <v>Free</v>
      </c>
      <c r="M36" s="59"/>
      <c r="N36" s="71" t="str">
        <f ca="1">IFERROR(__xludf.DUMMYFUNCTION("""COMPUTED_VALUE"""),"https://drive.google.com/open?id=1Wm4MnZKWaOo8kn9bpOgiuXGTJuxbVBfo")</f>
        <v>https://drive.google.com/open?id=1Wm4MnZKWaOo8kn9bpOgiuXGTJuxbVBfo</v>
      </c>
      <c r="O36" s="59" t="str">
        <f ca="1">IFERROR(__xludf.DUMMYFUNCTION("""COMPUTED_VALUE"""),"2018-2022")</f>
        <v>2018-2022</v>
      </c>
      <c r="P36" s="59" t="str">
        <f ca="1">IFERROR(__xludf.DUMMYFUNCTION("""COMPUTED_VALUE"""),"S5: Student Workshops/Conf attended")</f>
        <v>S5: Student Workshops/Conf attended</v>
      </c>
      <c r="Q36" s="59" t="str">
        <f ca="1">IFERROR(__xludf.DUMMYFUNCTION("""COMPUTED_VALUE"""),"vamsipranav9948@gmail.com")</f>
        <v>vamsipranav9948@gmail.com</v>
      </c>
      <c r="R36" s="59" t="str">
        <f ca="1">IFERROR(__xludf.DUMMYFUNCTION("""COMPUTED_VALUE"""),"SEM-7")</f>
        <v>SEM-7</v>
      </c>
      <c r="S36" s="9"/>
      <c r="T36" s="9"/>
      <c r="U36" s="9"/>
      <c r="V36" s="9"/>
      <c r="W36" s="9"/>
      <c r="X36" s="9"/>
      <c r="Y36" s="9"/>
    </row>
    <row r="37" spans="1:25" ht="26.25" customHeight="1" x14ac:dyDescent="0.15">
      <c r="A37" s="59" t="str">
        <f ca="1">IFERROR(__xludf.DUMMYFUNCTION("""COMPUTED_VALUE"""),"METTA VAMSI PRANAV")</f>
        <v>METTA VAMSI PRANAV</v>
      </c>
      <c r="B37" s="59" t="str">
        <f ca="1">IFERROR(__xludf.DUMMYFUNCTION("""COMPUTED_VALUE"""),"18331A0598")</f>
        <v>18331A0598</v>
      </c>
      <c r="C37" s="59" t="str">
        <f ca="1">IFERROR(__xludf.DUMMYFUNCTION("""COMPUTED_VALUE"""),"2021-2022")</f>
        <v>2021-2022</v>
      </c>
      <c r="D37" s="59" t="str">
        <f ca="1">IFERROR(__xludf.DUMMYFUNCTION("""COMPUTED_VALUE"""),"Webinar")</f>
        <v>Webinar</v>
      </c>
      <c r="E37" s="59" t="str">
        <f ca="1">IFERROR(__xludf.DUMMYFUNCTION("""COMPUTED_VALUE"""),"Implementation Of AL bot for a two player game(TIC TAC TOE)")</f>
        <v>Implementation Of AL bot for a two player game(TIC TAC TOE)</v>
      </c>
      <c r="F37" s="59">
        <f ca="1">IFERROR(__xludf.DUMMYFUNCTION("""COMPUTED_VALUE"""),1)</f>
        <v>1</v>
      </c>
      <c r="G37" s="70">
        <f ca="1">IFERROR(__xludf.DUMMYFUNCTION("""COMPUTED_VALUE"""),44568)</f>
        <v>44568</v>
      </c>
      <c r="H37" s="70">
        <f ca="1">IFERROR(__xludf.DUMMYFUNCTION("""COMPUTED_VALUE"""),44568)</f>
        <v>44568</v>
      </c>
      <c r="I37" s="59" t="str">
        <f ca="1">IFERROR(__xludf.DUMMYFUNCTION("""COMPUTED_VALUE"""),"Tech Learn")</f>
        <v>Tech Learn</v>
      </c>
      <c r="J37" s="59" t="str">
        <f ca="1">IFERROR(__xludf.DUMMYFUNCTION("""COMPUTED_VALUE"""),"Kishore Reddy")</f>
        <v>Kishore Reddy</v>
      </c>
      <c r="K37" s="59" t="str">
        <f ca="1">IFERROR(__xludf.DUMMYFUNCTION("""COMPUTED_VALUE"""),"National")</f>
        <v>National</v>
      </c>
      <c r="L37" s="59" t="str">
        <f ca="1">IFERROR(__xludf.DUMMYFUNCTION("""COMPUTED_VALUE"""),"Free")</f>
        <v>Free</v>
      </c>
      <c r="M37" s="59"/>
      <c r="N37" s="71" t="str">
        <f ca="1">IFERROR(__xludf.DUMMYFUNCTION("""COMPUTED_VALUE"""),"https://drive.google.com/open?id=1UW4JMALPhi0QZwc7UJeLomfBEpWwBMSu")</f>
        <v>https://drive.google.com/open?id=1UW4JMALPhi0QZwc7UJeLomfBEpWwBMSu</v>
      </c>
      <c r="O37" s="59" t="str">
        <f ca="1">IFERROR(__xludf.DUMMYFUNCTION("""COMPUTED_VALUE"""),"2018-2022")</f>
        <v>2018-2022</v>
      </c>
      <c r="P37" s="59" t="str">
        <f ca="1">IFERROR(__xludf.DUMMYFUNCTION("""COMPUTED_VALUE"""),"S5: Student Workshops/Conf attended")</f>
        <v>S5: Student Workshops/Conf attended</v>
      </c>
      <c r="Q37" s="59" t="str">
        <f ca="1">IFERROR(__xludf.DUMMYFUNCTION("""COMPUTED_VALUE"""),"vamsipranav9948@gmail.com")</f>
        <v>vamsipranav9948@gmail.com</v>
      </c>
      <c r="R37" s="59" t="str">
        <f ca="1">IFERROR(__xludf.DUMMYFUNCTION("""COMPUTED_VALUE"""),"SEM-7")</f>
        <v>SEM-7</v>
      </c>
      <c r="S37" s="9"/>
      <c r="T37" s="9"/>
      <c r="U37" s="9"/>
      <c r="V37" s="9"/>
      <c r="W37" s="9"/>
      <c r="X37" s="9"/>
      <c r="Y37" s="9"/>
    </row>
    <row r="38" spans="1:25" ht="26.25" customHeight="1" x14ac:dyDescent="0.15">
      <c r="A38" s="59" t="str">
        <f ca="1">IFERROR(__xludf.DUMMYFUNCTION("""COMPUTED_VALUE"""),"METTA VAMSI PRANAV")</f>
        <v>METTA VAMSI PRANAV</v>
      </c>
      <c r="B38" s="59" t="str">
        <f ca="1">IFERROR(__xludf.DUMMYFUNCTION("""COMPUTED_VALUE"""),"18331A0598")</f>
        <v>18331A0598</v>
      </c>
      <c r="C38" s="59" t="str">
        <f ca="1">IFERROR(__xludf.DUMMYFUNCTION("""COMPUTED_VALUE"""),"2021-2022")</f>
        <v>2021-2022</v>
      </c>
      <c r="D38" s="59" t="str">
        <f ca="1">IFERROR(__xludf.DUMMYFUNCTION("""COMPUTED_VALUE"""),"Webinar")</f>
        <v>Webinar</v>
      </c>
      <c r="E38" s="59" t="str">
        <f ca="1">IFERROR(__xludf.DUMMYFUNCTION("""COMPUTED_VALUE"""),"How Tesla Self Car Driving Works?")</f>
        <v>How Tesla Self Car Driving Works?</v>
      </c>
      <c r="F38" s="59">
        <f ca="1">IFERROR(__xludf.DUMMYFUNCTION("""COMPUTED_VALUE"""),1)</f>
        <v>1</v>
      </c>
      <c r="G38" s="70">
        <f ca="1">IFERROR(__xludf.DUMMYFUNCTION("""COMPUTED_VALUE"""),44574)</f>
        <v>44574</v>
      </c>
      <c r="H38" s="70">
        <f ca="1">IFERROR(__xludf.DUMMYFUNCTION("""COMPUTED_VALUE"""),44574)</f>
        <v>44574</v>
      </c>
      <c r="I38" s="59" t="str">
        <f ca="1">IFERROR(__xludf.DUMMYFUNCTION("""COMPUTED_VALUE"""),"Tech Learn")</f>
        <v>Tech Learn</v>
      </c>
      <c r="J38" s="59" t="str">
        <f ca="1">IFERROR(__xludf.DUMMYFUNCTION("""COMPUTED_VALUE"""),"Kishore Reddy")</f>
        <v>Kishore Reddy</v>
      </c>
      <c r="K38" s="59" t="str">
        <f ca="1">IFERROR(__xludf.DUMMYFUNCTION("""COMPUTED_VALUE"""),"National")</f>
        <v>National</v>
      </c>
      <c r="L38" s="59" t="str">
        <f ca="1">IFERROR(__xludf.DUMMYFUNCTION("""COMPUTED_VALUE"""),"Free")</f>
        <v>Free</v>
      </c>
      <c r="M38" s="59"/>
      <c r="N38" s="71" t="str">
        <f ca="1">IFERROR(__xludf.DUMMYFUNCTION("""COMPUTED_VALUE"""),"https://drive.google.com/open?id=1Xa6M5OzsQg1V9f_t8BfVNYGChbG7C8wf")</f>
        <v>https://drive.google.com/open?id=1Xa6M5OzsQg1V9f_t8BfVNYGChbG7C8wf</v>
      </c>
      <c r="O38" s="59" t="str">
        <f ca="1">IFERROR(__xludf.DUMMYFUNCTION("""COMPUTED_VALUE"""),"2018-2022")</f>
        <v>2018-2022</v>
      </c>
      <c r="P38" s="59" t="str">
        <f ca="1">IFERROR(__xludf.DUMMYFUNCTION("""COMPUTED_VALUE"""),"S5: Student Workshops/Conf attended")</f>
        <v>S5: Student Workshops/Conf attended</v>
      </c>
      <c r="Q38" s="59" t="str">
        <f ca="1">IFERROR(__xludf.DUMMYFUNCTION("""COMPUTED_VALUE"""),"vamsipranav9948@gmail.com")</f>
        <v>vamsipranav9948@gmail.com</v>
      </c>
      <c r="R38" s="59" t="str">
        <f ca="1">IFERROR(__xludf.DUMMYFUNCTION("""COMPUTED_VALUE"""),"SEM-7")</f>
        <v>SEM-7</v>
      </c>
      <c r="S38" s="9"/>
      <c r="T38" s="9"/>
      <c r="U38" s="9"/>
      <c r="V38" s="9"/>
      <c r="W38" s="9"/>
      <c r="X38" s="9"/>
      <c r="Y38" s="9"/>
    </row>
    <row r="39" spans="1:25" ht="26.25" customHeight="1" x14ac:dyDescent="0.15">
      <c r="A39" s="59" t="str">
        <f ca="1">IFERROR(__xludf.DUMMYFUNCTION("""COMPUTED_VALUE"""),"METTA VAMSI PRANAV")</f>
        <v>METTA VAMSI PRANAV</v>
      </c>
      <c r="B39" s="59" t="str">
        <f ca="1">IFERROR(__xludf.DUMMYFUNCTION("""COMPUTED_VALUE"""),"18331A0598")</f>
        <v>18331A0598</v>
      </c>
      <c r="C39" s="59" t="str">
        <f ca="1">IFERROR(__xludf.DUMMYFUNCTION("""COMPUTED_VALUE"""),"2021-2022")</f>
        <v>2021-2022</v>
      </c>
      <c r="D39" s="59" t="str">
        <f ca="1">IFERROR(__xludf.DUMMYFUNCTION("""COMPUTED_VALUE"""),"Webinar")</f>
        <v>Webinar</v>
      </c>
      <c r="E39" s="59" t="str">
        <f ca="1">IFERROR(__xludf.DUMMYFUNCTION("""COMPUTED_VALUE"""),"Implement Playlist Generator For Spotify")</f>
        <v>Implement Playlist Generator For Spotify</v>
      </c>
      <c r="F39" s="59">
        <f ca="1">IFERROR(__xludf.DUMMYFUNCTION("""COMPUTED_VALUE"""),1)</f>
        <v>1</v>
      </c>
      <c r="G39" s="70">
        <f ca="1">IFERROR(__xludf.DUMMYFUNCTION("""COMPUTED_VALUE"""),44575)</f>
        <v>44575</v>
      </c>
      <c r="H39" s="70">
        <f ca="1">IFERROR(__xludf.DUMMYFUNCTION("""COMPUTED_VALUE"""),44575)</f>
        <v>44575</v>
      </c>
      <c r="I39" s="59" t="str">
        <f ca="1">IFERROR(__xludf.DUMMYFUNCTION("""COMPUTED_VALUE"""),"Tech Learn")</f>
        <v>Tech Learn</v>
      </c>
      <c r="J39" s="59" t="str">
        <f ca="1">IFERROR(__xludf.DUMMYFUNCTION("""COMPUTED_VALUE"""),"Kishore Reddy")</f>
        <v>Kishore Reddy</v>
      </c>
      <c r="K39" s="59" t="str">
        <f ca="1">IFERROR(__xludf.DUMMYFUNCTION("""COMPUTED_VALUE"""),"National")</f>
        <v>National</v>
      </c>
      <c r="L39" s="59" t="str">
        <f ca="1">IFERROR(__xludf.DUMMYFUNCTION("""COMPUTED_VALUE"""),"Free")</f>
        <v>Free</v>
      </c>
      <c r="M39" s="59"/>
      <c r="N39" s="71" t="str">
        <f ca="1">IFERROR(__xludf.DUMMYFUNCTION("""COMPUTED_VALUE"""),"https://drive.google.com/open?id=1WASeusBpiMpHwN8Tc4olsQAqUnPt0BGt")</f>
        <v>https://drive.google.com/open?id=1WASeusBpiMpHwN8Tc4olsQAqUnPt0BGt</v>
      </c>
      <c r="O39" s="59" t="str">
        <f ca="1">IFERROR(__xludf.DUMMYFUNCTION("""COMPUTED_VALUE"""),"2018-2022")</f>
        <v>2018-2022</v>
      </c>
      <c r="P39" s="59" t="str">
        <f ca="1">IFERROR(__xludf.DUMMYFUNCTION("""COMPUTED_VALUE"""),"S5: Student Workshops/Conf attended")</f>
        <v>S5: Student Workshops/Conf attended</v>
      </c>
      <c r="Q39" s="59" t="str">
        <f ca="1">IFERROR(__xludf.DUMMYFUNCTION("""COMPUTED_VALUE"""),"vamsipranav9948@gmail.com")</f>
        <v>vamsipranav9948@gmail.com</v>
      </c>
      <c r="R39" s="59" t="str">
        <f ca="1">IFERROR(__xludf.DUMMYFUNCTION("""COMPUTED_VALUE"""),"SEM-7")</f>
        <v>SEM-7</v>
      </c>
      <c r="S39" s="9"/>
      <c r="T39" s="9"/>
      <c r="U39" s="9"/>
      <c r="V39" s="9"/>
      <c r="W39" s="9"/>
      <c r="X39" s="9"/>
      <c r="Y39" s="9"/>
    </row>
    <row r="40" spans="1:25" ht="26.25" customHeight="1" x14ac:dyDescent="0.15">
      <c r="A40" s="59" t="str">
        <f ca="1">IFERROR(__xludf.DUMMYFUNCTION("""COMPUTED_VALUE"""),"METTA VAMSI PRANAV")</f>
        <v>METTA VAMSI PRANAV</v>
      </c>
      <c r="B40" s="59" t="str">
        <f ca="1">IFERROR(__xludf.DUMMYFUNCTION("""COMPUTED_VALUE"""),"18331A0598")</f>
        <v>18331A0598</v>
      </c>
      <c r="C40" s="59" t="str">
        <f ca="1">IFERROR(__xludf.DUMMYFUNCTION("""COMPUTED_VALUE"""),"2021-2022")</f>
        <v>2021-2022</v>
      </c>
      <c r="D40" s="59" t="str">
        <f ca="1">IFERROR(__xludf.DUMMYFUNCTION("""COMPUTED_VALUE"""),"Webinar")</f>
        <v>Webinar</v>
      </c>
      <c r="E40" s="59" t="str">
        <f ca="1">IFERROR(__xludf.DUMMYFUNCTION("""COMPUTED_VALUE"""),"Implementing Social Media Login Using Facebook API")</f>
        <v>Implementing Social Media Login Using Facebook API</v>
      </c>
      <c r="F40" s="59">
        <f ca="1">IFERROR(__xludf.DUMMYFUNCTION("""COMPUTED_VALUE"""),1)</f>
        <v>1</v>
      </c>
      <c r="G40" s="70">
        <f ca="1">IFERROR(__xludf.DUMMYFUNCTION("""COMPUTED_VALUE"""),44569)</f>
        <v>44569</v>
      </c>
      <c r="H40" s="70">
        <f ca="1">IFERROR(__xludf.DUMMYFUNCTION("""COMPUTED_VALUE"""),44569)</f>
        <v>44569</v>
      </c>
      <c r="I40" s="59" t="str">
        <f ca="1">IFERROR(__xludf.DUMMYFUNCTION("""COMPUTED_VALUE"""),"Tech Learn")</f>
        <v>Tech Learn</v>
      </c>
      <c r="J40" s="59" t="str">
        <f ca="1">IFERROR(__xludf.DUMMYFUNCTION("""COMPUTED_VALUE"""),"Kishore Reddy")</f>
        <v>Kishore Reddy</v>
      </c>
      <c r="K40" s="59" t="str">
        <f ca="1">IFERROR(__xludf.DUMMYFUNCTION("""COMPUTED_VALUE"""),"National")</f>
        <v>National</v>
      </c>
      <c r="L40" s="59" t="str">
        <f ca="1">IFERROR(__xludf.DUMMYFUNCTION("""COMPUTED_VALUE"""),"Free")</f>
        <v>Free</v>
      </c>
      <c r="M40" s="59"/>
      <c r="N40" s="71" t="str">
        <f ca="1">IFERROR(__xludf.DUMMYFUNCTION("""COMPUTED_VALUE"""),"https://drive.google.com/open?id=1-5ulWFAkRwnJeAKm0eIUioBG-oDd3-t6")</f>
        <v>https://drive.google.com/open?id=1-5ulWFAkRwnJeAKm0eIUioBG-oDd3-t6</v>
      </c>
      <c r="O40" s="59" t="str">
        <f ca="1">IFERROR(__xludf.DUMMYFUNCTION("""COMPUTED_VALUE"""),"2018-2022")</f>
        <v>2018-2022</v>
      </c>
      <c r="P40" s="59" t="str">
        <f ca="1">IFERROR(__xludf.DUMMYFUNCTION("""COMPUTED_VALUE"""),"S5: Student Workshops/Conf attended")</f>
        <v>S5: Student Workshops/Conf attended</v>
      </c>
      <c r="Q40" s="59" t="str">
        <f ca="1">IFERROR(__xludf.DUMMYFUNCTION("""COMPUTED_VALUE"""),"vamsipranav9948@gmail.com")</f>
        <v>vamsipranav9948@gmail.com</v>
      </c>
      <c r="R40" s="59" t="str">
        <f ca="1">IFERROR(__xludf.DUMMYFUNCTION("""COMPUTED_VALUE"""),"SEM-7")</f>
        <v>SEM-7</v>
      </c>
      <c r="S40" s="9"/>
      <c r="T40" s="9"/>
      <c r="U40" s="9"/>
      <c r="V40" s="9"/>
      <c r="W40" s="9"/>
      <c r="X40" s="9"/>
      <c r="Y40" s="9"/>
    </row>
    <row r="41" spans="1:25" ht="26.25" customHeight="1" x14ac:dyDescent="0.15">
      <c r="A41" s="59" t="str">
        <f ca="1">IFERROR(__xludf.DUMMYFUNCTION("""COMPUTED_VALUE"""),"METTA VAMSI PRANAV")</f>
        <v>METTA VAMSI PRANAV</v>
      </c>
      <c r="B41" s="59" t="str">
        <f ca="1">IFERROR(__xludf.DUMMYFUNCTION("""COMPUTED_VALUE"""),"18331A0598")</f>
        <v>18331A0598</v>
      </c>
      <c r="C41" s="59" t="str">
        <f ca="1">IFERROR(__xludf.DUMMYFUNCTION("""COMPUTED_VALUE"""),"2021-2022")</f>
        <v>2021-2022</v>
      </c>
      <c r="D41" s="59" t="str">
        <f ca="1">IFERROR(__xludf.DUMMYFUNCTION("""COMPUTED_VALUE"""),"Webinar")</f>
        <v>Webinar</v>
      </c>
      <c r="E41" s="59" t="str">
        <f ca="1">IFERROR(__xludf.DUMMYFUNCTION("""COMPUTED_VALUE"""),"Create Your Portfolio Using Angular and Material UI")</f>
        <v>Create Your Portfolio Using Angular and Material UI</v>
      </c>
      <c r="F41" s="59">
        <f ca="1">IFERROR(__xludf.DUMMYFUNCTION("""COMPUTED_VALUE"""),1)</f>
        <v>1</v>
      </c>
      <c r="G41" s="70">
        <f ca="1">IFERROR(__xludf.DUMMYFUNCTION("""COMPUTED_VALUE"""),44576)</f>
        <v>44576</v>
      </c>
      <c r="H41" s="70">
        <f ca="1">IFERROR(__xludf.DUMMYFUNCTION("""COMPUTED_VALUE"""),44576)</f>
        <v>44576</v>
      </c>
      <c r="I41" s="59" t="str">
        <f ca="1">IFERROR(__xludf.DUMMYFUNCTION("""COMPUTED_VALUE"""),"Tech Learn")</f>
        <v>Tech Learn</v>
      </c>
      <c r="J41" s="59" t="str">
        <f ca="1">IFERROR(__xludf.DUMMYFUNCTION("""COMPUTED_VALUE"""),"Kishore Reddy")</f>
        <v>Kishore Reddy</v>
      </c>
      <c r="K41" s="59" t="str">
        <f ca="1">IFERROR(__xludf.DUMMYFUNCTION("""COMPUTED_VALUE"""),"National")</f>
        <v>National</v>
      </c>
      <c r="L41" s="59" t="str">
        <f ca="1">IFERROR(__xludf.DUMMYFUNCTION("""COMPUTED_VALUE"""),"Free")</f>
        <v>Free</v>
      </c>
      <c r="M41" s="59"/>
      <c r="N41" s="71" t="str">
        <f ca="1">IFERROR(__xludf.DUMMYFUNCTION("""COMPUTED_VALUE"""),"https://drive.google.com/open?id=1zvZKnreh3OXHMk5VhsXTjp2KaWv929to")</f>
        <v>https://drive.google.com/open?id=1zvZKnreh3OXHMk5VhsXTjp2KaWv929to</v>
      </c>
      <c r="O41" s="59" t="str">
        <f ca="1">IFERROR(__xludf.DUMMYFUNCTION("""COMPUTED_VALUE"""),"2018-2022")</f>
        <v>2018-2022</v>
      </c>
      <c r="P41" s="59" t="str">
        <f ca="1">IFERROR(__xludf.DUMMYFUNCTION("""COMPUTED_VALUE"""),"S5: Student Workshops/Conf attended")</f>
        <v>S5: Student Workshops/Conf attended</v>
      </c>
      <c r="Q41" s="59" t="str">
        <f ca="1">IFERROR(__xludf.DUMMYFUNCTION("""COMPUTED_VALUE"""),"vamsipranav9948@gmail.com")</f>
        <v>vamsipranav9948@gmail.com</v>
      </c>
      <c r="R41" s="59" t="str">
        <f ca="1">IFERROR(__xludf.DUMMYFUNCTION("""COMPUTED_VALUE"""),"SEM-7")</f>
        <v>SEM-7</v>
      </c>
      <c r="S41" s="9"/>
      <c r="T41" s="9"/>
      <c r="U41" s="9"/>
      <c r="V41" s="9"/>
      <c r="W41" s="9"/>
      <c r="X41" s="9"/>
      <c r="Y41" s="9"/>
    </row>
    <row r="42" spans="1:25" ht="26.25" customHeight="1" x14ac:dyDescent="0.15">
      <c r="A42" s="59" t="str">
        <f ca="1">IFERROR(__xludf.DUMMYFUNCTION("""COMPUTED_VALUE"""),"Ch Yashwanth")</f>
        <v>Ch Yashwanth</v>
      </c>
      <c r="B42" s="59" t="str">
        <f ca="1">IFERROR(__xludf.DUMMYFUNCTION("""COMPUTED_VALUE"""),"21331A0530")</f>
        <v>21331A0530</v>
      </c>
      <c r="C42" s="59" t="str">
        <f ca="1">IFERROR(__xludf.DUMMYFUNCTION("""COMPUTED_VALUE"""),"2021-2022")</f>
        <v>2021-2022</v>
      </c>
      <c r="D42" s="59" t="str">
        <f ca="1">IFERROR(__xludf.DUMMYFUNCTION("""COMPUTED_VALUE"""),"Webinar")</f>
        <v>Webinar</v>
      </c>
      <c r="E42" s="59" t="str">
        <f ca="1">IFERROR(__xludf.DUMMYFUNCTION("""COMPUTED_VALUE"""),"MEDICAL IMAGE &amp; SIGNAL PROCESSING USING PYTHON MIS2P'22")</f>
        <v>MEDICAL IMAGE &amp; SIGNAL PROCESSING USING PYTHON MIS2P'22</v>
      </c>
      <c r="F42" s="59">
        <f ca="1">IFERROR(__xludf.DUMMYFUNCTION("""COMPUTED_VALUE"""),6)</f>
        <v>6</v>
      </c>
      <c r="G42" s="70">
        <f ca="1">IFERROR(__xludf.DUMMYFUNCTION("""COMPUTED_VALUE"""),44627)</f>
        <v>44627</v>
      </c>
      <c r="H42" s="70">
        <f ca="1">IFERROR(__xludf.DUMMYFUNCTION("""COMPUTED_VALUE"""),44632)</f>
        <v>44632</v>
      </c>
      <c r="I42" s="59" t="str">
        <f ca="1">IFERROR(__xludf.DUMMYFUNCTION("""COMPUTED_VALUE"""),"IEEE VIZAG BAY SECTION")</f>
        <v>IEEE VIZAG BAY SECTION</v>
      </c>
      <c r="J42" s="59" t="str">
        <f ca="1">IFERROR(__xludf.DUMMYFUNCTION("""COMPUTED_VALUE"""),"Dr. M V S S Nagendranath")</f>
        <v>Dr. M V S S Nagendranath</v>
      </c>
      <c r="K42" s="59" t="str">
        <f ca="1">IFERROR(__xludf.DUMMYFUNCTION("""COMPUTED_VALUE"""),"National")</f>
        <v>National</v>
      </c>
      <c r="L42" s="59" t="str">
        <f ca="1">IFERROR(__xludf.DUMMYFUNCTION("""COMPUTED_VALUE"""),"Paid")</f>
        <v>Paid</v>
      </c>
      <c r="M42" s="59">
        <f ca="1">IFERROR(__xludf.DUMMYFUNCTION("""COMPUTED_VALUE"""),0)</f>
        <v>0</v>
      </c>
      <c r="N42" s="71" t="str">
        <f ca="1">IFERROR(__xludf.DUMMYFUNCTION("""COMPUTED_VALUE"""),"https://drive.google.com/open?id=1QnUhsVy-V9By4eiuivhfai7KsnOFOEpg")</f>
        <v>https://drive.google.com/open?id=1QnUhsVy-V9By4eiuivhfai7KsnOFOEpg</v>
      </c>
      <c r="O42" s="59" t="str">
        <f ca="1">IFERROR(__xludf.DUMMYFUNCTION("""COMPUTED_VALUE"""),"2021-2025")</f>
        <v>2021-2025</v>
      </c>
      <c r="P42" s="59" t="str">
        <f ca="1">IFERROR(__xludf.DUMMYFUNCTION("""COMPUTED_VALUE"""),"S5: Student Workshops/Conf attended")</f>
        <v>S5: Student Workshops/Conf attended</v>
      </c>
      <c r="Q42" s="59" t="str">
        <f ca="1">IFERROR(__xludf.DUMMYFUNCTION("""COMPUTED_VALUE"""),"nissirao7@gmail.com")</f>
        <v>nissirao7@gmail.com</v>
      </c>
      <c r="R42" s="59" t="str">
        <f ca="1">IFERROR(__xludf.DUMMYFUNCTION("""COMPUTED_VALUE"""),"SEM-1")</f>
        <v>SEM-1</v>
      </c>
      <c r="S42" s="9"/>
      <c r="T42" s="9"/>
      <c r="U42" s="9"/>
      <c r="V42" s="9"/>
      <c r="W42" s="9"/>
      <c r="X42" s="9"/>
      <c r="Y42" s="9"/>
    </row>
    <row r="43" spans="1:25" ht="26.25" customHeight="1" x14ac:dyDescent="0.15">
      <c r="A43" s="59" t="str">
        <f ca="1">IFERROR(__xludf.DUMMYFUNCTION("""COMPUTED_VALUE"""),"CHINNI HEMANTH KUMAR")</f>
        <v>CHINNI HEMANTH KUMAR</v>
      </c>
      <c r="B43" s="59" t="str">
        <f ca="1">IFERROR(__xludf.DUMMYFUNCTION("""COMPUTED_VALUE"""),"21331A0529")</f>
        <v>21331A0529</v>
      </c>
      <c r="C43" s="59" t="str">
        <f ca="1">IFERROR(__xludf.DUMMYFUNCTION("""COMPUTED_VALUE"""),"2021-2022")</f>
        <v>2021-2022</v>
      </c>
      <c r="D43" s="59" t="str">
        <f ca="1">IFERROR(__xludf.DUMMYFUNCTION("""COMPUTED_VALUE"""),"Webinar")</f>
        <v>Webinar</v>
      </c>
      <c r="E43" s="59" t="str">
        <f ca="1">IFERROR(__xludf.DUMMYFUNCTION("""COMPUTED_VALUE"""),"MEDICAL IMAGE &amp; SIGNAL PROCESSING USING PYTHON MIS2P'22")</f>
        <v>MEDICAL IMAGE &amp; SIGNAL PROCESSING USING PYTHON MIS2P'22</v>
      </c>
      <c r="F43" s="59">
        <f ca="1">IFERROR(__xludf.DUMMYFUNCTION("""COMPUTED_VALUE"""),6)</f>
        <v>6</v>
      </c>
      <c r="G43" s="70">
        <f ca="1">IFERROR(__xludf.DUMMYFUNCTION("""COMPUTED_VALUE"""),44627)</f>
        <v>44627</v>
      </c>
      <c r="H43" s="70">
        <f ca="1">IFERROR(__xludf.DUMMYFUNCTION("""COMPUTED_VALUE"""),44632)</f>
        <v>44632</v>
      </c>
      <c r="I43" s="59" t="str">
        <f ca="1">IFERROR(__xludf.DUMMYFUNCTION("""COMPUTED_VALUE"""),"IEEE, VIZAG BAY SECTION")</f>
        <v>IEEE, VIZAG BAY SECTION</v>
      </c>
      <c r="J43" s="59" t="str">
        <f ca="1">IFERROR(__xludf.DUMMYFUNCTION("""COMPUTED_VALUE"""),"Dr. M v s s nagendranath")</f>
        <v>Dr. M v s s nagendranath</v>
      </c>
      <c r="K43" s="59" t="str">
        <f ca="1">IFERROR(__xludf.DUMMYFUNCTION("""COMPUTED_VALUE"""),"National")</f>
        <v>National</v>
      </c>
      <c r="L43" s="59" t="str">
        <f ca="1">IFERROR(__xludf.DUMMYFUNCTION("""COMPUTED_VALUE"""),"Paid")</f>
        <v>Paid</v>
      </c>
      <c r="M43" s="59">
        <f ca="1">IFERROR(__xludf.DUMMYFUNCTION("""COMPUTED_VALUE"""),0)</f>
        <v>0</v>
      </c>
      <c r="N43" s="71" t="str">
        <f ca="1">IFERROR(__xludf.DUMMYFUNCTION("""COMPUTED_VALUE"""),"https://drive.google.com/open?id=1lxAJST8TXOy3XcL_6b_yYdnKszShgTct")</f>
        <v>https://drive.google.com/open?id=1lxAJST8TXOy3XcL_6b_yYdnKszShgTct</v>
      </c>
      <c r="O43" s="59" t="str">
        <f ca="1">IFERROR(__xludf.DUMMYFUNCTION("""COMPUTED_VALUE"""),"2021-2025")</f>
        <v>2021-2025</v>
      </c>
      <c r="P43" s="59" t="str">
        <f ca="1">IFERROR(__xludf.DUMMYFUNCTION("""COMPUTED_VALUE"""),"S5: Student Workshops/Conf attended")</f>
        <v>S5: Student Workshops/Conf attended</v>
      </c>
      <c r="Q43" s="59" t="str">
        <f ca="1">IFERROR(__xludf.DUMMYFUNCTION("""COMPUTED_VALUE"""),"Chinnihemanth89@gmail.com")</f>
        <v>Chinnihemanth89@gmail.com</v>
      </c>
      <c r="R43" s="59" t="str">
        <f ca="1">IFERROR(__xludf.DUMMYFUNCTION("""COMPUTED_VALUE"""),"SEM-1")</f>
        <v>SEM-1</v>
      </c>
      <c r="S43" s="9"/>
      <c r="T43" s="9"/>
      <c r="U43" s="9"/>
      <c r="V43" s="9"/>
      <c r="W43" s="9"/>
      <c r="X43" s="9"/>
      <c r="Y43" s="9"/>
    </row>
    <row r="44" spans="1:25" ht="26.25" customHeight="1" x14ac:dyDescent="0.15">
      <c r="A44" s="59" t="str">
        <f ca="1">IFERROR(__xludf.DUMMYFUNCTION("""COMPUTED_VALUE"""),"G. Sai Hemanth Kumar")</f>
        <v>G. Sai Hemanth Kumar</v>
      </c>
      <c r="B44" s="59" t="str">
        <f ca="1">IFERROR(__xludf.DUMMYFUNCTION("""COMPUTED_VALUE"""),"21331A0557")</f>
        <v>21331A0557</v>
      </c>
      <c r="C44" s="59" t="str">
        <f ca="1">IFERROR(__xludf.DUMMYFUNCTION("""COMPUTED_VALUE"""),"2021-2022")</f>
        <v>2021-2022</v>
      </c>
      <c r="D44" s="59" t="str">
        <f ca="1">IFERROR(__xludf.DUMMYFUNCTION("""COMPUTED_VALUE"""),"Webinar")</f>
        <v>Webinar</v>
      </c>
      <c r="E44" s="59" t="str">
        <f ca="1">IFERROR(__xludf.DUMMYFUNCTION("""COMPUTED_VALUE"""),"MEDICAL IMAGE &amp; SIGNAL PROCESSING USING PYTHON MIS2P'22")</f>
        <v>MEDICAL IMAGE &amp; SIGNAL PROCESSING USING PYTHON MIS2P'22</v>
      </c>
      <c r="F44" s="59">
        <f ca="1">IFERROR(__xludf.DUMMYFUNCTION("""COMPUTED_VALUE"""),6)</f>
        <v>6</v>
      </c>
      <c r="G44" s="70">
        <f ca="1">IFERROR(__xludf.DUMMYFUNCTION("""COMPUTED_VALUE"""),44627)</f>
        <v>44627</v>
      </c>
      <c r="H44" s="70">
        <f ca="1">IFERROR(__xludf.DUMMYFUNCTION("""COMPUTED_VALUE"""),44632)</f>
        <v>44632</v>
      </c>
      <c r="I44" s="59" t="str">
        <f ca="1">IFERROR(__xludf.DUMMYFUNCTION("""COMPUTED_VALUE"""),"IEEE VIZAG BAY SECTION")</f>
        <v>IEEE VIZAG BAY SECTION</v>
      </c>
      <c r="J44" s="59" t="str">
        <f ca="1">IFERROR(__xludf.DUMMYFUNCTION("""COMPUTED_VALUE"""),"Dr. M V S S Nagendranath")</f>
        <v>Dr. M V S S Nagendranath</v>
      </c>
      <c r="K44" s="59" t="str">
        <f ca="1">IFERROR(__xludf.DUMMYFUNCTION("""COMPUTED_VALUE"""),"National")</f>
        <v>National</v>
      </c>
      <c r="L44" s="59" t="str">
        <f ca="1">IFERROR(__xludf.DUMMYFUNCTION("""COMPUTED_VALUE"""),"Paid")</f>
        <v>Paid</v>
      </c>
      <c r="M44" s="59">
        <f ca="1">IFERROR(__xludf.DUMMYFUNCTION("""COMPUTED_VALUE"""),0)</f>
        <v>0</v>
      </c>
      <c r="N44" s="71" t="str">
        <f ca="1">IFERROR(__xludf.DUMMYFUNCTION("""COMPUTED_VALUE"""),"https://drive.google.com/open?id=1xgPDjIIWtlF8N_AbDktqiqkbj0DwF7lD")</f>
        <v>https://drive.google.com/open?id=1xgPDjIIWtlF8N_AbDktqiqkbj0DwF7lD</v>
      </c>
      <c r="O44" s="59" t="str">
        <f ca="1">IFERROR(__xludf.DUMMYFUNCTION("""COMPUTED_VALUE"""),"2021-2025")</f>
        <v>2021-2025</v>
      </c>
      <c r="P44" s="59" t="str">
        <f ca="1">IFERROR(__xludf.DUMMYFUNCTION("""COMPUTED_VALUE"""),"S5: Student Workshops/Conf attended")</f>
        <v>S5: Student Workshops/Conf attended</v>
      </c>
      <c r="Q44" s="59" t="str">
        <f ca="1">IFERROR(__xludf.DUMMYFUNCTION("""COMPUTED_VALUE"""),"sainagu9876@gmail.com")</f>
        <v>sainagu9876@gmail.com</v>
      </c>
      <c r="R44" s="59" t="str">
        <f ca="1">IFERROR(__xludf.DUMMYFUNCTION("""COMPUTED_VALUE"""),"SEM-1")</f>
        <v>SEM-1</v>
      </c>
      <c r="S44" s="9"/>
      <c r="T44" s="9"/>
      <c r="U44" s="9"/>
      <c r="V44" s="9"/>
      <c r="W44" s="9"/>
      <c r="X44" s="9"/>
      <c r="Y44" s="9"/>
    </row>
    <row r="45" spans="1:25" ht="26.25" customHeight="1" x14ac:dyDescent="0.15">
      <c r="A45" s="59" t="str">
        <f ca="1">IFERROR(__xludf.DUMMYFUNCTION("""COMPUTED_VALUE"""),"BORRA VENKATA DURGA RAO ")</f>
        <v xml:space="preserve">BORRA VENKATA DURGA RAO </v>
      </c>
      <c r="B45" s="59" t="str">
        <f ca="1">IFERROR(__xludf.DUMMYFUNCTION("""COMPUTED_VALUE"""),"21331A0525")</f>
        <v>21331A0525</v>
      </c>
      <c r="C45" s="59" t="str">
        <f ca="1">IFERROR(__xludf.DUMMYFUNCTION("""COMPUTED_VALUE"""),"2021-2022")</f>
        <v>2021-2022</v>
      </c>
      <c r="D45" s="59" t="str">
        <f ca="1">IFERROR(__xludf.DUMMYFUNCTION("""COMPUTED_VALUE"""),"Webinar")</f>
        <v>Webinar</v>
      </c>
      <c r="E45" s="59" t="str">
        <f ca="1">IFERROR(__xludf.DUMMYFUNCTION("""COMPUTED_VALUE"""),"MEDICAL IMAGE &amp; SIGNAL PROCESSING USING PYTHON MIS2P'22")</f>
        <v>MEDICAL IMAGE &amp; SIGNAL PROCESSING USING PYTHON MIS2P'22</v>
      </c>
      <c r="F45" s="59">
        <f ca="1">IFERROR(__xludf.DUMMYFUNCTION("""COMPUTED_VALUE"""),6)</f>
        <v>6</v>
      </c>
      <c r="G45" s="70">
        <f ca="1">IFERROR(__xludf.DUMMYFUNCTION("""COMPUTED_VALUE"""),44627)</f>
        <v>44627</v>
      </c>
      <c r="H45" s="70">
        <f ca="1">IFERROR(__xludf.DUMMYFUNCTION("""COMPUTED_VALUE"""),44632)</f>
        <v>44632</v>
      </c>
      <c r="I45" s="59" t="str">
        <f ca="1">IFERROR(__xludf.DUMMYFUNCTION("""COMPUTED_VALUE"""),"IEEE VIZAG BAY SECTION")</f>
        <v>IEEE VIZAG BAY SECTION</v>
      </c>
      <c r="J45" s="59" t="str">
        <f ca="1">IFERROR(__xludf.DUMMYFUNCTION("""COMPUTED_VALUE"""),"Dr. M V S S Nagendranath")</f>
        <v>Dr. M V S S Nagendranath</v>
      </c>
      <c r="K45" s="59" t="str">
        <f ca="1">IFERROR(__xludf.DUMMYFUNCTION("""COMPUTED_VALUE"""),"National")</f>
        <v>National</v>
      </c>
      <c r="L45" s="59" t="str">
        <f ca="1">IFERROR(__xludf.DUMMYFUNCTION("""COMPUTED_VALUE"""),"Paid")</f>
        <v>Paid</v>
      </c>
      <c r="M45" s="59">
        <f ca="1">IFERROR(__xludf.DUMMYFUNCTION("""COMPUTED_VALUE"""),0)</f>
        <v>0</v>
      </c>
      <c r="N45" s="71" t="str">
        <f ca="1">IFERROR(__xludf.DUMMYFUNCTION("""COMPUTED_VALUE"""),"https://drive.google.com/open?id=1Xw2oJAu2cW0rAc9TPYjclklox-UbSYzd")</f>
        <v>https://drive.google.com/open?id=1Xw2oJAu2cW0rAc9TPYjclklox-UbSYzd</v>
      </c>
      <c r="O45" s="59" t="str">
        <f ca="1">IFERROR(__xludf.DUMMYFUNCTION("""COMPUTED_VALUE"""),"2021-2025")</f>
        <v>2021-2025</v>
      </c>
      <c r="P45" s="59" t="str">
        <f ca="1">IFERROR(__xludf.DUMMYFUNCTION("""COMPUTED_VALUE"""),"S5: Student Workshops/Conf attended")</f>
        <v>S5: Student Workshops/Conf attended</v>
      </c>
      <c r="Q45" s="59" t="str">
        <f ca="1">IFERROR(__xludf.DUMMYFUNCTION("""COMPUTED_VALUE"""),"venkatdurgarao7450@gmail.com")</f>
        <v>venkatdurgarao7450@gmail.com</v>
      </c>
      <c r="R45" s="59" t="str">
        <f ca="1">IFERROR(__xludf.DUMMYFUNCTION("""COMPUTED_VALUE"""),"SEM-1")</f>
        <v>SEM-1</v>
      </c>
      <c r="S45" s="9"/>
      <c r="T45" s="9"/>
      <c r="U45" s="9"/>
      <c r="V45" s="9"/>
      <c r="W45" s="9"/>
      <c r="X45" s="9"/>
      <c r="Y45" s="9"/>
    </row>
    <row r="46" spans="1:25" ht="26.25" customHeight="1" x14ac:dyDescent="0.15">
      <c r="A46" s="59" t="str">
        <f ca="1">IFERROR(__xludf.DUMMYFUNCTION("""COMPUTED_VALUE"""),"Yashwanth Boggarapu")</f>
        <v>Yashwanth Boggarapu</v>
      </c>
      <c r="B46" s="59" t="str">
        <f ca="1">IFERROR(__xludf.DUMMYFUNCTION("""COMPUTED_VALUE"""),"18331A0517")</f>
        <v>18331A0517</v>
      </c>
      <c r="C46" s="59" t="str">
        <f ca="1">IFERROR(__xludf.DUMMYFUNCTION("""COMPUTED_VALUE"""),"2019-2020")</f>
        <v>2019-2020</v>
      </c>
      <c r="D46" s="59" t="str">
        <f ca="1">IFERROR(__xludf.DUMMYFUNCTION("""COMPUTED_VALUE"""),"Webinar")</f>
        <v>Webinar</v>
      </c>
      <c r="E46" s="59" t="str">
        <f ca="1">IFERROR(__xludf.DUMMYFUNCTION("""COMPUTED_VALUE"""),"Artificial Intelligence Workshop")</f>
        <v>Artificial Intelligence Workshop</v>
      </c>
      <c r="F46" s="59">
        <f ca="1">IFERROR(__xludf.DUMMYFUNCTION("""COMPUTED_VALUE"""),2)</f>
        <v>2</v>
      </c>
      <c r="G46" s="70">
        <f ca="1">IFERROR(__xludf.DUMMYFUNCTION("""COMPUTED_VALUE"""),43694)</f>
        <v>43694</v>
      </c>
      <c r="H46" s="70">
        <f ca="1">IFERROR(__xludf.DUMMYFUNCTION("""COMPUTED_VALUE"""),43695)</f>
        <v>43695</v>
      </c>
      <c r="I46" s="59" t="str">
        <f ca="1">IFERROR(__xludf.DUMMYFUNCTION("""COMPUTED_VALUE"""),"Indian institute of technology, Hyderabad")</f>
        <v>Indian institute of technology, Hyderabad</v>
      </c>
      <c r="J46" s="59" t="str">
        <f ca="1">IFERROR(__xludf.DUMMYFUNCTION("""COMPUTED_VALUE"""),"Sujata Mehta")</f>
        <v>Sujata Mehta</v>
      </c>
      <c r="K46" s="59" t="str">
        <f ca="1">IFERROR(__xludf.DUMMYFUNCTION("""COMPUTED_VALUE"""),"State")</f>
        <v>State</v>
      </c>
      <c r="L46" s="59" t="str">
        <f ca="1">IFERROR(__xludf.DUMMYFUNCTION("""COMPUTED_VALUE"""),"Free")</f>
        <v>Free</v>
      </c>
      <c r="M46" s="59">
        <f ca="1">IFERROR(__xludf.DUMMYFUNCTION("""COMPUTED_VALUE"""),0)</f>
        <v>0</v>
      </c>
      <c r="N46" s="71" t="str">
        <f ca="1">IFERROR(__xludf.DUMMYFUNCTION("""COMPUTED_VALUE"""),"https://drive.google.com/open?id=1DhXoFA1w4UZTLOmDgJtSJ8eYXX20ozee")</f>
        <v>https://drive.google.com/open?id=1DhXoFA1w4UZTLOmDgJtSJ8eYXX20ozee</v>
      </c>
      <c r="O46" s="59" t="str">
        <f ca="1">IFERROR(__xludf.DUMMYFUNCTION("""COMPUTED_VALUE"""),"2018-2022")</f>
        <v>2018-2022</v>
      </c>
      <c r="P46" s="59" t="str">
        <f ca="1">IFERROR(__xludf.DUMMYFUNCTION("""COMPUTED_VALUE"""),"S5: Student Workshops/Conf attended")</f>
        <v>S5: Student Workshops/Conf attended</v>
      </c>
      <c r="Q46" s="59" t="str">
        <f ca="1">IFERROR(__xludf.DUMMYFUNCTION("""COMPUTED_VALUE"""),"yashwanthboggarapu2000@gmail.com")</f>
        <v>yashwanthboggarapu2000@gmail.com</v>
      </c>
      <c r="R46" s="59" t="str">
        <f ca="1">IFERROR(__xludf.DUMMYFUNCTION("""COMPUTED_VALUE"""),"SEM-4")</f>
        <v>SEM-4</v>
      </c>
      <c r="S46" s="9"/>
      <c r="T46" s="9"/>
      <c r="U46" s="9"/>
      <c r="V46" s="9"/>
      <c r="W46" s="9"/>
      <c r="X46" s="9"/>
      <c r="Y46" s="9"/>
    </row>
    <row r="47" spans="1:25" ht="26.25" customHeight="1" x14ac:dyDescent="0.15">
      <c r="A47" s="59" t="str">
        <f ca="1">IFERROR(__xludf.DUMMYFUNCTION("""COMPUTED_VALUE"""),"Sathwick Sadanala ")</f>
        <v xml:space="preserve">Sathwick Sadanala </v>
      </c>
      <c r="B47" s="59" t="str">
        <f ca="1">IFERROR(__xludf.DUMMYFUNCTION("""COMPUTED_VALUE"""),"18331A05C6 ")</f>
        <v xml:space="preserve">18331A05C6 </v>
      </c>
      <c r="C47" s="59" t="str">
        <f ca="1">IFERROR(__xludf.DUMMYFUNCTION("""COMPUTED_VALUE"""),"2019-2020")</f>
        <v>2019-2020</v>
      </c>
      <c r="D47" s="59" t="str">
        <f ca="1">IFERROR(__xludf.DUMMYFUNCTION("""COMPUTED_VALUE"""),"Conference")</f>
        <v>Conference</v>
      </c>
      <c r="E47" s="59" t="str">
        <f ca="1">IFERROR(__xludf.DUMMYFUNCTION("""COMPUTED_VALUE"""),"Ethical Hacking")</f>
        <v>Ethical Hacking</v>
      </c>
      <c r="F47" s="59">
        <f ca="1">IFERROR(__xludf.DUMMYFUNCTION("""COMPUTED_VALUE"""),3)</f>
        <v>3</v>
      </c>
      <c r="G47" s="70">
        <f ca="1">IFERROR(__xludf.DUMMYFUNCTION("""COMPUTED_VALUE"""),43518)</f>
        <v>43518</v>
      </c>
      <c r="H47" s="70">
        <f ca="1">IFERROR(__xludf.DUMMYFUNCTION("""COMPUTED_VALUE"""),43520)</f>
        <v>43520</v>
      </c>
      <c r="I47" s="59" t="str">
        <f ca="1">IFERROR(__xludf.DUMMYFUNCTION("""COMPUTED_VALUE"""),"IIT hyderabad ")</f>
        <v xml:space="preserve">IIT hyderabad </v>
      </c>
      <c r="J47" s="59" t="str">
        <f ca="1">IFERROR(__xludf.DUMMYFUNCTION("""COMPUTED_VALUE"""),"Workshop conducted by Manish Bharadwaj")</f>
        <v>Workshop conducted by Manish Bharadwaj</v>
      </c>
      <c r="K47" s="59" t="str">
        <f ca="1">IFERROR(__xludf.DUMMYFUNCTION("""COMPUTED_VALUE"""),"National")</f>
        <v>National</v>
      </c>
      <c r="L47" s="59" t="str">
        <f ca="1">IFERROR(__xludf.DUMMYFUNCTION("""COMPUTED_VALUE"""),"Paid")</f>
        <v>Paid</v>
      </c>
      <c r="M47" s="59"/>
      <c r="N47" s="71" t="str">
        <f ca="1">IFERROR(__xludf.DUMMYFUNCTION("""COMPUTED_VALUE"""),"https://drive.google.com/open?id=1St4ALTYPjBjD_fwPzqO2wiDh4k_BcGAm")</f>
        <v>https://drive.google.com/open?id=1St4ALTYPjBjD_fwPzqO2wiDh4k_BcGAm</v>
      </c>
      <c r="O47" s="59" t="str">
        <f ca="1">IFERROR(__xludf.DUMMYFUNCTION("""COMPUTED_VALUE"""),"2018-2022")</f>
        <v>2018-2022</v>
      </c>
      <c r="P47" s="59" t="str">
        <f ca="1">IFERROR(__xludf.DUMMYFUNCTION("""COMPUTED_VALUE"""),"S5: Student Workshops/Conf attended")</f>
        <v>S5: Student Workshops/Conf attended</v>
      </c>
      <c r="Q47" s="59" t="str">
        <f ca="1">IFERROR(__xludf.DUMMYFUNCTION("""COMPUTED_VALUE"""),"sadanalasathwick@gmail.com")</f>
        <v>sadanalasathwick@gmail.com</v>
      </c>
      <c r="R47" s="59" t="str">
        <f ca="1">IFERROR(__xludf.DUMMYFUNCTION("""COMPUTED_VALUE"""),"SEM-3")</f>
        <v>SEM-3</v>
      </c>
      <c r="S47" s="9"/>
      <c r="T47" s="9"/>
      <c r="U47" s="9"/>
      <c r="V47" s="9"/>
      <c r="W47" s="9"/>
      <c r="X47" s="9"/>
      <c r="Y47" s="9"/>
    </row>
    <row r="48" spans="1:25" ht="26.25" customHeight="1" x14ac:dyDescent="0.15">
      <c r="A48" s="59" t="str">
        <f ca="1">IFERROR(__xludf.DUMMYFUNCTION("""COMPUTED_VALUE"""),"Kantumutchu Dinesh ")</f>
        <v xml:space="preserve">Kantumutchu Dinesh </v>
      </c>
      <c r="B48" s="59" t="str">
        <f ca="1">IFERROR(__xludf.DUMMYFUNCTION("""COMPUTED_VALUE"""),"18331A0569")</f>
        <v>18331A0569</v>
      </c>
      <c r="C48" s="59" t="str">
        <f ca="1">IFERROR(__xludf.DUMMYFUNCTION("""COMPUTED_VALUE"""),"2019-2020")</f>
        <v>2019-2020</v>
      </c>
      <c r="D48" s="59" t="str">
        <f ca="1">IFERROR(__xludf.DUMMYFUNCTION("""COMPUTED_VALUE"""),"Seminar")</f>
        <v>Seminar</v>
      </c>
      <c r="E48" s="59" t="str">
        <f ca="1">IFERROR(__xludf.DUMMYFUNCTION("""COMPUTED_VALUE"""),"ARTIFICIAL INTELLIGENCE WORKSHOP ")</f>
        <v xml:space="preserve">ARTIFICIAL INTELLIGENCE WORKSHOP </v>
      </c>
      <c r="F48" s="59">
        <f ca="1">IFERROR(__xludf.DUMMYFUNCTION("""COMPUTED_VALUE"""),2)</f>
        <v>2</v>
      </c>
      <c r="G48" s="70">
        <f ca="1">IFERROR(__xludf.DUMMYFUNCTION("""COMPUTED_VALUE"""),43694)</f>
        <v>43694</v>
      </c>
      <c r="H48" s="70">
        <f ca="1">IFERROR(__xludf.DUMMYFUNCTION("""COMPUTED_VALUE"""),43695)</f>
        <v>43695</v>
      </c>
      <c r="I48" s="59" t="str">
        <f ca="1">IFERROR(__xludf.DUMMYFUNCTION("""COMPUTED_VALUE"""),"IIT-HYDERABAD ")</f>
        <v xml:space="preserve">IIT-HYDERABAD </v>
      </c>
      <c r="J48" s="59" t="str">
        <f ca="1">IFERROR(__xludf.DUMMYFUNCTION("""COMPUTED_VALUE"""),"KYRION TECHNOLOGIES ")</f>
        <v xml:space="preserve">KYRION TECHNOLOGIES </v>
      </c>
      <c r="K48" s="59" t="str">
        <f ca="1">IFERROR(__xludf.DUMMYFUNCTION("""COMPUTED_VALUE"""),"National")</f>
        <v>National</v>
      </c>
      <c r="L48" s="59" t="str">
        <f ca="1">IFERROR(__xludf.DUMMYFUNCTION("""COMPUTED_VALUE"""),"Paid")</f>
        <v>Paid</v>
      </c>
      <c r="M48" s="59">
        <f ca="1">IFERROR(__xludf.DUMMYFUNCTION("""COMPUTED_VALUE"""),0)</f>
        <v>0</v>
      </c>
      <c r="N48" s="71" t="str">
        <f ca="1">IFERROR(__xludf.DUMMYFUNCTION("""COMPUTED_VALUE"""),"https://drive.google.com/open?id=19Vnr-yfir3mSMfja5hULLq4nv1UtLUFs")</f>
        <v>https://drive.google.com/open?id=19Vnr-yfir3mSMfja5hULLq4nv1UtLUFs</v>
      </c>
      <c r="O48" s="59" t="str">
        <f ca="1">IFERROR(__xludf.DUMMYFUNCTION("""COMPUTED_VALUE"""),"2018-2022")</f>
        <v>2018-2022</v>
      </c>
      <c r="P48" s="59" t="str">
        <f ca="1">IFERROR(__xludf.DUMMYFUNCTION("""COMPUTED_VALUE"""),"S5: Student Workshops/Conf attended")</f>
        <v>S5: Student Workshops/Conf attended</v>
      </c>
      <c r="Q48" s="59" t="str">
        <f ca="1">IFERROR(__xludf.DUMMYFUNCTION("""COMPUTED_VALUE"""),"imdinesh26@gmail.com")</f>
        <v>imdinesh26@gmail.com</v>
      </c>
      <c r="R48" s="59" t="str">
        <f ca="1">IFERROR(__xludf.DUMMYFUNCTION("""COMPUTED_VALUE"""),"SEM-8")</f>
        <v>SEM-8</v>
      </c>
      <c r="S48" s="9"/>
      <c r="T48" s="9"/>
      <c r="U48" s="9"/>
      <c r="V48" s="9"/>
      <c r="W48" s="9"/>
      <c r="X48" s="9"/>
      <c r="Y48" s="9"/>
    </row>
    <row r="49" spans="1:25" ht="26.25" customHeight="1" x14ac:dyDescent="0.15">
      <c r="A49" s="59" t="str">
        <f ca="1">IFERROR(__xludf.DUMMYFUNCTION("""COMPUTED_VALUE"""),"Nukarapu Sai Surya Harshith ")</f>
        <v xml:space="preserve">Nukarapu Sai Surya Harshith </v>
      </c>
      <c r="B49" s="59" t="str">
        <f ca="1">IFERROR(__xludf.DUMMYFUNCTION("""COMPUTED_VALUE"""),"20331A05C8")</f>
        <v>20331A05C8</v>
      </c>
      <c r="C49" s="59" t="str">
        <f ca="1">IFERROR(__xludf.DUMMYFUNCTION("""COMPUTED_VALUE"""),"2021-2022")</f>
        <v>2021-2022</v>
      </c>
      <c r="D49" s="59" t="str">
        <f ca="1">IFERROR(__xludf.DUMMYFUNCTION("""COMPUTED_VALUE"""),"Workshop")</f>
        <v>Workshop</v>
      </c>
      <c r="E49" s="59" t="str">
        <f ca="1">IFERROR(__xludf.DUMMYFUNCTION("""COMPUTED_VALUE"""),"Workshop on data analytics using python")</f>
        <v>Workshop on data analytics using python</v>
      </c>
      <c r="F49" s="59">
        <f ca="1">IFERROR(__xludf.DUMMYFUNCTION("""COMPUTED_VALUE"""),2)</f>
        <v>2</v>
      </c>
      <c r="G49" s="70">
        <f ca="1">IFERROR(__xludf.DUMMYFUNCTION("""COMPUTED_VALUE"""),44645)</f>
        <v>44645</v>
      </c>
      <c r="H49" s="70">
        <f ca="1">IFERROR(__xludf.DUMMYFUNCTION("""COMPUTED_VALUE"""),44646)</f>
        <v>44646</v>
      </c>
      <c r="I49" s="59" t="str">
        <f ca="1">IFERROR(__xludf.DUMMYFUNCTION("""COMPUTED_VALUE"""),"JNTUGV - UCEV by Dept. Of CSE")</f>
        <v>JNTUGV - UCEV by Dept. Of CSE</v>
      </c>
      <c r="J49" s="59" t="str">
        <f ca="1">IFERROR(__xludf.DUMMYFUNCTION("""COMPUTED_VALUE"""),"Sivaramakrishna.T")</f>
        <v>Sivaramakrishna.T</v>
      </c>
      <c r="K49" s="59" t="str">
        <f ca="1">IFERROR(__xludf.DUMMYFUNCTION("""COMPUTED_VALUE"""),"State")</f>
        <v>State</v>
      </c>
      <c r="L49" s="59" t="str">
        <f ca="1">IFERROR(__xludf.DUMMYFUNCTION("""COMPUTED_VALUE"""),"Paid")</f>
        <v>Paid</v>
      </c>
      <c r="M49" s="59">
        <f ca="1">IFERROR(__xludf.DUMMYFUNCTION("""COMPUTED_VALUE"""),300)</f>
        <v>300</v>
      </c>
      <c r="N49" s="71" t="str">
        <f ca="1">IFERROR(__xludf.DUMMYFUNCTION("""COMPUTED_VALUE"""),"https://drive.google.com/open?id=1b10yQQiqJa5x-8VGCPcRG_CInB4HWbui")</f>
        <v>https://drive.google.com/open?id=1b10yQQiqJa5x-8VGCPcRG_CInB4HWbui</v>
      </c>
      <c r="O49" s="59" t="str">
        <f ca="1">IFERROR(__xludf.DUMMYFUNCTION("""COMPUTED_VALUE"""),"2020-2024")</f>
        <v>2020-2024</v>
      </c>
      <c r="P49" s="59" t="str">
        <f ca="1">IFERROR(__xludf.DUMMYFUNCTION("""COMPUTED_VALUE"""),"S5: Student Workshops/Conf attended")</f>
        <v>S5: Student Workshops/Conf attended</v>
      </c>
      <c r="Q49" s="59" t="str">
        <f ca="1">IFERROR(__xludf.DUMMYFUNCTION("""COMPUTED_VALUE"""),"harshithnukarapu210@yahoo.com")</f>
        <v>harshithnukarapu210@yahoo.com</v>
      </c>
      <c r="R49" s="59" t="str">
        <f ca="1">IFERROR(__xludf.DUMMYFUNCTION("""COMPUTED_VALUE"""),"SEM-4")</f>
        <v>SEM-4</v>
      </c>
      <c r="S49" s="9"/>
      <c r="T49" s="9"/>
      <c r="U49" s="9"/>
      <c r="V49" s="9"/>
      <c r="W49" s="9"/>
      <c r="X49" s="9"/>
      <c r="Y49" s="9"/>
    </row>
    <row r="50" spans="1:25" ht="26.25" customHeight="1" x14ac:dyDescent="0.15">
      <c r="A50" s="59" t="str">
        <f ca="1">IFERROR(__xludf.DUMMYFUNCTION("""COMPUTED_VALUE"""),"Madabathula Padma Praharshitha")</f>
        <v>Madabathula Padma Praharshitha</v>
      </c>
      <c r="B50" s="59" t="str">
        <f ca="1">IFERROR(__xludf.DUMMYFUNCTION("""COMPUTED_VALUE"""),"20331A05A3")</f>
        <v>20331A05A3</v>
      </c>
      <c r="C50" s="59" t="str">
        <f ca="1">IFERROR(__xludf.DUMMYFUNCTION("""COMPUTED_VALUE"""),"2021-2022")</f>
        <v>2021-2022</v>
      </c>
      <c r="D50" s="59" t="str">
        <f ca="1">IFERROR(__xludf.DUMMYFUNCTION("""COMPUTED_VALUE"""),"Workshop")</f>
        <v>Workshop</v>
      </c>
      <c r="E50" s="59" t="str">
        <f ca="1">IFERROR(__xludf.DUMMYFUNCTION("""COMPUTED_VALUE"""),"Workshop on data analytics using python ")</f>
        <v xml:space="preserve">Workshop on data analytics using python </v>
      </c>
      <c r="F50" s="59">
        <f ca="1">IFERROR(__xludf.DUMMYFUNCTION("""COMPUTED_VALUE"""),2)</f>
        <v>2</v>
      </c>
      <c r="G50" s="70">
        <f ca="1">IFERROR(__xludf.DUMMYFUNCTION("""COMPUTED_VALUE"""),44645)</f>
        <v>44645</v>
      </c>
      <c r="H50" s="70">
        <f ca="1">IFERROR(__xludf.DUMMYFUNCTION("""COMPUTED_VALUE"""),44646)</f>
        <v>44646</v>
      </c>
      <c r="I50" s="59" t="str">
        <f ca="1">IFERROR(__xludf.DUMMYFUNCTION("""COMPUTED_VALUE"""),"JNTUGV -UCEV by department of CSE")</f>
        <v>JNTUGV -UCEV by department of CSE</v>
      </c>
      <c r="J50" s="59" t="str">
        <f ca="1">IFERROR(__xludf.DUMMYFUNCTION("""COMPUTED_VALUE"""),"SIVARAMAKRISHNA.T")</f>
        <v>SIVARAMAKRISHNA.T</v>
      </c>
      <c r="K50" s="59" t="str">
        <f ca="1">IFERROR(__xludf.DUMMYFUNCTION("""COMPUTED_VALUE"""),"State")</f>
        <v>State</v>
      </c>
      <c r="L50" s="59" t="str">
        <f ca="1">IFERROR(__xludf.DUMMYFUNCTION("""COMPUTED_VALUE"""),"Paid")</f>
        <v>Paid</v>
      </c>
      <c r="M50" s="59">
        <f ca="1">IFERROR(__xludf.DUMMYFUNCTION("""COMPUTED_VALUE"""),300)</f>
        <v>300</v>
      </c>
      <c r="N50" s="71" t="str">
        <f ca="1">IFERROR(__xludf.DUMMYFUNCTION("""COMPUTED_VALUE"""),"https://drive.google.com/open?id=1tEBdOaI5D-hDwEhnzhVTlujb8AifOd6E")</f>
        <v>https://drive.google.com/open?id=1tEBdOaI5D-hDwEhnzhVTlujb8AifOd6E</v>
      </c>
      <c r="O50" s="59" t="str">
        <f ca="1">IFERROR(__xludf.DUMMYFUNCTION("""COMPUTED_VALUE"""),"2020-2024")</f>
        <v>2020-2024</v>
      </c>
      <c r="P50" s="59" t="str">
        <f ca="1">IFERROR(__xludf.DUMMYFUNCTION("""COMPUTED_VALUE"""),"S5: Student Workshops/Conf attended")</f>
        <v>S5: Student Workshops/Conf attended</v>
      </c>
      <c r="Q50" s="59" t="str">
        <f ca="1">IFERROR(__xludf.DUMMYFUNCTION("""COMPUTED_VALUE"""),"praharshitha210@gmail.com")</f>
        <v>praharshitha210@gmail.com</v>
      </c>
      <c r="R50" s="59" t="str">
        <f ca="1">IFERROR(__xludf.DUMMYFUNCTION("""COMPUTED_VALUE"""),"SEM-4")</f>
        <v>SEM-4</v>
      </c>
      <c r="S50" s="9"/>
      <c r="T50" s="9"/>
      <c r="U50" s="9"/>
      <c r="V50" s="9"/>
      <c r="W50" s="9"/>
      <c r="X50" s="9"/>
      <c r="Y50" s="9"/>
    </row>
    <row r="51" spans="1:25" ht="26.25" customHeight="1" x14ac:dyDescent="0.15">
      <c r="A51" s="59" t="str">
        <f ca="1">IFERROR(__xludf.DUMMYFUNCTION("""COMPUTED_VALUE"""),"Yegireddi sharmila")</f>
        <v>Yegireddi sharmila</v>
      </c>
      <c r="B51" s="59" t="str">
        <f ca="1">IFERROR(__xludf.DUMMYFUNCTION("""COMPUTED_VALUE"""),"19335A0519")</f>
        <v>19335A0519</v>
      </c>
      <c r="C51" s="59" t="str">
        <f ca="1">IFERROR(__xludf.DUMMYFUNCTION("""COMPUTED_VALUE"""),"2019-2020")</f>
        <v>2019-2020</v>
      </c>
      <c r="D51" s="59" t="str">
        <f ca="1">IFERROR(__xludf.DUMMYFUNCTION("""COMPUTED_VALUE"""),"Workshop")</f>
        <v>Workshop</v>
      </c>
      <c r="E51" s="59" t="str">
        <f ca="1">IFERROR(__xludf.DUMMYFUNCTION("""COMPUTED_VALUE"""),"Major leak hacking")</f>
        <v>Major leak hacking</v>
      </c>
      <c r="F51" s="59">
        <f ca="1">IFERROR(__xludf.DUMMYFUNCTION("""COMPUTED_VALUE"""),3)</f>
        <v>3</v>
      </c>
      <c r="G51" s="70">
        <f ca="1">IFERROR(__xludf.DUMMYFUNCTION("""COMPUTED_VALUE"""),43689)</f>
        <v>43689</v>
      </c>
      <c r="H51" s="70">
        <f ca="1">IFERROR(__xludf.DUMMYFUNCTION("""COMPUTED_VALUE"""),43691)</f>
        <v>43691</v>
      </c>
      <c r="I51" s="59" t="str">
        <f ca="1">IFERROR(__xludf.DUMMYFUNCTION("""COMPUTED_VALUE"""),"GMRIT")</f>
        <v>GMRIT</v>
      </c>
      <c r="J51" s="59" t="str">
        <f ca="1">IFERROR(__xludf.DUMMYFUNCTION("""COMPUTED_VALUE"""),"GMRIT")</f>
        <v>GMRIT</v>
      </c>
      <c r="K51" s="59" t="str">
        <f ca="1">IFERROR(__xludf.DUMMYFUNCTION("""COMPUTED_VALUE"""),"State")</f>
        <v>State</v>
      </c>
      <c r="L51" s="59" t="str">
        <f ca="1">IFERROR(__xludf.DUMMYFUNCTION("""COMPUTED_VALUE"""),"Free")</f>
        <v>Free</v>
      </c>
      <c r="M51" s="59">
        <f ca="1">IFERROR(__xludf.DUMMYFUNCTION("""COMPUTED_VALUE"""),0)</f>
        <v>0</v>
      </c>
      <c r="N51" s="71" t="str">
        <f ca="1">IFERROR(__xludf.DUMMYFUNCTION("""COMPUTED_VALUE"""),"https://drive.google.com/open?id=1KNB5mdpBylr3Sq-X6G2GSjH6Uo6pYECQ")</f>
        <v>https://drive.google.com/open?id=1KNB5mdpBylr3Sq-X6G2GSjH6Uo6pYECQ</v>
      </c>
      <c r="O51" s="59" t="str">
        <f ca="1">IFERROR(__xludf.DUMMYFUNCTION("""COMPUTED_VALUE"""),"2018-2022")</f>
        <v>2018-2022</v>
      </c>
      <c r="P51" s="59" t="str">
        <f ca="1">IFERROR(__xludf.DUMMYFUNCTION("""COMPUTED_VALUE"""),"S5: Student Workshops/Conf attended")</f>
        <v>S5: Student Workshops/Conf attended</v>
      </c>
      <c r="Q51" s="59" t="str">
        <f ca="1">IFERROR(__xludf.DUMMYFUNCTION("""COMPUTED_VALUE"""),"sharmilayegireddi@gmail.com")</f>
        <v>sharmilayegireddi@gmail.com</v>
      </c>
      <c r="R51" s="59" t="str">
        <f ca="1">IFERROR(__xludf.DUMMYFUNCTION("""COMPUTED_VALUE"""),"SEM-8")</f>
        <v>SEM-8</v>
      </c>
      <c r="S51" s="9"/>
      <c r="T51" s="9"/>
      <c r="U51" s="9"/>
      <c r="V51" s="9"/>
      <c r="W51" s="9"/>
      <c r="X51" s="9"/>
      <c r="Y51" s="9"/>
    </row>
    <row r="52" spans="1:25" ht="26.25" customHeight="1" x14ac:dyDescent="0.15">
      <c r="A52" s="59" t="str">
        <f ca="1">IFERROR(__xludf.DUMMYFUNCTION("""COMPUTED_VALUE"""),"K.Neelima")</f>
        <v>K.Neelima</v>
      </c>
      <c r="B52" s="59" t="str">
        <f ca="1">IFERROR(__xludf.DUMMYFUNCTION("""COMPUTED_VALUE"""),"19335A0508")</f>
        <v>19335A0508</v>
      </c>
      <c r="C52" s="59" t="str">
        <f ca="1">IFERROR(__xludf.DUMMYFUNCTION("""COMPUTED_VALUE"""),"2021-2022")</f>
        <v>2021-2022</v>
      </c>
      <c r="D52" s="59" t="str">
        <f ca="1">IFERROR(__xludf.DUMMYFUNCTION("""COMPUTED_VALUE"""),"Seminar")</f>
        <v>Seminar</v>
      </c>
      <c r="E52" s="59" t="str">
        <f ca="1">IFERROR(__xludf.DUMMYFUNCTION("""COMPUTED_VALUE"""),"National Intellectul Property Awareness Mision")</f>
        <v>National Intellectul Property Awareness Mision</v>
      </c>
      <c r="F52" s="59">
        <f ca="1">IFERROR(__xludf.DUMMYFUNCTION("""COMPUTED_VALUE"""),1)</f>
        <v>1</v>
      </c>
      <c r="G52" s="70">
        <f ca="1">IFERROR(__xludf.DUMMYFUNCTION("""COMPUTED_VALUE"""),44572)</f>
        <v>44572</v>
      </c>
      <c r="H52" s="70">
        <f ca="1">IFERROR(__xludf.DUMMYFUNCTION("""COMPUTED_VALUE"""),44572)</f>
        <v>44572</v>
      </c>
      <c r="I52" s="59" t="str">
        <f ca="1">IFERROR(__xludf.DUMMYFUNCTION("""COMPUTED_VALUE"""),"Intellectual Property Office, India")</f>
        <v>Intellectual Property Office, India</v>
      </c>
      <c r="J52" s="59" t="str">
        <f ca="1">IFERROR(__xludf.DUMMYFUNCTION("""COMPUTED_VALUE"""),"M. Vamsi Krishna")</f>
        <v>M. Vamsi Krishna</v>
      </c>
      <c r="K52" s="59" t="str">
        <f ca="1">IFERROR(__xludf.DUMMYFUNCTION("""COMPUTED_VALUE"""),"National")</f>
        <v>National</v>
      </c>
      <c r="L52" s="59" t="str">
        <f ca="1">IFERROR(__xludf.DUMMYFUNCTION("""COMPUTED_VALUE"""),"Free")</f>
        <v>Free</v>
      </c>
      <c r="M52" s="59"/>
      <c r="N52" s="71" t="str">
        <f ca="1">IFERROR(__xludf.DUMMYFUNCTION("""COMPUTED_VALUE"""),"https://drive.google.com/open?id=15KfSnOojoq7cgldAyhisNnYZCXghX_TB")</f>
        <v>https://drive.google.com/open?id=15KfSnOojoq7cgldAyhisNnYZCXghX_TB</v>
      </c>
      <c r="O52" s="59" t="str">
        <f ca="1">IFERROR(__xludf.DUMMYFUNCTION("""COMPUTED_VALUE"""),"2018-2022")</f>
        <v>2018-2022</v>
      </c>
      <c r="P52" s="59" t="str">
        <f ca="1">IFERROR(__xludf.DUMMYFUNCTION("""COMPUTED_VALUE"""),"S5: Student Workshops/Conf attended")</f>
        <v>S5: Student Workshops/Conf attended</v>
      </c>
      <c r="Q52" s="59" t="str">
        <f ca="1">IFERROR(__xludf.DUMMYFUNCTION("""COMPUTED_VALUE"""),"kneelima2001@gmail.com")</f>
        <v>kneelima2001@gmail.com</v>
      </c>
      <c r="R52" s="59" t="str">
        <f ca="1">IFERROR(__xludf.DUMMYFUNCTION("""COMPUTED_VALUE"""),"SEM-7")</f>
        <v>SEM-7</v>
      </c>
      <c r="S52" s="9"/>
      <c r="T52" s="9"/>
      <c r="U52" s="9"/>
      <c r="V52" s="9"/>
      <c r="W52" s="9"/>
      <c r="X52" s="9"/>
      <c r="Y52" s="9"/>
    </row>
    <row r="53" spans="1:25" ht="26.25" customHeight="1" x14ac:dyDescent="0.15">
      <c r="A53" s="59" t="str">
        <f ca="1">IFERROR(__xludf.DUMMYFUNCTION("""COMPUTED_VALUE"""),"Bogapurapu Rahul")</f>
        <v>Bogapurapu Rahul</v>
      </c>
      <c r="B53" s="59" t="str">
        <f ca="1">IFERROR(__xludf.DUMMYFUNCTION("""COMPUTED_VALUE"""),"18331A0516")</f>
        <v>18331A0516</v>
      </c>
      <c r="C53" s="59" t="str">
        <f ca="1">IFERROR(__xludf.DUMMYFUNCTION("""COMPUTED_VALUE"""),"2021-2022")</f>
        <v>2021-2022</v>
      </c>
      <c r="D53" s="59" t="str">
        <f ca="1">IFERROR(__xludf.DUMMYFUNCTION("""COMPUTED_VALUE"""),"Workshop")</f>
        <v>Workshop</v>
      </c>
      <c r="E53" s="59" t="str">
        <f ca="1">IFERROR(__xludf.DUMMYFUNCTION("""COMPUTED_VALUE"""),"Swecha Freedom Fest")</f>
        <v>Swecha Freedom Fest</v>
      </c>
      <c r="F53" s="59">
        <f ca="1">IFERROR(__xludf.DUMMYFUNCTION("""COMPUTED_VALUE"""),2)</f>
        <v>2</v>
      </c>
      <c r="G53" s="70">
        <f ca="1">IFERROR(__xludf.DUMMYFUNCTION("""COMPUTED_VALUE"""),43505)</f>
        <v>43505</v>
      </c>
      <c r="H53" s="70">
        <f ca="1">IFERROR(__xludf.DUMMYFUNCTION("""COMPUTED_VALUE"""),43506)</f>
        <v>43506</v>
      </c>
      <c r="I53" s="59" t="str">
        <f ca="1">IFERROR(__xludf.DUMMYFUNCTION("""COMPUTED_VALUE"""),"Mvgr college of Engineering")</f>
        <v>Mvgr college of Engineering</v>
      </c>
      <c r="J53" s="59" t="str">
        <f ca="1">IFERROR(__xludf.DUMMYFUNCTION("""COMPUTED_VALUE"""),"B vamsi krishna")</f>
        <v>B vamsi krishna</v>
      </c>
      <c r="K53" s="59" t="str">
        <f ca="1">IFERROR(__xludf.DUMMYFUNCTION("""COMPUTED_VALUE"""),"State")</f>
        <v>State</v>
      </c>
      <c r="L53" s="59" t="str">
        <f ca="1">IFERROR(__xludf.DUMMYFUNCTION("""COMPUTED_VALUE"""),"Paid")</f>
        <v>Paid</v>
      </c>
      <c r="M53" s="59">
        <f ca="1">IFERROR(__xludf.DUMMYFUNCTION("""COMPUTED_VALUE"""),300)</f>
        <v>300</v>
      </c>
      <c r="N53" s="71" t="str">
        <f ca="1">IFERROR(__xludf.DUMMYFUNCTION("""COMPUTED_VALUE"""),"https://drive.google.com/open?id=165gm2cIFcNxj5zaOUv4C6bN2YlDlYYeR")</f>
        <v>https://drive.google.com/open?id=165gm2cIFcNxj5zaOUv4C6bN2YlDlYYeR</v>
      </c>
      <c r="O53" s="59" t="str">
        <f ca="1">IFERROR(__xludf.DUMMYFUNCTION("""COMPUTED_VALUE"""),"2018-2022")</f>
        <v>2018-2022</v>
      </c>
      <c r="P53" s="59" t="str">
        <f ca="1">IFERROR(__xludf.DUMMYFUNCTION("""COMPUTED_VALUE"""),"S5: Student Workshops/Conf attended")</f>
        <v>S5: Student Workshops/Conf attended</v>
      </c>
      <c r="Q53" s="59" t="str">
        <f ca="1">IFERROR(__xludf.DUMMYFUNCTION("""COMPUTED_VALUE"""),"rrahul94772@gmail.com")</f>
        <v>rrahul94772@gmail.com</v>
      </c>
      <c r="R53" s="59" t="str">
        <f ca="1">IFERROR(__xludf.DUMMYFUNCTION("""COMPUTED_VALUE"""),"SEM-8")</f>
        <v>SEM-8</v>
      </c>
      <c r="S53" s="9"/>
      <c r="T53" s="9"/>
      <c r="U53" s="9"/>
      <c r="V53" s="9"/>
      <c r="W53" s="9"/>
      <c r="X53" s="9"/>
      <c r="Y53" s="9"/>
    </row>
    <row r="54" spans="1:25" ht="26.25" customHeight="1" x14ac:dyDescent="0.15">
      <c r="A54" s="59" t="str">
        <f ca="1">IFERROR(__xludf.DUMMYFUNCTION("""COMPUTED_VALUE"""),"Gorle Shri Aiswarya")</f>
        <v>Gorle Shri Aiswarya</v>
      </c>
      <c r="B54" s="59" t="str">
        <f ca="1">IFERROR(__xludf.DUMMYFUNCTION("""COMPUTED_VALUE"""),"18331A0549")</f>
        <v>18331A0549</v>
      </c>
      <c r="C54" s="59" t="str">
        <f ca="1">IFERROR(__xludf.DUMMYFUNCTION("""COMPUTED_VALUE"""),"2021-2022")</f>
        <v>2021-2022</v>
      </c>
      <c r="D54" s="59" t="str">
        <f ca="1">IFERROR(__xludf.DUMMYFUNCTION("""COMPUTED_VALUE"""),"Seminar")</f>
        <v>Seminar</v>
      </c>
      <c r="E54" s="59" t="str">
        <f ca="1">IFERROR(__xludf.DUMMYFUNCTION("""COMPUTED_VALUE"""),"Copyright")</f>
        <v>Copyright</v>
      </c>
      <c r="F54" s="59">
        <f ca="1">IFERROR(__xludf.DUMMYFUNCTION("""COMPUTED_VALUE"""),1)</f>
        <v>1</v>
      </c>
      <c r="G54" s="70">
        <f ca="1">IFERROR(__xludf.DUMMYFUNCTION("""COMPUTED_VALUE"""),44292)</f>
        <v>44292</v>
      </c>
      <c r="H54" s="70">
        <f ca="1">IFERROR(__xludf.DUMMYFUNCTION("""COMPUTED_VALUE"""),44292)</f>
        <v>44292</v>
      </c>
      <c r="I54" s="59" t="str">
        <f ca="1">IFERROR(__xludf.DUMMYFUNCTION("""COMPUTED_VALUE"""),"Intellectual Property Rights (IPRs)-Trademarks and Copyrights")</f>
        <v>Intellectual Property Rights (IPRs)-Trademarks and Copyrights</v>
      </c>
      <c r="J54" s="59" t="str">
        <f ca="1">IFERROR(__xludf.DUMMYFUNCTION("""COMPUTED_VALUE"""),"1. Dr. Dayanada Murthy C P director,Academic Affairs and Research,DSNLU
2. Dr. B.K Sahu,Regional Manager and Officer Incharge IPFC&amp; TISC,NRDC,GOVT OF INDIA.
3. Shri. Ravi Gadde,Joint Director,MSME Development Institute,Visakhapatnam.
4. G.V.R. Naidu,Asst."&amp;" Director, MSME Development Institute,Visakhapatnam.
5. Shri. Satish Kumar,Asst.DirectorIPR Cell,O/o DC(MSME),New Delhi.
6. Dr.R.Ramesh,Dean R&amp;D,MVGR College of Engineering,Vizianagaram")</f>
        <v>1. Dr. Dayanada Murthy C P director,Academic Affairs and Research,DSNLU
2. Dr. B.K Sahu,Regional Manager and Officer Incharge IPFC&amp; TISC,NRDC,GOVT OF INDIA.
3. Shri. Ravi Gadde,Joint Director,MSME Development Institute,Visakhapatnam.
4. G.V.R. Naidu,Asst. Director, MSME Development Institute,Visakhapatnam.
5. Shri. Satish Kumar,Asst.DirectorIPR Cell,O/o DC(MSME),New Delhi.
6. Dr.R.Ramesh,Dean R&amp;D,MVGR College of Engineering,Vizianagaram</v>
      </c>
      <c r="K54" s="59" t="str">
        <f ca="1">IFERROR(__xludf.DUMMYFUNCTION("""COMPUTED_VALUE"""),"National")</f>
        <v>National</v>
      </c>
      <c r="L54" s="59" t="str">
        <f ca="1">IFERROR(__xludf.DUMMYFUNCTION("""COMPUTED_VALUE"""),"Paid")</f>
        <v>Paid</v>
      </c>
      <c r="M54" s="59">
        <f ca="1">IFERROR(__xludf.DUMMYFUNCTION("""COMPUTED_VALUE"""),0)</f>
        <v>0</v>
      </c>
      <c r="N54" s="71" t="str">
        <f ca="1">IFERROR(__xludf.DUMMYFUNCTION("""COMPUTED_VALUE"""),"https://drive.google.com/open?id=1N7m8oEXhRnGzxG2-xw3itirH2SvkA6r9")</f>
        <v>https://drive.google.com/open?id=1N7m8oEXhRnGzxG2-xw3itirH2SvkA6r9</v>
      </c>
      <c r="O54" s="59" t="str">
        <f ca="1">IFERROR(__xludf.DUMMYFUNCTION("""COMPUTED_VALUE"""),"2018-2022")</f>
        <v>2018-2022</v>
      </c>
      <c r="P54" s="59" t="str">
        <f ca="1">IFERROR(__xludf.DUMMYFUNCTION("""COMPUTED_VALUE"""),"S5: Student Workshops/Conf attended")</f>
        <v>S5: Student Workshops/Conf attended</v>
      </c>
      <c r="Q54" s="59" t="str">
        <f ca="1">IFERROR(__xludf.DUMMYFUNCTION("""COMPUTED_VALUE"""),"aiswarya15112000@gmail.com")</f>
        <v>aiswarya15112000@gmail.com</v>
      </c>
      <c r="R54" s="59" t="str">
        <f ca="1">IFERROR(__xludf.DUMMYFUNCTION("""COMPUTED_VALUE"""),"SEM-8")</f>
        <v>SEM-8</v>
      </c>
      <c r="S54" s="9"/>
      <c r="T54" s="9"/>
      <c r="U54" s="9"/>
      <c r="V54" s="9"/>
      <c r="W54" s="9"/>
      <c r="X54" s="9"/>
      <c r="Y54" s="9"/>
    </row>
    <row r="55" spans="1:25" ht="26.25" customHeight="1" x14ac:dyDescent="0.15">
      <c r="A55" s="59" t="str">
        <f ca="1">IFERROR(__xludf.DUMMYFUNCTION("""COMPUTED_VALUE"""),"Gorle Shri Aiswarya")</f>
        <v>Gorle Shri Aiswarya</v>
      </c>
      <c r="B55" s="59" t="str">
        <f ca="1">IFERROR(__xludf.DUMMYFUNCTION("""COMPUTED_VALUE"""),"18331A0549")</f>
        <v>18331A0549</v>
      </c>
      <c r="C55" s="59" t="str">
        <f ca="1">IFERROR(__xludf.DUMMYFUNCTION("""COMPUTED_VALUE"""),"2020-2021")</f>
        <v>2020-2021</v>
      </c>
      <c r="D55" s="59" t="str">
        <f ca="1">IFERROR(__xludf.DUMMYFUNCTION("""COMPUTED_VALUE"""),"Workshop")</f>
        <v>Workshop</v>
      </c>
      <c r="E55" s="59" t="str">
        <f ca="1">IFERROR(__xludf.DUMMYFUNCTION("""COMPUTED_VALUE"""),"Angular Js to develop web apps faster")</f>
        <v>Angular Js to develop web apps faster</v>
      </c>
      <c r="F55" s="59">
        <f ca="1">IFERROR(__xludf.DUMMYFUNCTION("""COMPUTED_VALUE"""),1)</f>
        <v>1</v>
      </c>
      <c r="G55" s="70">
        <f ca="1">IFERROR(__xludf.DUMMYFUNCTION("""COMPUTED_VALUE"""),44008)</f>
        <v>44008</v>
      </c>
      <c r="H55" s="70">
        <f ca="1">IFERROR(__xludf.DUMMYFUNCTION("""COMPUTED_VALUE"""),44008)</f>
        <v>44008</v>
      </c>
      <c r="I55" s="59" t="str">
        <f ca="1">IFERROR(__xludf.DUMMYFUNCTION("""COMPUTED_VALUE"""),"BRAIN O VISION")</f>
        <v>BRAIN O VISION</v>
      </c>
      <c r="J55" s="59" t="str">
        <f ca="1">IFERROR(__xludf.DUMMYFUNCTION("""COMPUTED_VALUE"""),"1. Dr. Datchana Moorthy Ramu
2. Dr. V. Nagesh
3. Ganesh Nag Doddi")</f>
        <v>1. Dr. Datchana Moorthy Ramu
2. Dr. V. Nagesh
3. Ganesh Nag Doddi</v>
      </c>
      <c r="K55" s="59" t="str">
        <f ca="1">IFERROR(__xludf.DUMMYFUNCTION("""COMPUTED_VALUE"""),"International")</f>
        <v>International</v>
      </c>
      <c r="L55" s="59" t="str">
        <f ca="1">IFERROR(__xludf.DUMMYFUNCTION("""COMPUTED_VALUE"""),"Free")</f>
        <v>Free</v>
      </c>
      <c r="M55" s="59"/>
      <c r="N55" s="71" t="str">
        <f ca="1">IFERROR(__xludf.DUMMYFUNCTION("""COMPUTED_VALUE"""),"https://drive.google.com/open?id=1IrAvW02zQnWaBoFjCxeNvfNtAZnO5_n7")</f>
        <v>https://drive.google.com/open?id=1IrAvW02zQnWaBoFjCxeNvfNtAZnO5_n7</v>
      </c>
      <c r="O55" s="59" t="str">
        <f ca="1">IFERROR(__xludf.DUMMYFUNCTION("""COMPUTED_VALUE"""),"2018-2022")</f>
        <v>2018-2022</v>
      </c>
      <c r="P55" s="59" t="str">
        <f ca="1">IFERROR(__xludf.DUMMYFUNCTION("""COMPUTED_VALUE"""),"S5: Student Workshops/Conf attended")</f>
        <v>S5: Student Workshops/Conf attended</v>
      </c>
      <c r="Q55" s="59" t="str">
        <f ca="1">IFERROR(__xludf.DUMMYFUNCTION("""COMPUTED_VALUE"""),"aiswarya15112000@gmail.com")</f>
        <v>aiswarya15112000@gmail.com</v>
      </c>
      <c r="R55" s="59" t="str">
        <f ca="1">IFERROR(__xludf.DUMMYFUNCTION("""COMPUTED_VALUE"""),"SEM-8")</f>
        <v>SEM-8</v>
      </c>
      <c r="S55" s="9"/>
      <c r="T55" s="9"/>
      <c r="U55" s="9"/>
      <c r="V55" s="9"/>
      <c r="W55" s="9"/>
      <c r="X55" s="9"/>
      <c r="Y55" s="9"/>
    </row>
    <row r="56" spans="1:25" ht="26.25" customHeight="1" x14ac:dyDescent="0.15">
      <c r="A56" s="59" t="str">
        <f ca="1">IFERROR(__xludf.DUMMYFUNCTION("""COMPUTED_VALUE"""),"Gorle Shri Aiswarya")</f>
        <v>Gorle Shri Aiswarya</v>
      </c>
      <c r="B56" s="59" t="str">
        <f ca="1">IFERROR(__xludf.DUMMYFUNCTION("""COMPUTED_VALUE"""),"18331A0549")</f>
        <v>18331A0549</v>
      </c>
      <c r="C56" s="59" t="str">
        <f ca="1">IFERROR(__xludf.DUMMYFUNCTION("""COMPUTED_VALUE"""),"2021-2022")</f>
        <v>2021-2022</v>
      </c>
      <c r="D56" s="59" t="str">
        <f ca="1">IFERROR(__xludf.DUMMYFUNCTION("""COMPUTED_VALUE"""),"Workshop")</f>
        <v>Workshop</v>
      </c>
      <c r="E56" s="59" t="str">
        <f ca="1">IFERROR(__xludf.DUMMYFUNCTION("""COMPUTED_VALUE"""),"React Js")</f>
        <v>React Js</v>
      </c>
      <c r="F56" s="59">
        <f ca="1">IFERROR(__xludf.DUMMYFUNCTION("""COMPUTED_VALUE"""),5)</f>
        <v>5</v>
      </c>
      <c r="G56" s="70">
        <f ca="1">IFERROR(__xludf.DUMMYFUNCTION("""COMPUTED_VALUE"""),44379)</f>
        <v>44379</v>
      </c>
      <c r="H56" s="70">
        <f ca="1">IFERROR(__xludf.DUMMYFUNCTION("""COMPUTED_VALUE"""),44387)</f>
        <v>44387</v>
      </c>
      <c r="I56" s="59" t="str">
        <f ca="1">IFERROR(__xludf.DUMMYFUNCTION("""COMPUTED_VALUE"""),"BRAIN O VISION")</f>
        <v>BRAIN O VISION</v>
      </c>
      <c r="J56" s="59" t="str">
        <f ca="1">IFERROR(__xludf.DUMMYFUNCTION("""COMPUTED_VALUE"""),"Dr. Datachana Murthy
Ganesh Nag Doddi
Dr.S.N.Tirumala Rao
Dr.M.Sreenivasa Kumar")</f>
        <v>Dr. Datachana Murthy
Ganesh Nag Doddi
Dr.S.N.Tirumala Rao
Dr.M.Sreenivasa Kumar</v>
      </c>
      <c r="K56" s="59" t="str">
        <f ca="1">IFERROR(__xludf.DUMMYFUNCTION("""COMPUTED_VALUE"""),"National")</f>
        <v>National</v>
      </c>
      <c r="L56" s="59" t="str">
        <f ca="1">IFERROR(__xludf.DUMMYFUNCTION("""COMPUTED_VALUE"""),"Free")</f>
        <v>Free</v>
      </c>
      <c r="M56" s="59"/>
      <c r="N56" s="71" t="str">
        <f ca="1">IFERROR(__xludf.DUMMYFUNCTION("""COMPUTED_VALUE"""),"https://drive.google.com/open?id=1JTnzJnLZbGd66fe_TL_fryOq94tevmAZ")</f>
        <v>https://drive.google.com/open?id=1JTnzJnLZbGd66fe_TL_fryOq94tevmAZ</v>
      </c>
      <c r="O56" s="59" t="str">
        <f ca="1">IFERROR(__xludf.DUMMYFUNCTION("""COMPUTED_VALUE"""),"2018-2022")</f>
        <v>2018-2022</v>
      </c>
      <c r="P56" s="59" t="str">
        <f ca="1">IFERROR(__xludf.DUMMYFUNCTION("""COMPUTED_VALUE"""),"S5: Student Workshops/Conf attended")</f>
        <v>S5: Student Workshops/Conf attended</v>
      </c>
      <c r="Q56" s="59" t="str">
        <f ca="1">IFERROR(__xludf.DUMMYFUNCTION("""COMPUTED_VALUE"""),"aiswarya15112000@gmail.com")</f>
        <v>aiswarya15112000@gmail.com</v>
      </c>
      <c r="R56" s="59" t="str">
        <f ca="1">IFERROR(__xludf.DUMMYFUNCTION("""COMPUTED_VALUE"""),"SEM-8")</f>
        <v>SEM-8</v>
      </c>
      <c r="S56" s="9"/>
      <c r="T56" s="9"/>
      <c r="U56" s="9"/>
      <c r="V56" s="9"/>
      <c r="W56" s="9"/>
      <c r="X56" s="9"/>
      <c r="Y56" s="9"/>
    </row>
    <row r="57" spans="1:25" ht="26.25" customHeight="1" x14ac:dyDescent="0.15">
      <c r="A57" s="59" t="str">
        <f ca="1">IFERROR(__xludf.DUMMYFUNCTION("""COMPUTED_VALUE"""),"MUKHEE JYOTHSNA")</f>
        <v>MUKHEE JYOTHSNA</v>
      </c>
      <c r="B57" s="59" t="str">
        <f ca="1">IFERROR(__xludf.DUMMYFUNCTION("""COMPUTED_VALUE"""),"18331A05A2")</f>
        <v>18331A05A2</v>
      </c>
      <c r="C57" s="59" t="str">
        <f ca="1">IFERROR(__xludf.DUMMYFUNCTION("""COMPUTED_VALUE"""),"2021-2022")</f>
        <v>2021-2022</v>
      </c>
      <c r="D57" s="59" t="str">
        <f ca="1">IFERROR(__xludf.DUMMYFUNCTION("""COMPUTED_VALUE"""),"Workshop")</f>
        <v>Workshop</v>
      </c>
      <c r="E57" s="59" t="str">
        <f ca="1">IFERROR(__xludf.DUMMYFUNCTION("""COMPUTED_VALUE"""),"Machine Learning With Python")</f>
        <v>Machine Learning With Python</v>
      </c>
      <c r="F57" s="59">
        <f ca="1">IFERROR(__xludf.DUMMYFUNCTION("""COMPUTED_VALUE"""),20)</f>
        <v>20</v>
      </c>
      <c r="G57" s="70">
        <f ca="1">IFERROR(__xludf.DUMMYFUNCTION("""COMPUTED_VALUE"""),44354)</f>
        <v>44354</v>
      </c>
      <c r="H57" s="70">
        <f ca="1">IFERROR(__xludf.DUMMYFUNCTION("""COMPUTED_VALUE"""),44373)</f>
        <v>44373</v>
      </c>
      <c r="I57" s="59" t="str">
        <f ca="1">IFERROR(__xludf.DUMMYFUNCTION("""COMPUTED_VALUE"""),"APSSDC")</f>
        <v>APSSDC</v>
      </c>
      <c r="J57" s="59" t="str">
        <f ca="1">IFERROR(__xludf.DUMMYFUNCTION("""COMPUTED_VALUE"""),"College")</f>
        <v>College</v>
      </c>
      <c r="K57" s="59" t="str">
        <f ca="1">IFERROR(__xludf.DUMMYFUNCTION("""COMPUTED_VALUE"""),"State")</f>
        <v>State</v>
      </c>
      <c r="L57" s="59" t="str">
        <f ca="1">IFERROR(__xludf.DUMMYFUNCTION("""COMPUTED_VALUE"""),"Paid")</f>
        <v>Paid</v>
      </c>
      <c r="M57" s="59">
        <f ca="1">IFERROR(__xludf.DUMMYFUNCTION("""COMPUTED_VALUE"""),200)</f>
        <v>200</v>
      </c>
      <c r="N57" s="71" t="str">
        <f ca="1">IFERROR(__xludf.DUMMYFUNCTION("""COMPUTED_VALUE"""),"https://drive.google.com/open?id=16x3z72xdhCk6YK9A67W_yXtuyx05bPN1")</f>
        <v>https://drive.google.com/open?id=16x3z72xdhCk6YK9A67W_yXtuyx05bPN1</v>
      </c>
      <c r="O57" s="59" t="str">
        <f ca="1">IFERROR(__xludf.DUMMYFUNCTION("""COMPUTED_VALUE"""),"2018-2022")</f>
        <v>2018-2022</v>
      </c>
      <c r="P57" s="59" t="str">
        <f ca="1">IFERROR(__xludf.DUMMYFUNCTION("""COMPUTED_VALUE"""),"S5: Student Workshops/Conf attended")</f>
        <v>S5: Student Workshops/Conf attended</v>
      </c>
      <c r="Q57" s="59" t="str">
        <f ca="1">IFERROR(__xludf.DUMMYFUNCTION("""COMPUTED_VALUE"""),"jyothsnamukhee03@gmail.com")</f>
        <v>jyothsnamukhee03@gmail.com</v>
      </c>
      <c r="R57" s="59" t="str">
        <f ca="1">IFERROR(__xludf.DUMMYFUNCTION("""COMPUTED_VALUE"""),"SEM-8")</f>
        <v>SEM-8</v>
      </c>
      <c r="S57" s="9"/>
      <c r="T57" s="9"/>
      <c r="U57" s="9"/>
      <c r="V57" s="9"/>
      <c r="W57" s="9"/>
      <c r="X57" s="9"/>
      <c r="Y57" s="9"/>
    </row>
    <row r="58" spans="1:25" ht="26.25" customHeight="1" x14ac:dyDescent="0.15">
      <c r="A58" s="59" t="str">
        <f ca="1">IFERROR(__xludf.DUMMYFUNCTION("""COMPUTED_VALUE"""),"B.Himavarsha")</f>
        <v>B.Himavarsha</v>
      </c>
      <c r="B58" s="59" t="str">
        <f ca="1">IFERROR(__xludf.DUMMYFUNCTION("""COMPUTED_VALUE"""),"18331A0509")</f>
        <v>18331A0509</v>
      </c>
      <c r="C58" s="59" t="str">
        <f ca="1">IFERROR(__xludf.DUMMYFUNCTION("""COMPUTED_VALUE"""),"2021-2022")</f>
        <v>2021-2022</v>
      </c>
      <c r="D58" s="59" t="str">
        <f ca="1">IFERROR(__xludf.DUMMYFUNCTION("""COMPUTED_VALUE"""),"Workshop")</f>
        <v>Workshop</v>
      </c>
      <c r="E58" s="59" t="str">
        <f ca="1">IFERROR(__xludf.DUMMYFUNCTION("""COMPUTED_VALUE"""),"WAC workshop")</f>
        <v>WAC workshop</v>
      </c>
      <c r="F58" s="59">
        <f ca="1">IFERROR(__xludf.DUMMYFUNCTION("""COMPUTED_VALUE"""),2)</f>
        <v>2</v>
      </c>
      <c r="G58" s="70">
        <f ca="1">IFERROR(__xludf.DUMMYFUNCTION("""COMPUTED_VALUE"""),43694)</f>
        <v>43694</v>
      </c>
      <c r="H58" s="70">
        <f ca="1">IFERROR(__xludf.DUMMYFUNCTION("""COMPUTED_VALUE"""),43695)</f>
        <v>43695</v>
      </c>
      <c r="I58" s="59" t="str">
        <f ca="1">IFERROR(__xludf.DUMMYFUNCTION("""COMPUTED_VALUE"""),"IIT Hyderabad")</f>
        <v>IIT Hyderabad</v>
      </c>
      <c r="J58" s="59" t="str">
        <f ca="1">IFERROR(__xludf.DUMMYFUNCTION("""COMPUTED_VALUE"""),"Sujata mehta")</f>
        <v>Sujata mehta</v>
      </c>
      <c r="K58" s="59" t="str">
        <f ca="1">IFERROR(__xludf.DUMMYFUNCTION("""COMPUTED_VALUE"""),"State")</f>
        <v>State</v>
      </c>
      <c r="L58" s="59" t="str">
        <f ca="1">IFERROR(__xludf.DUMMYFUNCTION("""COMPUTED_VALUE"""),"Free")</f>
        <v>Free</v>
      </c>
      <c r="M58" s="59"/>
      <c r="N58" s="71" t="str">
        <f ca="1">IFERROR(__xludf.DUMMYFUNCTION("""COMPUTED_VALUE"""),"https://drive.google.com/open?id=1skgTASfCSWO8hGQPc6u4CIRldHi6rvWf")</f>
        <v>https://drive.google.com/open?id=1skgTASfCSWO8hGQPc6u4CIRldHi6rvWf</v>
      </c>
      <c r="O58" s="59" t="str">
        <f ca="1">IFERROR(__xludf.DUMMYFUNCTION("""COMPUTED_VALUE"""),"2018-2022")</f>
        <v>2018-2022</v>
      </c>
      <c r="P58" s="59" t="str">
        <f ca="1">IFERROR(__xludf.DUMMYFUNCTION("""COMPUTED_VALUE"""),"S5: Student Workshops/Conf attended")</f>
        <v>S5: Student Workshops/Conf attended</v>
      </c>
      <c r="Q58" s="59" t="str">
        <f ca="1">IFERROR(__xludf.DUMMYFUNCTION("""COMPUTED_VALUE"""),"varuhima20@gmail.com")</f>
        <v>varuhima20@gmail.com</v>
      </c>
      <c r="R58" s="59" t="str">
        <f ca="1">IFERROR(__xludf.DUMMYFUNCTION("""COMPUTED_VALUE"""),"SEM-8")</f>
        <v>SEM-8</v>
      </c>
      <c r="S58" s="9"/>
      <c r="T58" s="9"/>
      <c r="U58" s="9"/>
      <c r="V58" s="9"/>
      <c r="W58" s="9"/>
      <c r="X58" s="9"/>
      <c r="Y58" s="9"/>
    </row>
    <row r="59" spans="1:25" ht="26.25" customHeight="1" x14ac:dyDescent="0.15">
      <c r="A59" s="59" t="str">
        <f ca="1">IFERROR(__xludf.DUMMYFUNCTION("""COMPUTED_VALUE"""),"MUKHEE JYOTHSNA")</f>
        <v>MUKHEE JYOTHSNA</v>
      </c>
      <c r="B59" s="59" t="str">
        <f ca="1">IFERROR(__xludf.DUMMYFUNCTION("""COMPUTED_VALUE"""),"18331A05A2")</f>
        <v>18331A05A2</v>
      </c>
      <c r="C59" s="59" t="str">
        <f ca="1">IFERROR(__xludf.DUMMYFUNCTION("""COMPUTED_VALUE"""),"2021-2022")</f>
        <v>2021-2022</v>
      </c>
      <c r="D59" s="59" t="str">
        <f ca="1">IFERROR(__xludf.DUMMYFUNCTION("""COMPUTED_VALUE"""),"Workshop")</f>
        <v>Workshop</v>
      </c>
      <c r="E59" s="59" t="str">
        <f ca="1">IFERROR(__xludf.DUMMYFUNCTION("""COMPUTED_VALUE"""),"Implement OOPS using JAVA with Data Structures and Beyond")</f>
        <v>Implement OOPS using JAVA with Data Structures and Beyond</v>
      </c>
      <c r="F59" s="59">
        <f ca="1">IFERROR(__xludf.DUMMYFUNCTION("""COMPUTED_VALUE"""),15)</f>
        <v>15</v>
      </c>
      <c r="G59" s="70">
        <f ca="1">IFERROR(__xludf.DUMMYFUNCTION("""COMPUTED_VALUE"""),44627)</f>
        <v>44627</v>
      </c>
      <c r="H59" s="70">
        <f ca="1">IFERROR(__xludf.DUMMYFUNCTION("""COMPUTED_VALUE"""),44642)</f>
        <v>44642</v>
      </c>
      <c r="I59" s="59" t="str">
        <f ca="1">IFERROR(__xludf.DUMMYFUNCTION("""COMPUTED_VALUE"""),"Simplilearn")</f>
        <v>Simplilearn</v>
      </c>
      <c r="J59" s="59" t="str">
        <f ca="1">IFERROR(__xludf.DUMMYFUNCTION("""COMPUTED_VALUE"""),"College")</f>
        <v>College</v>
      </c>
      <c r="K59" s="59" t="str">
        <f ca="1">IFERROR(__xludf.DUMMYFUNCTION("""COMPUTED_VALUE"""),"National")</f>
        <v>National</v>
      </c>
      <c r="L59" s="59" t="str">
        <f ca="1">IFERROR(__xludf.DUMMYFUNCTION("""COMPUTED_VALUE"""),"Free")</f>
        <v>Free</v>
      </c>
      <c r="M59" s="59"/>
      <c r="N59" s="71" t="str">
        <f ca="1">IFERROR(__xludf.DUMMYFUNCTION("""COMPUTED_VALUE"""),"https://drive.google.com/open?id=1JKiX_JHVCRcuVNSyJyJaAbmdcYd1jhGE")</f>
        <v>https://drive.google.com/open?id=1JKiX_JHVCRcuVNSyJyJaAbmdcYd1jhGE</v>
      </c>
      <c r="O59" s="59" t="str">
        <f ca="1">IFERROR(__xludf.DUMMYFUNCTION("""COMPUTED_VALUE"""),"2018-2022")</f>
        <v>2018-2022</v>
      </c>
      <c r="P59" s="59" t="str">
        <f ca="1">IFERROR(__xludf.DUMMYFUNCTION("""COMPUTED_VALUE"""),"S5: Student Workshops/Conf attended")</f>
        <v>S5: Student Workshops/Conf attended</v>
      </c>
      <c r="Q59" s="59" t="str">
        <f ca="1">IFERROR(__xludf.DUMMYFUNCTION("""COMPUTED_VALUE"""),"jyothsnamukhee03@gmail.com")</f>
        <v>jyothsnamukhee03@gmail.com</v>
      </c>
      <c r="R59" s="59" t="str">
        <f ca="1">IFERROR(__xludf.DUMMYFUNCTION("""COMPUTED_VALUE"""),"SEM-8")</f>
        <v>SEM-8</v>
      </c>
      <c r="S59" s="9"/>
      <c r="T59" s="9"/>
      <c r="U59" s="9"/>
      <c r="V59" s="9"/>
      <c r="W59" s="9"/>
      <c r="X59" s="9"/>
      <c r="Y59" s="9"/>
    </row>
    <row r="60" spans="1:25" ht="26.25" customHeight="1" x14ac:dyDescent="0.15">
      <c r="A60" s="59" t="str">
        <f ca="1">IFERROR(__xludf.DUMMYFUNCTION("""COMPUTED_VALUE"""),"MUKHEE JYOTHSNA")</f>
        <v>MUKHEE JYOTHSNA</v>
      </c>
      <c r="B60" s="59" t="str">
        <f ca="1">IFERROR(__xludf.DUMMYFUNCTION("""COMPUTED_VALUE"""),"18331A05A2")</f>
        <v>18331A05A2</v>
      </c>
      <c r="C60" s="59" t="str">
        <f ca="1">IFERROR(__xludf.DUMMYFUNCTION("""COMPUTED_VALUE"""),"2021-2022")</f>
        <v>2021-2022</v>
      </c>
      <c r="D60" s="59" t="str">
        <f ca="1">IFERROR(__xludf.DUMMYFUNCTION("""COMPUTED_VALUE"""),"Workshop")</f>
        <v>Workshop</v>
      </c>
      <c r="E60" s="59" t="str">
        <f ca="1">IFERROR(__xludf.DUMMYFUNCTION("""COMPUTED_VALUE"""),"Implement OOPS using JAVA with Data Structures and Beyond")</f>
        <v>Implement OOPS using JAVA with Data Structures and Beyond</v>
      </c>
      <c r="F60" s="59">
        <f ca="1">IFERROR(__xludf.DUMMYFUNCTION("""COMPUTED_VALUE"""),15)</f>
        <v>15</v>
      </c>
      <c r="G60" s="70">
        <f ca="1">IFERROR(__xludf.DUMMYFUNCTION("""COMPUTED_VALUE"""),44643)</f>
        <v>44643</v>
      </c>
      <c r="H60" s="70">
        <f ca="1">IFERROR(__xludf.DUMMYFUNCTION("""COMPUTED_VALUE"""),44657)</f>
        <v>44657</v>
      </c>
      <c r="I60" s="59" t="str">
        <f ca="1">IFERROR(__xludf.DUMMYFUNCTION("""COMPUTED_VALUE"""),"Simplilearn")</f>
        <v>Simplilearn</v>
      </c>
      <c r="J60" s="59" t="str">
        <f ca="1">IFERROR(__xludf.DUMMYFUNCTION("""COMPUTED_VALUE"""),"College")</f>
        <v>College</v>
      </c>
      <c r="K60" s="59" t="str">
        <f ca="1">IFERROR(__xludf.DUMMYFUNCTION("""COMPUTED_VALUE"""),"National")</f>
        <v>National</v>
      </c>
      <c r="L60" s="59" t="str">
        <f ca="1">IFERROR(__xludf.DUMMYFUNCTION("""COMPUTED_VALUE"""),"Free")</f>
        <v>Free</v>
      </c>
      <c r="M60" s="59"/>
      <c r="N60" s="71" t="str">
        <f ca="1">IFERROR(__xludf.DUMMYFUNCTION("""COMPUTED_VALUE"""),"https://drive.google.com/open?id=1-YPdD-Vl_sybYqQmOafz3bTBgBWsgVDU")</f>
        <v>https://drive.google.com/open?id=1-YPdD-Vl_sybYqQmOafz3bTBgBWsgVDU</v>
      </c>
      <c r="O60" s="59" t="str">
        <f ca="1">IFERROR(__xludf.DUMMYFUNCTION("""COMPUTED_VALUE"""),"2018-2022")</f>
        <v>2018-2022</v>
      </c>
      <c r="P60" s="59" t="str">
        <f ca="1">IFERROR(__xludf.DUMMYFUNCTION("""COMPUTED_VALUE"""),"S5: Student Workshops/Conf attended")</f>
        <v>S5: Student Workshops/Conf attended</v>
      </c>
      <c r="Q60" s="59" t="str">
        <f ca="1">IFERROR(__xludf.DUMMYFUNCTION("""COMPUTED_VALUE"""),"jyothsnamukhee03@gmail.com")</f>
        <v>jyothsnamukhee03@gmail.com</v>
      </c>
      <c r="R60" s="59" t="str">
        <f ca="1">IFERROR(__xludf.DUMMYFUNCTION("""COMPUTED_VALUE"""),"SEM-8")</f>
        <v>SEM-8</v>
      </c>
      <c r="S60" s="9"/>
      <c r="T60" s="9"/>
      <c r="U60" s="9"/>
      <c r="V60" s="9"/>
      <c r="W60" s="9"/>
      <c r="X60" s="9"/>
      <c r="Y60" s="9"/>
    </row>
    <row r="61" spans="1:25" ht="26.25" customHeight="1" x14ac:dyDescent="0.15">
      <c r="A61" s="59" t="str">
        <f ca="1">IFERROR(__xludf.DUMMYFUNCTION("""COMPUTED_VALUE"""),"Mallavarapu Tejaswi")</f>
        <v>Mallavarapu Tejaswi</v>
      </c>
      <c r="B61" s="59" t="str">
        <f ca="1">IFERROR(__xludf.DUMMYFUNCTION("""COMPUTED_VALUE"""),"18331A0591")</f>
        <v>18331A0591</v>
      </c>
      <c r="C61" s="59" t="str">
        <f ca="1">IFERROR(__xludf.DUMMYFUNCTION("""COMPUTED_VALUE"""),"2018-2019")</f>
        <v>2018-2019</v>
      </c>
      <c r="D61" s="59" t="str">
        <f ca="1">IFERROR(__xludf.DUMMYFUNCTION("""COMPUTED_VALUE"""),"Workshop")</f>
        <v>Workshop</v>
      </c>
      <c r="E61" s="59" t="str">
        <f ca="1">IFERROR(__xludf.DUMMYFUNCTION("""COMPUTED_VALUE"""),"Web Technologies")</f>
        <v>Web Technologies</v>
      </c>
      <c r="F61" s="59">
        <f ca="1">IFERROR(__xludf.DUMMYFUNCTION("""COMPUTED_VALUE"""),2)</f>
        <v>2</v>
      </c>
      <c r="G61" s="70">
        <f ca="1">IFERROR(__xludf.DUMMYFUNCTION("""COMPUTED_VALUE"""),43505)</f>
        <v>43505</v>
      </c>
      <c r="H61" s="70">
        <f ca="1">IFERROR(__xludf.DUMMYFUNCTION("""COMPUTED_VALUE"""),43506)</f>
        <v>43506</v>
      </c>
      <c r="I61" s="59" t="str">
        <f ca="1">IFERROR(__xludf.DUMMYFUNCTION("""COMPUTED_VALUE"""),"M.Vamsi krisha")</f>
        <v>M.Vamsi krisha</v>
      </c>
      <c r="J61" s="59" t="str">
        <f ca="1">IFERROR(__xludf.DUMMYFUNCTION("""COMPUTED_VALUE"""),"Swecha Freedom Fest")</f>
        <v>Swecha Freedom Fest</v>
      </c>
      <c r="K61" s="59" t="str">
        <f ca="1">IFERROR(__xludf.DUMMYFUNCTION("""COMPUTED_VALUE"""),"State")</f>
        <v>State</v>
      </c>
      <c r="L61" s="59" t="str">
        <f ca="1">IFERROR(__xludf.DUMMYFUNCTION("""COMPUTED_VALUE"""),"Paid")</f>
        <v>Paid</v>
      </c>
      <c r="M61" s="59">
        <f ca="1">IFERROR(__xludf.DUMMYFUNCTION("""COMPUTED_VALUE"""),250)</f>
        <v>250</v>
      </c>
      <c r="N61" s="71" t="str">
        <f ca="1">IFERROR(__xludf.DUMMYFUNCTION("""COMPUTED_VALUE"""),"https://drive.google.com/open?id=1f7ZdZP0Y8ylvFDgvbt3EbAAAlwQBCWbP")</f>
        <v>https://drive.google.com/open?id=1f7ZdZP0Y8ylvFDgvbt3EbAAAlwQBCWbP</v>
      </c>
      <c r="O61" s="59" t="str">
        <f ca="1">IFERROR(__xludf.DUMMYFUNCTION("""COMPUTED_VALUE"""),"2018-2022")</f>
        <v>2018-2022</v>
      </c>
      <c r="P61" s="59" t="str">
        <f ca="1">IFERROR(__xludf.DUMMYFUNCTION("""COMPUTED_VALUE"""),"S5: Student Workshops/Conf attended")</f>
        <v>S5: Student Workshops/Conf attended</v>
      </c>
      <c r="Q61" s="59" t="str">
        <f ca="1">IFERROR(__xludf.DUMMYFUNCTION("""COMPUTED_VALUE"""),"Mallavarapu.tejaswi@gmail.com")</f>
        <v>Mallavarapu.tejaswi@gmail.com</v>
      </c>
      <c r="R61" s="59" t="str">
        <f ca="1">IFERROR(__xludf.DUMMYFUNCTION("""COMPUTED_VALUE"""),"SEM-8")</f>
        <v>SEM-8</v>
      </c>
      <c r="S61" s="9"/>
      <c r="T61" s="9"/>
      <c r="U61" s="9"/>
      <c r="V61" s="9"/>
      <c r="W61" s="9"/>
      <c r="X61" s="9"/>
      <c r="Y61" s="9"/>
    </row>
    <row r="62" spans="1:25" ht="26.25" customHeight="1" x14ac:dyDescent="0.15">
      <c r="A62" s="59" t="str">
        <f ca="1">IFERROR(__xludf.DUMMYFUNCTION("""COMPUTED_VALUE"""),"pitla chandana")</f>
        <v>pitla chandana</v>
      </c>
      <c r="B62" s="59" t="str">
        <f ca="1">IFERROR(__xludf.DUMMYFUNCTION("""COMPUTED_VALUE"""),"18331A05C1")</f>
        <v>18331A05C1</v>
      </c>
      <c r="C62" s="59" t="str">
        <f ca="1">IFERROR(__xludf.DUMMYFUNCTION("""COMPUTED_VALUE"""),"2019-2020")</f>
        <v>2019-2020</v>
      </c>
      <c r="D62" s="59" t="str">
        <f ca="1">IFERROR(__xludf.DUMMYFUNCTION("""COMPUTED_VALUE"""),"Workshop")</f>
        <v>Workshop</v>
      </c>
      <c r="E62" s="59" t="str">
        <f ca="1">IFERROR(__xludf.DUMMYFUNCTION("""COMPUTED_VALUE"""),"Dart Programming Language")</f>
        <v>Dart Programming Language</v>
      </c>
      <c r="F62" s="59">
        <f ca="1">IFERROR(__xludf.DUMMYFUNCTION("""COMPUTED_VALUE"""),3)</f>
        <v>3</v>
      </c>
      <c r="G62" s="70">
        <f ca="1">IFERROR(__xludf.DUMMYFUNCTION("""COMPUTED_VALUE"""),44037)</f>
        <v>44037</v>
      </c>
      <c r="H62" s="70">
        <f ca="1">IFERROR(__xludf.DUMMYFUNCTION("""COMPUTED_VALUE"""),44039)</f>
        <v>44039</v>
      </c>
      <c r="I62" s="59" t="str">
        <f ca="1">IFERROR(__xludf.DUMMYFUNCTION("""COMPUTED_VALUE"""),"Mvgr college of engineering")</f>
        <v>Mvgr college of engineering</v>
      </c>
      <c r="J62" s="59" t="str">
        <f ca="1">IFERROR(__xludf.DUMMYFUNCTION("""COMPUTED_VALUE"""),"N/A")</f>
        <v>N/A</v>
      </c>
      <c r="K62" s="59" t="str">
        <f ca="1">IFERROR(__xludf.DUMMYFUNCTION("""COMPUTED_VALUE"""),"National")</f>
        <v>National</v>
      </c>
      <c r="L62" s="59" t="str">
        <f ca="1">IFERROR(__xludf.DUMMYFUNCTION("""COMPUTED_VALUE"""),"Free")</f>
        <v>Free</v>
      </c>
      <c r="M62" s="59"/>
      <c r="N62" s="71" t="str">
        <f ca="1">IFERROR(__xludf.DUMMYFUNCTION("""COMPUTED_VALUE"""),"https://drive.google.com/open?id=18qYGJEXtnFFuODV51Xsx6ukkfnK9x7e_")</f>
        <v>https://drive.google.com/open?id=18qYGJEXtnFFuODV51Xsx6ukkfnK9x7e_</v>
      </c>
      <c r="O62" s="59" t="str">
        <f ca="1">IFERROR(__xludf.DUMMYFUNCTION("""COMPUTED_VALUE"""),"2018-2022")</f>
        <v>2018-2022</v>
      </c>
      <c r="P62" s="59" t="str">
        <f ca="1">IFERROR(__xludf.DUMMYFUNCTION("""COMPUTED_VALUE"""),"S5: Student Workshops/Conf attended")</f>
        <v>S5: Student Workshops/Conf attended</v>
      </c>
      <c r="Q62" s="59" t="str">
        <f ca="1">IFERROR(__xludf.DUMMYFUNCTION("""COMPUTED_VALUE"""),"pitlachandana@gmail.com")</f>
        <v>pitlachandana@gmail.com</v>
      </c>
      <c r="R62" s="59" t="str">
        <f ca="1">IFERROR(__xludf.DUMMYFUNCTION("""COMPUTED_VALUE"""),"SEM-8")</f>
        <v>SEM-8</v>
      </c>
      <c r="S62" s="9"/>
      <c r="T62" s="9"/>
      <c r="U62" s="9"/>
      <c r="V62" s="9"/>
      <c r="W62" s="9"/>
      <c r="X62" s="9"/>
      <c r="Y62" s="9"/>
    </row>
    <row r="63" spans="1:25" ht="26.25" customHeight="1" x14ac:dyDescent="0.15">
      <c r="A63" s="59" t="str">
        <f ca="1">IFERROR(__xludf.DUMMYFUNCTION("""COMPUTED_VALUE"""),"Swathi Paluri")</f>
        <v>Swathi Paluri</v>
      </c>
      <c r="B63" s="59" t="str">
        <f ca="1">IFERROR(__xludf.DUMMYFUNCTION("""COMPUTED_VALUE"""),"19335A0516")</f>
        <v>19335A0516</v>
      </c>
      <c r="C63" s="59" t="str">
        <f ca="1">IFERROR(__xludf.DUMMYFUNCTION("""COMPUTED_VALUE"""),"2021-2022")</f>
        <v>2021-2022</v>
      </c>
      <c r="D63" s="59" t="str">
        <f ca="1">IFERROR(__xludf.DUMMYFUNCTION("""COMPUTED_VALUE"""),"Workshop")</f>
        <v>Workshop</v>
      </c>
      <c r="E63" s="59" t="str">
        <f ca="1">IFERROR(__xludf.DUMMYFUNCTION("""COMPUTED_VALUE"""),"IP Awareness/Training program")</f>
        <v>IP Awareness/Training program</v>
      </c>
      <c r="F63" s="59">
        <f ca="1">IFERROR(__xludf.DUMMYFUNCTION("""COMPUTED_VALUE"""),1)</f>
        <v>1</v>
      </c>
      <c r="G63" s="70">
        <f ca="1">IFERROR(__xludf.DUMMYFUNCTION("""COMPUTED_VALUE"""),44572)</f>
        <v>44572</v>
      </c>
      <c r="H63" s="70">
        <f ca="1">IFERROR(__xludf.DUMMYFUNCTION("""COMPUTED_VALUE"""),44572)</f>
        <v>44572</v>
      </c>
      <c r="I63" s="59" t="str">
        <f ca="1">IFERROR(__xludf.DUMMYFUNCTION("""COMPUTED_VALUE"""),"NIPAM")</f>
        <v>NIPAM</v>
      </c>
      <c r="J63" s="59" t="str">
        <f ca="1">IFERROR(__xludf.DUMMYFUNCTION("""COMPUTED_VALUE"""),".")</f>
        <v>.</v>
      </c>
      <c r="K63" s="59" t="str">
        <f ca="1">IFERROR(__xludf.DUMMYFUNCTION("""COMPUTED_VALUE"""),"National")</f>
        <v>National</v>
      </c>
      <c r="L63" s="59" t="str">
        <f ca="1">IFERROR(__xludf.DUMMYFUNCTION("""COMPUTED_VALUE"""),"Free")</f>
        <v>Free</v>
      </c>
      <c r="M63" s="59"/>
      <c r="N63" s="71" t="str">
        <f ca="1">IFERROR(__xludf.DUMMYFUNCTION("""COMPUTED_VALUE"""),"https://drive.google.com/open?id=1ijOUB7VQ2hNHPGHW72G42Z4NKaQLEOd1")</f>
        <v>https://drive.google.com/open?id=1ijOUB7VQ2hNHPGHW72G42Z4NKaQLEOd1</v>
      </c>
      <c r="O63" s="59" t="str">
        <f ca="1">IFERROR(__xludf.DUMMYFUNCTION("""COMPUTED_VALUE"""),"2018-2022")</f>
        <v>2018-2022</v>
      </c>
      <c r="P63" s="59" t="str">
        <f ca="1">IFERROR(__xludf.DUMMYFUNCTION("""COMPUTED_VALUE"""),"S5: Student Workshops/Conf attended")</f>
        <v>S5: Student Workshops/Conf attended</v>
      </c>
      <c r="Q63" s="59" t="str">
        <f ca="1">IFERROR(__xludf.DUMMYFUNCTION("""COMPUTED_VALUE"""),"swathich164@gmail.com")</f>
        <v>swathich164@gmail.com</v>
      </c>
      <c r="R63" s="59" t="str">
        <f ca="1">IFERROR(__xludf.DUMMYFUNCTION("""COMPUTED_VALUE"""),"SEM-7")</f>
        <v>SEM-7</v>
      </c>
      <c r="S63" s="9"/>
      <c r="T63" s="9"/>
      <c r="U63" s="9"/>
      <c r="V63" s="9"/>
      <c r="W63" s="9"/>
      <c r="X63" s="9"/>
      <c r="Y63" s="9"/>
    </row>
    <row r="64" spans="1:25" ht="26.25" customHeight="1" x14ac:dyDescent="0.15">
      <c r="A64" s="59" t="str">
        <f ca="1">IFERROR(__xludf.DUMMYFUNCTION("""COMPUTED_VALUE"""),"Sagi Gayathri")</f>
        <v>Sagi Gayathri</v>
      </c>
      <c r="B64" s="59" t="str">
        <f ca="1">IFERROR(__xludf.DUMMYFUNCTION("""COMPUTED_VALUE"""),"18331A05C7")</f>
        <v>18331A05C7</v>
      </c>
      <c r="C64" s="59" t="str">
        <f ca="1">IFERROR(__xludf.DUMMYFUNCTION("""COMPUTED_VALUE"""),"2019-2020")</f>
        <v>2019-2020</v>
      </c>
      <c r="D64" s="59" t="str">
        <f ca="1">IFERROR(__xludf.DUMMYFUNCTION("""COMPUTED_VALUE"""),"Workshop")</f>
        <v>Workshop</v>
      </c>
      <c r="E64" s="59" t="str">
        <f ca="1">IFERROR(__xludf.DUMMYFUNCTION("""COMPUTED_VALUE"""),"Dart Programming")</f>
        <v>Dart Programming</v>
      </c>
      <c r="F64" s="59">
        <f ca="1">IFERROR(__xludf.DUMMYFUNCTION("""COMPUTED_VALUE"""),3)</f>
        <v>3</v>
      </c>
      <c r="G64" s="70">
        <f ca="1">IFERROR(__xludf.DUMMYFUNCTION("""COMPUTED_VALUE"""),44037)</f>
        <v>44037</v>
      </c>
      <c r="H64" s="70">
        <f ca="1">IFERROR(__xludf.DUMMYFUNCTION("""COMPUTED_VALUE"""),44039)</f>
        <v>44039</v>
      </c>
      <c r="I64" s="59" t="str">
        <f ca="1">IFERROR(__xludf.DUMMYFUNCTION("""COMPUTED_VALUE"""),"Mvgr college of engineering")</f>
        <v>Mvgr college of engineering</v>
      </c>
      <c r="J64" s="59" t="str">
        <f ca="1">IFERROR(__xludf.DUMMYFUNCTION("""COMPUTED_VALUE"""),"N/A")</f>
        <v>N/A</v>
      </c>
      <c r="K64" s="59" t="str">
        <f ca="1">IFERROR(__xludf.DUMMYFUNCTION("""COMPUTED_VALUE"""),"National")</f>
        <v>National</v>
      </c>
      <c r="L64" s="59" t="str">
        <f ca="1">IFERROR(__xludf.DUMMYFUNCTION("""COMPUTED_VALUE"""),"Free")</f>
        <v>Free</v>
      </c>
      <c r="M64" s="59"/>
      <c r="N64" s="71" t="str">
        <f ca="1">IFERROR(__xludf.DUMMYFUNCTION("""COMPUTED_VALUE"""),"https://drive.google.com/open?id=1GYI3beS34UKdwNxyKDCVgA7e5RJ2y8RA")</f>
        <v>https://drive.google.com/open?id=1GYI3beS34UKdwNxyKDCVgA7e5RJ2y8RA</v>
      </c>
      <c r="O64" s="59" t="str">
        <f ca="1">IFERROR(__xludf.DUMMYFUNCTION("""COMPUTED_VALUE"""),"2018-2022")</f>
        <v>2018-2022</v>
      </c>
      <c r="P64" s="59" t="str">
        <f ca="1">IFERROR(__xludf.DUMMYFUNCTION("""COMPUTED_VALUE"""),"S5: Student Workshops/Conf attended")</f>
        <v>S5: Student Workshops/Conf attended</v>
      </c>
      <c r="Q64" s="59" t="str">
        <f ca="1">IFERROR(__xludf.DUMMYFUNCTION("""COMPUTED_VALUE"""),"sagigayathri02@gmail.com")</f>
        <v>sagigayathri02@gmail.com</v>
      </c>
      <c r="R64" s="59" t="str">
        <f ca="1">IFERROR(__xludf.DUMMYFUNCTION("""COMPUTED_VALUE"""),"SEM-4")</f>
        <v>SEM-4</v>
      </c>
      <c r="S64" s="9"/>
      <c r="T64" s="9"/>
      <c r="U64" s="9"/>
      <c r="V64" s="9"/>
      <c r="W64" s="9"/>
      <c r="X64" s="9"/>
      <c r="Y64" s="9"/>
    </row>
    <row r="65" spans="1:25" ht="26.25" customHeight="1" x14ac:dyDescent="0.15">
      <c r="A65" s="59" t="str">
        <f ca="1">IFERROR(__xludf.DUMMYFUNCTION("""COMPUTED_VALUE"""),"Buddharaju Pragna")</f>
        <v>Buddharaju Pragna</v>
      </c>
      <c r="B65" s="59" t="str">
        <f ca="1">IFERROR(__xludf.DUMMYFUNCTION("""COMPUTED_VALUE"""),"18331A05H2")</f>
        <v>18331A05H2</v>
      </c>
      <c r="C65" s="59" t="str">
        <f ca="1">IFERROR(__xludf.DUMMYFUNCTION("""COMPUTED_VALUE"""),"2019-2020")</f>
        <v>2019-2020</v>
      </c>
      <c r="D65" s="59" t="str">
        <f ca="1">IFERROR(__xludf.DUMMYFUNCTION("""COMPUTED_VALUE"""),"Workshop")</f>
        <v>Workshop</v>
      </c>
      <c r="E65" s="59" t="str">
        <f ca="1">IFERROR(__xludf.DUMMYFUNCTION("""COMPUTED_VALUE"""),"Dart Programming Language")</f>
        <v>Dart Programming Language</v>
      </c>
      <c r="F65" s="59">
        <f ca="1">IFERROR(__xludf.DUMMYFUNCTION("""COMPUTED_VALUE"""),3)</f>
        <v>3</v>
      </c>
      <c r="G65" s="70">
        <f ca="1">IFERROR(__xludf.DUMMYFUNCTION("""COMPUTED_VALUE"""),44037)</f>
        <v>44037</v>
      </c>
      <c r="H65" s="70">
        <f ca="1">IFERROR(__xludf.DUMMYFUNCTION("""COMPUTED_VALUE"""),44039)</f>
        <v>44039</v>
      </c>
      <c r="I65" s="59" t="str">
        <f ca="1">IFERROR(__xludf.DUMMYFUNCTION("""COMPUTED_VALUE"""),"Mvgr college of engineering")</f>
        <v>Mvgr college of engineering</v>
      </c>
      <c r="J65" s="59" t="str">
        <f ca="1">IFERROR(__xludf.DUMMYFUNCTION("""COMPUTED_VALUE"""),"N/A")</f>
        <v>N/A</v>
      </c>
      <c r="K65" s="59" t="str">
        <f ca="1">IFERROR(__xludf.DUMMYFUNCTION("""COMPUTED_VALUE"""),"National")</f>
        <v>National</v>
      </c>
      <c r="L65" s="59" t="str">
        <f ca="1">IFERROR(__xludf.DUMMYFUNCTION("""COMPUTED_VALUE"""),"Free")</f>
        <v>Free</v>
      </c>
      <c r="M65" s="59"/>
      <c r="N65" s="71" t="str">
        <f ca="1">IFERROR(__xludf.DUMMYFUNCTION("""COMPUTED_VALUE"""),"https://drive.google.com/open?id=1iOl5zk8jwAhdEaC20sFGrBDFkqGX_xRy")</f>
        <v>https://drive.google.com/open?id=1iOl5zk8jwAhdEaC20sFGrBDFkqGX_xRy</v>
      </c>
      <c r="O65" s="59" t="str">
        <f ca="1">IFERROR(__xludf.DUMMYFUNCTION("""COMPUTED_VALUE"""),"2018-2022")</f>
        <v>2018-2022</v>
      </c>
      <c r="P65" s="59" t="str">
        <f ca="1">IFERROR(__xludf.DUMMYFUNCTION("""COMPUTED_VALUE"""),"S5: Student Workshops/Conf attended")</f>
        <v>S5: Student Workshops/Conf attended</v>
      </c>
      <c r="Q65" s="59" t="str">
        <f ca="1">IFERROR(__xludf.DUMMYFUNCTION("""COMPUTED_VALUE"""),"pragnabuddharaju@gmail.com")</f>
        <v>pragnabuddharaju@gmail.com</v>
      </c>
      <c r="R65" s="59" t="str">
        <f ca="1">IFERROR(__xludf.DUMMYFUNCTION("""COMPUTED_VALUE"""),"SEM-4")</f>
        <v>SEM-4</v>
      </c>
      <c r="S65" s="9"/>
      <c r="T65" s="9"/>
      <c r="U65" s="9"/>
      <c r="V65" s="9"/>
      <c r="W65" s="9"/>
      <c r="X65" s="9"/>
      <c r="Y65" s="9"/>
    </row>
    <row r="66" spans="1:25" ht="26.25" customHeight="1" x14ac:dyDescent="0.15">
      <c r="A66" s="59" t="str">
        <f ca="1">IFERROR(__xludf.DUMMYFUNCTION("""COMPUTED_VALUE"""),"Naveen Kumar Penta")</f>
        <v>Naveen Kumar Penta</v>
      </c>
      <c r="B66" s="59" t="str">
        <f ca="1">IFERROR(__xludf.DUMMYFUNCTION("""COMPUTED_VALUE"""),"18331A05B7")</f>
        <v>18331A05B7</v>
      </c>
      <c r="C66" s="59" t="str">
        <f ca="1">IFERROR(__xludf.DUMMYFUNCTION("""COMPUTED_VALUE"""),"2018-2019")</f>
        <v>2018-2019</v>
      </c>
      <c r="D66" s="59" t="str">
        <f ca="1">IFERROR(__xludf.DUMMYFUNCTION("""COMPUTED_VALUE"""),"Workshop")</f>
        <v>Workshop</v>
      </c>
      <c r="E66" s="59" t="str">
        <f ca="1">IFERROR(__xludf.DUMMYFUNCTION("""COMPUTED_VALUE"""),"Swecha Freedom Fest")</f>
        <v>Swecha Freedom Fest</v>
      </c>
      <c r="F66" s="59">
        <f ca="1">IFERROR(__xludf.DUMMYFUNCTION("""COMPUTED_VALUE"""),2)</f>
        <v>2</v>
      </c>
      <c r="G66" s="70">
        <f ca="1">IFERROR(__xludf.DUMMYFUNCTION("""COMPUTED_VALUE"""),43505)</f>
        <v>43505</v>
      </c>
      <c r="H66" s="70">
        <f ca="1">IFERROR(__xludf.DUMMYFUNCTION("""COMPUTED_VALUE"""),43506)</f>
        <v>43506</v>
      </c>
      <c r="I66" s="59" t="str">
        <f ca="1">IFERROR(__xludf.DUMMYFUNCTION("""COMPUTED_VALUE"""),"Swecha volunteers")</f>
        <v>Swecha volunteers</v>
      </c>
      <c r="J66" s="59" t="str">
        <f ca="1">IFERROR(__xludf.DUMMYFUNCTION("""COMPUTED_VALUE"""),"Vamsi Krishna")</f>
        <v>Vamsi Krishna</v>
      </c>
      <c r="K66" s="59" t="str">
        <f ca="1">IFERROR(__xludf.DUMMYFUNCTION("""COMPUTED_VALUE"""),"State")</f>
        <v>State</v>
      </c>
      <c r="L66" s="59" t="str">
        <f ca="1">IFERROR(__xludf.DUMMYFUNCTION("""COMPUTED_VALUE"""),"Paid")</f>
        <v>Paid</v>
      </c>
      <c r="M66" s="59">
        <f ca="1">IFERROR(__xludf.DUMMYFUNCTION("""COMPUTED_VALUE"""),150)</f>
        <v>150</v>
      </c>
      <c r="N66" s="71" t="str">
        <f ca="1">IFERROR(__xludf.DUMMYFUNCTION("""COMPUTED_VALUE"""),"https://drive.google.com/open?id=1Q-7YhkSF7m4wLi3K0CVmURJR9q2aTB2J")</f>
        <v>https://drive.google.com/open?id=1Q-7YhkSF7m4wLi3K0CVmURJR9q2aTB2J</v>
      </c>
      <c r="O66" s="59" t="str">
        <f ca="1">IFERROR(__xludf.DUMMYFUNCTION("""COMPUTED_VALUE"""),"2018-2022")</f>
        <v>2018-2022</v>
      </c>
      <c r="P66" s="59" t="str">
        <f ca="1">IFERROR(__xludf.DUMMYFUNCTION("""COMPUTED_VALUE"""),"S5: Student Workshops/Conf attended")</f>
        <v>S5: Student Workshops/Conf attended</v>
      </c>
      <c r="Q66" s="59" t="str">
        <f ca="1">IFERROR(__xludf.DUMMYFUNCTION("""COMPUTED_VALUE"""),"naveenkumarpenta15@gmail.com")</f>
        <v>naveenkumarpenta15@gmail.com</v>
      </c>
      <c r="R66" s="59" t="str">
        <f ca="1">IFERROR(__xludf.DUMMYFUNCTION("""COMPUTED_VALUE"""),"SEM-2")</f>
        <v>SEM-2</v>
      </c>
      <c r="S66" s="9"/>
      <c r="T66" s="9"/>
      <c r="U66" s="9"/>
      <c r="V66" s="9"/>
      <c r="W66" s="9"/>
      <c r="X66" s="9"/>
      <c r="Y66" s="9"/>
    </row>
    <row r="67" spans="1:25" ht="26.25" customHeight="1" x14ac:dyDescent="0.15">
      <c r="A67" s="59" t="str">
        <f ca="1">IFERROR(__xludf.DUMMYFUNCTION("""COMPUTED_VALUE"""),"Naveen Kumar Penta")</f>
        <v>Naveen Kumar Penta</v>
      </c>
      <c r="B67" s="59" t="str">
        <f ca="1">IFERROR(__xludf.DUMMYFUNCTION("""COMPUTED_VALUE"""),"18331A05B7")</f>
        <v>18331A05B7</v>
      </c>
      <c r="C67" s="59" t="str">
        <f ca="1">IFERROR(__xludf.DUMMYFUNCTION("""COMPUTED_VALUE"""),"2021-2022")</f>
        <v>2021-2022</v>
      </c>
      <c r="D67" s="59" t="str">
        <f ca="1">IFERROR(__xludf.DUMMYFUNCTION("""COMPUTED_VALUE"""),"Workshop")</f>
        <v>Workshop</v>
      </c>
      <c r="E67" s="59" t="str">
        <f ca="1">IFERROR(__xludf.DUMMYFUNCTION("""COMPUTED_VALUE"""),"GNU/Linux Admin and Programming with python")</f>
        <v>GNU/Linux Admin and Programming with python</v>
      </c>
      <c r="F67" s="59">
        <f ca="1">IFERROR(__xludf.DUMMYFUNCTION("""COMPUTED_VALUE"""),2)</f>
        <v>2</v>
      </c>
      <c r="G67" s="70">
        <f ca="1">IFERROR(__xludf.DUMMYFUNCTION("""COMPUTED_VALUE"""),44513)</f>
        <v>44513</v>
      </c>
      <c r="H67" s="70">
        <f ca="1">IFERROR(__xludf.DUMMYFUNCTION("""COMPUTED_VALUE"""),44514)</f>
        <v>44514</v>
      </c>
      <c r="I67" s="59" t="str">
        <f ca="1">IFERROR(__xludf.DUMMYFUNCTION("""COMPUTED_VALUE"""),"Hemanth,Prasanna,Sai kumar")</f>
        <v>Hemanth,Prasanna,Sai kumar</v>
      </c>
      <c r="J67" s="59" t="str">
        <f ca="1">IFERROR(__xludf.DUMMYFUNCTION("""COMPUTED_VALUE"""),"Vamsi Krishna")</f>
        <v>Vamsi Krishna</v>
      </c>
      <c r="K67" s="59" t="str">
        <f ca="1">IFERROR(__xludf.DUMMYFUNCTION("""COMPUTED_VALUE"""),"State")</f>
        <v>State</v>
      </c>
      <c r="L67" s="59" t="str">
        <f ca="1">IFERROR(__xludf.DUMMYFUNCTION("""COMPUTED_VALUE"""),"Paid")</f>
        <v>Paid</v>
      </c>
      <c r="M67" s="59">
        <f ca="1">IFERROR(__xludf.DUMMYFUNCTION("""COMPUTED_VALUE"""),200)</f>
        <v>200</v>
      </c>
      <c r="N67" s="71" t="str">
        <f ca="1">IFERROR(__xludf.DUMMYFUNCTION("""COMPUTED_VALUE"""),"https://drive.google.com/open?id=1nHKEpBmLzwDIC7-hYAYMG2_dJItDviPX")</f>
        <v>https://drive.google.com/open?id=1nHKEpBmLzwDIC7-hYAYMG2_dJItDviPX</v>
      </c>
      <c r="O67" s="59" t="str">
        <f ca="1">IFERROR(__xludf.DUMMYFUNCTION("""COMPUTED_VALUE"""),"2018-2022")</f>
        <v>2018-2022</v>
      </c>
      <c r="P67" s="59" t="str">
        <f ca="1">IFERROR(__xludf.DUMMYFUNCTION("""COMPUTED_VALUE"""),"S5: Student Workshops/Conf attended")</f>
        <v>S5: Student Workshops/Conf attended</v>
      </c>
      <c r="Q67" s="59" t="str">
        <f ca="1">IFERROR(__xludf.DUMMYFUNCTION("""COMPUTED_VALUE"""),"naveenkumarpenta15@gmail.com")</f>
        <v>naveenkumarpenta15@gmail.com</v>
      </c>
      <c r="R67" s="59" t="str">
        <f ca="1">IFERROR(__xludf.DUMMYFUNCTION("""COMPUTED_VALUE"""),"SEM-7")</f>
        <v>SEM-7</v>
      </c>
      <c r="S67" s="9"/>
      <c r="T67" s="9"/>
      <c r="U67" s="9"/>
      <c r="V67" s="9"/>
      <c r="W67" s="9"/>
      <c r="X67" s="9"/>
      <c r="Y67" s="9"/>
    </row>
    <row r="68" spans="1:25" ht="26.25" customHeight="1" x14ac:dyDescent="0.15">
      <c r="A68" s="59" t="str">
        <f ca="1">IFERROR(__xludf.DUMMYFUNCTION("""COMPUTED_VALUE"""),"Vattikulla Sharmila")</f>
        <v>Vattikulla Sharmila</v>
      </c>
      <c r="B68" s="59" t="str">
        <f ca="1">IFERROR(__xludf.DUMMYFUNCTION("""COMPUTED_VALUE"""),"18331A05H8")</f>
        <v>18331A05H8</v>
      </c>
      <c r="C68" s="59" t="str">
        <f ca="1">IFERROR(__xludf.DUMMYFUNCTION("""COMPUTED_VALUE"""),"2020-2021")</f>
        <v>2020-2021</v>
      </c>
      <c r="D68" s="59" t="str">
        <f ca="1">IFERROR(__xludf.DUMMYFUNCTION("""COMPUTED_VALUE"""),"Workshop")</f>
        <v>Workshop</v>
      </c>
      <c r="E68" s="59" t="str">
        <f ca="1">IFERROR(__xludf.DUMMYFUNCTION("""COMPUTED_VALUE"""),"National Level Student Workshop on ReactJs")</f>
        <v>National Level Student Workshop on ReactJs</v>
      </c>
      <c r="F68" s="59">
        <f ca="1">IFERROR(__xludf.DUMMYFUNCTION("""COMPUTED_VALUE"""),6)</f>
        <v>6</v>
      </c>
      <c r="G68" s="70">
        <f ca="1">IFERROR(__xludf.DUMMYFUNCTION("""COMPUTED_VALUE"""),44382)</f>
        <v>44382</v>
      </c>
      <c r="H68" s="70">
        <f ca="1">IFERROR(__xludf.DUMMYFUNCTION("""COMPUTED_VALUE"""),44387)</f>
        <v>44387</v>
      </c>
      <c r="I68" s="59" t="str">
        <f ca="1">IFERROR(__xludf.DUMMYFUNCTION("""COMPUTED_VALUE"""),"Brainovision solution India pvt.ltd")</f>
        <v>Brainovision solution India pvt.ltd</v>
      </c>
      <c r="J68" s="59" t="str">
        <f ca="1">IFERROR(__xludf.DUMMYFUNCTION("""COMPUTED_VALUE"""),"Vishnu")</f>
        <v>Vishnu</v>
      </c>
      <c r="K68" s="59" t="str">
        <f ca="1">IFERROR(__xludf.DUMMYFUNCTION("""COMPUTED_VALUE"""),"National")</f>
        <v>National</v>
      </c>
      <c r="L68" s="59" t="str">
        <f ca="1">IFERROR(__xludf.DUMMYFUNCTION("""COMPUTED_VALUE"""),"Free")</f>
        <v>Free</v>
      </c>
      <c r="M68" s="59"/>
      <c r="N68" s="71" t="str">
        <f ca="1">IFERROR(__xludf.DUMMYFUNCTION("""COMPUTED_VALUE"""),"https://drive.google.com/open?id=1KloXdaVGNkXol7VQk2g9ENDnLuu-Zmt5")</f>
        <v>https://drive.google.com/open?id=1KloXdaVGNkXol7VQk2g9ENDnLuu-Zmt5</v>
      </c>
      <c r="O68" s="59" t="str">
        <f ca="1">IFERROR(__xludf.DUMMYFUNCTION("""COMPUTED_VALUE"""),"2018-2022")</f>
        <v>2018-2022</v>
      </c>
      <c r="P68" s="59" t="str">
        <f ca="1">IFERROR(__xludf.DUMMYFUNCTION("""COMPUTED_VALUE"""),"S5: Student Workshops/Conf attended")</f>
        <v>S5: Student Workshops/Conf attended</v>
      </c>
      <c r="Q68" s="59" t="str">
        <f ca="1">IFERROR(__xludf.DUMMYFUNCTION("""COMPUTED_VALUE"""),"sharmilavattikulla@gmail.com")</f>
        <v>sharmilavattikulla@gmail.com</v>
      </c>
      <c r="R68" s="59" t="str">
        <f ca="1">IFERROR(__xludf.DUMMYFUNCTION("""COMPUTED_VALUE"""),"SEM-8")</f>
        <v>SEM-8</v>
      </c>
      <c r="S68" s="9"/>
      <c r="T68" s="9"/>
      <c r="U68" s="9"/>
      <c r="V68" s="9"/>
      <c r="W68" s="9"/>
      <c r="X68" s="9"/>
      <c r="Y68" s="9"/>
    </row>
    <row r="69" spans="1:25" ht="26.25" customHeight="1" x14ac:dyDescent="0.15">
      <c r="A69" s="59" t="str">
        <f ca="1">IFERROR(__xludf.DUMMYFUNCTION("""COMPUTED_VALUE"""),"Hari Rama Krishna Turpati")</f>
        <v>Hari Rama Krishna Turpati</v>
      </c>
      <c r="B69" s="59" t="str">
        <f ca="1">IFERROR(__xludf.DUMMYFUNCTION("""COMPUTED_VALUE"""),"18331A05F9")</f>
        <v>18331A05F9</v>
      </c>
      <c r="C69" s="59" t="str">
        <f ca="1">IFERROR(__xludf.DUMMYFUNCTION("""COMPUTED_VALUE"""),"2019-2020")</f>
        <v>2019-2020</v>
      </c>
      <c r="D69" s="59" t="str">
        <f ca="1">IFERROR(__xludf.DUMMYFUNCTION("""COMPUTED_VALUE"""),"Webinar")</f>
        <v>Webinar</v>
      </c>
      <c r="E69" s="59" t="str">
        <f ca="1">IFERROR(__xludf.DUMMYFUNCTION("""COMPUTED_VALUE"""),"Internet of things")</f>
        <v>Internet of things</v>
      </c>
      <c r="F69" s="59">
        <f ca="1">IFERROR(__xludf.DUMMYFUNCTION("""COMPUTED_VALUE"""),2)</f>
        <v>2</v>
      </c>
      <c r="G69" s="70">
        <f ca="1">IFERROR(__xludf.DUMMYFUNCTION("""COMPUTED_VALUE"""),43694)</f>
        <v>43694</v>
      </c>
      <c r="H69" s="70">
        <f ca="1">IFERROR(__xludf.DUMMYFUNCTION("""COMPUTED_VALUE"""),43696)</f>
        <v>43696</v>
      </c>
      <c r="I69" s="59" t="str">
        <f ca="1">IFERROR(__xludf.DUMMYFUNCTION("""COMPUTED_VALUE"""),"IIT- Hyderabad")</f>
        <v>IIT- Hyderabad</v>
      </c>
      <c r="J69" s="59" t="str">
        <f ca="1">IFERROR(__xludf.DUMMYFUNCTION("""COMPUTED_VALUE"""),"Rishab Mehta")</f>
        <v>Rishab Mehta</v>
      </c>
      <c r="K69" s="59" t="str">
        <f ca="1">IFERROR(__xludf.DUMMYFUNCTION("""COMPUTED_VALUE"""),"State")</f>
        <v>State</v>
      </c>
      <c r="L69" s="59" t="str">
        <f ca="1">IFERROR(__xludf.DUMMYFUNCTION("""COMPUTED_VALUE"""),"Free")</f>
        <v>Free</v>
      </c>
      <c r="M69" s="59"/>
      <c r="N69" s="71" t="str">
        <f ca="1">IFERROR(__xludf.DUMMYFUNCTION("""COMPUTED_VALUE"""),"https://drive.google.com/open?id=1_Ond_jtt-d4exjAneB4sKCd2EikihoCK")</f>
        <v>https://drive.google.com/open?id=1_Ond_jtt-d4exjAneB4sKCd2EikihoCK</v>
      </c>
      <c r="O69" s="59" t="str">
        <f ca="1">IFERROR(__xludf.DUMMYFUNCTION("""COMPUTED_VALUE"""),"2018-2022")</f>
        <v>2018-2022</v>
      </c>
      <c r="P69" s="59" t="str">
        <f ca="1">IFERROR(__xludf.DUMMYFUNCTION("""COMPUTED_VALUE"""),"S5: Student Workshops/Conf attended")</f>
        <v>S5: Student Workshops/Conf attended</v>
      </c>
      <c r="Q69" s="59" t="str">
        <f ca="1">IFERROR(__xludf.DUMMYFUNCTION("""COMPUTED_VALUE"""),"thriramakrishna95@gmail.com")</f>
        <v>thriramakrishna95@gmail.com</v>
      </c>
      <c r="R69" s="59" t="str">
        <f ca="1">IFERROR(__xludf.DUMMYFUNCTION("""COMPUTED_VALUE"""),"SEM-8")</f>
        <v>SEM-8</v>
      </c>
      <c r="S69" s="9"/>
      <c r="T69" s="9"/>
      <c r="U69" s="9"/>
      <c r="V69" s="9"/>
      <c r="W69" s="9"/>
      <c r="X69" s="9"/>
      <c r="Y69" s="9"/>
    </row>
    <row r="70" spans="1:25" ht="26.25" customHeight="1" x14ac:dyDescent="0.15">
      <c r="A70" s="59" t="str">
        <f ca="1">IFERROR(__xludf.DUMMYFUNCTION("""COMPUTED_VALUE"""),"Sai Yogesh Bhasuru")</f>
        <v>Sai Yogesh Bhasuru</v>
      </c>
      <c r="B70" s="59" t="str">
        <f ca="1">IFERROR(__xludf.DUMMYFUNCTION("""COMPUTED_VALUE"""),"18331A05D4")</f>
        <v>18331A05D4</v>
      </c>
      <c r="C70" s="59" t="str">
        <f ca="1">IFERROR(__xludf.DUMMYFUNCTION("""COMPUTED_VALUE"""),"2019-2020")</f>
        <v>2019-2020</v>
      </c>
      <c r="D70" s="59" t="str">
        <f ca="1">IFERROR(__xludf.DUMMYFUNCTION("""COMPUTED_VALUE"""),"Workshop")</f>
        <v>Workshop</v>
      </c>
      <c r="E70" s="59" t="str">
        <f ca="1">IFERROR(__xludf.DUMMYFUNCTION("""COMPUTED_VALUE"""),"IEEE AI WORKSHOP")</f>
        <v>IEEE AI WORKSHOP</v>
      </c>
      <c r="F70" s="59">
        <f ca="1">IFERROR(__xludf.DUMMYFUNCTION("""COMPUTED_VALUE"""),3)</f>
        <v>3</v>
      </c>
      <c r="G70" s="70">
        <f ca="1">IFERROR(__xludf.DUMMYFUNCTION("""COMPUTED_VALUE"""),43881)</f>
        <v>43881</v>
      </c>
      <c r="H70" s="70">
        <f ca="1">IFERROR(__xludf.DUMMYFUNCTION("""COMPUTED_VALUE"""),43883)</f>
        <v>43883</v>
      </c>
      <c r="I70" s="59" t="str">
        <f ca="1">IFERROR(__xludf.DUMMYFUNCTION("""COMPUTED_VALUE"""),"MVGR College of Engineering")</f>
        <v>MVGR College of Engineering</v>
      </c>
      <c r="J70" s="59" t="str">
        <f ca="1">IFERROR(__xludf.DUMMYFUNCTION("""COMPUTED_VALUE"""),"Mr")</f>
        <v>Mr</v>
      </c>
      <c r="K70" s="59" t="str">
        <f ca="1">IFERROR(__xludf.DUMMYFUNCTION("""COMPUTED_VALUE"""),"State")</f>
        <v>State</v>
      </c>
      <c r="L70" s="59" t="str">
        <f ca="1">IFERROR(__xludf.DUMMYFUNCTION("""COMPUTED_VALUE"""),"Free")</f>
        <v>Free</v>
      </c>
      <c r="M70" s="59"/>
      <c r="N70" s="71" t="str">
        <f ca="1">IFERROR(__xludf.DUMMYFUNCTION("""COMPUTED_VALUE"""),"https://drive.google.com/open?id=1YuVsBrH8JGCYk8UYHg-tqKCJZ8AOJa3k")</f>
        <v>https://drive.google.com/open?id=1YuVsBrH8JGCYk8UYHg-tqKCJZ8AOJa3k</v>
      </c>
      <c r="O70" s="59" t="str">
        <f ca="1">IFERROR(__xludf.DUMMYFUNCTION("""COMPUTED_VALUE"""),"2018-2022")</f>
        <v>2018-2022</v>
      </c>
      <c r="P70" s="59" t="str">
        <f ca="1">IFERROR(__xludf.DUMMYFUNCTION("""COMPUTED_VALUE"""),"S5: Student Workshops/Conf attended")</f>
        <v>S5: Student Workshops/Conf attended</v>
      </c>
      <c r="Q70" s="59" t="str">
        <f ca="1">IFERROR(__xludf.DUMMYFUNCTION("""COMPUTED_VALUE"""),"saiyogeshbhasuru16@gmail.com")</f>
        <v>saiyogeshbhasuru16@gmail.com</v>
      </c>
      <c r="R70" s="59" t="str">
        <f ca="1">IFERROR(__xludf.DUMMYFUNCTION("""COMPUTED_VALUE"""),"SEM-8")</f>
        <v>SEM-8</v>
      </c>
      <c r="S70" s="9"/>
      <c r="T70" s="9"/>
      <c r="U70" s="9"/>
      <c r="V70" s="9"/>
      <c r="W70" s="9"/>
      <c r="X70" s="9"/>
      <c r="Y70" s="9"/>
    </row>
    <row r="71" spans="1:25" ht="26.25" customHeight="1" x14ac:dyDescent="0.15">
      <c r="A71" s="59" t="str">
        <f ca="1">IFERROR(__xludf.DUMMYFUNCTION("""COMPUTED_VALUE"""),"Mandadi Bharathi naga sri sai prathyusha ")</f>
        <v xml:space="preserve">Mandadi Bharathi naga sri sai prathyusha </v>
      </c>
      <c r="B71" s="59" t="str">
        <f ca="1">IFERROR(__xludf.DUMMYFUNCTION("""COMPUTED_VALUE"""),"18331A0593")</f>
        <v>18331A0593</v>
      </c>
      <c r="C71" s="59" t="str">
        <f ca="1">IFERROR(__xludf.DUMMYFUNCTION("""COMPUTED_VALUE"""),"2020-2021")</f>
        <v>2020-2021</v>
      </c>
      <c r="D71" s="59" t="str">
        <f ca="1">IFERROR(__xludf.DUMMYFUNCTION("""COMPUTED_VALUE"""),"Workshop")</f>
        <v>Workshop</v>
      </c>
      <c r="E71" s="59" t="str">
        <f ca="1">IFERROR(__xludf.DUMMYFUNCTION("""COMPUTED_VALUE"""),"Ethical hacking ")</f>
        <v xml:space="preserve">Ethical hacking </v>
      </c>
      <c r="F71" s="59">
        <f ca="1">IFERROR(__xludf.DUMMYFUNCTION("""COMPUTED_VALUE"""),2)</f>
        <v>2</v>
      </c>
      <c r="G71" s="70">
        <f ca="1">IFERROR(__xludf.DUMMYFUNCTION("""COMPUTED_VALUE"""),44073)</f>
        <v>44073</v>
      </c>
      <c r="H71" s="70">
        <f ca="1">IFERROR(__xludf.DUMMYFUNCTION("""COMPUTED_VALUE"""),44074)</f>
        <v>44074</v>
      </c>
      <c r="I71" s="59" t="str">
        <f ca="1">IFERROR(__xludf.DUMMYFUNCTION("""COMPUTED_VALUE"""),"Satra university")</f>
        <v>Satra university</v>
      </c>
      <c r="J71" s="59" t="str">
        <f ca="1">IFERROR(__xludf.DUMMYFUNCTION("""COMPUTED_VALUE"""),".")</f>
        <v>.</v>
      </c>
      <c r="K71" s="59" t="str">
        <f ca="1">IFERROR(__xludf.DUMMYFUNCTION("""COMPUTED_VALUE"""),"National")</f>
        <v>National</v>
      </c>
      <c r="L71" s="59" t="str">
        <f ca="1">IFERROR(__xludf.DUMMYFUNCTION("""COMPUTED_VALUE"""),"Free")</f>
        <v>Free</v>
      </c>
      <c r="M71" s="59"/>
      <c r="N71" s="71" t="str">
        <f ca="1">IFERROR(__xludf.DUMMYFUNCTION("""COMPUTED_VALUE"""),"https://drive.google.com/open?id=1hsdS8x6QAkr093ZKVQozx_VW02UX_ciT")</f>
        <v>https://drive.google.com/open?id=1hsdS8x6QAkr093ZKVQozx_VW02UX_ciT</v>
      </c>
      <c r="O71" s="59" t="str">
        <f ca="1">IFERROR(__xludf.DUMMYFUNCTION("""COMPUTED_VALUE"""),"2018-2022")</f>
        <v>2018-2022</v>
      </c>
      <c r="P71" s="59" t="str">
        <f ca="1">IFERROR(__xludf.DUMMYFUNCTION("""COMPUTED_VALUE"""),"S5: Student Workshops/Conf attended")</f>
        <v>S5: Student Workshops/Conf attended</v>
      </c>
      <c r="Q71" s="59" t="str">
        <f ca="1">IFERROR(__xludf.DUMMYFUNCTION("""COMPUTED_VALUE"""),"mandadi.prathyusha@gmail.com")</f>
        <v>mandadi.prathyusha@gmail.com</v>
      </c>
      <c r="R71" s="59" t="str">
        <f ca="1">IFERROR(__xludf.DUMMYFUNCTION("""COMPUTED_VALUE"""),"SEM-8")</f>
        <v>SEM-8</v>
      </c>
      <c r="S71" s="9"/>
      <c r="T71" s="9"/>
      <c r="U71" s="9"/>
      <c r="V71" s="9"/>
      <c r="W71" s="9"/>
      <c r="X71" s="9"/>
      <c r="Y71" s="9"/>
    </row>
    <row r="72" spans="1:25" ht="26.25" customHeight="1" x14ac:dyDescent="0.15">
      <c r="A72" s="59" t="str">
        <f ca="1">IFERROR(__xludf.DUMMYFUNCTION("""COMPUTED_VALUE"""),"mandadi.prathyusha@gmail.com ")</f>
        <v xml:space="preserve">mandadi.prathyusha@gmail.com </v>
      </c>
      <c r="B72" s="59" t="str">
        <f ca="1">IFERROR(__xludf.DUMMYFUNCTION("""COMPUTED_VALUE"""),"18331A0593 ")</f>
        <v xml:space="preserve">18331A0593 </v>
      </c>
      <c r="C72" s="59" t="str">
        <f ca="1">IFERROR(__xludf.DUMMYFUNCTION("""COMPUTED_VALUE"""),"2020-2021")</f>
        <v>2020-2021</v>
      </c>
      <c r="D72" s="59" t="str">
        <f ca="1">IFERROR(__xludf.DUMMYFUNCTION("""COMPUTED_VALUE"""),"Webinar")</f>
        <v>Webinar</v>
      </c>
      <c r="E72" s="59" t="str">
        <f ca="1">IFERROR(__xludf.DUMMYFUNCTION("""COMPUTED_VALUE"""),"Carrer guidance post covid 19")</f>
        <v>Carrer guidance post covid 19</v>
      </c>
      <c r="F72" s="59">
        <f ca="1">IFERROR(__xludf.DUMMYFUNCTION("""COMPUTED_VALUE"""),1)</f>
        <v>1</v>
      </c>
      <c r="G72" s="70">
        <f ca="1">IFERROR(__xludf.DUMMYFUNCTION("""COMPUTED_VALUE"""),43970)</f>
        <v>43970</v>
      </c>
      <c r="H72" s="70">
        <f ca="1">IFERROR(__xludf.DUMMYFUNCTION("""COMPUTED_VALUE"""),43970)</f>
        <v>43970</v>
      </c>
      <c r="I72" s="59" t="str">
        <f ca="1">IFERROR(__xludf.DUMMYFUNCTION("""COMPUTED_VALUE"""),"IIIT allahabad ")</f>
        <v xml:space="preserve">IIIT allahabad </v>
      </c>
      <c r="J72" s="59" t="str">
        <f ca="1">IFERROR(__xludf.DUMMYFUNCTION("""COMPUTED_VALUE"""),"Rishab mehta")</f>
        <v>Rishab mehta</v>
      </c>
      <c r="K72" s="59" t="str">
        <f ca="1">IFERROR(__xludf.DUMMYFUNCTION("""COMPUTED_VALUE"""),"National")</f>
        <v>National</v>
      </c>
      <c r="L72" s="59" t="str">
        <f ca="1">IFERROR(__xludf.DUMMYFUNCTION("""COMPUTED_VALUE"""),"Free")</f>
        <v>Free</v>
      </c>
      <c r="M72" s="59"/>
      <c r="N72" s="71" t="str">
        <f ca="1">IFERROR(__xludf.DUMMYFUNCTION("""COMPUTED_VALUE"""),"https://drive.google.com/open?id=12mLbgSr8BQGMi1V9Ki3S11KzhbWIS1ne")</f>
        <v>https://drive.google.com/open?id=12mLbgSr8BQGMi1V9Ki3S11KzhbWIS1ne</v>
      </c>
      <c r="O72" s="59" t="str">
        <f ca="1">IFERROR(__xludf.DUMMYFUNCTION("""COMPUTED_VALUE"""),"2018-2022")</f>
        <v>2018-2022</v>
      </c>
      <c r="P72" s="59" t="str">
        <f ca="1">IFERROR(__xludf.DUMMYFUNCTION("""COMPUTED_VALUE"""),"S5: Student Workshops/Conf attended")</f>
        <v>S5: Student Workshops/Conf attended</v>
      </c>
      <c r="Q72" s="59" t="str">
        <f ca="1">IFERROR(__xludf.DUMMYFUNCTION("""COMPUTED_VALUE"""),"mandadi.prathyusha@gmail.com")</f>
        <v>mandadi.prathyusha@gmail.com</v>
      </c>
      <c r="R72" s="59" t="str">
        <f ca="1">IFERROR(__xludf.DUMMYFUNCTION("""COMPUTED_VALUE"""),"SEM-8")</f>
        <v>SEM-8</v>
      </c>
      <c r="S72" s="9"/>
      <c r="T72" s="9"/>
      <c r="U72" s="9"/>
      <c r="V72" s="9"/>
      <c r="W72" s="9"/>
      <c r="X72" s="9"/>
      <c r="Y72" s="9"/>
    </row>
    <row r="73" spans="1:25" ht="26.25" customHeight="1" x14ac:dyDescent="0.15">
      <c r="A73" s="59" t="str">
        <f ca="1">IFERROR(__xludf.DUMMYFUNCTION("""COMPUTED_VALUE"""),"yarusha lavanya")</f>
        <v>yarusha lavanya</v>
      </c>
      <c r="B73" s="59" t="str">
        <f ca="1">IFERROR(__xludf.DUMMYFUNCTION("""COMPUTED_VALUE"""),"18331A05E4")</f>
        <v>18331A05E4</v>
      </c>
      <c r="C73" s="59" t="str">
        <f ca="1">IFERROR(__xludf.DUMMYFUNCTION("""COMPUTED_VALUE"""),"2019-2020")</f>
        <v>2019-2020</v>
      </c>
      <c r="D73" s="59" t="str">
        <f ca="1">IFERROR(__xludf.DUMMYFUNCTION("""COMPUTED_VALUE"""),"Workshop")</f>
        <v>Workshop</v>
      </c>
      <c r="E73" s="59" t="str">
        <f ca="1">IFERROR(__xludf.DUMMYFUNCTION("""COMPUTED_VALUE"""),"Dart Programming")</f>
        <v>Dart Programming</v>
      </c>
      <c r="F73" s="59">
        <f ca="1">IFERROR(__xludf.DUMMYFUNCTION("""COMPUTED_VALUE"""),3)</f>
        <v>3</v>
      </c>
      <c r="G73" s="70">
        <f ca="1">IFERROR(__xludf.DUMMYFUNCTION("""COMPUTED_VALUE"""),44037)</f>
        <v>44037</v>
      </c>
      <c r="H73" s="70">
        <f ca="1">IFERROR(__xludf.DUMMYFUNCTION("""COMPUTED_VALUE"""),44040)</f>
        <v>44040</v>
      </c>
      <c r="I73" s="59" t="str">
        <f ca="1">IFERROR(__xludf.DUMMYFUNCTION("""COMPUTED_VALUE"""),"Mvgr college of engineering")</f>
        <v>Mvgr college of engineering</v>
      </c>
      <c r="J73" s="59" t="str">
        <f ca="1">IFERROR(__xludf.DUMMYFUNCTION("""COMPUTED_VALUE"""),"N/A")</f>
        <v>N/A</v>
      </c>
      <c r="K73" s="59" t="str">
        <f ca="1">IFERROR(__xludf.DUMMYFUNCTION("""COMPUTED_VALUE"""),"National")</f>
        <v>National</v>
      </c>
      <c r="L73" s="59" t="str">
        <f ca="1">IFERROR(__xludf.DUMMYFUNCTION("""COMPUTED_VALUE"""),"Free")</f>
        <v>Free</v>
      </c>
      <c r="M73" s="59"/>
      <c r="N73" s="71" t="str">
        <f ca="1">IFERROR(__xludf.DUMMYFUNCTION("""COMPUTED_VALUE"""),"https://drive.google.com/open?id=1BE7JQdinxMsRNrXWG8ECY6NhXcr3E34U")</f>
        <v>https://drive.google.com/open?id=1BE7JQdinxMsRNrXWG8ECY6NhXcr3E34U</v>
      </c>
      <c r="O73" s="59" t="str">
        <f ca="1">IFERROR(__xludf.DUMMYFUNCTION("""COMPUTED_VALUE"""),"2018-2022")</f>
        <v>2018-2022</v>
      </c>
      <c r="P73" s="59" t="str">
        <f ca="1">IFERROR(__xludf.DUMMYFUNCTION("""COMPUTED_VALUE"""),"S5: Student Workshops/Conf attended")</f>
        <v>S5: Student Workshops/Conf attended</v>
      </c>
      <c r="Q73" s="59" t="str">
        <f ca="1">IFERROR(__xludf.DUMMYFUNCTION("""COMPUTED_VALUE"""),"lavanyayausha25@gmail.com")</f>
        <v>lavanyayausha25@gmail.com</v>
      </c>
      <c r="R73" s="59" t="str">
        <f ca="1">IFERROR(__xludf.DUMMYFUNCTION("""COMPUTED_VALUE"""),"SEM-4")</f>
        <v>SEM-4</v>
      </c>
      <c r="S73" s="9"/>
      <c r="T73" s="9"/>
      <c r="U73" s="9"/>
      <c r="V73" s="9"/>
      <c r="W73" s="9"/>
      <c r="X73" s="9"/>
      <c r="Y73" s="9"/>
    </row>
    <row r="74" spans="1:25" ht="26.25" customHeight="1" x14ac:dyDescent="0.15">
      <c r="A74" s="59" t="str">
        <f ca="1">IFERROR(__xludf.DUMMYFUNCTION("""COMPUTED_VALUE"""),"Mandadi Bharathi naga sri sai prathyusha ")</f>
        <v xml:space="preserve">Mandadi Bharathi naga sri sai prathyusha </v>
      </c>
      <c r="B74" s="59" t="str">
        <f ca="1">IFERROR(__xludf.DUMMYFUNCTION("""COMPUTED_VALUE"""),"18331A0593")</f>
        <v>18331A0593</v>
      </c>
      <c r="C74" s="59" t="str">
        <f ca="1">IFERROR(__xludf.DUMMYFUNCTION("""COMPUTED_VALUE"""),"2020-2021")</f>
        <v>2020-2021</v>
      </c>
      <c r="D74" s="59" t="str">
        <f ca="1">IFERROR(__xludf.DUMMYFUNCTION("""COMPUTED_VALUE"""),"Webinar")</f>
        <v>Webinar</v>
      </c>
      <c r="E74" s="59" t="str">
        <f ca="1">IFERROR(__xludf.DUMMYFUNCTION("""COMPUTED_VALUE"""),"Secret to success after college")</f>
        <v>Secret to success after college</v>
      </c>
      <c r="F74" s="59">
        <f ca="1">IFERROR(__xludf.DUMMYFUNCTION("""COMPUTED_VALUE"""),1)</f>
        <v>1</v>
      </c>
      <c r="G74" s="70">
        <f ca="1">IFERROR(__xludf.DUMMYFUNCTION("""COMPUTED_VALUE"""),43972)</f>
        <v>43972</v>
      </c>
      <c r="H74" s="70">
        <f ca="1">IFERROR(__xludf.DUMMYFUNCTION("""COMPUTED_VALUE"""),43972)</f>
        <v>43972</v>
      </c>
      <c r="I74" s="59" t="str">
        <f ca="1">IFERROR(__xludf.DUMMYFUNCTION("""COMPUTED_VALUE"""),"IIIT allahabad")</f>
        <v>IIIT allahabad</v>
      </c>
      <c r="J74" s="59" t="str">
        <f ca="1">IFERROR(__xludf.DUMMYFUNCTION("""COMPUTED_VALUE"""),"Rishab mehta")</f>
        <v>Rishab mehta</v>
      </c>
      <c r="K74" s="59" t="str">
        <f ca="1">IFERROR(__xludf.DUMMYFUNCTION("""COMPUTED_VALUE"""),"National")</f>
        <v>National</v>
      </c>
      <c r="L74" s="59" t="str">
        <f ca="1">IFERROR(__xludf.DUMMYFUNCTION("""COMPUTED_VALUE"""),"Free")</f>
        <v>Free</v>
      </c>
      <c r="M74" s="59"/>
      <c r="N74" s="71" t="str">
        <f ca="1">IFERROR(__xludf.DUMMYFUNCTION("""COMPUTED_VALUE"""),"https://drive.google.com/open?id=1uVsSqbzOHsEXd8qtejGTUQkuw-oQqRX2")</f>
        <v>https://drive.google.com/open?id=1uVsSqbzOHsEXd8qtejGTUQkuw-oQqRX2</v>
      </c>
      <c r="O74" s="59" t="str">
        <f ca="1">IFERROR(__xludf.DUMMYFUNCTION("""COMPUTED_VALUE"""),"2018-2022")</f>
        <v>2018-2022</v>
      </c>
      <c r="P74" s="59" t="str">
        <f ca="1">IFERROR(__xludf.DUMMYFUNCTION("""COMPUTED_VALUE"""),"S5: Student Workshops/Conf attended")</f>
        <v>S5: Student Workshops/Conf attended</v>
      </c>
      <c r="Q74" s="59" t="str">
        <f ca="1">IFERROR(__xludf.DUMMYFUNCTION("""COMPUTED_VALUE"""),"mandadi.prathyusha@gmail.com")</f>
        <v>mandadi.prathyusha@gmail.com</v>
      </c>
      <c r="R74" s="59" t="str">
        <f ca="1">IFERROR(__xludf.DUMMYFUNCTION("""COMPUTED_VALUE"""),"SEM-8")</f>
        <v>SEM-8</v>
      </c>
      <c r="S74" s="9"/>
      <c r="T74" s="9"/>
      <c r="U74" s="9"/>
      <c r="V74" s="9"/>
      <c r="W74" s="9"/>
      <c r="X74" s="9"/>
      <c r="Y74" s="9"/>
    </row>
    <row r="75" spans="1:25" ht="26.25" customHeight="1" x14ac:dyDescent="0.15">
      <c r="A75" s="59" t="str">
        <f ca="1">IFERROR(__xludf.DUMMYFUNCTION("""COMPUTED_VALUE"""),"Mandadi Bharathi naga sri sai prathyusha ")</f>
        <v xml:space="preserve">Mandadi Bharathi naga sri sai prathyusha </v>
      </c>
      <c r="B75" s="59" t="str">
        <f ca="1">IFERROR(__xludf.DUMMYFUNCTION("""COMPUTED_VALUE"""),"18331A0593")</f>
        <v>18331A0593</v>
      </c>
      <c r="C75" s="59" t="str">
        <f ca="1">IFERROR(__xludf.DUMMYFUNCTION("""COMPUTED_VALUE"""),"2019-2020")</f>
        <v>2019-2020</v>
      </c>
      <c r="D75" s="59" t="str">
        <f ca="1">IFERROR(__xludf.DUMMYFUNCTION("""COMPUTED_VALUE"""),"Workshop")</f>
        <v>Workshop</v>
      </c>
      <c r="E75" s="59" t="str">
        <f ca="1">IFERROR(__xludf.DUMMYFUNCTION("""COMPUTED_VALUE"""),"Data science ")</f>
        <v xml:space="preserve">Data science </v>
      </c>
      <c r="F75" s="59">
        <f ca="1">IFERROR(__xludf.DUMMYFUNCTION("""COMPUTED_VALUE"""),2)</f>
        <v>2</v>
      </c>
      <c r="G75" s="70">
        <f ca="1">IFERROR(__xludf.DUMMYFUNCTION("""COMPUTED_VALUE"""),43694)</f>
        <v>43694</v>
      </c>
      <c r="H75" s="70">
        <f ca="1">IFERROR(__xludf.DUMMYFUNCTION("""COMPUTED_VALUE"""),43695)</f>
        <v>43695</v>
      </c>
      <c r="I75" s="59" t="str">
        <f ca="1">IFERROR(__xludf.DUMMYFUNCTION("""COMPUTED_VALUE"""),"IIT Hyderabad ")</f>
        <v xml:space="preserve">IIT Hyderabad </v>
      </c>
      <c r="J75" s="59" t="str">
        <f ca="1">IFERROR(__xludf.DUMMYFUNCTION("""COMPUTED_VALUE"""),"Rishab mehta")</f>
        <v>Rishab mehta</v>
      </c>
      <c r="K75" s="59" t="str">
        <f ca="1">IFERROR(__xludf.DUMMYFUNCTION("""COMPUTED_VALUE"""),"National")</f>
        <v>National</v>
      </c>
      <c r="L75" s="59" t="str">
        <f ca="1">IFERROR(__xludf.DUMMYFUNCTION("""COMPUTED_VALUE"""),"Paid")</f>
        <v>Paid</v>
      </c>
      <c r="M75" s="59"/>
      <c r="N75" s="71" t="str">
        <f ca="1">IFERROR(__xludf.DUMMYFUNCTION("""COMPUTED_VALUE"""),"https://drive.google.com/open?id=1CUBc4XwsGKxtG0Gm3o57OEqgjSf_ux31")</f>
        <v>https://drive.google.com/open?id=1CUBc4XwsGKxtG0Gm3o57OEqgjSf_ux31</v>
      </c>
      <c r="O75" s="59" t="str">
        <f ca="1">IFERROR(__xludf.DUMMYFUNCTION("""COMPUTED_VALUE"""),"2018-2022")</f>
        <v>2018-2022</v>
      </c>
      <c r="P75" s="59" t="str">
        <f ca="1">IFERROR(__xludf.DUMMYFUNCTION("""COMPUTED_VALUE"""),"S5: Student Workshops/Conf attended")</f>
        <v>S5: Student Workshops/Conf attended</v>
      </c>
      <c r="Q75" s="59" t="str">
        <f ca="1">IFERROR(__xludf.DUMMYFUNCTION("""COMPUTED_VALUE"""),"mandadi.prathyusha@gmail.com")</f>
        <v>mandadi.prathyusha@gmail.com</v>
      </c>
      <c r="R75" s="59" t="str">
        <f ca="1">IFERROR(__xludf.DUMMYFUNCTION("""COMPUTED_VALUE"""),"SEM-8")</f>
        <v>SEM-8</v>
      </c>
      <c r="S75" s="9"/>
      <c r="T75" s="9"/>
      <c r="U75" s="9"/>
      <c r="V75" s="9"/>
      <c r="W75" s="9"/>
      <c r="X75" s="9"/>
      <c r="Y75" s="9"/>
    </row>
    <row r="76" spans="1:25" ht="26.25" customHeight="1" x14ac:dyDescent="0.15">
      <c r="A76" s="59" t="str">
        <f ca="1">IFERROR(__xludf.DUMMYFUNCTION("""COMPUTED_VALUE"""),"Mandadi Bharathi naga sri sai prathyusha ")</f>
        <v xml:space="preserve">Mandadi Bharathi naga sri sai prathyusha </v>
      </c>
      <c r="B76" s="59" t="str">
        <f ca="1">IFERROR(__xludf.DUMMYFUNCTION("""COMPUTED_VALUE"""),"18331A0593")</f>
        <v>18331A0593</v>
      </c>
      <c r="C76" s="59" t="str">
        <f ca="1">IFERROR(__xludf.DUMMYFUNCTION("""COMPUTED_VALUE"""),"2018-2019")</f>
        <v>2018-2019</v>
      </c>
      <c r="D76" s="59" t="str">
        <f ca="1">IFERROR(__xludf.DUMMYFUNCTION("""COMPUTED_VALUE"""),"Workshop")</f>
        <v>Workshop</v>
      </c>
      <c r="E76" s="59" t="str">
        <f ca="1">IFERROR(__xludf.DUMMYFUNCTION("""COMPUTED_VALUE"""),"Freedom fest")</f>
        <v>Freedom fest</v>
      </c>
      <c r="F76" s="59">
        <f ca="1">IFERROR(__xludf.DUMMYFUNCTION("""COMPUTED_VALUE"""),2)</f>
        <v>2</v>
      </c>
      <c r="G76" s="70">
        <f ca="1">IFERROR(__xludf.DUMMYFUNCTION("""COMPUTED_VALUE"""),43505)</f>
        <v>43505</v>
      </c>
      <c r="H76" s="70">
        <f ca="1">IFERROR(__xludf.DUMMYFUNCTION("""COMPUTED_VALUE"""),43506)</f>
        <v>43506</v>
      </c>
      <c r="I76" s="59" t="str">
        <f ca="1">IFERROR(__xludf.DUMMYFUNCTION("""COMPUTED_VALUE"""),"Mvgr college of engineering ")</f>
        <v xml:space="preserve">Mvgr college of engineering </v>
      </c>
      <c r="J76" s="59" t="str">
        <f ca="1">IFERROR(__xludf.DUMMYFUNCTION("""COMPUTED_VALUE"""),"Vamsi sir")</f>
        <v>Vamsi sir</v>
      </c>
      <c r="K76" s="59" t="str">
        <f ca="1">IFERROR(__xludf.DUMMYFUNCTION("""COMPUTED_VALUE"""),"State")</f>
        <v>State</v>
      </c>
      <c r="L76" s="59" t="str">
        <f ca="1">IFERROR(__xludf.DUMMYFUNCTION("""COMPUTED_VALUE"""),"Paid")</f>
        <v>Paid</v>
      </c>
      <c r="M76" s="59"/>
      <c r="N76" s="71" t="str">
        <f ca="1">IFERROR(__xludf.DUMMYFUNCTION("""COMPUTED_VALUE"""),"https://drive.google.com/open?id=1wRDnWjVgTMxaH-hngAwYfoHXbiKKZt70")</f>
        <v>https://drive.google.com/open?id=1wRDnWjVgTMxaH-hngAwYfoHXbiKKZt70</v>
      </c>
      <c r="O76" s="59" t="str">
        <f ca="1">IFERROR(__xludf.DUMMYFUNCTION("""COMPUTED_VALUE"""),"2018-2022")</f>
        <v>2018-2022</v>
      </c>
      <c r="P76" s="59" t="str">
        <f ca="1">IFERROR(__xludf.DUMMYFUNCTION("""COMPUTED_VALUE"""),"S5: Student Workshops/Conf attended")</f>
        <v>S5: Student Workshops/Conf attended</v>
      </c>
      <c r="Q76" s="59" t="str">
        <f ca="1">IFERROR(__xludf.DUMMYFUNCTION("""COMPUTED_VALUE"""),"mandadi.prathyusha@gmail.com")</f>
        <v>mandadi.prathyusha@gmail.com</v>
      </c>
      <c r="R76" s="59" t="str">
        <f ca="1">IFERROR(__xludf.DUMMYFUNCTION("""COMPUTED_VALUE"""),"SEM-8")</f>
        <v>SEM-8</v>
      </c>
      <c r="S76" s="9"/>
      <c r="T76" s="9"/>
      <c r="U76" s="9"/>
      <c r="V76" s="9"/>
      <c r="W76" s="9"/>
      <c r="X76" s="9"/>
      <c r="Y76" s="9"/>
    </row>
    <row r="77" spans="1:25" ht="26.25" customHeight="1" x14ac:dyDescent="0.15">
      <c r="A77" s="59" t="str">
        <f ca="1">IFERROR(__xludf.DUMMYFUNCTION("""COMPUTED_VALUE"""),"Sai Yogesh Bhasuru")</f>
        <v>Sai Yogesh Bhasuru</v>
      </c>
      <c r="B77" s="59" t="str">
        <f ca="1">IFERROR(__xludf.DUMMYFUNCTION("""COMPUTED_VALUE"""),"18331A05D4")</f>
        <v>18331A05D4</v>
      </c>
      <c r="C77" s="59" t="str">
        <f ca="1">IFERROR(__xludf.DUMMYFUNCTION("""COMPUTED_VALUE"""),"2020-2021")</f>
        <v>2020-2021</v>
      </c>
      <c r="D77" s="59" t="str">
        <f ca="1">IFERROR(__xludf.DUMMYFUNCTION("""COMPUTED_VALUE"""),"Workshop")</f>
        <v>Workshop</v>
      </c>
      <c r="E77" s="59" t="str">
        <f ca="1">IFERROR(__xludf.DUMMYFUNCTION("""COMPUTED_VALUE"""),"Front End Developer Workshop")</f>
        <v>Front End Developer Workshop</v>
      </c>
      <c r="F77" s="59">
        <f ca="1">IFERROR(__xludf.DUMMYFUNCTION("""COMPUTED_VALUE"""),5)</f>
        <v>5</v>
      </c>
      <c r="G77" s="70">
        <f ca="1">IFERROR(__xludf.DUMMYFUNCTION("""COMPUTED_VALUE"""),44092)</f>
        <v>44092</v>
      </c>
      <c r="H77" s="70">
        <f ca="1">IFERROR(__xludf.DUMMYFUNCTION("""COMPUTED_VALUE"""),44462)</f>
        <v>44462</v>
      </c>
      <c r="I77" s="59" t="str">
        <f ca="1">IFERROR(__xludf.DUMMYFUNCTION("""COMPUTED_VALUE"""),"Skill Safari")</f>
        <v>Skill Safari</v>
      </c>
      <c r="J77" s="59" t="str">
        <f ca="1">IFERROR(__xludf.DUMMYFUNCTION("""COMPUTED_VALUE"""),"Mr")</f>
        <v>Mr</v>
      </c>
      <c r="K77" s="59" t="str">
        <f ca="1">IFERROR(__xludf.DUMMYFUNCTION("""COMPUTED_VALUE"""),"National")</f>
        <v>National</v>
      </c>
      <c r="L77" s="59" t="str">
        <f ca="1">IFERROR(__xludf.DUMMYFUNCTION("""COMPUTED_VALUE"""),"Free")</f>
        <v>Free</v>
      </c>
      <c r="M77" s="59"/>
      <c r="N77" s="71" t="str">
        <f ca="1">IFERROR(__xludf.DUMMYFUNCTION("""COMPUTED_VALUE"""),"https://drive.google.com/open?id=1fgv5CvK18243Ysu4UJmQrd7eBoTRVQvp")</f>
        <v>https://drive.google.com/open?id=1fgv5CvK18243Ysu4UJmQrd7eBoTRVQvp</v>
      </c>
      <c r="O77" s="59" t="str">
        <f ca="1">IFERROR(__xludf.DUMMYFUNCTION("""COMPUTED_VALUE"""),"2018-2022")</f>
        <v>2018-2022</v>
      </c>
      <c r="P77" s="59" t="str">
        <f ca="1">IFERROR(__xludf.DUMMYFUNCTION("""COMPUTED_VALUE"""),"S5: Student Workshops/Conf attended")</f>
        <v>S5: Student Workshops/Conf attended</v>
      </c>
      <c r="Q77" s="59" t="str">
        <f ca="1">IFERROR(__xludf.DUMMYFUNCTION("""COMPUTED_VALUE"""),"saiyogeshbhasuru16@gmail.com")</f>
        <v>saiyogeshbhasuru16@gmail.com</v>
      </c>
      <c r="R77" s="59" t="str">
        <f ca="1">IFERROR(__xludf.DUMMYFUNCTION("""COMPUTED_VALUE"""),"SEM-8")</f>
        <v>SEM-8</v>
      </c>
      <c r="S77" s="9"/>
      <c r="T77" s="9"/>
      <c r="U77" s="9"/>
      <c r="V77" s="9"/>
      <c r="W77" s="9"/>
      <c r="X77" s="9"/>
      <c r="Y77" s="9"/>
    </row>
    <row r="78" spans="1:25" ht="26.25" customHeight="1" x14ac:dyDescent="0.15">
      <c r="A78" s="59" t="str">
        <f ca="1">IFERROR(__xludf.DUMMYFUNCTION("""COMPUTED_VALUE"""),"Venkata surya pranay Mamidipalli ")</f>
        <v xml:space="preserve">Venkata surya pranay Mamidipalli </v>
      </c>
      <c r="B78" s="59" t="str">
        <f ca="1">IFERROR(__xludf.DUMMYFUNCTION("""COMPUTED_VALUE"""),"20331A05A5 ")</f>
        <v xml:space="preserve">20331A05A5 </v>
      </c>
      <c r="C78" s="59" t="str">
        <f ca="1">IFERROR(__xludf.DUMMYFUNCTION("""COMPUTED_VALUE"""),"2021-2022")</f>
        <v>2021-2022</v>
      </c>
      <c r="D78" s="59" t="str">
        <f ca="1">IFERROR(__xludf.DUMMYFUNCTION("""COMPUTED_VALUE"""),"Workshop")</f>
        <v>Workshop</v>
      </c>
      <c r="E78" s="59" t="str">
        <f ca="1">IFERROR(__xludf.DUMMYFUNCTION("""COMPUTED_VALUE"""),"DATA ANALYTICS WITH PYTHON")</f>
        <v>DATA ANALYTICS WITH PYTHON</v>
      </c>
      <c r="F78" s="59">
        <f ca="1">IFERROR(__xludf.DUMMYFUNCTION("""COMPUTED_VALUE"""),2)</f>
        <v>2</v>
      </c>
      <c r="G78" s="70">
        <f ca="1">IFERROR(__xludf.DUMMYFUNCTION("""COMPUTED_VALUE"""),44639)</f>
        <v>44639</v>
      </c>
      <c r="H78" s="70">
        <f ca="1">IFERROR(__xludf.DUMMYFUNCTION("""COMPUTED_VALUE"""),44640)</f>
        <v>44640</v>
      </c>
      <c r="I78" s="59" t="str">
        <f ca="1">IFERROR(__xludf.DUMMYFUNCTION("""COMPUTED_VALUE"""),"JNTUGVU college of engineering ")</f>
        <v xml:space="preserve">JNTUGVU college of engineering </v>
      </c>
      <c r="J78" s="59" t="str">
        <f ca="1">IFERROR(__xludf.DUMMYFUNCTION("""COMPUTED_VALUE"""),"SETHU PAVAN")</f>
        <v>SETHU PAVAN</v>
      </c>
      <c r="K78" s="59" t="str">
        <f ca="1">IFERROR(__xludf.DUMMYFUNCTION("""COMPUTED_VALUE"""),"State")</f>
        <v>State</v>
      </c>
      <c r="L78" s="59" t="str">
        <f ca="1">IFERROR(__xludf.DUMMYFUNCTION("""COMPUTED_VALUE"""),"Paid")</f>
        <v>Paid</v>
      </c>
      <c r="M78" s="59">
        <f ca="1">IFERROR(__xludf.DUMMYFUNCTION("""COMPUTED_VALUE"""),300)</f>
        <v>300</v>
      </c>
      <c r="N78" s="71" t="str">
        <f ca="1">IFERROR(__xludf.DUMMYFUNCTION("""COMPUTED_VALUE"""),"https://drive.google.com/open?id=1R7MqIRs3YZOruWBtAqBzwhgUzbDpw4tb")</f>
        <v>https://drive.google.com/open?id=1R7MqIRs3YZOruWBtAqBzwhgUzbDpw4tb</v>
      </c>
      <c r="O78" s="59" t="str">
        <f ca="1">IFERROR(__xludf.DUMMYFUNCTION("""COMPUTED_VALUE"""),"2020-2024")</f>
        <v>2020-2024</v>
      </c>
      <c r="P78" s="59" t="str">
        <f ca="1">IFERROR(__xludf.DUMMYFUNCTION("""COMPUTED_VALUE"""),"S5: Student Workshops/Conf attended")</f>
        <v>S5: Student Workshops/Conf attended</v>
      </c>
      <c r="Q78" s="59" t="str">
        <f ca="1">IFERROR(__xludf.DUMMYFUNCTION("""COMPUTED_VALUE"""),"suryapranaymamidipalli@gmail.com")</f>
        <v>suryapranaymamidipalli@gmail.com</v>
      </c>
      <c r="R78" s="59" t="str">
        <f ca="1">IFERROR(__xludf.DUMMYFUNCTION("""COMPUTED_VALUE"""),"SEM-4")</f>
        <v>SEM-4</v>
      </c>
      <c r="S78" s="9"/>
      <c r="T78" s="9"/>
      <c r="U78" s="9"/>
      <c r="V78" s="9"/>
      <c r="W78" s="9"/>
      <c r="X78" s="9"/>
      <c r="Y78" s="9"/>
    </row>
    <row r="79" spans="1:25" ht="26.25" customHeight="1" x14ac:dyDescent="0.15">
      <c r="A79" s="59" t="str">
        <f ca="1">IFERROR(__xludf.DUMMYFUNCTION("""COMPUTED_VALUE"""),"Venkata surya pranay Mamidipalli ")</f>
        <v xml:space="preserve">Venkata surya pranay Mamidipalli </v>
      </c>
      <c r="B79" s="59" t="str">
        <f ca="1">IFERROR(__xludf.DUMMYFUNCTION("""COMPUTED_VALUE"""),"20331A05A5 ")</f>
        <v xml:space="preserve">20331A05A5 </v>
      </c>
      <c r="C79" s="59" t="str">
        <f ca="1">IFERROR(__xludf.DUMMYFUNCTION("""COMPUTED_VALUE"""),"2021-2022")</f>
        <v>2021-2022</v>
      </c>
      <c r="D79" s="59" t="str">
        <f ca="1">IFERROR(__xludf.DUMMYFUNCTION("""COMPUTED_VALUE"""),"Workshop")</f>
        <v>Workshop</v>
      </c>
      <c r="E79" s="59" t="str">
        <f ca="1">IFERROR(__xludf.DUMMYFUNCTION("""COMPUTED_VALUE"""),"MACHINE LEARNING ")</f>
        <v xml:space="preserve">MACHINE LEARNING </v>
      </c>
      <c r="F79" s="59">
        <f ca="1">IFERROR(__xludf.DUMMYFUNCTION("""COMPUTED_VALUE"""),1)</f>
        <v>1</v>
      </c>
      <c r="G79" s="70">
        <f ca="1">IFERROR(__xludf.DUMMYFUNCTION("""COMPUTED_VALUE"""),44626)</f>
        <v>44626</v>
      </c>
      <c r="H79" s="70">
        <f ca="1">IFERROR(__xludf.DUMMYFUNCTION("""COMPUTED_VALUE"""),44626)</f>
        <v>44626</v>
      </c>
      <c r="I79" s="59" t="str">
        <f ca="1">IFERROR(__xludf.DUMMYFUNCTION("""COMPUTED_VALUE"""),"NATIONAL INSTITUTION OF TECHNOLOGY, TIRUCHIRAPALLI")</f>
        <v>NATIONAL INSTITUTION OF TECHNOLOGY, TIRUCHIRAPALLI</v>
      </c>
      <c r="J79" s="59" t="str">
        <f ca="1">IFERROR(__xludf.DUMMYFUNCTION("""COMPUTED_VALUE"""),"E.SIVA SHANKAR")</f>
        <v>E.SIVA SHANKAR</v>
      </c>
      <c r="K79" s="59" t="str">
        <f ca="1">IFERROR(__xludf.DUMMYFUNCTION("""COMPUTED_VALUE"""),"National")</f>
        <v>National</v>
      </c>
      <c r="L79" s="59" t="str">
        <f ca="1">IFERROR(__xludf.DUMMYFUNCTION("""COMPUTED_VALUE"""),"Paid")</f>
        <v>Paid</v>
      </c>
      <c r="M79" s="59">
        <f ca="1">IFERROR(__xludf.DUMMYFUNCTION("""COMPUTED_VALUE"""),70)</f>
        <v>70</v>
      </c>
      <c r="N79" s="71" t="str">
        <f ca="1">IFERROR(__xludf.DUMMYFUNCTION("""COMPUTED_VALUE"""),"https://drive.google.com/open?id=1ANx1BaRz1AoBB0EdoUoNP7vJe5AVsnVV")</f>
        <v>https://drive.google.com/open?id=1ANx1BaRz1AoBB0EdoUoNP7vJe5AVsnVV</v>
      </c>
      <c r="O79" s="59" t="str">
        <f ca="1">IFERROR(__xludf.DUMMYFUNCTION("""COMPUTED_VALUE"""),"2020-2024")</f>
        <v>2020-2024</v>
      </c>
      <c r="P79" s="59" t="str">
        <f ca="1">IFERROR(__xludf.DUMMYFUNCTION("""COMPUTED_VALUE"""),"S5: Student Workshops/Conf attended")</f>
        <v>S5: Student Workshops/Conf attended</v>
      </c>
      <c r="Q79" s="59" t="str">
        <f ca="1">IFERROR(__xludf.DUMMYFUNCTION("""COMPUTED_VALUE"""),"suryapranaymamidipalli@gmail.com")</f>
        <v>suryapranaymamidipalli@gmail.com</v>
      </c>
      <c r="R79" s="59" t="str">
        <f ca="1">IFERROR(__xludf.DUMMYFUNCTION("""COMPUTED_VALUE"""),"SEM-4")</f>
        <v>SEM-4</v>
      </c>
      <c r="S79" s="9"/>
      <c r="T79" s="9"/>
      <c r="U79" s="9"/>
      <c r="V79" s="9"/>
      <c r="W79" s="9"/>
      <c r="X79" s="9"/>
      <c r="Y79" s="9"/>
    </row>
    <row r="80" spans="1:25" ht="26.25" customHeight="1" x14ac:dyDescent="0.15">
      <c r="A80" s="59" t="str">
        <f ca="1">IFERROR(__xludf.DUMMYFUNCTION("""COMPUTED_VALUE"""),"Gara Ranjeet")</f>
        <v>Gara Ranjeet</v>
      </c>
      <c r="B80" s="59" t="str">
        <f ca="1">IFERROR(__xludf.DUMMYFUNCTION("""COMPUTED_VALUE"""),"18331A0544")</f>
        <v>18331A0544</v>
      </c>
      <c r="C80" s="59" t="str">
        <f ca="1">IFERROR(__xludf.DUMMYFUNCTION("""COMPUTED_VALUE"""),"2019-2020")</f>
        <v>2019-2020</v>
      </c>
      <c r="D80" s="59" t="str">
        <f ca="1">IFERROR(__xludf.DUMMYFUNCTION("""COMPUTED_VALUE"""),"Workshop")</f>
        <v>Workshop</v>
      </c>
      <c r="E80" s="59" t="str">
        <f ca="1">IFERROR(__xludf.DUMMYFUNCTION("""COMPUTED_VALUE"""),"Artificial Intelligence Workshop")</f>
        <v>Artificial Intelligence Workshop</v>
      </c>
      <c r="F80" s="59">
        <f ca="1">IFERROR(__xludf.DUMMYFUNCTION("""COMPUTED_VALUE"""),2)</f>
        <v>2</v>
      </c>
      <c r="G80" s="70">
        <f ca="1">IFERROR(__xludf.DUMMYFUNCTION("""COMPUTED_VALUE"""),43541)</f>
        <v>43541</v>
      </c>
      <c r="H80" s="70">
        <f ca="1">IFERROR(__xludf.DUMMYFUNCTION("""COMPUTED_VALUE"""),43542)</f>
        <v>43542</v>
      </c>
      <c r="I80" s="59" t="str">
        <f ca="1">IFERROR(__xludf.DUMMYFUNCTION("""COMPUTED_VALUE"""),"IIT Hyderabad")</f>
        <v>IIT Hyderabad</v>
      </c>
      <c r="J80" s="59" t="str">
        <f ca="1">IFERROR(__xludf.DUMMYFUNCTION("""COMPUTED_VALUE"""),"Sujata Mehta")</f>
        <v>Sujata Mehta</v>
      </c>
      <c r="K80" s="59" t="str">
        <f ca="1">IFERROR(__xludf.DUMMYFUNCTION("""COMPUTED_VALUE"""),"National")</f>
        <v>National</v>
      </c>
      <c r="L80" s="59" t="str">
        <f ca="1">IFERROR(__xludf.DUMMYFUNCTION("""COMPUTED_VALUE"""),"Paid")</f>
        <v>Paid</v>
      </c>
      <c r="M80" s="59">
        <f ca="1">IFERROR(__xludf.DUMMYFUNCTION("""COMPUTED_VALUE"""),1000)</f>
        <v>1000</v>
      </c>
      <c r="N80" s="71" t="str">
        <f ca="1">IFERROR(__xludf.DUMMYFUNCTION("""COMPUTED_VALUE"""),"https://drive.google.com/open?id=1f6QUzmNI0NAK3xQ4rBtytOxYcgP1jjNk")</f>
        <v>https://drive.google.com/open?id=1f6QUzmNI0NAK3xQ4rBtytOxYcgP1jjNk</v>
      </c>
      <c r="O80" s="59" t="str">
        <f ca="1">IFERROR(__xludf.DUMMYFUNCTION("""COMPUTED_VALUE"""),"2018-2022")</f>
        <v>2018-2022</v>
      </c>
      <c r="P80" s="59" t="str">
        <f ca="1">IFERROR(__xludf.DUMMYFUNCTION("""COMPUTED_VALUE"""),"S5: Student Workshops/Conf attended")</f>
        <v>S5: Student Workshops/Conf attended</v>
      </c>
      <c r="Q80" s="59" t="str">
        <f ca="1">IFERROR(__xludf.DUMMYFUNCTION("""COMPUTED_VALUE"""),"ranjeetgara123@gmail.com")</f>
        <v>ranjeetgara123@gmail.com</v>
      </c>
      <c r="R80" s="59" t="str">
        <f ca="1">IFERROR(__xludf.DUMMYFUNCTION("""COMPUTED_VALUE"""),"SEM-3")</f>
        <v>SEM-3</v>
      </c>
      <c r="S80" s="9"/>
      <c r="T80" s="9"/>
      <c r="U80" s="9"/>
      <c r="V80" s="9"/>
      <c r="W80" s="9"/>
      <c r="X80" s="9"/>
      <c r="Y80" s="9"/>
    </row>
    <row r="81" spans="1:25" ht="26.25" customHeight="1" x14ac:dyDescent="0.15">
      <c r="A81" s="59" t="str">
        <f ca="1">IFERROR(__xludf.DUMMYFUNCTION("""COMPUTED_VALUE"""),"Jami Harshini")</f>
        <v>Jami Harshini</v>
      </c>
      <c r="B81" s="59" t="str">
        <f ca="1">IFERROR(__xludf.DUMMYFUNCTION("""COMPUTED_VALUE"""),"18331A0560")</f>
        <v>18331A0560</v>
      </c>
      <c r="C81" s="59" t="str">
        <f ca="1">IFERROR(__xludf.DUMMYFUNCTION("""COMPUTED_VALUE"""),"2018-2019")</f>
        <v>2018-2019</v>
      </c>
      <c r="D81" s="59" t="str">
        <f ca="1">IFERROR(__xludf.DUMMYFUNCTION("""COMPUTED_VALUE"""),"Workshop")</f>
        <v>Workshop</v>
      </c>
      <c r="E81" s="59" t="str">
        <f ca="1">IFERROR(__xludf.DUMMYFUNCTION("""COMPUTED_VALUE"""),"IOT using thingspeak")</f>
        <v>IOT using thingspeak</v>
      </c>
      <c r="F81" s="59">
        <f ca="1">IFERROR(__xludf.DUMMYFUNCTION("""COMPUTED_VALUE"""),2)</f>
        <v>2</v>
      </c>
      <c r="G81" s="70">
        <f ca="1">IFERROR(__xludf.DUMMYFUNCTION("""COMPUTED_VALUE"""),43505)</f>
        <v>43505</v>
      </c>
      <c r="H81" s="70">
        <f ca="1">IFERROR(__xludf.DUMMYFUNCTION("""COMPUTED_VALUE"""),43506)</f>
        <v>43506</v>
      </c>
      <c r="I81" s="59" t="str">
        <f ca="1">IFERROR(__xludf.DUMMYFUNCTION("""COMPUTED_VALUE"""),"Vamsi krishna")</f>
        <v>Vamsi krishna</v>
      </c>
      <c r="J81" s="59" t="str">
        <f ca="1">IFERROR(__xludf.DUMMYFUNCTION("""COMPUTED_VALUE"""),"Executive committee")</f>
        <v>Executive committee</v>
      </c>
      <c r="K81" s="59" t="str">
        <f ca="1">IFERROR(__xludf.DUMMYFUNCTION("""COMPUTED_VALUE"""),"State")</f>
        <v>State</v>
      </c>
      <c r="L81" s="59" t="str">
        <f ca="1">IFERROR(__xludf.DUMMYFUNCTION("""COMPUTED_VALUE"""),"Paid")</f>
        <v>Paid</v>
      </c>
      <c r="M81" s="59">
        <f ca="1">IFERROR(__xludf.DUMMYFUNCTION("""COMPUTED_VALUE"""),200)</f>
        <v>200</v>
      </c>
      <c r="N81" s="71" t="str">
        <f ca="1">IFERROR(__xludf.DUMMYFUNCTION("""COMPUTED_VALUE"""),"https://drive.google.com/open?id=1FPX2QrZLTvGZfjzHUBavNjiV9l1kTGPq")</f>
        <v>https://drive.google.com/open?id=1FPX2QrZLTvGZfjzHUBavNjiV9l1kTGPq</v>
      </c>
      <c r="O81" s="59" t="str">
        <f ca="1">IFERROR(__xludf.DUMMYFUNCTION("""COMPUTED_VALUE"""),"2018-2022")</f>
        <v>2018-2022</v>
      </c>
      <c r="P81" s="59" t="str">
        <f ca="1">IFERROR(__xludf.DUMMYFUNCTION("""COMPUTED_VALUE"""),"S5: Student Workshops/Conf attended")</f>
        <v>S5: Student Workshops/Conf attended</v>
      </c>
      <c r="Q81" s="59" t="str">
        <f ca="1">IFERROR(__xludf.DUMMYFUNCTION("""COMPUTED_VALUE"""),"jamiharshini123@gmail.com")</f>
        <v>jamiharshini123@gmail.com</v>
      </c>
      <c r="R81" s="59" t="str">
        <f ca="1">IFERROR(__xludf.DUMMYFUNCTION("""COMPUTED_VALUE"""),"SEM-2")</f>
        <v>SEM-2</v>
      </c>
      <c r="S81" s="9"/>
      <c r="T81" s="9"/>
      <c r="U81" s="9"/>
      <c r="V81" s="9"/>
      <c r="W81" s="9"/>
      <c r="X81" s="9"/>
      <c r="Y81" s="9"/>
    </row>
    <row r="82" spans="1:25" ht="26.25" customHeight="1" x14ac:dyDescent="0.15">
      <c r="A82" s="59" t="str">
        <f ca="1">IFERROR(__xludf.DUMMYFUNCTION("""COMPUTED_VALUE"""),"Jami Harshini")</f>
        <v>Jami Harshini</v>
      </c>
      <c r="B82" s="59" t="str">
        <f ca="1">IFERROR(__xludf.DUMMYFUNCTION("""COMPUTED_VALUE"""),"18331A0560")</f>
        <v>18331A0560</v>
      </c>
      <c r="C82" s="59" t="str">
        <f ca="1">IFERROR(__xludf.DUMMYFUNCTION("""COMPUTED_VALUE"""),"2020-2021")</f>
        <v>2020-2021</v>
      </c>
      <c r="D82" s="59" t="str">
        <f ca="1">IFERROR(__xludf.DUMMYFUNCTION("""COMPUTED_VALUE"""),"Workshop")</f>
        <v>Workshop</v>
      </c>
      <c r="E82" s="59" t="str">
        <f ca="1">IFERROR(__xludf.DUMMYFUNCTION("""COMPUTED_VALUE"""),"React JS")</f>
        <v>React JS</v>
      </c>
      <c r="F82" s="59">
        <f ca="1">IFERROR(__xludf.DUMMYFUNCTION("""COMPUTED_VALUE"""),5)</f>
        <v>5</v>
      </c>
      <c r="G82" s="70">
        <f ca="1">IFERROR(__xludf.DUMMYFUNCTION("""COMPUTED_VALUE"""),44382)</f>
        <v>44382</v>
      </c>
      <c r="H82" s="70">
        <f ca="1">IFERROR(__xludf.DUMMYFUNCTION("""COMPUTED_VALUE"""),44387)</f>
        <v>44387</v>
      </c>
      <c r="I82" s="59" t="str">
        <f ca="1">IFERROR(__xludf.DUMMYFUNCTION("""COMPUTED_VALUE"""),"Dr.Datachana Murthy")</f>
        <v>Dr.Datachana Murthy</v>
      </c>
      <c r="J82" s="59" t="str">
        <f ca="1">IFERROR(__xludf.DUMMYFUNCTION("""COMPUTED_VALUE"""),"Ganesh Nag Doddi")</f>
        <v>Ganesh Nag Doddi</v>
      </c>
      <c r="K82" s="59" t="str">
        <f ca="1">IFERROR(__xludf.DUMMYFUNCTION("""COMPUTED_VALUE"""),"State")</f>
        <v>State</v>
      </c>
      <c r="L82" s="59" t="str">
        <f ca="1">IFERROR(__xludf.DUMMYFUNCTION("""COMPUTED_VALUE"""),"Free")</f>
        <v>Free</v>
      </c>
      <c r="M82" s="59">
        <f ca="1">IFERROR(__xludf.DUMMYFUNCTION("""COMPUTED_VALUE"""),0)</f>
        <v>0</v>
      </c>
      <c r="N82" s="71" t="str">
        <f ca="1">IFERROR(__xludf.DUMMYFUNCTION("""COMPUTED_VALUE"""),"https://drive.google.com/open?id=1P_SDynCHaaW72tBwCIbXv8UEO8NUopEk")</f>
        <v>https://drive.google.com/open?id=1P_SDynCHaaW72tBwCIbXv8UEO8NUopEk</v>
      </c>
      <c r="O82" s="59" t="str">
        <f ca="1">IFERROR(__xludf.DUMMYFUNCTION("""COMPUTED_VALUE"""),"2018-2022")</f>
        <v>2018-2022</v>
      </c>
      <c r="P82" s="59" t="str">
        <f ca="1">IFERROR(__xludf.DUMMYFUNCTION("""COMPUTED_VALUE"""),"S5: Student Workshops/Conf attended")</f>
        <v>S5: Student Workshops/Conf attended</v>
      </c>
      <c r="Q82" s="59" t="str">
        <f ca="1">IFERROR(__xludf.DUMMYFUNCTION("""COMPUTED_VALUE"""),"jamiharshini123@gmail.com")</f>
        <v>jamiharshini123@gmail.com</v>
      </c>
      <c r="R82" s="59" t="str">
        <f ca="1">IFERROR(__xludf.DUMMYFUNCTION("""COMPUTED_VALUE"""),"SEM-6")</f>
        <v>SEM-6</v>
      </c>
      <c r="S82" s="9"/>
      <c r="T82" s="9"/>
      <c r="U82" s="9"/>
      <c r="V82" s="9"/>
      <c r="W82" s="9"/>
      <c r="X82" s="9"/>
      <c r="Y82" s="9"/>
    </row>
    <row r="83" spans="1:25" ht="26.25" customHeight="1" x14ac:dyDescent="0.15">
      <c r="A83" s="59" t="str">
        <f ca="1">IFERROR(__xludf.DUMMYFUNCTION("""COMPUTED_VALUE"""),"Jami Harshini")</f>
        <v>Jami Harshini</v>
      </c>
      <c r="B83" s="59" t="str">
        <f ca="1">IFERROR(__xludf.DUMMYFUNCTION("""COMPUTED_VALUE"""),"18331A0560")</f>
        <v>18331A0560</v>
      </c>
      <c r="C83" s="59" t="str">
        <f ca="1">IFERROR(__xludf.DUMMYFUNCTION("""COMPUTED_VALUE"""),"2019-2020")</f>
        <v>2019-2020</v>
      </c>
      <c r="D83" s="59" t="str">
        <f ca="1">IFERROR(__xludf.DUMMYFUNCTION("""COMPUTED_VALUE"""),"Workshop")</f>
        <v>Workshop</v>
      </c>
      <c r="E83" s="59" t="str">
        <f ca="1">IFERROR(__xludf.DUMMYFUNCTION("""COMPUTED_VALUE"""),"Angular JS to develop web apps faster")</f>
        <v>Angular JS to develop web apps faster</v>
      </c>
      <c r="F83" s="59">
        <f ca="1">IFERROR(__xludf.DUMMYFUNCTION("""COMPUTED_VALUE"""),1)</f>
        <v>1</v>
      </c>
      <c r="G83" s="70">
        <f ca="1">IFERROR(__xludf.DUMMYFUNCTION("""COMPUTED_VALUE"""),44008)</f>
        <v>44008</v>
      </c>
      <c r="H83" s="70">
        <f ca="1">IFERROR(__xludf.DUMMYFUNCTION("""COMPUTED_VALUE"""),44008)</f>
        <v>44008</v>
      </c>
      <c r="I83" s="59" t="str">
        <f ca="1">IFERROR(__xludf.DUMMYFUNCTION("""COMPUTED_VALUE"""),"Dr.Datchana Moorthy")</f>
        <v>Dr.Datchana Moorthy</v>
      </c>
      <c r="J83" s="59" t="str">
        <f ca="1">IFERROR(__xludf.DUMMYFUNCTION("""COMPUTED_VALUE"""),"Ganesh Nag doddi")</f>
        <v>Ganesh Nag doddi</v>
      </c>
      <c r="K83" s="59" t="str">
        <f ca="1">IFERROR(__xludf.DUMMYFUNCTION("""COMPUTED_VALUE"""),"International")</f>
        <v>International</v>
      </c>
      <c r="L83" s="59" t="str">
        <f ca="1">IFERROR(__xludf.DUMMYFUNCTION("""COMPUTED_VALUE"""),"Free")</f>
        <v>Free</v>
      </c>
      <c r="M83" s="59">
        <f ca="1">IFERROR(__xludf.DUMMYFUNCTION("""COMPUTED_VALUE"""),0)</f>
        <v>0</v>
      </c>
      <c r="N83" s="71" t="str">
        <f ca="1">IFERROR(__xludf.DUMMYFUNCTION("""COMPUTED_VALUE"""),"https://drive.google.com/open?id=134P2I3pD2SS-W20-g3ud9BmBsVEiO2FR")</f>
        <v>https://drive.google.com/open?id=134P2I3pD2SS-W20-g3ud9BmBsVEiO2FR</v>
      </c>
      <c r="O83" s="59" t="str">
        <f ca="1">IFERROR(__xludf.DUMMYFUNCTION("""COMPUTED_VALUE"""),"2018-2022")</f>
        <v>2018-2022</v>
      </c>
      <c r="P83" s="59" t="str">
        <f ca="1">IFERROR(__xludf.DUMMYFUNCTION("""COMPUTED_VALUE"""),"S5: Student Workshops/Conf attended")</f>
        <v>S5: Student Workshops/Conf attended</v>
      </c>
      <c r="Q83" s="59" t="str">
        <f ca="1">IFERROR(__xludf.DUMMYFUNCTION("""COMPUTED_VALUE"""),"jamiharshini123@gmail.com")</f>
        <v>jamiharshini123@gmail.com</v>
      </c>
      <c r="R83" s="59" t="str">
        <f ca="1">IFERROR(__xludf.DUMMYFUNCTION("""COMPUTED_VALUE"""),"SEM-6")</f>
        <v>SEM-6</v>
      </c>
      <c r="S83" s="9"/>
      <c r="T83" s="9"/>
      <c r="U83" s="9"/>
      <c r="V83" s="9"/>
      <c r="W83" s="9"/>
      <c r="X83" s="9"/>
      <c r="Y83" s="9"/>
    </row>
    <row r="84" spans="1:25" ht="26.25" customHeight="1" x14ac:dyDescent="0.15">
      <c r="A84" s="59" t="str">
        <f ca="1">IFERROR(__xludf.DUMMYFUNCTION("""COMPUTED_VALUE"""),"Jami Harshini")</f>
        <v>Jami Harshini</v>
      </c>
      <c r="B84" s="59" t="str">
        <f ca="1">IFERROR(__xludf.DUMMYFUNCTION("""COMPUTED_VALUE"""),"18331A0560")</f>
        <v>18331A0560</v>
      </c>
      <c r="C84" s="59" t="str">
        <f ca="1">IFERROR(__xludf.DUMMYFUNCTION("""COMPUTED_VALUE"""),"2021-2022")</f>
        <v>2021-2022</v>
      </c>
      <c r="D84" s="59" t="str">
        <f ca="1">IFERROR(__xludf.DUMMYFUNCTION("""COMPUTED_VALUE"""),"Seminar")</f>
        <v>Seminar</v>
      </c>
      <c r="E84" s="59" t="str">
        <f ca="1">IFERROR(__xludf.DUMMYFUNCTION("""COMPUTED_VALUE"""),"National Intellectual Property Awareness Mission")</f>
        <v>National Intellectual Property Awareness Mission</v>
      </c>
      <c r="F84" s="59">
        <f ca="1">IFERROR(__xludf.DUMMYFUNCTION("""COMPUTED_VALUE"""),1)</f>
        <v>1</v>
      </c>
      <c r="G84" s="70">
        <f ca="1">IFERROR(__xludf.DUMMYFUNCTION("""COMPUTED_VALUE"""),44567)</f>
        <v>44567</v>
      </c>
      <c r="H84" s="70">
        <f ca="1">IFERROR(__xludf.DUMMYFUNCTION("""COMPUTED_VALUE"""),44567)</f>
        <v>44567</v>
      </c>
      <c r="I84" s="59" t="str">
        <f ca="1">IFERROR(__xludf.DUMMYFUNCTION("""COMPUTED_VALUE"""),"Vamsi krishna")</f>
        <v>Vamsi krishna</v>
      </c>
      <c r="J84" s="59" t="str">
        <f ca="1">IFERROR(__xludf.DUMMYFUNCTION("""COMPUTED_VALUE"""),"Intellectual Property office")</f>
        <v>Intellectual Property office</v>
      </c>
      <c r="K84" s="59" t="str">
        <f ca="1">IFERROR(__xludf.DUMMYFUNCTION("""COMPUTED_VALUE"""),"National")</f>
        <v>National</v>
      </c>
      <c r="L84" s="59" t="str">
        <f ca="1">IFERROR(__xludf.DUMMYFUNCTION("""COMPUTED_VALUE"""),"Free")</f>
        <v>Free</v>
      </c>
      <c r="M84" s="59">
        <f ca="1">IFERROR(__xludf.DUMMYFUNCTION("""COMPUTED_VALUE"""),0)</f>
        <v>0</v>
      </c>
      <c r="N84" s="71" t="str">
        <f ca="1">IFERROR(__xludf.DUMMYFUNCTION("""COMPUTED_VALUE"""),"https://drive.google.com/open?id=12Aw9JBnVJ5rWOQ2L_VqcpXMWITfO6AgA")</f>
        <v>https://drive.google.com/open?id=12Aw9JBnVJ5rWOQ2L_VqcpXMWITfO6AgA</v>
      </c>
      <c r="O84" s="59" t="str">
        <f ca="1">IFERROR(__xludf.DUMMYFUNCTION("""COMPUTED_VALUE"""),"2018-2022")</f>
        <v>2018-2022</v>
      </c>
      <c r="P84" s="59" t="str">
        <f ca="1">IFERROR(__xludf.DUMMYFUNCTION("""COMPUTED_VALUE"""),"S5: Student Workshops/Conf attended")</f>
        <v>S5: Student Workshops/Conf attended</v>
      </c>
      <c r="Q84" s="59" t="str">
        <f ca="1">IFERROR(__xludf.DUMMYFUNCTION("""COMPUTED_VALUE"""),"jamiharshini123@gmail.com")</f>
        <v>jamiharshini123@gmail.com</v>
      </c>
      <c r="R84" s="59" t="str">
        <f ca="1">IFERROR(__xludf.DUMMYFUNCTION("""COMPUTED_VALUE"""),"SEM-7")</f>
        <v>SEM-7</v>
      </c>
      <c r="S84" s="9"/>
      <c r="T84" s="9"/>
      <c r="U84" s="9"/>
      <c r="V84" s="9"/>
      <c r="W84" s="9"/>
      <c r="X84" s="9"/>
      <c r="Y84" s="9"/>
    </row>
    <row r="85" spans="1:25" ht="26.25" customHeight="1" x14ac:dyDescent="0.15">
      <c r="A85" s="59" t="str">
        <f ca="1">IFERROR(__xludf.DUMMYFUNCTION("""COMPUTED_VALUE"""),"Kavya Mudili")</f>
        <v>Kavya Mudili</v>
      </c>
      <c r="B85" s="59" t="str">
        <f ca="1">IFERROR(__xludf.DUMMYFUNCTION("""COMPUTED_VALUE"""),"18331A05A1")</f>
        <v>18331A05A1</v>
      </c>
      <c r="C85" s="59" t="str">
        <f ca="1">IFERROR(__xludf.DUMMYFUNCTION("""COMPUTED_VALUE"""),"2021-2022")</f>
        <v>2021-2022</v>
      </c>
      <c r="D85" s="59" t="str">
        <f ca="1">IFERROR(__xludf.DUMMYFUNCTION("""COMPUTED_VALUE"""),"Webinar")</f>
        <v>Webinar</v>
      </c>
      <c r="E85" s="59" t="str">
        <f ca="1">IFERROR(__xludf.DUMMYFUNCTION("""COMPUTED_VALUE"""),"National IP Awareness Mission")</f>
        <v>National IP Awareness Mission</v>
      </c>
      <c r="F85" s="59">
        <f ca="1">IFERROR(__xludf.DUMMYFUNCTION("""COMPUTED_VALUE"""),1)</f>
        <v>1</v>
      </c>
      <c r="G85" s="70">
        <f ca="1">IFERROR(__xludf.DUMMYFUNCTION("""COMPUTED_VALUE"""),44567)</f>
        <v>44567</v>
      </c>
      <c r="H85" s="70">
        <f ca="1">IFERROR(__xludf.DUMMYFUNCTION("""COMPUTED_VALUE"""),44567)</f>
        <v>44567</v>
      </c>
      <c r="I85" s="59" t="str">
        <f ca="1">IFERROR(__xludf.DUMMYFUNCTION("""COMPUTED_VALUE"""),"NIPAM Team")</f>
        <v>NIPAM Team</v>
      </c>
      <c r="J85" s="59" t="str">
        <f ca="1">IFERROR(__xludf.DUMMYFUNCTION("""COMPUTED_VALUE"""),"Vamsi Krishna")</f>
        <v>Vamsi Krishna</v>
      </c>
      <c r="K85" s="59" t="str">
        <f ca="1">IFERROR(__xludf.DUMMYFUNCTION("""COMPUTED_VALUE"""),"National")</f>
        <v>National</v>
      </c>
      <c r="L85" s="59" t="str">
        <f ca="1">IFERROR(__xludf.DUMMYFUNCTION("""COMPUTED_VALUE"""),"Free")</f>
        <v>Free</v>
      </c>
      <c r="M85" s="59"/>
      <c r="N85" s="71" t="str">
        <f ca="1">IFERROR(__xludf.DUMMYFUNCTION("""COMPUTED_VALUE"""),"https://drive.google.com/open?id=1BoUN3WLMggs9Bm6YOfMVjkHpYDJ16YUP")</f>
        <v>https://drive.google.com/open?id=1BoUN3WLMggs9Bm6YOfMVjkHpYDJ16YUP</v>
      </c>
      <c r="O85" s="59" t="str">
        <f ca="1">IFERROR(__xludf.DUMMYFUNCTION("""COMPUTED_VALUE"""),"2018-2022")</f>
        <v>2018-2022</v>
      </c>
      <c r="P85" s="59" t="str">
        <f ca="1">IFERROR(__xludf.DUMMYFUNCTION("""COMPUTED_VALUE"""),"S5: Student Workshops/Conf attended")</f>
        <v>S5: Student Workshops/Conf attended</v>
      </c>
      <c r="Q85" s="59" t="str">
        <f ca="1">IFERROR(__xludf.DUMMYFUNCTION("""COMPUTED_VALUE"""),"kavyamudili2001@gmail.com")</f>
        <v>kavyamudili2001@gmail.com</v>
      </c>
      <c r="R85" s="59" t="str">
        <f ca="1">IFERROR(__xludf.DUMMYFUNCTION("""COMPUTED_VALUE"""),"SEM-8")</f>
        <v>SEM-8</v>
      </c>
      <c r="S85" s="9"/>
      <c r="T85" s="9"/>
      <c r="U85" s="9"/>
      <c r="V85" s="9"/>
      <c r="W85" s="9"/>
      <c r="X85" s="9"/>
      <c r="Y85" s="9"/>
    </row>
    <row r="86" spans="1:25" ht="26.25" customHeight="1" x14ac:dyDescent="0.15">
      <c r="A86" s="59" t="str">
        <f ca="1">IFERROR(__xludf.DUMMYFUNCTION("""COMPUTED_VALUE"""),"Jami Harshini")</f>
        <v>Jami Harshini</v>
      </c>
      <c r="B86" s="59" t="str">
        <f ca="1">IFERROR(__xludf.DUMMYFUNCTION("""COMPUTED_VALUE"""),"18331A0560")</f>
        <v>18331A0560</v>
      </c>
      <c r="C86" s="59" t="str">
        <f ca="1">IFERROR(__xludf.DUMMYFUNCTION("""COMPUTED_VALUE"""),"2020-2021")</f>
        <v>2020-2021</v>
      </c>
      <c r="D86" s="59" t="str">
        <f ca="1">IFERROR(__xludf.DUMMYFUNCTION("""COMPUTED_VALUE"""),"Webinar")</f>
        <v>Webinar</v>
      </c>
      <c r="E86" s="59" t="str">
        <f ca="1">IFERROR(__xludf.DUMMYFUNCTION("""COMPUTED_VALUE"""),"International  day of yoga")</f>
        <v>International  day of yoga</v>
      </c>
      <c r="F86" s="59">
        <f ca="1">IFERROR(__xludf.DUMMYFUNCTION("""COMPUTED_VALUE"""),2)</f>
        <v>2</v>
      </c>
      <c r="G86" s="70">
        <f ca="1">IFERROR(__xludf.DUMMYFUNCTION("""COMPUTED_VALUE"""),44003)</f>
        <v>44003</v>
      </c>
      <c r="H86" s="70">
        <f ca="1">IFERROR(__xludf.DUMMYFUNCTION("""COMPUTED_VALUE"""),44003)</f>
        <v>44003</v>
      </c>
      <c r="I86" s="59" t="str">
        <f ca="1">IFERROR(__xludf.DUMMYFUNCTION("""COMPUTED_VALUE"""),"Kamlesh D patel")</f>
        <v>Kamlesh D patel</v>
      </c>
      <c r="J86" s="59" t="str">
        <f ca="1">IFERROR(__xludf.DUMMYFUNCTION("""COMPUTED_VALUE"""),"Heartfulness institute")</f>
        <v>Heartfulness institute</v>
      </c>
      <c r="K86" s="59" t="str">
        <f ca="1">IFERROR(__xludf.DUMMYFUNCTION("""COMPUTED_VALUE"""),"National")</f>
        <v>National</v>
      </c>
      <c r="L86" s="59" t="str">
        <f ca="1">IFERROR(__xludf.DUMMYFUNCTION("""COMPUTED_VALUE"""),"Free")</f>
        <v>Free</v>
      </c>
      <c r="M86" s="59">
        <f ca="1">IFERROR(__xludf.DUMMYFUNCTION("""COMPUTED_VALUE"""),0)</f>
        <v>0</v>
      </c>
      <c r="N86" s="71" t="str">
        <f ca="1">IFERROR(__xludf.DUMMYFUNCTION("""COMPUTED_VALUE"""),"https://drive.google.com/open?id=1-VEYMCW3l0PXFEtYFpD3jldSLz6PLv8l")</f>
        <v>https://drive.google.com/open?id=1-VEYMCW3l0PXFEtYFpD3jldSLz6PLv8l</v>
      </c>
      <c r="O86" s="59" t="str">
        <f ca="1">IFERROR(__xludf.DUMMYFUNCTION("""COMPUTED_VALUE"""),"2018-2022")</f>
        <v>2018-2022</v>
      </c>
      <c r="P86" s="59" t="str">
        <f ca="1">IFERROR(__xludf.DUMMYFUNCTION("""COMPUTED_VALUE"""),"S5: Student Workshops/Conf attended")</f>
        <v>S5: Student Workshops/Conf attended</v>
      </c>
      <c r="Q86" s="59" t="str">
        <f ca="1">IFERROR(__xludf.DUMMYFUNCTION("""COMPUTED_VALUE"""),"jamiharshini123@gmail.com")</f>
        <v>jamiharshini123@gmail.com</v>
      </c>
      <c r="R86" s="59" t="str">
        <f ca="1">IFERROR(__xludf.DUMMYFUNCTION("""COMPUTED_VALUE"""),"SEM-6")</f>
        <v>SEM-6</v>
      </c>
      <c r="S86" s="9"/>
      <c r="T86" s="9"/>
      <c r="U86" s="9"/>
      <c r="V86" s="9"/>
      <c r="W86" s="9"/>
      <c r="X86" s="9"/>
      <c r="Y86" s="9"/>
    </row>
    <row r="87" spans="1:25" ht="26.25" customHeight="1" x14ac:dyDescent="0.15">
      <c r="A87" s="59" t="str">
        <f ca="1">IFERROR(__xludf.DUMMYFUNCTION("""COMPUTED_VALUE"""),"TIRUMALARAJU VIJAYARAMA MOHITH VARMA")</f>
        <v>TIRUMALARAJU VIJAYARAMA MOHITH VARMA</v>
      </c>
      <c r="B87" s="59" t="str">
        <f ca="1">IFERROR(__xludf.DUMMYFUNCTION("""COMPUTED_VALUE"""),"18331A05F8")</f>
        <v>18331A05F8</v>
      </c>
      <c r="C87" s="59" t="str">
        <f ca="1">IFERROR(__xludf.DUMMYFUNCTION("""COMPUTED_VALUE"""),"2020-2021")</f>
        <v>2020-2021</v>
      </c>
      <c r="D87" s="59" t="str">
        <f ca="1">IFERROR(__xludf.DUMMYFUNCTION("""COMPUTED_VALUE"""),"Workshop")</f>
        <v>Workshop</v>
      </c>
      <c r="E87" s="59" t="str">
        <f ca="1">IFERROR(__xludf.DUMMYFUNCTION("""COMPUTED_VALUE"""),"ANGULAR JS TO DEVELOP WEB APPS FASTER")</f>
        <v>ANGULAR JS TO DEVELOP WEB APPS FASTER</v>
      </c>
      <c r="F87" s="59">
        <f ca="1">IFERROR(__xludf.DUMMYFUNCTION("""COMPUTED_VALUE"""),1)</f>
        <v>1</v>
      </c>
      <c r="G87" s="70">
        <f ca="1">IFERROR(__xludf.DUMMYFUNCTION("""COMPUTED_VALUE"""),44008)</f>
        <v>44008</v>
      </c>
      <c r="H87" s="70">
        <f ca="1">IFERROR(__xludf.DUMMYFUNCTION("""COMPUTED_VALUE"""),44008)</f>
        <v>44008</v>
      </c>
      <c r="I87" s="59" t="str">
        <f ca="1">IFERROR(__xludf.DUMMYFUNCTION("""COMPUTED_VALUE"""),"BY CSE AND IT  IN ASSOCIATION WITH NYCI&amp; BRAIN-O-VISION-")</f>
        <v>BY CSE AND IT  IN ASSOCIATION WITH NYCI&amp; BRAIN-O-VISION-</v>
      </c>
      <c r="J87" s="59" t="str">
        <f ca="1">IFERROR(__xludf.DUMMYFUNCTION("""COMPUTED_VALUE"""),"DR.V.NAGESH, GANESH NAG DODDI,DR.DATCHANA MOORTHY RAMU")</f>
        <v>DR.V.NAGESH, GANESH NAG DODDI,DR.DATCHANA MOORTHY RAMU</v>
      </c>
      <c r="K87" s="59" t="str">
        <f ca="1">IFERROR(__xludf.DUMMYFUNCTION("""COMPUTED_VALUE"""),"International")</f>
        <v>International</v>
      </c>
      <c r="L87" s="59" t="str">
        <f ca="1">IFERROR(__xludf.DUMMYFUNCTION("""COMPUTED_VALUE"""),"Free")</f>
        <v>Free</v>
      </c>
      <c r="M87" s="59"/>
      <c r="N87" s="71" t="str">
        <f ca="1">IFERROR(__xludf.DUMMYFUNCTION("""COMPUTED_VALUE"""),"https://drive.google.com/open?id=12oZBqNOCdGscf-2Q9CeT0JV9-npaxoEZ")</f>
        <v>https://drive.google.com/open?id=12oZBqNOCdGscf-2Q9CeT0JV9-npaxoEZ</v>
      </c>
      <c r="O87" s="59" t="str">
        <f ca="1">IFERROR(__xludf.DUMMYFUNCTION("""COMPUTED_VALUE"""),"2018-2022")</f>
        <v>2018-2022</v>
      </c>
      <c r="P87" s="59" t="str">
        <f ca="1">IFERROR(__xludf.DUMMYFUNCTION("""COMPUTED_VALUE"""),"S5: Student Workshops/Conf attended")</f>
        <v>S5: Student Workshops/Conf attended</v>
      </c>
      <c r="Q87" s="59" t="str">
        <f ca="1">IFERROR(__xludf.DUMMYFUNCTION("""COMPUTED_VALUE"""),"vijayaramaraju1999@gmail.com")</f>
        <v>vijayaramaraju1999@gmail.com</v>
      </c>
      <c r="R87" s="59" t="str">
        <f ca="1">IFERROR(__xludf.DUMMYFUNCTION("""COMPUTED_VALUE"""),"SEM-8")</f>
        <v>SEM-8</v>
      </c>
      <c r="S87" s="9"/>
      <c r="T87" s="9"/>
      <c r="U87" s="9"/>
      <c r="V87" s="9"/>
      <c r="W87" s="9"/>
      <c r="X87" s="9"/>
      <c r="Y87" s="9"/>
    </row>
    <row r="88" spans="1:25" ht="26.25" customHeight="1" x14ac:dyDescent="0.15">
      <c r="A88" s="59" t="str">
        <f ca="1">IFERROR(__xludf.DUMMYFUNCTION("""COMPUTED_VALUE"""),"TIRUMALARAJU VIJAYARAMA MOHITH VARMA")</f>
        <v>TIRUMALARAJU VIJAYARAMA MOHITH VARMA</v>
      </c>
      <c r="B88" s="59" t="str">
        <f ca="1">IFERROR(__xludf.DUMMYFUNCTION("""COMPUTED_VALUE"""),"18331A05F8")</f>
        <v>18331A05F8</v>
      </c>
      <c r="C88" s="59" t="str">
        <f ca="1">IFERROR(__xludf.DUMMYFUNCTION("""COMPUTED_VALUE"""),"2021-2022")</f>
        <v>2021-2022</v>
      </c>
      <c r="D88" s="59" t="str">
        <f ca="1">IFERROR(__xludf.DUMMYFUNCTION("""COMPUTED_VALUE"""),"Workshop")</f>
        <v>Workshop</v>
      </c>
      <c r="E88" s="59" t="str">
        <f ca="1">IFERROR(__xludf.DUMMYFUNCTION("""COMPUTED_VALUE"""),"TECHFEST IIT BOMBAY- CYBER SECURITY")</f>
        <v>TECHFEST IIT BOMBAY- CYBER SECURITY</v>
      </c>
      <c r="F88" s="59">
        <f ca="1">IFERROR(__xludf.DUMMYFUNCTION("""COMPUTED_VALUE"""),60)</f>
        <v>60</v>
      </c>
      <c r="G88" s="70">
        <f ca="1">IFERROR(__xludf.DUMMYFUNCTION("""COMPUTED_VALUE"""),44511)</f>
        <v>44511</v>
      </c>
      <c r="H88" s="70">
        <f ca="1">IFERROR(__xludf.DUMMYFUNCTION("""COMPUTED_VALUE"""),44572)</f>
        <v>44572</v>
      </c>
      <c r="I88" s="71" t="str">
        <f ca="1">IFERROR(__xludf.DUMMYFUNCTION("""COMPUTED_VALUE"""),"1STOP.AI")</f>
        <v>1STOP.AI</v>
      </c>
      <c r="J88" s="59" t="str">
        <f ca="1">IFERROR(__xludf.DUMMYFUNCTION("""COMPUTED_VALUE"""),"PAUL MATHEW.I")</f>
        <v>PAUL MATHEW.I</v>
      </c>
      <c r="K88" s="59" t="str">
        <f ca="1">IFERROR(__xludf.DUMMYFUNCTION("""COMPUTED_VALUE"""),"National")</f>
        <v>National</v>
      </c>
      <c r="L88" s="59" t="str">
        <f ca="1">IFERROR(__xludf.DUMMYFUNCTION("""COMPUTED_VALUE"""),"Paid")</f>
        <v>Paid</v>
      </c>
      <c r="M88" s="59">
        <f ca="1">IFERROR(__xludf.DUMMYFUNCTION("""COMPUTED_VALUE"""),1000)</f>
        <v>1000</v>
      </c>
      <c r="N88" s="71" t="str">
        <f ca="1">IFERROR(__xludf.DUMMYFUNCTION("""COMPUTED_VALUE"""),"https://drive.google.com/open?id=135lffPeuyEr33WeMtI8SWpmgcErped5g")</f>
        <v>https://drive.google.com/open?id=135lffPeuyEr33WeMtI8SWpmgcErped5g</v>
      </c>
      <c r="O88" s="59" t="str">
        <f ca="1">IFERROR(__xludf.DUMMYFUNCTION("""COMPUTED_VALUE"""),"2018-2022")</f>
        <v>2018-2022</v>
      </c>
      <c r="P88" s="59" t="str">
        <f ca="1">IFERROR(__xludf.DUMMYFUNCTION("""COMPUTED_VALUE"""),"S5: Student Workshops/Conf attended")</f>
        <v>S5: Student Workshops/Conf attended</v>
      </c>
      <c r="Q88" s="59" t="str">
        <f ca="1">IFERROR(__xludf.DUMMYFUNCTION("""COMPUTED_VALUE"""),"vijayaramaraju1999@gmail.com")</f>
        <v>vijayaramaraju1999@gmail.com</v>
      </c>
      <c r="R88" s="59" t="str">
        <f ca="1">IFERROR(__xludf.DUMMYFUNCTION("""COMPUTED_VALUE"""),"SEM-8")</f>
        <v>SEM-8</v>
      </c>
      <c r="S88" s="9"/>
      <c r="T88" s="9"/>
      <c r="U88" s="9"/>
      <c r="V88" s="9"/>
      <c r="W88" s="9"/>
      <c r="X88" s="9"/>
      <c r="Y88" s="9"/>
    </row>
    <row r="89" spans="1:25" ht="26.25" customHeight="1" x14ac:dyDescent="0.15">
      <c r="A89" s="59" t="str">
        <f ca="1">IFERROR(__xludf.DUMMYFUNCTION("""COMPUTED_VALUE"""),"TIRUMALARAJU VIJAYARAMA MOHITH VARMA")</f>
        <v>TIRUMALARAJU VIJAYARAMA MOHITH VARMA</v>
      </c>
      <c r="B89" s="59" t="str">
        <f ca="1">IFERROR(__xludf.DUMMYFUNCTION("""COMPUTED_VALUE"""),"18331A05F8")</f>
        <v>18331A05F8</v>
      </c>
      <c r="C89" s="59" t="str">
        <f ca="1">IFERROR(__xludf.DUMMYFUNCTION("""COMPUTED_VALUE"""),"2021-2022")</f>
        <v>2021-2022</v>
      </c>
      <c r="D89" s="59" t="str">
        <f ca="1">IFERROR(__xludf.DUMMYFUNCTION("""COMPUTED_VALUE"""),"Workshop")</f>
        <v>Workshop</v>
      </c>
      <c r="E89" s="59" t="str">
        <f ca="1">IFERROR(__xludf.DUMMYFUNCTION("""COMPUTED_VALUE"""),"TECHFEST IIT BOMBAY-IOT")</f>
        <v>TECHFEST IIT BOMBAY-IOT</v>
      </c>
      <c r="F89" s="59">
        <f ca="1">IFERROR(__xludf.DUMMYFUNCTION("""COMPUTED_VALUE"""),60)</f>
        <v>60</v>
      </c>
      <c r="G89" s="70">
        <f ca="1">IFERROR(__xludf.DUMMYFUNCTION("""COMPUTED_VALUE"""),44511)</f>
        <v>44511</v>
      </c>
      <c r="H89" s="70">
        <f ca="1">IFERROR(__xludf.DUMMYFUNCTION("""COMPUTED_VALUE"""),44572)</f>
        <v>44572</v>
      </c>
      <c r="I89" s="71" t="str">
        <f ca="1">IFERROR(__xludf.DUMMYFUNCTION("""COMPUTED_VALUE"""),"1STOP.AI")</f>
        <v>1STOP.AI</v>
      </c>
      <c r="J89" s="59" t="str">
        <f ca="1">IFERROR(__xludf.DUMMYFUNCTION("""COMPUTED_VALUE"""),"PAUL MATHEW.I")</f>
        <v>PAUL MATHEW.I</v>
      </c>
      <c r="K89" s="59" t="str">
        <f ca="1">IFERROR(__xludf.DUMMYFUNCTION("""COMPUTED_VALUE"""),"National")</f>
        <v>National</v>
      </c>
      <c r="L89" s="59" t="str">
        <f ca="1">IFERROR(__xludf.DUMMYFUNCTION("""COMPUTED_VALUE"""),"Paid")</f>
        <v>Paid</v>
      </c>
      <c r="M89" s="59">
        <f ca="1">IFERROR(__xludf.DUMMYFUNCTION("""COMPUTED_VALUE"""),1000)</f>
        <v>1000</v>
      </c>
      <c r="N89" s="71" t="str">
        <f ca="1">IFERROR(__xludf.DUMMYFUNCTION("""COMPUTED_VALUE"""),"https://drive.google.com/open?id=1xHB7KlbUemK4WT97QXCv1wmS6wBM8Ib9")</f>
        <v>https://drive.google.com/open?id=1xHB7KlbUemK4WT97QXCv1wmS6wBM8Ib9</v>
      </c>
      <c r="O89" s="59" t="str">
        <f ca="1">IFERROR(__xludf.DUMMYFUNCTION("""COMPUTED_VALUE"""),"2018-2022")</f>
        <v>2018-2022</v>
      </c>
      <c r="P89" s="59" t="str">
        <f ca="1">IFERROR(__xludf.DUMMYFUNCTION("""COMPUTED_VALUE"""),"S5: Student Workshops/Conf attended")</f>
        <v>S5: Student Workshops/Conf attended</v>
      </c>
      <c r="Q89" s="59" t="str">
        <f ca="1">IFERROR(__xludf.DUMMYFUNCTION("""COMPUTED_VALUE"""),"vijayaramaraju1999@gmail.com")</f>
        <v>vijayaramaraju1999@gmail.com</v>
      </c>
      <c r="R89" s="59" t="str">
        <f ca="1">IFERROR(__xludf.DUMMYFUNCTION("""COMPUTED_VALUE"""),"SEM-8")</f>
        <v>SEM-8</v>
      </c>
      <c r="S89" s="9"/>
      <c r="T89" s="9"/>
      <c r="U89" s="9"/>
      <c r="V89" s="9"/>
      <c r="W89" s="9"/>
      <c r="X89" s="9"/>
      <c r="Y89" s="9"/>
    </row>
    <row r="90" spans="1:25" ht="26.25" customHeight="1" x14ac:dyDescent="0.15">
      <c r="A90" s="59" t="str">
        <f ca="1">IFERROR(__xludf.DUMMYFUNCTION("""COMPUTED_VALUE"""),"TIRUMALARAJU VIJAYARAMA MOHITH VARMA")</f>
        <v>TIRUMALARAJU VIJAYARAMA MOHITH VARMA</v>
      </c>
      <c r="B90" s="59" t="str">
        <f ca="1">IFERROR(__xludf.DUMMYFUNCTION("""COMPUTED_VALUE"""),"18331A05F8")</f>
        <v>18331A05F8</v>
      </c>
      <c r="C90" s="59" t="str">
        <f ca="1">IFERROR(__xludf.DUMMYFUNCTION("""COMPUTED_VALUE"""),"2021-2022")</f>
        <v>2021-2022</v>
      </c>
      <c r="D90" s="59" t="str">
        <f ca="1">IFERROR(__xludf.DUMMYFUNCTION("""COMPUTED_VALUE"""),"Seminar")</f>
        <v>Seminar</v>
      </c>
      <c r="E90" s="59" t="str">
        <f ca="1">IFERROR(__xludf.DUMMYFUNCTION("""COMPUTED_VALUE"""),"NATINAL INTELLECTUAL PROPERTY AWARENESS MISSION")</f>
        <v>NATINAL INTELLECTUAL PROPERTY AWARENESS MISSION</v>
      </c>
      <c r="F90" s="59">
        <f ca="1">IFERROR(__xludf.DUMMYFUNCTION("""COMPUTED_VALUE"""),1)</f>
        <v>1</v>
      </c>
      <c r="G90" s="70">
        <f ca="1">IFERROR(__xludf.DUMMYFUNCTION("""COMPUTED_VALUE"""),44657)</f>
        <v>44657</v>
      </c>
      <c r="H90" s="70">
        <f ca="1">IFERROR(__xludf.DUMMYFUNCTION("""COMPUTED_VALUE"""),44657)</f>
        <v>44657</v>
      </c>
      <c r="I90" s="59" t="str">
        <f ca="1">IFERROR(__xludf.DUMMYFUNCTION("""COMPUTED_VALUE"""),"INTELLECTUAL PROPERTY OFFICE,INDIA")</f>
        <v>INTELLECTUAL PROPERTY OFFICE,INDIA</v>
      </c>
      <c r="J90" s="59" t="str">
        <f ca="1">IFERROR(__xludf.DUMMYFUNCTION("""COMPUTED_VALUE"""),"NA")</f>
        <v>NA</v>
      </c>
      <c r="K90" s="59" t="str">
        <f ca="1">IFERROR(__xludf.DUMMYFUNCTION("""COMPUTED_VALUE"""),"National")</f>
        <v>National</v>
      </c>
      <c r="L90" s="59" t="str">
        <f ca="1">IFERROR(__xludf.DUMMYFUNCTION("""COMPUTED_VALUE"""),"Free")</f>
        <v>Free</v>
      </c>
      <c r="M90" s="59"/>
      <c r="N90" s="71" t="str">
        <f ca="1">IFERROR(__xludf.DUMMYFUNCTION("""COMPUTED_VALUE"""),"https://drive.google.com/open?id=1SITLo59BA2g6jPYZieToe5GLnG9g9zbO")</f>
        <v>https://drive.google.com/open?id=1SITLo59BA2g6jPYZieToe5GLnG9g9zbO</v>
      </c>
      <c r="O90" s="59" t="str">
        <f ca="1">IFERROR(__xludf.DUMMYFUNCTION("""COMPUTED_VALUE"""),"2018-2022")</f>
        <v>2018-2022</v>
      </c>
      <c r="P90" s="59" t="str">
        <f ca="1">IFERROR(__xludf.DUMMYFUNCTION("""COMPUTED_VALUE"""),"S5: Student Workshops/Conf attended")</f>
        <v>S5: Student Workshops/Conf attended</v>
      </c>
      <c r="Q90" s="59" t="str">
        <f ca="1">IFERROR(__xludf.DUMMYFUNCTION("""COMPUTED_VALUE"""),"vijayaramaraju1999@gmail.com")</f>
        <v>vijayaramaraju1999@gmail.com</v>
      </c>
      <c r="R90" s="59" t="str">
        <f ca="1">IFERROR(__xludf.DUMMYFUNCTION("""COMPUTED_VALUE"""),"SEM-8")</f>
        <v>SEM-8</v>
      </c>
      <c r="S90" s="9"/>
      <c r="T90" s="9"/>
      <c r="U90" s="9"/>
      <c r="V90" s="9"/>
      <c r="W90" s="9"/>
      <c r="X90" s="9"/>
      <c r="Y90" s="9"/>
    </row>
    <row r="91" spans="1:25" ht="26.25" customHeight="1" x14ac:dyDescent="0.15">
      <c r="A91" s="59" t="str">
        <f ca="1">IFERROR(__xludf.DUMMYFUNCTION("""COMPUTED_VALUE"""),"manoj varma sagi")</f>
        <v>manoj varma sagi</v>
      </c>
      <c r="B91" s="59" t="str">
        <f ca="1">IFERROR(__xludf.DUMMYFUNCTION("""COMPUTED_VALUE"""),"18331A05C8")</f>
        <v>18331A05C8</v>
      </c>
      <c r="C91" s="59" t="str">
        <f ca="1">IFERROR(__xludf.DUMMYFUNCTION("""COMPUTED_VALUE"""),"2019-2020")</f>
        <v>2019-2020</v>
      </c>
      <c r="D91" s="59" t="str">
        <f ca="1">IFERROR(__xludf.DUMMYFUNCTION("""COMPUTED_VALUE"""),"Workshop")</f>
        <v>Workshop</v>
      </c>
      <c r="E91" s="59" t="str">
        <f ca="1">IFERROR(__xludf.DUMMYFUNCTION("""COMPUTED_VALUE"""),"IOT")</f>
        <v>IOT</v>
      </c>
      <c r="F91" s="59">
        <f ca="1">IFERROR(__xludf.DUMMYFUNCTION("""COMPUTED_VALUE"""),2)</f>
        <v>2</v>
      </c>
      <c r="G91" s="70">
        <f ca="1">IFERROR(__xludf.DUMMYFUNCTION("""COMPUTED_VALUE"""),43694)</f>
        <v>43694</v>
      </c>
      <c r="H91" s="70">
        <f ca="1">IFERROR(__xludf.DUMMYFUNCTION("""COMPUTED_VALUE"""),43695)</f>
        <v>43695</v>
      </c>
      <c r="I91" s="59" t="str">
        <f ca="1">IFERROR(__xludf.DUMMYFUNCTION("""COMPUTED_VALUE"""),"IIT HYDERABAD")</f>
        <v>IIT HYDERABAD</v>
      </c>
      <c r="J91" s="59" t="str">
        <f ca="1">IFERROR(__xludf.DUMMYFUNCTION("""COMPUTED_VALUE"""),"KYRION TECHNOLOGIES")</f>
        <v>KYRION TECHNOLOGIES</v>
      </c>
      <c r="K91" s="59" t="str">
        <f ca="1">IFERROR(__xludf.DUMMYFUNCTION("""COMPUTED_VALUE"""),"National")</f>
        <v>National</v>
      </c>
      <c r="L91" s="59" t="str">
        <f ca="1">IFERROR(__xludf.DUMMYFUNCTION("""COMPUTED_VALUE"""),"Paid")</f>
        <v>Paid</v>
      </c>
      <c r="M91" s="59">
        <f ca="1">IFERROR(__xludf.DUMMYFUNCTION("""COMPUTED_VALUE"""),1250)</f>
        <v>1250</v>
      </c>
      <c r="N91" s="71" t="str">
        <f ca="1">IFERROR(__xludf.DUMMYFUNCTION("""COMPUTED_VALUE"""),"https://drive.google.com/open?id=1Ra_1aYRguclV2sJfGLJG3mjP_04GJuSP")</f>
        <v>https://drive.google.com/open?id=1Ra_1aYRguclV2sJfGLJG3mjP_04GJuSP</v>
      </c>
      <c r="O91" s="59" t="str">
        <f ca="1">IFERROR(__xludf.DUMMYFUNCTION("""COMPUTED_VALUE"""),"2018-2022")</f>
        <v>2018-2022</v>
      </c>
      <c r="P91" s="59" t="str">
        <f ca="1">IFERROR(__xludf.DUMMYFUNCTION("""COMPUTED_VALUE"""),"S5: Student Workshops/Conf attended")</f>
        <v>S5: Student Workshops/Conf attended</v>
      </c>
      <c r="Q91" s="59" t="str">
        <f ca="1">IFERROR(__xludf.DUMMYFUNCTION("""COMPUTED_VALUE"""),"manojvarmaaa13@gmail.com")</f>
        <v>manojvarmaaa13@gmail.com</v>
      </c>
      <c r="R91" s="59" t="str">
        <f ca="1">IFERROR(__xludf.DUMMYFUNCTION("""COMPUTED_VALUE"""),"SEM-8")</f>
        <v>SEM-8</v>
      </c>
      <c r="S91" s="9"/>
      <c r="T91" s="9"/>
      <c r="U91" s="9"/>
      <c r="V91" s="9"/>
      <c r="W91" s="9"/>
      <c r="X91" s="9"/>
      <c r="Y91" s="9"/>
    </row>
    <row r="92" spans="1:25" ht="26.25" customHeight="1" x14ac:dyDescent="0.15">
      <c r="A92" s="59" t="str">
        <f ca="1">IFERROR(__xludf.DUMMYFUNCTION("""COMPUTED_VALUE"""),"Thudumu Soni kumar")</f>
        <v>Thudumu Soni kumar</v>
      </c>
      <c r="B92" s="59" t="str">
        <f ca="1">IFERROR(__xludf.DUMMYFUNCTION("""COMPUTED_VALUE"""),"18331A05F6")</f>
        <v>18331A05F6</v>
      </c>
      <c r="C92" s="59" t="str">
        <f ca="1">IFERROR(__xludf.DUMMYFUNCTION("""COMPUTED_VALUE"""),"2019-2020")</f>
        <v>2019-2020</v>
      </c>
      <c r="D92" s="59" t="str">
        <f ca="1">IFERROR(__xludf.DUMMYFUNCTION("""COMPUTED_VALUE"""),"Workshop")</f>
        <v>Workshop</v>
      </c>
      <c r="E92" s="59" t="str">
        <f ca="1">IFERROR(__xludf.DUMMYFUNCTION("""COMPUTED_VALUE"""),"Internet of things ")</f>
        <v xml:space="preserve">Internet of things </v>
      </c>
      <c r="F92" s="59">
        <f ca="1">IFERROR(__xludf.DUMMYFUNCTION("""COMPUTED_VALUE"""),2)</f>
        <v>2</v>
      </c>
      <c r="G92" s="70">
        <f ca="1">IFERROR(__xludf.DUMMYFUNCTION("""COMPUTED_VALUE"""),43694)</f>
        <v>43694</v>
      </c>
      <c r="H92" s="70">
        <f ca="1">IFERROR(__xludf.DUMMYFUNCTION("""COMPUTED_VALUE"""),43695)</f>
        <v>43695</v>
      </c>
      <c r="I92" s="59" t="str">
        <f ca="1">IFERROR(__xludf.DUMMYFUNCTION("""COMPUTED_VALUE"""),"Kyrion Technologies PVT.LTD at IIT Hyderabad")</f>
        <v>Kyrion Technologies PVT.LTD at IIT Hyderabad</v>
      </c>
      <c r="J92" s="59" t="str">
        <f ca="1">IFERROR(__xludf.DUMMYFUNCTION("""COMPUTED_VALUE"""),"Kyrion")</f>
        <v>Kyrion</v>
      </c>
      <c r="K92" s="59" t="str">
        <f ca="1">IFERROR(__xludf.DUMMYFUNCTION("""COMPUTED_VALUE"""),"National")</f>
        <v>National</v>
      </c>
      <c r="L92" s="59" t="str">
        <f ca="1">IFERROR(__xludf.DUMMYFUNCTION("""COMPUTED_VALUE"""),"Paid")</f>
        <v>Paid</v>
      </c>
      <c r="M92" s="59"/>
      <c r="N92" s="71" t="str">
        <f ca="1">IFERROR(__xludf.DUMMYFUNCTION("""COMPUTED_VALUE"""),"https://drive.google.com/open?id=16U575sMRpFQYinxQDwYYXgmIvOKTrbCr")</f>
        <v>https://drive.google.com/open?id=16U575sMRpFQYinxQDwYYXgmIvOKTrbCr</v>
      </c>
      <c r="O92" s="59" t="str">
        <f ca="1">IFERROR(__xludf.DUMMYFUNCTION("""COMPUTED_VALUE"""),"2018-2022")</f>
        <v>2018-2022</v>
      </c>
      <c r="P92" s="59" t="str">
        <f ca="1">IFERROR(__xludf.DUMMYFUNCTION("""COMPUTED_VALUE"""),"S5: Student Workshops/Conf attended")</f>
        <v>S5: Student Workshops/Conf attended</v>
      </c>
      <c r="Q92" s="59" t="str">
        <f ca="1">IFERROR(__xludf.DUMMYFUNCTION("""COMPUTED_VALUE"""),"tsksoni1@gmail.com")</f>
        <v>tsksoni1@gmail.com</v>
      </c>
      <c r="R92" s="59" t="str">
        <f ca="1">IFERROR(__xludf.DUMMYFUNCTION("""COMPUTED_VALUE"""),"SEM-3")</f>
        <v>SEM-3</v>
      </c>
      <c r="S92" s="9"/>
      <c r="T92" s="9"/>
      <c r="U92" s="9"/>
      <c r="V92" s="9"/>
      <c r="W92" s="9"/>
      <c r="X92" s="9"/>
      <c r="Y92" s="9"/>
    </row>
    <row r="93" spans="1:25" ht="26.25" customHeight="1" x14ac:dyDescent="0.15">
      <c r="A93" s="59" t="str">
        <f ca="1">IFERROR(__xludf.DUMMYFUNCTION("""COMPUTED_VALUE"""),"Manukonda Royal Frederick ")</f>
        <v xml:space="preserve">Manukonda Royal Frederick </v>
      </c>
      <c r="B93" s="59" t="str">
        <f ca="1">IFERROR(__xludf.DUMMYFUNCTION("""COMPUTED_VALUE"""),"18331A0595")</f>
        <v>18331A0595</v>
      </c>
      <c r="C93" s="59" t="str">
        <f ca="1">IFERROR(__xludf.DUMMYFUNCTION("""COMPUTED_VALUE"""),"2018-2019")</f>
        <v>2018-2019</v>
      </c>
      <c r="D93" s="59" t="str">
        <f ca="1">IFERROR(__xludf.DUMMYFUNCTION("""COMPUTED_VALUE"""),"Workshop")</f>
        <v>Workshop</v>
      </c>
      <c r="E93" s="59" t="str">
        <f ca="1">IFERROR(__xludf.DUMMYFUNCTION("""COMPUTED_VALUE"""),"workshop ")</f>
        <v xml:space="preserve">workshop </v>
      </c>
      <c r="F93" s="59">
        <f ca="1">IFERROR(__xludf.DUMMYFUNCTION("""COMPUTED_VALUE"""),2)</f>
        <v>2</v>
      </c>
      <c r="G93" s="70">
        <f ca="1">IFERROR(__xludf.DUMMYFUNCTION("""COMPUTED_VALUE"""),43379)</f>
        <v>43379</v>
      </c>
      <c r="H93" s="70">
        <f ca="1">IFERROR(__xludf.DUMMYFUNCTION("""COMPUTED_VALUE"""),43380)</f>
        <v>43380</v>
      </c>
      <c r="I93" s="59" t="str">
        <f ca="1">IFERROR(__xludf.DUMMYFUNCTION("""COMPUTED_VALUE"""),"Swecha")</f>
        <v>Swecha</v>
      </c>
      <c r="J93" s="59" t="str">
        <f ca="1">IFERROR(__xludf.DUMMYFUNCTION("""COMPUTED_VALUE"""),"M Vamsi Krishna")</f>
        <v>M Vamsi Krishna</v>
      </c>
      <c r="K93" s="59" t="str">
        <f ca="1">IFERROR(__xludf.DUMMYFUNCTION("""COMPUTED_VALUE"""),"State")</f>
        <v>State</v>
      </c>
      <c r="L93" s="59" t="str">
        <f ca="1">IFERROR(__xludf.DUMMYFUNCTION("""COMPUTED_VALUE"""),"Free")</f>
        <v>Free</v>
      </c>
      <c r="M93" s="59"/>
      <c r="N93" s="71" t="str">
        <f ca="1">IFERROR(__xludf.DUMMYFUNCTION("""COMPUTED_VALUE"""),"https://drive.google.com/open?id=1NowfernrLisMsTjXwN2MTz0gb5_43kXk")</f>
        <v>https://drive.google.com/open?id=1NowfernrLisMsTjXwN2MTz0gb5_43kXk</v>
      </c>
      <c r="O93" s="59" t="str">
        <f ca="1">IFERROR(__xludf.DUMMYFUNCTION("""COMPUTED_VALUE"""),"2018-2022")</f>
        <v>2018-2022</v>
      </c>
      <c r="P93" s="59" t="str">
        <f ca="1">IFERROR(__xludf.DUMMYFUNCTION("""COMPUTED_VALUE"""),"S5: Student Workshops/Conf attended")</f>
        <v>S5: Student Workshops/Conf attended</v>
      </c>
      <c r="Q93" s="59" t="str">
        <f ca="1">IFERROR(__xludf.DUMMYFUNCTION("""COMPUTED_VALUE"""),"royalfrederickmanukonda@gmail.com")</f>
        <v>royalfrederickmanukonda@gmail.com</v>
      </c>
      <c r="R93" s="59" t="str">
        <f ca="1">IFERROR(__xludf.DUMMYFUNCTION("""COMPUTED_VALUE"""),"SEM-8")</f>
        <v>SEM-8</v>
      </c>
      <c r="S93" s="9"/>
      <c r="T93" s="9"/>
      <c r="U93" s="9"/>
      <c r="V93" s="9"/>
      <c r="W93" s="9"/>
      <c r="X93" s="9"/>
      <c r="Y93" s="9"/>
    </row>
    <row r="94" spans="1:25" ht="26.25" customHeight="1" x14ac:dyDescent="0.15">
      <c r="A94" s="59" t="str">
        <f ca="1">IFERROR(__xludf.DUMMYFUNCTION("""COMPUTED_VALUE"""),"Donthamsetti Sumitha")</f>
        <v>Donthamsetti Sumitha</v>
      </c>
      <c r="B94" s="59" t="str">
        <f ca="1">IFERROR(__xludf.DUMMYFUNCTION("""COMPUTED_VALUE"""),"18331A0535")</f>
        <v>18331A0535</v>
      </c>
      <c r="C94" s="59" t="str">
        <f ca="1">IFERROR(__xludf.DUMMYFUNCTION("""COMPUTED_VALUE"""),"2020-2021")</f>
        <v>2020-2021</v>
      </c>
      <c r="D94" s="59" t="str">
        <f ca="1">IFERROR(__xludf.DUMMYFUNCTION("""COMPUTED_VALUE"""),"Workshop")</f>
        <v>Workshop</v>
      </c>
      <c r="E94" s="59" t="str">
        <f ca="1">IFERROR(__xludf.DUMMYFUNCTION("""COMPUTED_VALUE"""),"Python Online Workshop")</f>
        <v>Python Online Workshop</v>
      </c>
      <c r="F94" s="59">
        <f ca="1">IFERROR(__xludf.DUMMYFUNCTION("""COMPUTED_VALUE"""),2)</f>
        <v>2</v>
      </c>
      <c r="G94" s="70">
        <f ca="1">IFERROR(__xludf.DUMMYFUNCTION("""COMPUTED_VALUE"""),44016)</f>
        <v>44016</v>
      </c>
      <c r="H94" s="70">
        <f ca="1">IFERROR(__xludf.DUMMYFUNCTION("""COMPUTED_VALUE"""),44017)</f>
        <v>44017</v>
      </c>
      <c r="I94" s="59" t="str">
        <f ca="1">IFERROR(__xludf.DUMMYFUNCTION("""COMPUTED_VALUE"""),"Kyrion technologies")</f>
        <v>Kyrion technologies</v>
      </c>
      <c r="J94" s="59" t="str">
        <f ca="1">IFERROR(__xludf.DUMMYFUNCTION("""COMPUTED_VALUE"""),"Rishabh Mehta")</f>
        <v>Rishabh Mehta</v>
      </c>
      <c r="K94" s="59" t="str">
        <f ca="1">IFERROR(__xludf.DUMMYFUNCTION("""COMPUTED_VALUE"""),"National")</f>
        <v>National</v>
      </c>
      <c r="L94" s="59" t="str">
        <f ca="1">IFERROR(__xludf.DUMMYFUNCTION("""COMPUTED_VALUE"""),"Paid")</f>
        <v>Paid</v>
      </c>
      <c r="M94" s="59">
        <f ca="1">IFERROR(__xludf.DUMMYFUNCTION("""COMPUTED_VALUE"""),299)</f>
        <v>299</v>
      </c>
      <c r="N94" s="71" t="str">
        <f ca="1">IFERROR(__xludf.DUMMYFUNCTION("""COMPUTED_VALUE"""),"https://drive.google.com/open?id=1NXOPsyh955aIGZjzTRRVIr0FWUw4rpis")</f>
        <v>https://drive.google.com/open?id=1NXOPsyh955aIGZjzTRRVIr0FWUw4rpis</v>
      </c>
      <c r="O94" s="59" t="str">
        <f ca="1">IFERROR(__xludf.DUMMYFUNCTION("""COMPUTED_VALUE"""),"2018-2022")</f>
        <v>2018-2022</v>
      </c>
      <c r="P94" s="59" t="str">
        <f ca="1">IFERROR(__xludf.DUMMYFUNCTION("""COMPUTED_VALUE"""),"S5: Student Workshops/Conf attended")</f>
        <v>S5: Student Workshops/Conf attended</v>
      </c>
      <c r="Q94" s="59" t="str">
        <f ca="1">IFERROR(__xludf.DUMMYFUNCTION("""COMPUTED_VALUE"""),"sumitha.donthamsetti@gmail.com")</f>
        <v>sumitha.donthamsetti@gmail.com</v>
      </c>
      <c r="R94" s="59" t="str">
        <f ca="1">IFERROR(__xludf.DUMMYFUNCTION("""COMPUTED_VALUE"""),"SEM-4")</f>
        <v>SEM-4</v>
      </c>
      <c r="S94" s="9"/>
      <c r="T94" s="9"/>
      <c r="U94" s="9"/>
      <c r="V94" s="9"/>
      <c r="W94" s="9"/>
      <c r="X94" s="9"/>
      <c r="Y94" s="9"/>
    </row>
    <row r="95" spans="1:25" ht="26.25" customHeight="1" x14ac:dyDescent="0.15">
      <c r="A95" s="59" t="str">
        <f ca="1">IFERROR(__xludf.DUMMYFUNCTION("""COMPUTED_VALUE"""),"Kolluru Sai Venkata Ravi Sastry")</f>
        <v>Kolluru Sai Venkata Ravi Sastry</v>
      </c>
      <c r="B95" s="59" t="str">
        <f ca="1">IFERROR(__xludf.DUMMYFUNCTION("""COMPUTED_VALUE"""),"20331A0588")</f>
        <v>20331A0588</v>
      </c>
      <c r="C95" s="59" t="str">
        <f ca="1">IFERROR(__xludf.DUMMYFUNCTION("""COMPUTED_VALUE"""),"2021-2022")</f>
        <v>2021-2022</v>
      </c>
      <c r="D95" s="59" t="str">
        <f ca="1">IFERROR(__xludf.DUMMYFUNCTION("""COMPUTED_VALUE"""),"Workshop")</f>
        <v>Workshop</v>
      </c>
      <c r="E95" s="59" t="str">
        <f ca="1">IFERROR(__xludf.DUMMYFUNCTION("""COMPUTED_VALUE"""),"MACHINE LEARNING")</f>
        <v>MACHINE LEARNING</v>
      </c>
      <c r="F95" s="59">
        <f ca="1">IFERROR(__xludf.DUMMYFUNCTION("""COMPUTED_VALUE"""),1)</f>
        <v>1</v>
      </c>
      <c r="G95" s="70">
        <f ca="1">IFERROR(__xludf.DUMMYFUNCTION("""COMPUTED_VALUE"""),44626)</f>
        <v>44626</v>
      </c>
      <c r="H95" s="70">
        <f ca="1">IFERROR(__xludf.DUMMYFUNCTION("""COMPUTED_VALUE"""),44626)</f>
        <v>44626</v>
      </c>
      <c r="I95" s="59" t="str">
        <f ca="1">IFERROR(__xludf.DUMMYFUNCTION("""COMPUTED_VALUE"""),"NIT TRICHY")</f>
        <v>NIT TRICHY</v>
      </c>
      <c r="J95" s="59" t="str">
        <f ca="1">IFERROR(__xludf.DUMMYFUNCTION("""COMPUTED_VALUE"""),"M.SRI KRISHNA")</f>
        <v>M.SRI KRISHNA</v>
      </c>
      <c r="K95" s="59" t="str">
        <f ca="1">IFERROR(__xludf.DUMMYFUNCTION("""COMPUTED_VALUE"""),"National")</f>
        <v>National</v>
      </c>
      <c r="L95" s="59" t="str">
        <f ca="1">IFERROR(__xludf.DUMMYFUNCTION("""COMPUTED_VALUE"""),"Paid")</f>
        <v>Paid</v>
      </c>
      <c r="M95" s="59">
        <f ca="1">IFERROR(__xludf.DUMMYFUNCTION("""COMPUTED_VALUE"""),70)</f>
        <v>70</v>
      </c>
      <c r="N95" s="71" t="str">
        <f ca="1">IFERROR(__xludf.DUMMYFUNCTION("""COMPUTED_VALUE"""),"https://drive.google.com/open?id=1g38x1n1M60apvsFzB3wZCCoaSepNDmv9")</f>
        <v>https://drive.google.com/open?id=1g38x1n1M60apvsFzB3wZCCoaSepNDmv9</v>
      </c>
      <c r="O95" s="59" t="str">
        <f ca="1">IFERROR(__xludf.DUMMYFUNCTION("""COMPUTED_VALUE"""),"2020-2024")</f>
        <v>2020-2024</v>
      </c>
      <c r="P95" s="59" t="str">
        <f ca="1">IFERROR(__xludf.DUMMYFUNCTION("""COMPUTED_VALUE"""),"S5: Student Workshops/Conf attended")</f>
        <v>S5: Student Workshops/Conf attended</v>
      </c>
      <c r="Q95" s="59" t="str">
        <f ca="1">IFERROR(__xludf.DUMMYFUNCTION("""COMPUTED_VALUE"""),"ravisastrykolluru2021@gmail.com")</f>
        <v>ravisastrykolluru2021@gmail.com</v>
      </c>
      <c r="R95" s="59" t="str">
        <f ca="1">IFERROR(__xludf.DUMMYFUNCTION("""COMPUTED_VALUE"""),"SEM-4")</f>
        <v>SEM-4</v>
      </c>
      <c r="S95" s="9"/>
      <c r="T95" s="9"/>
      <c r="U95" s="9"/>
      <c r="V95" s="9"/>
      <c r="W95" s="9"/>
      <c r="X95" s="9"/>
      <c r="Y95" s="9"/>
    </row>
    <row r="96" spans="1:25" ht="26.25" customHeight="1" x14ac:dyDescent="0.15">
      <c r="A96" s="59" t="str">
        <f ca="1">IFERROR(__xludf.DUMMYFUNCTION("""COMPUTED_VALUE"""),"Kolluru Sai Venkata Ravi Sastry")</f>
        <v>Kolluru Sai Venkata Ravi Sastry</v>
      </c>
      <c r="B96" s="59" t="str">
        <f ca="1">IFERROR(__xludf.DUMMYFUNCTION("""COMPUTED_VALUE"""),"20331A0588")</f>
        <v>20331A0588</v>
      </c>
      <c r="C96" s="59" t="str">
        <f ca="1">IFERROR(__xludf.DUMMYFUNCTION("""COMPUTED_VALUE"""),"2021-2022")</f>
        <v>2021-2022</v>
      </c>
      <c r="D96" s="59" t="str">
        <f ca="1">IFERROR(__xludf.DUMMYFUNCTION("""COMPUTED_VALUE"""),"Workshop")</f>
        <v>Workshop</v>
      </c>
      <c r="E96" s="59" t="str">
        <f ca="1">IFERROR(__xludf.DUMMYFUNCTION("""COMPUTED_VALUE"""),"Cybersecurity and ethical Hacking")</f>
        <v>Cybersecurity and ethical Hacking</v>
      </c>
      <c r="F96" s="59">
        <f ca="1">IFERROR(__xludf.DUMMYFUNCTION("""COMPUTED_VALUE"""),1)</f>
        <v>1</v>
      </c>
      <c r="G96" s="70">
        <f ca="1">IFERROR(__xludf.DUMMYFUNCTION("""COMPUTED_VALUE"""),44619)</f>
        <v>44619</v>
      </c>
      <c r="H96" s="70">
        <f ca="1">IFERROR(__xludf.DUMMYFUNCTION("""COMPUTED_VALUE"""),44619)</f>
        <v>44619</v>
      </c>
      <c r="I96" s="59" t="str">
        <f ca="1">IFERROR(__xludf.DUMMYFUNCTION("""COMPUTED_VALUE"""),"NIT TRICHY")</f>
        <v>NIT TRICHY</v>
      </c>
      <c r="J96" s="59" t="str">
        <f ca="1">IFERROR(__xludf.DUMMYFUNCTION("""COMPUTED_VALUE"""),"M.SRI KRISHNA")</f>
        <v>M.SRI KRISHNA</v>
      </c>
      <c r="K96" s="59" t="str">
        <f ca="1">IFERROR(__xludf.DUMMYFUNCTION("""COMPUTED_VALUE"""),"National")</f>
        <v>National</v>
      </c>
      <c r="L96" s="59" t="str">
        <f ca="1">IFERROR(__xludf.DUMMYFUNCTION("""COMPUTED_VALUE"""),"Free")</f>
        <v>Free</v>
      </c>
      <c r="M96" s="59"/>
      <c r="N96" s="71" t="str">
        <f ca="1">IFERROR(__xludf.DUMMYFUNCTION("""COMPUTED_VALUE"""),"https://drive.google.com/open?id=1VIjxi_MlNnA9ugQx67YvTGsEQC5oDd4y")</f>
        <v>https://drive.google.com/open?id=1VIjxi_MlNnA9ugQx67YvTGsEQC5oDd4y</v>
      </c>
      <c r="O96" s="59" t="str">
        <f ca="1">IFERROR(__xludf.DUMMYFUNCTION("""COMPUTED_VALUE"""),"2020-2024")</f>
        <v>2020-2024</v>
      </c>
      <c r="P96" s="59" t="str">
        <f ca="1">IFERROR(__xludf.DUMMYFUNCTION("""COMPUTED_VALUE"""),"S5: Student Workshops/Conf attended")</f>
        <v>S5: Student Workshops/Conf attended</v>
      </c>
      <c r="Q96" s="59" t="str">
        <f ca="1">IFERROR(__xludf.DUMMYFUNCTION("""COMPUTED_VALUE"""),"ravisastrykolluru2021@gmail.com")</f>
        <v>ravisastrykolluru2021@gmail.com</v>
      </c>
      <c r="R96" s="59" t="str">
        <f ca="1">IFERROR(__xludf.DUMMYFUNCTION("""COMPUTED_VALUE"""),"SEM-4")</f>
        <v>SEM-4</v>
      </c>
      <c r="S96" s="9"/>
      <c r="T96" s="9"/>
      <c r="U96" s="9"/>
      <c r="V96" s="9"/>
      <c r="W96" s="9"/>
      <c r="X96" s="9"/>
      <c r="Y96" s="9"/>
    </row>
    <row r="97" spans="1:25" ht="26.25" customHeight="1" x14ac:dyDescent="0.15">
      <c r="A97" s="59" t="str">
        <f ca="1">IFERROR(__xludf.DUMMYFUNCTION("""COMPUTED_VALUE"""),"Thota vineetha")</f>
        <v>Thota vineetha</v>
      </c>
      <c r="B97" s="59" t="str">
        <f ca="1">IFERROR(__xludf.DUMMYFUNCTION("""COMPUTED_VALUE"""),"18331A05F5")</f>
        <v>18331A05F5</v>
      </c>
      <c r="C97" s="59" t="str">
        <f ca="1">IFERROR(__xludf.DUMMYFUNCTION("""COMPUTED_VALUE"""),"2018-2019")</f>
        <v>2018-2019</v>
      </c>
      <c r="D97" s="59" t="str">
        <f ca="1">IFERROR(__xludf.DUMMYFUNCTION("""COMPUTED_VALUE"""),"Workshop")</f>
        <v>Workshop</v>
      </c>
      <c r="E97" s="59" t="str">
        <f ca="1">IFERROR(__xludf.DUMMYFUNCTION("""COMPUTED_VALUE"""),"Artificial intelligence workshop")</f>
        <v>Artificial intelligence workshop</v>
      </c>
      <c r="F97" s="59">
        <f ca="1">IFERROR(__xludf.DUMMYFUNCTION("""COMPUTED_VALUE"""),2)</f>
        <v>2</v>
      </c>
      <c r="G97" s="70">
        <f ca="1">IFERROR(__xludf.DUMMYFUNCTION("""COMPUTED_VALUE"""),43694)</f>
        <v>43694</v>
      </c>
      <c r="H97" s="70">
        <f ca="1">IFERROR(__xludf.DUMMYFUNCTION("""COMPUTED_VALUE"""),43695)</f>
        <v>43695</v>
      </c>
      <c r="I97" s="59" t="str">
        <f ca="1">IFERROR(__xludf.DUMMYFUNCTION("""COMPUTED_VALUE"""),"Kyrion technologies")</f>
        <v>Kyrion technologies</v>
      </c>
      <c r="J97" s="59" t="str">
        <f ca="1">IFERROR(__xludf.DUMMYFUNCTION("""COMPUTED_VALUE"""),"Sujatha mehta")</f>
        <v>Sujatha mehta</v>
      </c>
      <c r="K97" s="59" t="str">
        <f ca="1">IFERROR(__xludf.DUMMYFUNCTION("""COMPUTED_VALUE"""),"State")</f>
        <v>State</v>
      </c>
      <c r="L97" s="59" t="str">
        <f ca="1">IFERROR(__xludf.DUMMYFUNCTION("""COMPUTED_VALUE"""),"Paid")</f>
        <v>Paid</v>
      </c>
      <c r="M97" s="59">
        <f ca="1">IFERROR(__xludf.DUMMYFUNCTION("""COMPUTED_VALUE"""),2500)</f>
        <v>2500</v>
      </c>
      <c r="N97" s="71" t="str">
        <f ca="1">IFERROR(__xludf.DUMMYFUNCTION("""COMPUTED_VALUE"""),"https://drive.google.com/open?id=1VTe8G3ag7QW6ZX3AXCtEh60hSBycfJ4w")</f>
        <v>https://drive.google.com/open?id=1VTe8G3ag7QW6ZX3AXCtEh60hSBycfJ4w</v>
      </c>
      <c r="O97" s="59" t="str">
        <f ca="1">IFERROR(__xludf.DUMMYFUNCTION("""COMPUTED_VALUE"""),"2018-2022")</f>
        <v>2018-2022</v>
      </c>
      <c r="P97" s="59" t="str">
        <f ca="1">IFERROR(__xludf.DUMMYFUNCTION("""COMPUTED_VALUE"""),"S5: Student Workshops/Conf attended")</f>
        <v>S5: Student Workshops/Conf attended</v>
      </c>
      <c r="Q97" s="59" t="str">
        <f ca="1">IFERROR(__xludf.DUMMYFUNCTION("""COMPUTED_VALUE"""),"vineethathota50@gmail.com")</f>
        <v>vineethathota50@gmail.com</v>
      </c>
      <c r="R97" s="59" t="str">
        <f ca="1">IFERROR(__xludf.DUMMYFUNCTION("""COMPUTED_VALUE"""),"SEM-8")</f>
        <v>SEM-8</v>
      </c>
      <c r="S97" s="9"/>
      <c r="T97" s="9"/>
      <c r="U97" s="9"/>
      <c r="V97" s="9"/>
      <c r="W97" s="9"/>
      <c r="X97" s="9"/>
      <c r="Y97" s="9"/>
    </row>
    <row r="98" spans="1:25" ht="26.25" customHeight="1" x14ac:dyDescent="0.15">
      <c r="A98" s="59" t="str">
        <f ca="1">IFERROR(__xludf.DUMMYFUNCTION("""COMPUTED_VALUE"""),"Killana Gayatri Venkata Manikanta")</f>
        <v>Killana Gayatri Venkata Manikanta</v>
      </c>
      <c r="B98" s="59" t="str">
        <f ca="1">IFERROR(__xludf.DUMMYFUNCTION("""COMPUTED_VALUE"""),"18331A0576")</f>
        <v>18331A0576</v>
      </c>
      <c r="C98" s="59" t="str">
        <f ca="1">IFERROR(__xludf.DUMMYFUNCTION("""COMPUTED_VALUE"""),"2019-2020")</f>
        <v>2019-2020</v>
      </c>
      <c r="D98" s="59" t="str">
        <f ca="1">IFERROR(__xludf.DUMMYFUNCTION("""COMPUTED_VALUE"""),"Workshop")</f>
        <v>Workshop</v>
      </c>
      <c r="E98" s="59" t="str">
        <f ca="1">IFERROR(__xludf.DUMMYFUNCTION("""COMPUTED_VALUE"""),"MOBILE APPLICATION DEVELOPMENT")</f>
        <v>MOBILE APPLICATION DEVELOPMENT</v>
      </c>
      <c r="F98" s="59">
        <f ca="1">IFERROR(__xludf.DUMMYFUNCTION("""COMPUTED_VALUE"""),2)</f>
        <v>2</v>
      </c>
      <c r="G98" s="70">
        <f ca="1">IFERROR(__xludf.DUMMYFUNCTION("""COMPUTED_VALUE"""),43688)</f>
        <v>43688</v>
      </c>
      <c r="H98" s="70">
        <f ca="1">IFERROR(__xludf.DUMMYFUNCTION("""COMPUTED_VALUE"""),43689)</f>
        <v>43689</v>
      </c>
      <c r="I98" s="59" t="str">
        <f ca="1">IFERROR(__xludf.DUMMYFUNCTION("""COMPUTED_VALUE"""),"SQUARE SB SOFTWARE SOLUTIONS ")</f>
        <v xml:space="preserve">SQUARE SB SOFTWARE SOLUTIONS </v>
      </c>
      <c r="J98" s="59" t="str">
        <f ca="1">IFERROR(__xludf.DUMMYFUNCTION("""COMPUTED_VALUE"""),"Bharat")</f>
        <v>Bharat</v>
      </c>
      <c r="K98" s="59" t="str">
        <f ca="1">IFERROR(__xludf.DUMMYFUNCTION("""COMPUTED_VALUE"""),"State")</f>
        <v>State</v>
      </c>
      <c r="L98" s="59" t="str">
        <f ca="1">IFERROR(__xludf.DUMMYFUNCTION("""COMPUTED_VALUE"""),"Paid")</f>
        <v>Paid</v>
      </c>
      <c r="M98" s="59">
        <f ca="1">IFERROR(__xludf.DUMMYFUNCTION("""COMPUTED_VALUE"""),500)</f>
        <v>500</v>
      </c>
      <c r="N98" s="71" t="str">
        <f ca="1">IFERROR(__xludf.DUMMYFUNCTION("""COMPUTED_VALUE"""),"https://drive.google.com/open?id=1g0QXVO9noo4etUmIUP_oXpwHqMjRE4Bt")</f>
        <v>https://drive.google.com/open?id=1g0QXVO9noo4etUmIUP_oXpwHqMjRE4Bt</v>
      </c>
      <c r="O98" s="59" t="str">
        <f ca="1">IFERROR(__xludf.DUMMYFUNCTION("""COMPUTED_VALUE"""),"2018-2022")</f>
        <v>2018-2022</v>
      </c>
      <c r="P98" s="59" t="str">
        <f ca="1">IFERROR(__xludf.DUMMYFUNCTION("""COMPUTED_VALUE"""),"S5: Student Workshops/Conf attended")</f>
        <v>S5: Student Workshops/Conf attended</v>
      </c>
      <c r="Q98" s="59" t="str">
        <f ca="1">IFERROR(__xludf.DUMMYFUNCTION("""COMPUTED_VALUE"""),"manikantakillana22@gmail.com")</f>
        <v>manikantakillana22@gmail.com</v>
      </c>
      <c r="R98" s="59" t="str">
        <f ca="1">IFERROR(__xludf.DUMMYFUNCTION("""COMPUTED_VALUE"""),"SEM-3")</f>
        <v>SEM-3</v>
      </c>
      <c r="S98" s="9"/>
      <c r="T98" s="9"/>
      <c r="U98" s="9"/>
      <c r="V98" s="9"/>
      <c r="W98" s="9"/>
      <c r="X98" s="9"/>
      <c r="Y98" s="9"/>
    </row>
    <row r="99" spans="1:25" ht="26.25" customHeight="1" x14ac:dyDescent="0.15">
      <c r="A99" s="59" t="str">
        <f ca="1">IFERROR(__xludf.DUMMYFUNCTION("""COMPUTED_VALUE"""),"Killana Gayatri Venkata Manikanta")</f>
        <v>Killana Gayatri Venkata Manikanta</v>
      </c>
      <c r="B99" s="59" t="str">
        <f ca="1">IFERROR(__xludf.DUMMYFUNCTION("""COMPUTED_VALUE"""),"18331A0576")</f>
        <v>18331A0576</v>
      </c>
      <c r="C99" s="59" t="str">
        <f ca="1">IFERROR(__xludf.DUMMYFUNCTION("""COMPUTED_VALUE"""),"2019-2020")</f>
        <v>2019-2020</v>
      </c>
      <c r="D99" s="59" t="str">
        <f ca="1">IFERROR(__xludf.DUMMYFUNCTION("""COMPUTED_VALUE"""),"Workshop")</f>
        <v>Workshop</v>
      </c>
      <c r="E99" s="59" t="str">
        <f ca="1">IFERROR(__xludf.DUMMYFUNCTION("""COMPUTED_VALUE"""),"INTERNET OF THINGS")</f>
        <v>INTERNET OF THINGS</v>
      </c>
      <c r="F99" s="59">
        <f ca="1">IFERROR(__xludf.DUMMYFUNCTION("""COMPUTED_VALUE"""),2)</f>
        <v>2</v>
      </c>
      <c r="G99" s="70">
        <f ca="1">IFERROR(__xludf.DUMMYFUNCTION("""COMPUTED_VALUE"""),43876)</f>
        <v>43876</v>
      </c>
      <c r="H99" s="70">
        <f ca="1">IFERROR(__xludf.DUMMYFUNCTION("""COMPUTED_VALUE"""),43877)</f>
        <v>43877</v>
      </c>
      <c r="I99" s="59" t="str">
        <f ca="1">IFERROR(__xludf.DUMMYFUNCTION("""COMPUTED_VALUE"""),"THE_ORIGIN")</f>
        <v>THE_ORIGIN</v>
      </c>
      <c r="J99" s="59" t="str">
        <f ca="1">IFERROR(__xludf.DUMMYFUNCTION("""COMPUTED_VALUE"""),"Bharat")</f>
        <v>Bharat</v>
      </c>
      <c r="K99" s="59" t="str">
        <f ca="1">IFERROR(__xludf.DUMMYFUNCTION("""COMPUTED_VALUE"""),"National")</f>
        <v>National</v>
      </c>
      <c r="L99" s="59" t="str">
        <f ca="1">IFERROR(__xludf.DUMMYFUNCTION("""COMPUTED_VALUE"""),"Paid")</f>
        <v>Paid</v>
      </c>
      <c r="M99" s="59">
        <f ca="1">IFERROR(__xludf.DUMMYFUNCTION("""COMPUTED_VALUE"""),500)</f>
        <v>500</v>
      </c>
      <c r="N99" s="71" t="str">
        <f ca="1">IFERROR(__xludf.DUMMYFUNCTION("""COMPUTED_VALUE"""),"https://drive.google.com/open?id=1u3NS11v0fvpPHhZMHMMRQxaGA8DySqfG")</f>
        <v>https://drive.google.com/open?id=1u3NS11v0fvpPHhZMHMMRQxaGA8DySqfG</v>
      </c>
      <c r="O99" s="59" t="str">
        <f ca="1">IFERROR(__xludf.DUMMYFUNCTION("""COMPUTED_VALUE"""),"2018-2022")</f>
        <v>2018-2022</v>
      </c>
      <c r="P99" s="59" t="str">
        <f ca="1">IFERROR(__xludf.DUMMYFUNCTION("""COMPUTED_VALUE"""),"S5: Student Workshops/Conf attended")</f>
        <v>S5: Student Workshops/Conf attended</v>
      </c>
      <c r="Q99" s="59" t="str">
        <f ca="1">IFERROR(__xludf.DUMMYFUNCTION("""COMPUTED_VALUE"""),"manikantakillana22@gmail.com")</f>
        <v>manikantakillana22@gmail.com</v>
      </c>
      <c r="R99" s="59" t="str">
        <f ca="1">IFERROR(__xludf.DUMMYFUNCTION("""COMPUTED_VALUE"""),"SEM-4")</f>
        <v>SEM-4</v>
      </c>
      <c r="S99" s="9"/>
      <c r="T99" s="9"/>
      <c r="U99" s="9"/>
      <c r="V99" s="9"/>
      <c r="W99" s="9"/>
      <c r="X99" s="9"/>
      <c r="Y99" s="9"/>
    </row>
    <row r="100" spans="1:25" ht="26.25" customHeight="1" x14ac:dyDescent="0.15">
      <c r="A100" s="59" t="str">
        <f ca="1">IFERROR(__xludf.DUMMYFUNCTION("""COMPUTED_VALUE"""),"Muppaneni Gayatri Srinidhi")</f>
        <v>Muppaneni Gayatri Srinidhi</v>
      </c>
      <c r="B100" s="59" t="str">
        <f ca="1">IFERROR(__xludf.DUMMYFUNCTION("""COMPUTED_VALUE"""),"18331A05A3")</f>
        <v>18331A05A3</v>
      </c>
      <c r="C100" s="59" t="str">
        <f ca="1">IFERROR(__xludf.DUMMYFUNCTION("""COMPUTED_VALUE"""),"2021-2022")</f>
        <v>2021-2022</v>
      </c>
      <c r="D100" s="59" t="str">
        <f ca="1">IFERROR(__xludf.DUMMYFUNCTION("""COMPUTED_VALUE"""),"Seminar")</f>
        <v>Seminar</v>
      </c>
      <c r="E100" s="59" t="str">
        <f ca="1">IFERROR(__xludf.DUMMYFUNCTION("""COMPUTED_VALUE"""),"National intellectual property awareness mission ")</f>
        <v xml:space="preserve">National intellectual property awareness mission </v>
      </c>
      <c r="F100" s="59">
        <f ca="1">IFERROR(__xludf.DUMMYFUNCTION("""COMPUTED_VALUE"""),1)</f>
        <v>1</v>
      </c>
      <c r="G100" s="70">
        <f ca="1">IFERROR(__xludf.DUMMYFUNCTION("""COMPUTED_VALUE"""),44567)</f>
        <v>44567</v>
      </c>
      <c r="H100" s="70">
        <f ca="1">IFERROR(__xludf.DUMMYFUNCTION("""COMPUTED_VALUE"""),44567)</f>
        <v>44567</v>
      </c>
      <c r="I100" s="59" t="str">
        <f ca="1">IFERROR(__xludf.DUMMYFUNCTION("""COMPUTED_VALUE"""),"Intellectual property office, India ")</f>
        <v xml:space="preserve">Intellectual property office, India </v>
      </c>
      <c r="J100" s="59" t="str">
        <f ca="1">IFERROR(__xludf.DUMMYFUNCTION("""COMPUTED_VALUE"""),"Vamsi sir ")</f>
        <v xml:space="preserve">Vamsi sir </v>
      </c>
      <c r="K100" s="59" t="str">
        <f ca="1">IFERROR(__xludf.DUMMYFUNCTION("""COMPUTED_VALUE"""),"National")</f>
        <v>National</v>
      </c>
      <c r="L100" s="59" t="str">
        <f ca="1">IFERROR(__xludf.DUMMYFUNCTION("""COMPUTED_VALUE"""),"Free")</f>
        <v>Free</v>
      </c>
      <c r="M100" s="59"/>
      <c r="N100" s="71" t="str">
        <f ca="1">IFERROR(__xludf.DUMMYFUNCTION("""COMPUTED_VALUE"""),"https://drive.google.com/open?id=1EkYPRhT0FUNeDhx1N_rR_eAwme2sNrD8")</f>
        <v>https://drive.google.com/open?id=1EkYPRhT0FUNeDhx1N_rR_eAwme2sNrD8</v>
      </c>
      <c r="O100" s="59" t="str">
        <f ca="1">IFERROR(__xludf.DUMMYFUNCTION("""COMPUTED_VALUE"""),"2018-2022")</f>
        <v>2018-2022</v>
      </c>
      <c r="P100" s="59" t="str">
        <f ca="1">IFERROR(__xludf.DUMMYFUNCTION("""COMPUTED_VALUE"""),"S5: Student Workshops/Conf attended")</f>
        <v>S5: Student Workshops/Conf attended</v>
      </c>
      <c r="Q100" s="59" t="str">
        <f ca="1">IFERROR(__xludf.DUMMYFUNCTION("""COMPUTED_VALUE"""),"srinidhimuppaneni@gmail.com")</f>
        <v>srinidhimuppaneni@gmail.com</v>
      </c>
      <c r="R100" s="59" t="str">
        <f ca="1">IFERROR(__xludf.DUMMYFUNCTION("""COMPUTED_VALUE"""),"SEM-8")</f>
        <v>SEM-8</v>
      </c>
      <c r="S100" s="9"/>
      <c r="T100" s="9"/>
      <c r="U100" s="9"/>
      <c r="V100" s="9"/>
      <c r="W100" s="9"/>
      <c r="X100" s="9"/>
      <c r="Y100" s="9"/>
    </row>
    <row r="101" spans="1:25" ht="26.25" customHeight="1" x14ac:dyDescent="0.15">
      <c r="A101" s="59" t="str">
        <f ca="1">IFERROR(__xludf.DUMMYFUNCTION("""COMPUTED_VALUE"""),"Muppaneni Gayatri Srinidhi")</f>
        <v>Muppaneni Gayatri Srinidhi</v>
      </c>
      <c r="B101" s="59" t="str">
        <f ca="1">IFERROR(__xludf.DUMMYFUNCTION("""COMPUTED_VALUE"""),"18331A05A3")</f>
        <v>18331A05A3</v>
      </c>
      <c r="C101" s="59" t="str">
        <f ca="1">IFERROR(__xludf.DUMMYFUNCTION("""COMPUTED_VALUE"""),"2021-2022")</f>
        <v>2021-2022</v>
      </c>
      <c r="D101" s="59" t="str">
        <f ca="1">IFERROR(__xludf.DUMMYFUNCTION("""COMPUTED_VALUE"""),"Workshop")</f>
        <v>Workshop</v>
      </c>
      <c r="E101" s="59" t="str">
        <f ca="1">IFERROR(__xludf.DUMMYFUNCTION("""COMPUTED_VALUE"""),"Google developer group devfest 2021")</f>
        <v>Google developer group devfest 2021</v>
      </c>
      <c r="F101" s="59">
        <f ca="1">IFERROR(__xludf.DUMMYFUNCTION("""COMPUTED_VALUE"""),3)</f>
        <v>3</v>
      </c>
      <c r="G101" s="70">
        <f ca="1">IFERROR(__xludf.DUMMYFUNCTION("""COMPUTED_VALUE"""),44491)</f>
        <v>44491</v>
      </c>
      <c r="H101" s="70">
        <f ca="1">IFERROR(__xludf.DUMMYFUNCTION("""COMPUTED_VALUE"""),44493)</f>
        <v>44493</v>
      </c>
      <c r="I101" s="59" t="str">
        <f ca="1">IFERROR(__xludf.DUMMYFUNCTION("""COMPUTED_VALUE"""),"Devfest india")</f>
        <v>Devfest india</v>
      </c>
      <c r="J101" s="59" t="str">
        <f ca="1">IFERROR(__xludf.DUMMYFUNCTION("""COMPUTED_VALUE"""),"Online")</f>
        <v>Online</v>
      </c>
      <c r="K101" s="59" t="str">
        <f ca="1">IFERROR(__xludf.DUMMYFUNCTION("""COMPUTED_VALUE"""),"National")</f>
        <v>National</v>
      </c>
      <c r="L101" s="59" t="str">
        <f ca="1">IFERROR(__xludf.DUMMYFUNCTION("""COMPUTED_VALUE"""),"Free")</f>
        <v>Free</v>
      </c>
      <c r="M101" s="59"/>
      <c r="N101" s="71" t="str">
        <f ca="1">IFERROR(__xludf.DUMMYFUNCTION("""COMPUTED_VALUE"""),"https://drive.google.com/open?id=18KJNAHlNOgi39ODIHQNwA6UZDkEVrb_G")</f>
        <v>https://drive.google.com/open?id=18KJNAHlNOgi39ODIHQNwA6UZDkEVrb_G</v>
      </c>
      <c r="O101" s="59" t="str">
        <f ca="1">IFERROR(__xludf.DUMMYFUNCTION("""COMPUTED_VALUE"""),"2018-2022")</f>
        <v>2018-2022</v>
      </c>
      <c r="P101" s="59" t="str">
        <f ca="1">IFERROR(__xludf.DUMMYFUNCTION("""COMPUTED_VALUE"""),"S5: Student Workshops/Conf attended")</f>
        <v>S5: Student Workshops/Conf attended</v>
      </c>
      <c r="Q101" s="59" t="str">
        <f ca="1">IFERROR(__xludf.DUMMYFUNCTION("""COMPUTED_VALUE"""),"srinidhimuppaneni@gmail.com")</f>
        <v>srinidhimuppaneni@gmail.com</v>
      </c>
      <c r="R101" s="59" t="str">
        <f ca="1">IFERROR(__xludf.DUMMYFUNCTION("""COMPUTED_VALUE"""),"SEM-8")</f>
        <v>SEM-8</v>
      </c>
      <c r="S101" s="9"/>
      <c r="T101" s="9"/>
      <c r="U101" s="9"/>
      <c r="V101" s="9"/>
      <c r="W101" s="9"/>
      <c r="X101" s="9"/>
      <c r="Y101" s="9"/>
    </row>
    <row r="102" spans="1:25" ht="26.25" customHeight="1" x14ac:dyDescent="0.15">
      <c r="A102" s="59" t="str">
        <f ca="1">IFERROR(__xludf.DUMMYFUNCTION("""COMPUTED_VALUE"""),"KURELLA AMAR SAI PREETAM")</f>
        <v>KURELLA AMAR SAI PREETAM</v>
      </c>
      <c r="B102" s="59" t="str">
        <f ca="1">IFERROR(__xludf.DUMMYFUNCTION("""COMPUTED_VALUE"""),"20331A0596")</f>
        <v>20331A0596</v>
      </c>
      <c r="C102" s="59" t="str">
        <f ca="1">IFERROR(__xludf.DUMMYFUNCTION("""COMPUTED_VALUE"""),"2021-2022")</f>
        <v>2021-2022</v>
      </c>
      <c r="D102" s="59" t="str">
        <f ca="1">IFERROR(__xludf.DUMMYFUNCTION("""COMPUTED_VALUE"""),"Workshop")</f>
        <v>Workshop</v>
      </c>
      <c r="E102" s="59" t="str">
        <f ca="1">IFERROR(__xludf.DUMMYFUNCTION("""COMPUTED_VALUE"""),"IT-YUKTA-2K22")</f>
        <v>IT-YUKTA-2K22</v>
      </c>
      <c r="F102" s="59">
        <f ca="1">IFERROR(__xludf.DUMMYFUNCTION("""COMPUTED_VALUE"""),2)</f>
        <v>2</v>
      </c>
      <c r="G102" s="70">
        <f ca="1">IFERROR(__xludf.DUMMYFUNCTION("""COMPUTED_VALUE"""),44650)</f>
        <v>44650</v>
      </c>
      <c r="H102" s="70">
        <f ca="1">IFERROR(__xludf.DUMMYFUNCTION("""COMPUTED_VALUE"""),44651)</f>
        <v>44651</v>
      </c>
      <c r="I102" s="59" t="str">
        <f ca="1">IFERROR(__xludf.DUMMYFUNCTION("""COMPUTED_VALUE"""),"Jntu vizianagaram")</f>
        <v>Jntu vizianagaram</v>
      </c>
      <c r="J102" s="59" t="str">
        <f ca="1">IFERROR(__xludf.DUMMYFUNCTION("""COMPUTED_VALUE"""),"G. jayasuma")</f>
        <v>G. jayasuma</v>
      </c>
      <c r="K102" s="59" t="str">
        <f ca="1">IFERROR(__xludf.DUMMYFUNCTION("""COMPUTED_VALUE"""),"National")</f>
        <v>National</v>
      </c>
      <c r="L102" s="59" t="str">
        <f ca="1">IFERROR(__xludf.DUMMYFUNCTION("""COMPUTED_VALUE"""),"Paid")</f>
        <v>Paid</v>
      </c>
      <c r="M102" s="59">
        <f ca="1">IFERROR(__xludf.DUMMYFUNCTION("""COMPUTED_VALUE"""),800)</f>
        <v>800</v>
      </c>
      <c r="N102" s="71" t="str">
        <f ca="1">IFERROR(__xludf.DUMMYFUNCTION("""COMPUTED_VALUE"""),"https://drive.google.com/open?id=1K4YvXyrOQTuJ2FfJ45B5JuJcD8DQ_fTh")</f>
        <v>https://drive.google.com/open?id=1K4YvXyrOQTuJ2FfJ45B5JuJcD8DQ_fTh</v>
      </c>
      <c r="O102" s="59" t="str">
        <f ca="1">IFERROR(__xludf.DUMMYFUNCTION("""COMPUTED_VALUE"""),"2020-2024")</f>
        <v>2020-2024</v>
      </c>
      <c r="P102" s="59" t="str">
        <f ca="1">IFERROR(__xludf.DUMMYFUNCTION("""COMPUTED_VALUE"""),"S5: Student Workshops/Conf attended")</f>
        <v>S5: Student Workshops/Conf attended</v>
      </c>
      <c r="Q102" s="59" t="str">
        <f ca="1">IFERROR(__xludf.DUMMYFUNCTION("""COMPUTED_VALUE"""),"preetamkurella@gmail.com")</f>
        <v>preetamkurella@gmail.com</v>
      </c>
      <c r="R102" s="59" t="str">
        <f ca="1">IFERROR(__xludf.DUMMYFUNCTION("""COMPUTED_VALUE"""),"SEM-4")</f>
        <v>SEM-4</v>
      </c>
      <c r="S102" s="9"/>
      <c r="T102" s="9"/>
      <c r="U102" s="9"/>
      <c r="V102" s="9"/>
      <c r="W102" s="9"/>
      <c r="X102" s="9"/>
      <c r="Y102" s="9"/>
    </row>
    <row r="103" spans="1:25" ht="26.25" customHeight="1" x14ac:dyDescent="0.15">
      <c r="A103" s="59" t="str">
        <f ca="1">IFERROR(__xludf.DUMMYFUNCTION("""COMPUTED_VALUE"""),"Sumanth Varma Dandu")</f>
        <v>Sumanth Varma Dandu</v>
      </c>
      <c r="B103" s="59" t="str">
        <f ca="1">IFERROR(__xludf.DUMMYFUNCTION("""COMPUTED_VALUE"""),"18331A0530")</f>
        <v>18331A0530</v>
      </c>
      <c r="C103" s="59" t="str">
        <f ca="1">IFERROR(__xludf.DUMMYFUNCTION("""COMPUTED_VALUE"""),"2018-2019")</f>
        <v>2018-2019</v>
      </c>
      <c r="D103" s="59" t="str">
        <f ca="1">IFERROR(__xludf.DUMMYFUNCTION("""COMPUTED_VALUE"""),"Workshop")</f>
        <v>Workshop</v>
      </c>
      <c r="E103" s="59" t="str">
        <f ca="1">IFERROR(__xludf.DUMMYFUNCTION("""COMPUTED_VALUE"""),"Artificial intelligence workshop")</f>
        <v>Artificial intelligence workshop</v>
      </c>
      <c r="F103" s="59">
        <f ca="1">IFERROR(__xludf.DUMMYFUNCTION("""COMPUTED_VALUE"""),2)</f>
        <v>2</v>
      </c>
      <c r="G103" s="70">
        <f ca="1">IFERROR(__xludf.DUMMYFUNCTION("""COMPUTED_VALUE"""),43715)</f>
        <v>43715</v>
      </c>
      <c r="H103" s="70">
        <f ca="1">IFERROR(__xludf.DUMMYFUNCTION("""COMPUTED_VALUE"""),43717)</f>
        <v>43717</v>
      </c>
      <c r="I103" s="59" t="str">
        <f ca="1">IFERROR(__xludf.DUMMYFUNCTION("""COMPUTED_VALUE"""),"IIT Hyderabad")</f>
        <v>IIT Hyderabad</v>
      </c>
      <c r="J103" s="59" t="str">
        <f ca="1">IFERROR(__xludf.DUMMYFUNCTION("""COMPUTED_VALUE"""),"Rishabh Mehtha")</f>
        <v>Rishabh Mehtha</v>
      </c>
      <c r="K103" s="59" t="str">
        <f ca="1">IFERROR(__xludf.DUMMYFUNCTION("""COMPUTED_VALUE"""),"State")</f>
        <v>State</v>
      </c>
      <c r="L103" s="59" t="str">
        <f ca="1">IFERROR(__xludf.DUMMYFUNCTION("""COMPUTED_VALUE"""),"Paid")</f>
        <v>Paid</v>
      </c>
      <c r="M103" s="59">
        <f ca="1">IFERROR(__xludf.DUMMYFUNCTION("""COMPUTED_VALUE"""),500)</f>
        <v>500</v>
      </c>
      <c r="N103" s="71" t="str">
        <f ca="1">IFERROR(__xludf.DUMMYFUNCTION("""COMPUTED_VALUE"""),"https://drive.google.com/open?id=1WkQtQLdGhQBJEgkiVn1gYaIcUbBhvm13")</f>
        <v>https://drive.google.com/open?id=1WkQtQLdGhQBJEgkiVn1gYaIcUbBhvm13</v>
      </c>
      <c r="O103" s="59" t="str">
        <f ca="1">IFERROR(__xludf.DUMMYFUNCTION("""COMPUTED_VALUE"""),"2018-2022")</f>
        <v>2018-2022</v>
      </c>
      <c r="P103" s="59" t="str">
        <f ca="1">IFERROR(__xludf.DUMMYFUNCTION("""COMPUTED_VALUE"""),"S5: Student Workshops/Conf attended")</f>
        <v>S5: Student Workshops/Conf attended</v>
      </c>
      <c r="Q103" s="59" t="str">
        <f ca="1">IFERROR(__xludf.DUMMYFUNCTION("""COMPUTED_VALUE"""),"dsumanthvarma6@gmail.com")</f>
        <v>dsumanthvarma6@gmail.com</v>
      </c>
      <c r="R103" s="59" t="str">
        <f ca="1">IFERROR(__xludf.DUMMYFUNCTION("""COMPUTED_VALUE"""),"SEM-8")</f>
        <v>SEM-8</v>
      </c>
      <c r="S103" s="9"/>
      <c r="T103" s="9"/>
      <c r="U103" s="9"/>
      <c r="V103" s="9"/>
      <c r="W103" s="9"/>
      <c r="X103" s="9"/>
      <c r="Y103" s="9"/>
    </row>
    <row r="104" spans="1:25" ht="26.25" customHeight="1" x14ac:dyDescent="0.15">
      <c r="A104" s="59" t="str">
        <f ca="1">IFERROR(__xludf.DUMMYFUNCTION("""COMPUTED_VALUE"""),"LOHITH VENKAT ANNAM ")</f>
        <v xml:space="preserve">LOHITH VENKAT ANNAM </v>
      </c>
      <c r="B104" s="59" t="str">
        <f ca="1">IFERROR(__xludf.DUMMYFUNCTION("""COMPUTED_VALUE"""),"18331A0506")</f>
        <v>18331A0506</v>
      </c>
      <c r="C104" s="59" t="str">
        <f ca="1">IFERROR(__xludf.DUMMYFUNCTION("""COMPUTED_VALUE"""),"2018-2019")</f>
        <v>2018-2019</v>
      </c>
      <c r="D104" s="59" t="str">
        <f ca="1">IFERROR(__xludf.DUMMYFUNCTION("""COMPUTED_VALUE"""),"Workshop")</f>
        <v>Workshop</v>
      </c>
      <c r="E104" s="59" t="str">
        <f ca="1">IFERROR(__xludf.DUMMYFUNCTION("""COMPUTED_VALUE"""),"Swecha")</f>
        <v>Swecha</v>
      </c>
      <c r="F104" s="59">
        <f ca="1">IFERROR(__xludf.DUMMYFUNCTION("""COMPUTED_VALUE"""),1)</f>
        <v>1</v>
      </c>
      <c r="G104" s="70">
        <f ca="1">IFERROR(__xludf.DUMMYFUNCTION("""COMPUTED_VALUE"""),43566)</f>
        <v>43566</v>
      </c>
      <c r="H104" s="70">
        <f ca="1">IFERROR(__xludf.DUMMYFUNCTION("""COMPUTED_VALUE"""),43567)</f>
        <v>43567</v>
      </c>
      <c r="I104" s="59" t="str">
        <f ca="1">IFERROR(__xludf.DUMMYFUNCTION("""COMPUTED_VALUE"""),"Swecha ")</f>
        <v xml:space="preserve">Swecha </v>
      </c>
      <c r="J104" s="59" t="str">
        <f ca="1">IFERROR(__xludf.DUMMYFUNCTION("""COMPUTED_VALUE"""),"Vamsi")</f>
        <v>Vamsi</v>
      </c>
      <c r="K104" s="59" t="str">
        <f ca="1">IFERROR(__xludf.DUMMYFUNCTION("""COMPUTED_VALUE"""),"State")</f>
        <v>State</v>
      </c>
      <c r="L104" s="59" t="str">
        <f ca="1">IFERROR(__xludf.DUMMYFUNCTION("""COMPUTED_VALUE"""),"Paid")</f>
        <v>Paid</v>
      </c>
      <c r="M104" s="59">
        <f ca="1">IFERROR(__xludf.DUMMYFUNCTION("""COMPUTED_VALUE"""),300)</f>
        <v>300</v>
      </c>
      <c r="N104" s="71" t="str">
        <f ca="1">IFERROR(__xludf.DUMMYFUNCTION("""COMPUTED_VALUE"""),"https://drive.google.com/open?id=15ej9vscZ0I8ge1ld4LdQpKYaykpN1SaF")</f>
        <v>https://drive.google.com/open?id=15ej9vscZ0I8ge1ld4LdQpKYaykpN1SaF</v>
      </c>
      <c r="O104" s="59" t="str">
        <f ca="1">IFERROR(__xludf.DUMMYFUNCTION("""COMPUTED_VALUE"""),"2018-2022")</f>
        <v>2018-2022</v>
      </c>
      <c r="P104" s="59" t="str">
        <f ca="1">IFERROR(__xludf.DUMMYFUNCTION("""COMPUTED_VALUE"""),"S5: Student Workshops/Conf attended")</f>
        <v>S5: Student Workshops/Conf attended</v>
      </c>
      <c r="Q104" s="59" t="str">
        <f ca="1">IFERROR(__xludf.DUMMYFUNCTION("""COMPUTED_VALUE"""),"annam.venkat24a@gmail.com")</f>
        <v>annam.venkat24a@gmail.com</v>
      </c>
      <c r="R104" s="59" t="str">
        <f ca="1">IFERROR(__xludf.DUMMYFUNCTION("""COMPUTED_VALUE"""),"SEM-8")</f>
        <v>SEM-8</v>
      </c>
      <c r="S104" s="9"/>
      <c r="T104" s="9"/>
      <c r="U104" s="9"/>
      <c r="V104" s="9"/>
      <c r="W104" s="9"/>
      <c r="X104" s="9"/>
      <c r="Y104" s="9"/>
    </row>
    <row r="105" spans="1:25" ht="26.25" customHeight="1" x14ac:dyDescent="0.15">
      <c r="A105" s="59" t="str">
        <f ca="1">IFERROR(__xludf.DUMMYFUNCTION("""COMPUTED_VALUE"""),"Jammi Sri Sai Yeshwanth ")</f>
        <v xml:space="preserve">Jammi Sri Sai Yeshwanth </v>
      </c>
      <c r="B105" s="59" t="str">
        <f ca="1">IFERROR(__xludf.DUMMYFUNCTION("""COMPUTED_VALUE"""),"20331A0574")</f>
        <v>20331A0574</v>
      </c>
      <c r="C105" s="59" t="str">
        <f ca="1">IFERROR(__xludf.DUMMYFUNCTION("""COMPUTED_VALUE"""),"2021-2022")</f>
        <v>2021-2022</v>
      </c>
      <c r="D105" s="59" t="str">
        <f ca="1">IFERROR(__xludf.DUMMYFUNCTION("""COMPUTED_VALUE"""),"Workshop")</f>
        <v>Workshop</v>
      </c>
      <c r="E105" s="59" t="str">
        <f ca="1">IFERROR(__xludf.DUMMYFUNCTION("""COMPUTED_VALUE"""),"Vortex Machine Learning ")</f>
        <v xml:space="preserve">Vortex Machine Learning </v>
      </c>
      <c r="F105" s="59">
        <f ca="1">IFERROR(__xludf.DUMMYFUNCTION("""COMPUTED_VALUE"""),1)</f>
        <v>1</v>
      </c>
      <c r="G105" s="70">
        <f ca="1">IFERROR(__xludf.DUMMYFUNCTION("""COMPUTED_VALUE"""),44626)</f>
        <v>44626</v>
      </c>
      <c r="H105" s="70">
        <f ca="1">IFERROR(__xludf.DUMMYFUNCTION("""COMPUTED_VALUE"""),44626)</f>
        <v>44626</v>
      </c>
      <c r="I105" s="59" t="str">
        <f ca="1">IFERROR(__xludf.DUMMYFUNCTION("""COMPUTED_VALUE"""),"National Institute Of Technology Tiruchirapalli ")</f>
        <v xml:space="preserve">National Institute Of Technology Tiruchirapalli </v>
      </c>
      <c r="J105" s="59" t="str">
        <f ca="1">IFERROR(__xludf.DUMMYFUNCTION("""COMPUTED_VALUE"""),"2")</f>
        <v>2</v>
      </c>
      <c r="K105" s="59" t="str">
        <f ca="1">IFERROR(__xludf.DUMMYFUNCTION("""COMPUTED_VALUE"""),"National")</f>
        <v>National</v>
      </c>
      <c r="L105" s="59" t="str">
        <f ca="1">IFERROR(__xludf.DUMMYFUNCTION("""COMPUTED_VALUE"""),"Paid")</f>
        <v>Paid</v>
      </c>
      <c r="M105" s="59">
        <f ca="1">IFERROR(__xludf.DUMMYFUNCTION("""COMPUTED_VALUE"""),75)</f>
        <v>75</v>
      </c>
      <c r="N105" s="71" t="str">
        <f ca="1">IFERROR(__xludf.DUMMYFUNCTION("""COMPUTED_VALUE"""),"https://drive.google.com/open?id=1BiLv-XLj1k_RULgHrqvPtYN3P8kqC0QZ")</f>
        <v>https://drive.google.com/open?id=1BiLv-XLj1k_RULgHrqvPtYN3P8kqC0QZ</v>
      </c>
      <c r="O105" s="59" t="str">
        <f ca="1">IFERROR(__xludf.DUMMYFUNCTION("""COMPUTED_VALUE"""),"2020-2024")</f>
        <v>2020-2024</v>
      </c>
      <c r="P105" s="59" t="str">
        <f ca="1">IFERROR(__xludf.DUMMYFUNCTION("""COMPUTED_VALUE"""),"S5: Student Workshops/Conf attended")</f>
        <v>S5: Student Workshops/Conf attended</v>
      </c>
      <c r="Q105" s="59" t="str">
        <f ca="1">IFERROR(__xludf.DUMMYFUNCTION("""COMPUTED_VALUE"""),"yeswanthjammi@gmail.com")</f>
        <v>yeswanthjammi@gmail.com</v>
      </c>
      <c r="R105" s="59" t="str">
        <f ca="1">IFERROR(__xludf.DUMMYFUNCTION("""COMPUTED_VALUE"""),"SEM-4")</f>
        <v>SEM-4</v>
      </c>
      <c r="S105" s="9"/>
      <c r="T105" s="9"/>
      <c r="U105" s="9"/>
      <c r="V105" s="9"/>
      <c r="W105" s="9"/>
      <c r="X105" s="9"/>
      <c r="Y105" s="9"/>
    </row>
    <row r="106" spans="1:25" ht="26.25" customHeight="1" x14ac:dyDescent="0.15">
      <c r="A106" s="59" t="str">
        <f ca="1">IFERROR(__xludf.DUMMYFUNCTION("""COMPUTED_VALUE"""),"SRIHARI NAIDU POGIRI")</f>
        <v>SRIHARI NAIDU POGIRI</v>
      </c>
      <c r="B106" s="59" t="str">
        <f ca="1">IFERROR(__xludf.DUMMYFUNCTION("""COMPUTED_VALUE"""),"18331A05E6")</f>
        <v>18331A05E6</v>
      </c>
      <c r="C106" s="59" t="str">
        <f ca="1">IFERROR(__xludf.DUMMYFUNCTION("""COMPUTED_VALUE"""),"2019-2020")</f>
        <v>2019-2020</v>
      </c>
      <c r="D106" s="59" t="str">
        <f ca="1">IFERROR(__xludf.DUMMYFUNCTION("""COMPUTED_VALUE"""),"Workshop")</f>
        <v>Workshop</v>
      </c>
      <c r="E106" s="59" t="str">
        <f ca="1">IFERROR(__xludf.DUMMYFUNCTION("""COMPUTED_VALUE"""),"INTERNET OF THINGS WORKSHOP")</f>
        <v>INTERNET OF THINGS WORKSHOP</v>
      </c>
      <c r="F106" s="59">
        <f ca="1">IFERROR(__xludf.DUMMYFUNCTION("""COMPUTED_VALUE"""),2)</f>
        <v>2</v>
      </c>
      <c r="G106" s="70">
        <f ca="1">IFERROR(__xludf.DUMMYFUNCTION("""COMPUTED_VALUE"""),43694)</f>
        <v>43694</v>
      </c>
      <c r="H106" s="70">
        <f ca="1">IFERROR(__xludf.DUMMYFUNCTION("""COMPUTED_VALUE"""),43695)</f>
        <v>43695</v>
      </c>
      <c r="I106" s="59" t="str">
        <f ca="1">IFERROR(__xludf.DUMMYFUNCTION("""COMPUTED_VALUE"""),"IIT HYDERABAD")</f>
        <v>IIT HYDERABAD</v>
      </c>
      <c r="J106" s="59" t="str">
        <f ca="1">IFERROR(__xludf.DUMMYFUNCTION("""COMPUTED_VALUE"""),"KYRION TECHNOLOGIES")</f>
        <v>KYRION TECHNOLOGIES</v>
      </c>
      <c r="K106" s="59" t="str">
        <f ca="1">IFERROR(__xludf.DUMMYFUNCTION("""COMPUTED_VALUE"""),"National")</f>
        <v>National</v>
      </c>
      <c r="L106" s="59" t="str">
        <f ca="1">IFERROR(__xludf.DUMMYFUNCTION("""COMPUTED_VALUE"""),"Paid")</f>
        <v>Paid</v>
      </c>
      <c r="M106" s="59"/>
      <c r="N106" s="71" t="str">
        <f ca="1">IFERROR(__xludf.DUMMYFUNCTION("""COMPUTED_VALUE"""),"https://drive.google.com/open?id=1eU1ODAZjWmC1lWUo_kbTMctGyyaKRRwt")</f>
        <v>https://drive.google.com/open?id=1eU1ODAZjWmC1lWUo_kbTMctGyyaKRRwt</v>
      </c>
      <c r="O106" s="59" t="str">
        <f ca="1">IFERROR(__xludf.DUMMYFUNCTION("""COMPUTED_VALUE"""),"2018-2022")</f>
        <v>2018-2022</v>
      </c>
      <c r="P106" s="59" t="str">
        <f ca="1">IFERROR(__xludf.DUMMYFUNCTION("""COMPUTED_VALUE"""),"S5: Student Workshops/Conf attended")</f>
        <v>S5: Student Workshops/Conf attended</v>
      </c>
      <c r="Q106" s="59" t="str">
        <f ca="1">IFERROR(__xludf.DUMMYFUNCTION("""COMPUTED_VALUE"""),"sriharismart0000@gmail.com")</f>
        <v>sriharismart0000@gmail.com</v>
      </c>
      <c r="R106" s="59" t="str">
        <f ca="1">IFERROR(__xludf.DUMMYFUNCTION("""COMPUTED_VALUE"""),"SEM-3")</f>
        <v>SEM-3</v>
      </c>
      <c r="S106" s="9"/>
      <c r="T106" s="9"/>
      <c r="U106" s="9"/>
      <c r="V106" s="9"/>
      <c r="W106" s="9"/>
      <c r="X106" s="9"/>
      <c r="Y106" s="9"/>
    </row>
    <row r="107" spans="1:25" ht="26.25" customHeight="1" x14ac:dyDescent="0.15">
      <c r="A107" s="59" t="str">
        <f ca="1">IFERROR(__xludf.DUMMYFUNCTION("""COMPUTED_VALUE"""),"Harshit Dhanuka")</f>
        <v>Harshit Dhanuka</v>
      </c>
      <c r="B107" s="59" t="str">
        <f ca="1">IFERROR(__xludf.DUMMYFUNCTION("""COMPUTED_VALUE"""),"20331A0571")</f>
        <v>20331A0571</v>
      </c>
      <c r="C107" s="59" t="str">
        <f ca="1">IFERROR(__xludf.DUMMYFUNCTION("""COMPUTED_VALUE"""),"2021-2022")</f>
        <v>2021-2022</v>
      </c>
      <c r="D107" s="59" t="str">
        <f ca="1">IFERROR(__xludf.DUMMYFUNCTION("""COMPUTED_VALUE"""),"Workshop")</f>
        <v>Workshop</v>
      </c>
      <c r="E107" s="59" t="str">
        <f ca="1">IFERROR(__xludf.DUMMYFUNCTION("""COMPUTED_VALUE"""),"Machine Learning")</f>
        <v>Machine Learning</v>
      </c>
      <c r="F107" s="59">
        <f ca="1">IFERROR(__xludf.DUMMYFUNCTION("""COMPUTED_VALUE"""),1)</f>
        <v>1</v>
      </c>
      <c r="G107" s="70">
        <f ca="1">IFERROR(__xludf.DUMMYFUNCTION("""COMPUTED_VALUE"""),44626)</f>
        <v>44626</v>
      </c>
      <c r="H107" s="70">
        <f ca="1">IFERROR(__xludf.DUMMYFUNCTION("""COMPUTED_VALUE"""),44626)</f>
        <v>44626</v>
      </c>
      <c r="I107" s="59" t="str">
        <f ca="1">IFERROR(__xludf.DUMMYFUNCTION("""COMPUTED_VALUE"""),"NIT, TIRUCHIRAPALLI")</f>
        <v>NIT, TIRUCHIRAPALLI</v>
      </c>
      <c r="J107" s="59" t="str">
        <f ca="1">IFERROR(__xludf.DUMMYFUNCTION("""COMPUTED_VALUE"""),"E. Siva Shankar")</f>
        <v>E. Siva Shankar</v>
      </c>
      <c r="K107" s="59" t="str">
        <f ca="1">IFERROR(__xludf.DUMMYFUNCTION("""COMPUTED_VALUE"""),"National")</f>
        <v>National</v>
      </c>
      <c r="L107" s="59" t="str">
        <f ca="1">IFERROR(__xludf.DUMMYFUNCTION("""COMPUTED_VALUE"""),"Paid")</f>
        <v>Paid</v>
      </c>
      <c r="M107" s="59">
        <f ca="1">IFERROR(__xludf.DUMMYFUNCTION("""COMPUTED_VALUE"""),70)</f>
        <v>70</v>
      </c>
      <c r="N107" s="71" t="str">
        <f ca="1">IFERROR(__xludf.DUMMYFUNCTION("""COMPUTED_VALUE"""),"https://drive.google.com/open?id=1CdIhKOLxHMKon7MhlxfbyeqhVil30Pmz")</f>
        <v>https://drive.google.com/open?id=1CdIhKOLxHMKon7MhlxfbyeqhVil30Pmz</v>
      </c>
      <c r="O107" s="59" t="str">
        <f ca="1">IFERROR(__xludf.DUMMYFUNCTION("""COMPUTED_VALUE"""),"2020-2024")</f>
        <v>2020-2024</v>
      </c>
      <c r="P107" s="59" t="str">
        <f ca="1">IFERROR(__xludf.DUMMYFUNCTION("""COMPUTED_VALUE"""),"S5: Student Workshops/Conf attended")</f>
        <v>S5: Student Workshops/Conf attended</v>
      </c>
      <c r="Q107" s="59" t="str">
        <f ca="1">IFERROR(__xludf.DUMMYFUNCTION("""COMPUTED_VALUE"""),"harshitdhanuka92@gmail.com")</f>
        <v>harshitdhanuka92@gmail.com</v>
      </c>
      <c r="R107" s="59" t="str">
        <f ca="1">IFERROR(__xludf.DUMMYFUNCTION("""COMPUTED_VALUE"""),"SEM-4")</f>
        <v>SEM-4</v>
      </c>
      <c r="S107" s="9"/>
      <c r="T107" s="9"/>
      <c r="U107" s="9"/>
      <c r="V107" s="9"/>
      <c r="W107" s="9"/>
      <c r="X107" s="9"/>
      <c r="Y107" s="9"/>
    </row>
    <row r="108" spans="1:25" ht="26.25" customHeight="1" x14ac:dyDescent="0.15">
      <c r="A108" s="59" t="str">
        <f ca="1">IFERROR(__xludf.DUMMYFUNCTION("""COMPUTED_VALUE"""),"Harshit Dhanuka")</f>
        <v>Harshit Dhanuka</v>
      </c>
      <c r="B108" s="59" t="str">
        <f ca="1">IFERROR(__xludf.DUMMYFUNCTION("""COMPUTED_VALUE"""),"20331A0571")</f>
        <v>20331A0571</v>
      </c>
      <c r="C108" s="59" t="str">
        <f ca="1">IFERROR(__xludf.DUMMYFUNCTION("""COMPUTED_VALUE"""),"2021-2022")</f>
        <v>2021-2022</v>
      </c>
      <c r="D108" s="59" t="str">
        <f ca="1">IFERROR(__xludf.DUMMYFUNCTION("""COMPUTED_VALUE"""),"Workshop")</f>
        <v>Workshop</v>
      </c>
      <c r="E108" s="59" t="str">
        <f ca="1">IFERROR(__xludf.DUMMYFUNCTION("""COMPUTED_VALUE"""),"DATA ANALYTICS USING PYTHON")</f>
        <v>DATA ANALYTICS USING PYTHON</v>
      </c>
      <c r="F108" s="59">
        <f ca="1">IFERROR(__xludf.DUMMYFUNCTION("""COMPUTED_VALUE"""),2)</f>
        <v>2</v>
      </c>
      <c r="G108" s="70">
        <f ca="1">IFERROR(__xludf.DUMMYFUNCTION("""COMPUTED_VALUE"""),44639)</f>
        <v>44639</v>
      </c>
      <c r="H108" s="70">
        <f ca="1">IFERROR(__xludf.DUMMYFUNCTION("""COMPUTED_VALUE"""),44640)</f>
        <v>44640</v>
      </c>
      <c r="I108" s="59" t="str">
        <f ca="1">IFERROR(__xludf.DUMMYFUNCTION("""COMPUTED_VALUE"""),"JNTUGV-UCEV")</f>
        <v>JNTUGV-UCEV</v>
      </c>
      <c r="J108" s="59" t="str">
        <f ca="1">IFERROR(__xludf.DUMMYFUNCTION("""COMPUTED_VALUE"""),"V Laxmi Prasad")</f>
        <v>V Laxmi Prasad</v>
      </c>
      <c r="K108" s="59" t="str">
        <f ca="1">IFERROR(__xludf.DUMMYFUNCTION("""COMPUTED_VALUE"""),"National")</f>
        <v>National</v>
      </c>
      <c r="L108" s="59" t="str">
        <f ca="1">IFERROR(__xludf.DUMMYFUNCTION("""COMPUTED_VALUE"""),"Paid")</f>
        <v>Paid</v>
      </c>
      <c r="M108" s="59">
        <f ca="1">IFERROR(__xludf.DUMMYFUNCTION("""COMPUTED_VALUE"""),300)</f>
        <v>300</v>
      </c>
      <c r="N108" s="71" t="str">
        <f ca="1">IFERROR(__xludf.DUMMYFUNCTION("""COMPUTED_VALUE"""),"https://drive.google.com/open?id=1RNxNHVErA7ZetNxkkw55UxK_dJZ0frz-")</f>
        <v>https://drive.google.com/open?id=1RNxNHVErA7ZetNxkkw55UxK_dJZ0frz-</v>
      </c>
      <c r="O108" s="59" t="str">
        <f ca="1">IFERROR(__xludf.DUMMYFUNCTION("""COMPUTED_VALUE"""),"2020-2024")</f>
        <v>2020-2024</v>
      </c>
      <c r="P108" s="59" t="str">
        <f ca="1">IFERROR(__xludf.DUMMYFUNCTION("""COMPUTED_VALUE"""),"S5: Student Workshops/Conf attended")</f>
        <v>S5: Student Workshops/Conf attended</v>
      </c>
      <c r="Q108" s="59" t="str">
        <f ca="1">IFERROR(__xludf.DUMMYFUNCTION("""COMPUTED_VALUE"""),"harshitdhanuka92@gmail.com")</f>
        <v>harshitdhanuka92@gmail.com</v>
      </c>
      <c r="R108" s="59" t="str">
        <f ca="1">IFERROR(__xludf.DUMMYFUNCTION("""COMPUTED_VALUE"""),"SEM-4")</f>
        <v>SEM-4</v>
      </c>
      <c r="S108" s="9"/>
      <c r="T108" s="9"/>
      <c r="U108" s="9"/>
      <c r="V108" s="9"/>
      <c r="W108" s="9"/>
      <c r="X108" s="9"/>
      <c r="Y108" s="9"/>
    </row>
    <row r="109" spans="1:25" ht="26.25" customHeight="1" x14ac:dyDescent="0.15">
      <c r="A109" s="59" t="str">
        <f ca="1">IFERROR(__xludf.DUMMYFUNCTION("""COMPUTED_VALUE"""),"Harshit Dhanuka")</f>
        <v>Harshit Dhanuka</v>
      </c>
      <c r="B109" s="59" t="str">
        <f ca="1">IFERROR(__xludf.DUMMYFUNCTION("""COMPUTED_VALUE"""),"20331A0571")</f>
        <v>20331A0571</v>
      </c>
      <c r="C109" s="59" t="str">
        <f ca="1">IFERROR(__xludf.DUMMYFUNCTION("""COMPUTED_VALUE"""),"2021-2022")</f>
        <v>2021-2022</v>
      </c>
      <c r="D109" s="59" t="str">
        <f ca="1">IFERROR(__xludf.DUMMYFUNCTION("""COMPUTED_VALUE"""),"Workshop")</f>
        <v>Workshop</v>
      </c>
      <c r="E109" s="59" t="str">
        <f ca="1">IFERROR(__xludf.DUMMYFUNCTION("""COMPUTED_VALUE"""),"GNU/ Linux Admin and Programming with Python ")</f>
        <v xml:space="preserve">GNU/ Linux Admin and Programming with Python </v>
      </c>
      <c r="F109" s="59">
        <f ca="1">IFERROR(__xludf.DUMMYFUNCTION("""COMPUTED_VALUE"""),2)</f>
        <v>2</v>
      </c>
      <c r="G109" s="70">
        <f ca="1">IFERROR(__xludf.DUMMYFUNCTION("""COMPUTED_VALUE"""),44513)</f>
        <v>44513</v>
      </c>
      <c r="H109" s="70">
        <f ca="1">IFERROR(__xludf.DUMMYFUNCTION("""COMPUTED_VALUE"""),44514)</f>
        <v>44514</v>
      </c>
      <c r="I109" s="59" t="str">
        <f ca="1">IFERROR(__xludf.DUMMYFUNCTION("""COMPUTED_VALUE"""),"MVGR College of Engineering (Autonomous)")</f>
        <v>MVGR College of Engineering (Autonomous)</v>
      </c>
      <c r="J109" s="59" t="str">
        <f ca="1">IFERROR(__xludf.DUMMYFUNCTION("""COMPUTED_VALUE"""),"M Vamsi Krishna")</f>
        <v>M Vamsi Krishna</v>
      </c>
      <c r="K109" s="59" t="str">
        <f ca="1">IFERROR(__xludf.DUMMYFUNCTION("""COMPUTED_VALUE"""),"State")</f>
        <v>State</v>
      </c>
      <c r="L109" s="59" t="str">
        <f ca="1">IFERROR(__xludf.DUMMYFUNCTION("""COMPUTED_VALUE"""),"Paid")</f>
        <v>Paid</v>
      </c>
      <c r="M109" s="59">
        <f ca="1">IFERROR(__xludf.DUMMYFUNCTION("""COMPUTED_VALUE"""),150)</f>
        <v>150</v>
      </c>
      <c r="N109" s="71" t="str">
        <f ca="1">IFERROR(__xludf.DUMMYFUNCTION("""COMPUTED_VALUE"""),"https://drive.google.com/open?id=13ZIfIPothsMAgPWvm_xwT_qHdQfFypAW")</f>
        <v>https://drive.google.com/open?id=13ZIfIPothsMAgPWvm_xwT_qHdQfFypAW</v>
      </c>
      <c r="O109" s="59" t="str">
        <f ca="1">IFERROR(__xludf.DUMMYFUNCTION("""COMPUTED_VALUE"""),"2020-2024")</f>
        <v>2020-2024</v>
      </c>
      <c r="P109" s="59" t="str">
        <f ca="1">IFERROR(__xludf.DUMMYFUNCTION("""COMPUTED_VALUE"""),"S5: Student Workshops/Conf attended")</f>
        <v>S5: Student Workshops/Conf attended</v>
      </c>
      <c r="Q109" s="59" t="str">
        <f ca="1">IFERROR(__xludf.DUMMYFUNCTION("""COMPUTED_VALUE"""),"harshitdhanuka92@gmail.com")</f>
        <v>harshitdhanuka92@gmail.com</v>
      </c>
      <c r="R109" s="59" t="str">
        <f ca="1">IFERROR(__xludf.DUMMYFUNCTION("""COMPUTED_VALUE"""),"SEM-4")</f>
        <v>SEM-4</v>
      </c>
      <c r="S109" s="9"/>
      <c r="T109" s="9"/>
      <c r="U109" s="9"/>
      <c r="V109" s="9"/>
      <c r="W109" s="9"/>
      <c r="X109" s="9"/>
      <c r="Y109" s="9"/>
    </row>
    <row r="110" spans="1:25" ht="26.25" customHeight="1" x14ac:dyDescent="0.15">
      <c r="A110" s="59" t="str">
        <f ca="1">IFERROR(__xludf.DUMMYFUNCTION("""COMPUTED_VALUE"""),"Gorsa Uma Mahesh")</f>
        <v>Gorsa Uma Mahesh</v>
      </c>
      <c r="B110" s="59" t="str">
        <f ca="1">IFERROR(__xludf.DUMMYFUNCTION("""COMPUTED_VALUE"""),"18331A0550")</f>
        <v>18331A0550</v>
      </c>
      <c r="C110" s="59" t="str">
        <f ca="1">IFERROR(__xludf.DUMMYFUNCTION("""COMPUTED_VALUE"""),"2020-2021")</f>
        <v>2020-2021</v>
      </c>
      <c r="D110" s="59" t="str">
        <f ca="1">IFERROR(__xludf.DUMMYFUNCTION("""COMPUTED_VALUE"""),"Workshop")</f>
        <v>Workshop</v>
      </c>
      <c r="E110" s="59" t="str">
        <f ca="1">IFERROR(__xludf.DUMMYFUNCTION("""COMPUTED_VALUE"""),"Front End Developer Workshop")</f>
        <v>Front End Developer Workshop</v>
      </c>
      <c r="F110" s="59">
        <f ca="1">IFERROR(__xludf.DUMMYFUNCTION("""COMPUTED_VALUE"""),7)</f>
        <v>7</v>
      </c>
      <c r="G110" s="70">
        <f ca="1">IFERROR(__xludf.DUMMYFUNCTION("""COMPUTED_VALUE"""),44090)</f>
        <v>44090</v>
      </c>
      <c r="H110" s="70">
        <f ca="1">IFERROR(__xludf.DUMMYFUNCTION("""COMPUTED_VALUE"""),44097)</f>
        <v>44097</v>
      </c>
      <c r="I110" s="59" t="str">
        <f ca="1">IFERROR(__xludf.DUMMYFUNCTION("""COMPUTED_VALUE"""),"Skill Safari")</f>
        <v>Skill Safari</v>
      </c>
      <c r="J110" s="59" t="str">
        <f ca="1">IFERROR(__xludf.DUMMYFUNCTION("""COMPUTED_VALUE"""),"Skill Safari")</f>
        <v>Skill Safari</v>
      </c>
      <c r="K110" s="59" t="str">
        <f ca="1">IFERROR(__xludf.DUMMYFUNCTION("""COMPUTED_VALUE"""),"National")</f>
        <v>National</v>
      </c>
      <c r="L110" s="59" t="str">
        <f ca="1">IFERROR(__xludf.DUMMYFUNCTION("""COMPUTED_VALUE"""),"Free")</f>
        <v>Free</v>
      </c>
      <c r="M110" s="59"/>
      <c r="N110" s="71" t="str">
        <f ca="1">IFERROR(__xludf.DUMMYFUNCTION("""COMPUTED_VALUE"""),"https://drive.google.com/open?id=1DEdRuYekCFhzd1erkA9WdK8eaGdsNCPZ")</f>
        <v>https://drive.google.com/open?id=1DEdRuYekCFhzd1erkA9WdK8eaGdsNCPZ</v>
      </c>
      <c r="O110" s="59" t="str">
        <f ca="1">IFERROR(__xludf.DUMMYFUNCTION("""COMPUTED_VALUE"""),"2018-2022")</f>
        <v>2018-2022</v>
      </c>
      <c r="P110" s="59" t="str">
        <f ca="1">IFERROR(__xludf.DUMMYFUNCTION("""COMPUTED_VALUE"""),"S5: Student Workshops/Conf attended")</f>
        <v>S5: Student Workshops/Conf attended</v>
      </c>
      <c r="Q110" s="59" t="str">
        <f ca="1">IFERROR(__xludf.DUMMYFUNCTION("""COMPUTED_VALUE"""),"gorsaumamahesh@gmail.com")</f>
        <v>gorsaumamahesh@gmail.com</v>
      </c>
      <c r="R110" s="59" t="str">
        <f ca="1">IFERROR(__xludf.DUMMYFUNCTION("""COMPUTED_VALUE"""),"SEM-8")</f>
        <v>SEM-8</v>
      </c>
      <c r="S110" s="9"/>
      <c r="T110" s="9"/>
      <c r="U110" s="9"/>
      <c r="V110" s="9"/>
      <c r="W110" s="9"/>
      <c r="X110" s="9"/>
      <c r="Y110" s="9"/>
    </row>
    <row r="111" spans="1:25" ht="26.25" customHeight="1" x14ac:dyDescent="0.15">
      <c r="A111" s="59" t="str">
        <f ca="1">IFERROR(__xludf.DUMMYFUNCTION("""COMPUTED_VALUE"""),"Nanubala Jaswanth Kumar ")</f>
        <v xml:space="preserve">Nanubala Jaswanth Kumar </v>
      </c>
      <c r="B111" s="59" t="str">
        <f ca="1">IFERROR(__xludf.DUMMYFUNCTION("""COMPUTED_VALUE"""),"18331A05B0")</f>
        <v>18331A05B0</v>
      </c>
      <c r="C111" s="59" t="str">
        <f ca="1">IFERROR(__xludf.DUMMYFUNCTION("""COMPUTED_VALUE"""),"2019-2020")</f>
        <v>2019-2020</v>
      </c>
      <c r="D111" s="59" t="str">
        <f ca="1">IFERROR(__xludf.DUMMYFUNCTION("""COMPUTED_VALUE"""),"Workshop")</f>
        <v>Workshop</v>
      </c>
      <c r="E111" s="59" t="str">
        <f ca="1">IFERROR(__xludf.DUMMYFUNCTION("""COMPUTED_VALUE"""),"INTERNET OF THINGS ")</f>
        <v xml:space="preserve">INTERNET OF THINGS </v>
      </c>
      <c r="F111" s="59">
        <f ca="1">IFERROR(__xludf.DUMMYFUNCTION("""COMPUTED_VALUE"""),2)</f>
        <v>2</v>
      </c>
      <c r="G111" s="70">
        <f ca="1">IFERROR(__xludf.DUMMYFUNCTION("""COMPUTED_VALUE"""),43694)</f>
        <v>43694</v>
      </c>
      <c r="H111" s="70">
        <f ca="1">IFERROR(__xludf.DUMMYFUNCTION("""COMPUTED_VALUE"""),43695)</f>
        <v>43695</v>
      </c>
      <c r="I111" s="59" t="str">
        <f ca="1">IFERROR(__xludf.DUMMYFUNCTION("""COMPUTED_VALUE"""),"Kyrion technologies ")</f>
        <v xml:space="preserve">Kyrion technologies </v>
      </c>
      <c r="J111" s="59" t="str">
        <f ca="1">IFERROR(__xludf.DUMMYFUNCTION("""COMPUTED_VALUE"""),"SUJATHA MEHTA")</f>
        <v>SUJATHA MEHTA</v>
      </c>
      <c r="K111" s="59" t="str">
        <f ca="1">IFERROR(__xludf.DUMMYFUNCTION("""COMPUTED_VALUE"""),"National")</f>
        <v>National</v>
      </c>
      <c r="L111" s="59" t="str">
        <f ca="1">IFERROR(__xludf.DUMMYFUNCTION("""COMPUTED_VALUE"""),"Paid")</f>
        <v>Paid</v>
      </c>
      <c r="M111" s="59">
        <f ca="1">IFERROR(__xludf.DUMMYFUNCTION("""COMPUTED_VALUE"""),1250)</f>
        <v>1250</v>
      </c>
      <c r="N111" s="71" t="str">
        <f ca="1">IFERROR(__xludf.DUMMYFUNCTION("""COMPUTED_VALUE"""),"https://drive.google.com/open?id=1i7HvRm7o_Fo5ru2AXb8mglLcWf9bU4VQ")</f>
        <v>https://drive.google.com/open?id=1i7HvRm7o_Fo5ru2AXb8mglLcWf9bU4VQ</v>
      </c>
      <c r="O111" s="59" t="str">
        <f ca="1">IFERROR(__xludf.DUMMYFUNCTION("""COMPUTED_VALUE"""),"2018-2022")</f>
        <v>2018-2022</v>
      </c>
      <c r="P111" s="59" t="str">
        <f ca="1">IFERROR(__xludf.DUMMYFUNCTION("""COMPUTED_VALUE"""),"S5: Student Workshops/Conf attended")</f>
        <v>S5: Student Workshops/Conf attended</v>
      </c>
      <c r="Q111" s="59" t="str">
        <f ca="1">IFERROR(__xludf.DUMMYFUNCTION("""COMPUTED_VALUE"""),"jaswanthsaisubhkar@gmail.com")</f>
        <v>jaswanthsaisubhkar@gmail.com</v>
      </c>
      <c r="R111" s="59" t="str">
        <f ca="1">IFERROR(__xludf.DUMMYFUNCTION("""COMPUTED_VALUE"""),"SEM-3")</f>
        <v>SEM-3</v>
      </c>
      <c r="S111" s="9"/>
      <c r="T111" s="9"/>
      <c r="U111" s="9"/>
      <c r="V111" s="9"/>
      <c r="W111" s="9"/>
      <c r="X111" s="9"/>
      <c r="Y111" s="9"/>
    </row>
    <row r="112" spans="1:25" ht="26.25" customHeight="1" x14ac:dyDescent="0.15">
      <c r="A112" s="59" t="str">
        <f ca="1">IFERROR(__xludf.DUMMYFUNCTION("""COMPUTED_VALUE"""),"Mopada Pavithra")</f>
        <v>Mopada Pavithra</v>
      </c>
      <c r="B112" s="59" t="str">
        <f ca="1">IFERROR(__xludf.DUMMYFUNCTION("""COMPUTED_VALUE"""),"18331A0599")</f>
        <v>18331A0599</v>
      </c>
      <c r="C112" s="59" t="str">
        <f ca="1">IFERROR(__xludf.DUMMYFUNCTION("""COMPUTED_VALUE"""),"2019-2020")</f>
        <v>2019-2020</v>
      </c>
      <c r="D112" s="59" t="str">
        <f ca="1">IFERROR(__xludf.DUMMYFUNCTION("""COMPUTED_VALUE"""),"Workshop")</f>
        <v>Workshop</v>
      </c>
      <c r="E112" s="59" t="str">
        <f ca="1">IFERROR(__xludf.DUMMYFUNCTION("""COMPUTED_VALUE"""),"Internet of things")</f>
        <v>Internet of things</v>
      </c>
      <c r="F112" s="59">
        <f ca="1">IFERROR(__xludf.DUMMYFUNCTION("""COMPUTED_VALUE"""),2)</f>
        <v>2</v>
      </c>
      <c r="G112" s="70">
        <f ca="1">IFERROR(__xludf.DUMMYFUNCTION("""COMPUTED_VALUE"""),43694)</f>
        <v>43694</v>
      </c>
      <c r="H112" s="70">
        <f ca="1">IFERROR(__xludf.DUMMYFUNCTION("""COMPUTED_VALUE"""),43695)</f>
        <v>43695</v>
      </c>
      <c r="I112" s="59" t="str">
        <f ca="1">IFERROR(__xludf.DUMMYFUNCTION("""COMPUTED_VALUE"""),"Kyrion technologies pvt.ltd")</f>
        <v>Kyrion technologies pvt.ltd</v>
      </c>
      <c r="J112" s="59" t="str">
        <f ca="1">IFERROR(__xludf.DUMMYFUNCTION("""COMPUTED_VALUE"""),"Sujata mehta")</f>
        <v>Sujata mehta</v>
      </c>
      <c r="K112" s="59" t="str">
        <f ca="1">IFERROR(__xludf.DUMMYFUNCTION("""COMPUTED_VALUE"""),"National")</f>
        <v>National</v>
      </c>
      <c r="L112" s="59" t="str">
        <f ca="1">IFERROR(__xludf.DUMMYFUNCTION("""COMPUTED_VALUE"""),"Paid")</f>
        <v>Paid</v>
      </c>
      <c r="M112" s="59">
        <f ca="1">IFERROR(__xludf.DUMMYFUNCTION("""COMPUTED_VALUE"""),1250)</f>
        <v>1250</v>
      </c>
      <c r="N112" s="71" t="str">
        <f ca="1">IFERROR(__xludf.DUMMYFUNCTION("""COMPUTED_VALUE"""),"https://drive.google.com/open?id=1KXxLf3kmQ7XkswAbYhV3eiJBIuHbXixm")</f>
        <v>https://drive.google.com/open?id=1KXxLf3kmQ7XkswAbYhV3eiJBIuHbXixm</v>
      </c>
      <c r="O112" s="59" t="str">
        <f ca="1">IFERROR(__xludf.DUMMYFUNCTION("""COMPUTED_VALUE"""),"2018-2022")</f>
        <v>2018-2022</v>
      </c>
      <c r="P112" s="59" t="str">
        <f ca="1">IFERROR(__xludf.DUMMYFUNCTION("""COMPUTED_VALUE"""),"S5: Student Workshops/Conf attended")</f>
        <v>S5: Student Workshops/Conf attended</v>
      </c>
      <c r="Q112" s="59" t="str">
        <f ca="1">IFERROR(__xludf.DUMMYFUNCTION("""COMPUTED_VALUE"""),"pavithramopada2001@gmail.com")</f>
        <v>pavithramopada2001@gmail.com</v>
      </c>
      <c r="R112" s="59" t="str">
        <f ca="1">IFERROR(__xludf.DUMMYFUNCTION("""COMPUTED_VALUE"""),"SEM-3")</f>
        <v>SEM-3</v>
      </c>
      <c r="S112" s="9"/>
      <c r="T112" s="9"/>
      <c r="U112" s="9"/>
      <c r="V112" s="9"/>
      <c r="W112" s="9"/>
      <c r="X112" s="9"/>
      <c r="Y112" s="9"/>
    </row>
    <row r="113" spans="1:25" ht="26.25" customHeight="1" x14ac:dyDescent="0.15">
      <c r="A113" s="59" t="str">
        <f ca="1">IFERROR(__xludf.DUMMYFUNCTION("""COMPUTED_VALUE"""),"Nanubala Jaswanth Kumar ")</f>
        <v xml:space="preserve">Nanubala Jaswanth Kumar </v>
      </c>
      <c r="B113" s="59" t="str">
        <f ca="1">IFERROR(__xludf.DUMMYFUNCTION("""COMPUTED_VALUE"""),"18331A05B0")</f>
        <v>18331A05B0</v>
      </c>
      <c r="C113" s="59" t="str">
        <f ca="1">IFERROR(__xludf.DUMMYFUNCTION("""COMPUTED_VALUE"""),"2021-2022")</f>
        <v>2021-2022</v>
      </c>
      <c r="D113" s="59" t="str">
        <f ca="1">IFERROR(__xludf.DUMMYFUNCTION("""COMPUTED_VALUE"""),"Webinar")</f>
        <v>Webinar</v>
      </c>
      <c r="E113" s="59" t="str">
        <f ca="1">IFERROR(__xludf.DUMMYFUNCTION("""COMPUTED_VALUE"""),"National intellectual property awareness mission ")</f>
        <v xml:space="preserve">National intellectual property awareness mission </v>
      </c>
      <c r="F113" s="59">
        <f ca="1">IFERROR(__xludf.DUMMYFUNCTION("""COMPUTED_VALUE"""),1)</f>
        <v>1</v>
      </c>
      <c r="G113" s="70">
        <f ca="1">IFERROR(__xludf.DUMMYFUNCTION("""COMPUTED_VALUE"""),44567)</f>
        <v>44567</v>
      </c>
      <c r="H113" s="70">
        <f ca="1">IFERROR(__xludf.DUMMYFUNCTION("""COMPUTED_VALUE"""),44567)</f>
        <v>44567</v>
      </c>
      <c r="I113" s="59" t="str">
        <f ca="1">IFERROR(__xludf.DUMMYFUNCTION("""COMPUTED_VALUE"""),"National property officer")</f>
        <v>National property officer</v>
      </c>
      <c r="J113" s="59" t="str">
        <f ca="1">IFERROR(__xludf.DUMMYFUNCTION("""COMPUTED_VALUE"""),"CGPDTM")</f>
        <v>CGPDTM</v>
      </c>
      <c r="K113" s="59" t="str">
        <f ca="1">IFERROR(__xludf.DUMMYFUNCTION("""COMPUTED_VALUE"""),"National")</f>
        <v>National</v>
      </c>
      <c r="L113" s="59" t="str">
        <f ca="1">IFERROR(__xludf.DUMMYFUNCTION("""COMPUTED_VALUE"""),"Free")</f>
        <v>Free</v>
      </c>
      <c r="M113" s="59"/>
      <c r="N113" s="71" t="str">
        <f ca="1">IFERROR(__xludf.DUMMYFUNCTION("""COMPUTED_VALUE"""),"https://drive.google.com/open?id=1MDrSYOioEUHeQwB-6smO-gSyxJqD4CJI")</f>
        <v>https://drive.google.com/open?id=1MDrSYOioEUHeQwB-6smO-gSyxJqD4CJI</v>
      </c>
      <c r="O113" s="59" t="str">
        <f ca="1">IFERROR(__xludf.DUMMYFUNCTION("""COMPUTED_VALUE"""),"2018-2022")</f>
        <v>2018-2022</v>
      </c>
      <c r="P113" s="59" t="str">
        <f ca="1">IFERROR(__xludf.DUMMYFUNCTION("""COMPUTED_VALUE"""),"S5: Student Workshops/Conf attended")</f>
        <v>S5: Student Workshops/Conf attended</v>
      </c>
      <c r="Q113" s="59" t="str">
        <f ca="1">IFERROR(__xludf.DUMMYFUNCTION("""COMPUTED_VALUE"""),"jaswanthsaisubhkar@gmail.com")</f>
        <v>jaswanthsaisubhkar@gmail.com</v>
      </c>
      <c r="R113" s="59" t="str">
        <f ca="1">IFERROR(__xludf.DUMMYFUNCTION("""COMPUTED_VALUE"""),"SEM-7")</f>
        <v>SEM-7</v>
      </c>
      <c r="S113" s="9"/>
      <c r="T113" s="9"/>
      <c r="U113" s="9"/>
      <c r="V113" s="9"/>
      <c r="W113" s="9"/>
      <c r="X113" s="9"/>
      <c r="Y113" s="9"/>
    </row>
    <row r="114" spans="1:25" ht="26.25" customHeight="1" x14ac:dyDescent="0.15">
      <c r="A114" s="59" t="str">
        <f ca="1">IFERROR(__xludf.DUMMYFUNCTION("""COMPUTED_VALUE"""),"Mopada Pavithra")</f>
        <v>Mopada Pavithra</v>
      </c>
      <c r="B114" s="59" t="str">
        <f ca="1">IFERROR(__xludf.DUMMYFUNCTION("""COMPUTED_VALUE"""),"18331A0599")</f>
        <v>18331A0599</v>
      </c>
      <c r="C114" s="59" t="str">
        <f ca="1">IFERROR(__xludf.DUMMYFUNCTION("""COMPUTED_VALUE"""),"2021-2022")</f>
        <v>2021-2022</v>
      </c>
      <c r="D114" s="59" t="str">
        <f ca="1">IFERROR(__xludf.DUMMYFUNCTION("""COMPUTED_VALUE"""),"Webinar")</f>
        <v>Webinar</v>
      </c>
      <c r="E114" s="59" t="str">
        <f ca="1">IFERROR(__xludf.DUMMYFUNCTION("""COMPUTED_VALUE"""),"IP Awareness/Training program")</f>
        <v>IP Awareness/Training program</v>
      </c>
      <c r="F114" s="59">
        <f ca="1">IFERROR(__xludf.DUMMYFUNCTION("""COMPUTED_VALUE"""),1)</f>
        <v>1</v>
      </c>
      <c r="G114" s="70">
        <f ca="1">IFERROR(__xludf.DUMMYFUNCTION("""COMPUTED_VALUE"""),44567)</f>
        <v>44567</v>
      </c>
      <c r="H114" s="70">
        <f ca="1">IFERROR(__xludf.DUMMYFUNCTION("""COMPUTED_VALUE"""),44567)</f>
        <v>44567</v>
      </c>
      <c r="I114" s="59" t="str">
        <f ca="1">IFERROR(__xludf.DUMMYFUNCTION("""COMPUTED_VALUE"""),"Intellectual property office,india")</f>
        <v>Intellectual property office,india</v>
      </c>
      <c r="J114" s="59" t="str">
        <f ca="1">IFERROR(__xludf.DUMMYFUNCTION("""COMPUTED_VALUE"""),"Dr.ch.kalyan chakravarti")</f>
        <v>Dr.ch.kalyan chakravarti</v>
      </c>
      <c r="K114" s="59" t="str">
        <f ca="1">IFERROR(__xludf.DUMMYFUNCTION("""COMPUTED_VALUE"""),"National")</f>
        <v>National</v>
      </c>
      <c r="L114" s="59" t="str">
        <f ca="1">IFERROR(__xludf.DUMMYFUNCTION("""COMPUTED_VALUE"""),"Free")</f>
        <v>Free</v>
      </c>
      <c r="M114" s="59"/>
      <c r="N114" s="71" t="str">
        <f ca="1">IFERROR(__xludf.DUMMYFUNCTION("""COMPUTED_VALUE"""),"https://drive.google.com/open?id=1cD-nvUkKghHS_22NQ1cJ-jlCn5Gm2Flt")</f>
        <v>https://drive.google.com/open?id=1cD-nvUkKghHS_22NQ1cJ-jlCn5Gm2Flt</v>
      </c>
      <c r="O114" s="59" t="str">
        <f ca="1">IFERROR(__xludf.DUMMYFUNCTION("""COMPUTED_VALUE"""),"2018-2022")</f>
        <v>2018-2022</v>
      </c>
      <c r="P114" s="59" t="str">
        <f ca="1">IFERROR(__xludf.DUMMYFUNCTION("""COMPUTED_VALUE"""),"S5: Student Workshops/Conf attended")</f>
        <v>S5: Student Workshops/Conf attended</v>
      </c>
      <c r="Q114" s="59" t="str">
        <f ca="1">IFERROR(__xludf.DUMMYFUNCTION("""COMPUTED_VALUE"""),"pavithramopada2001@gmail.com")</f>
        <v>pavithramopada2001@gmail.com</v>
      </c>
      <c r="R114" s="59" t="str">
        <f ca="1">IFERROR(__xludf.DUMMYFUNCTION("""COMPUTED_VALUE"""),"SEM-7")</f>
        <v>SEM-7</v>
      </c>
      <c r="S114" s="9"/>
      <c r="T114" s="9"/>
      <c r="U114" s="9"/>
      <c r="V114" s="9"/>
      <c r="W114" s="9"/>
      <c r="X114" s="9"/>
      <c r="Y114" s="9"/>
    </row>
    <row r="115" spans="1:25" ht="26.25" customHeight="1" x14ac:dyDescent="0.15">
      <c r="A115" s="59" t="str">
        <f ca="1">IFERROR(__xludf.DUMMYFUNCTION("""COMPUTED_VALUE"""),"N.V. PAVAN KUMAR")</f>
        <v>N.V. PAVAN KUMAR</v>
      </c>
      <c r="B115" s="59" t="str">
        <f ca="1">IFERROR(__xludf.DUMMYFUNCTION("""COMPUTED_VALUE"""),"18331A05B1")</f>
        <v>18331A05B1</v>
      </c>
      <c r="C115" s="59" t="str">
        <f ca="1">IFERROR(__xludf.DUMMYFUNCTION("""COMPUTED_VALUE"""),"2021-2022")</f>
        <v>2021-2022</v>
      </c>
      <c r="D115" s="59" t="str">
        <f ca="1">IFERROR(__xludf.DUMMYFUNCTION("""COMPUTED_VALUE"""),"Webinar")</f>
        <v>Webinar</v>
      </c>
      <c r="E115" s="59" t="str">
        <f ca="1">IFERROR(__xludf.DUMMYFUNCTION("""COMPUTED_VALUE"""),"IP AWARENESS/TRAINING PROPERTY UNDER")</f>
        <v>IP AWARENESS/TRAINING PROPERTY UNDER</v>
      </c>
      <c r="F115" s="59">
        <f ca="1">IFERROR(__xludf.DUMMYFUNCTION("""COMPUTED_VALUE"""),1)</f>
        <v>1</v>
      </c>
      <c r="G115" s="70">
        <f ca="1">IFERROR(__xludf.DUMMYFUNCTION("""COMPUTED_VALUE"""),44567)</f>
        <v>44567</v>
      </c>
      <c r="H115" s="70">
        <f ca="1">IFERROR(__xludf.DUMMYFUNCTION("""COMPUTED_VALUE"""),44567)</f>
        <v>44567</v>
      </c>
      <c r="I115" s="59" t="str">
        <f ca="1">IFERROR(__xludf.DUMMYFUNCTION("""COMPUTED_VALUE"""),"INTELLECTUAL PROPERTY OFFICE,INDIA")</f>
        <v>INTELLECTUAL PROPERTY OFFICE,INDIA</v>
      </c>
      <c r="J115" s="59" t="str">
        <f ca="1">IFERROR(__xludf.DUMMYFUNCTION("""COMPUTED_VALUE"""),"DR.CH.KALYAN CHAKRAVARTHY")</f>
        <v>DR.CH.KALYAN CHAKRAVARTHY</v>
      </c>
      <c r="K115" s="59" t="str">
        <f ca="1">IFERROR(__xludf.DUMMYFUNCTION("""COMPUTED_VALUE"""),"National")</f>
        <v>National</v>
      </c>
      <c r="L115" s="59" t="str">
        <f ca="1">IFERROR(__xludf.DUMMYFUNCTION("""COMPUTED_VALUE"""),"Free")</f>
        <v>Free</v>
      </c>
      <c r="M115" s="59"/>
      <c r="N115" s="71" t="str">
        <f ca="1">IFERROR(__xludf.DUMMYFUNCTION("""COMPUTED_VALUE"""),"https://drive.google.com/open?id=1P39TxcaJYNVH5sxUyMPon24uWCHmo6Qe")</f>
        <v>https://drive.google.com/open?id=1P39TxcaJYNVH5sxUyMPon24uWCHmo6Qe</v>
      </c>
      <c r="O115" s="59" t="str">
        <f ca="1">IFERROR(__xludf.DUMMYFUNCTION("""COMPUTED_VALUE"""),"2018-2022")</f>
        <v>2018-2022</v>
      </c>
      <c r="P115" s="59" t="str">
        <f ca="1">IFERROR(__xludf.DUMMYFUNCTION("""COMPUTED_VALUE"""),"S5: Student Workshops/Conf attended")</f>
        <v>S5: Student Workshops/Conf attended</v>
      </c>
      <c r="Q115" s="59" t="str">
        <f ca="1">IFERROR(__xludf.DUMMYFUNCTION("""COMPUTED_VALUE"""),"narlaveerapavankumar@gmail.com")</f>
        <v>narlaveerapavankumar@gmail.com</v>
      </c>
      <c r="R115" s="59" t="str">
        <f ca="1">IFERROR(__xludf.DUMMYFUNCTION("""COMPUTED_VALUE"""),"SEM-7")</f>
        <v>SEM-7</v>
      </c>
      <c r="S115" s="9"/>
      <c r="T115" s="9"/>
      <c r="U115" s="9"/>
      <c r="V115" s="9"/>
      <c r="W115" s="9"/>
      <c r="X115" s="9"/>
      <c r="Y115" s="9"/>
    </row>
    <row r="116" spans="1:25" ht="26.25" customHeight="1" x14ac:dyDescent="0.15">
      <c r="A116" s="59" t="str">
        <f ca="1">IFERROR(__xludf.DUMMYFUNCTION("""COMPUTED_VALUE"""),"Varsha mamidipaka")</f>
        <v>Varsha mamidipaka</v>
      </c>
      <c r="B116" s="59" t="str">
        <f ca="1">IFERROR(__xludf.DUMMYFUNCTION("""COMPUTED_VALUE"""),"18331A0592")</f>
        <v>18331A0592</v>
      </c>
      <c r="C116" s="59" t="str">
        <f ca="1">IFERROR(__xludf.DUMMYFUNCTION("""COMPUTED_VALUE"""),"2021-2022")</f>
        <v>2021-2022</v>
      </c>
      <c r="D116" s="59" t="str">
        <f ca="1">IFERROR(__xludf.DUMMYFUNCTION("""COMPUTED_VALUE"""),"Webinar")</f>
        <v>Webinar</v>
      </c>
      <c r="E116" s="59" t="str">
        <f ca="1">IFERROR(__xludf.DUMMYFUNCTION("""COMPUTED_VALUE"""),"IP awarness/training program")</f>
        <v>IP awarness/training program</v>
      </c>
      <c r="F116" s="59">
        <f ca="1">IFERROR(__xludf.DUMMYFUNCTION("""COMPUTED_VALUE"""),1)</f>
        <v>1</v>
      </c>
      <c r="G116" s="70">
        <f ca="1">IFERROR(__xludf.DUMMYFUNCTION("""COMPUTED_VALUE"""),44567)</f>
        <v>44567</v>
      </c>
      <c r="H116" s="70">
        <f ca="1">IFERROR(__xludf.DUMMYFUNCTION("""COMPUTED_VALUE"""),44567)</f>
        <v>44567</v>
      </c>
      <c r="I116" s="59" t="str">
        <f ca="1">IFERROR(__xludf.DUMMYFUNCTION("""COMPUTED_VALUE"""),"Intellrctual property office")</f>
        <v>Intellrctual property office</v>
      </c>
      <c r="J116" s="59" t="str">
        <f ca="1">IFERROR(__xludf.DUMMYFUNCTION("""COMPUTED_VALUE"""),"Dr. kalyan chakravarthy")</f>
        <v>Dr. kalyan chakravarthy</v>
      </c>
      <c r="K116" s="59" t="str">
        <f ca="1">IFERROR(__xludf.DUMMYFUNCTION("""COMPUTED_VALUE"""),"National")</f>
        <v>National</v>
      </c>
      <c r="L116" s="59" t="str">
        <f ca="1">IFERROR(__xludf.DUMMYFUNCTION("""COMPUTED_VALUE"""),"Free")</f>
        <v>Free</v>
      </c>
      <c r="M116" s="59">
        <f ca="1">IFERROR(__xludf.DUMMYFUNCTION("""COMPUTED_VALUE"""),0)</f>
        <v>0</v>
      </c>
      <c r="N116" s="71" t="str">
        <f ca="1">IFERROR(__xludf.DUMMYFUNCTION("""COMPUTED_VALUE"""),"https://drive.google.com/open?id=1CXij0NCjjlHixbFN2sf5gEXDE3wvUNSd")</f>
        <v>https://drive.google.com/open?id=1CXij0NCjjlHixbFN2sf5gEXDE3wvUNSd</v>
      </c>
      <c r="O116" s="59" t="str">
        <f ca="1">IFERROR(__xludf.DUMMYFUNCTION("""COMPUTED_VALUE"""),"2018-2022")</f>
        <v>2018-2022</v>
      </c>
      <c r="P116" s="59" t="str">
        <f ca="1">IFERROR(__xludf.DUMMYFUNCTION("""COMPUTED_VALUE"""),"S5: Student Workshops/Conf attended")</f>
        <v>S5: Student Workshops/Conf attended</v>
      </c>
      <c r="Q116" s="59" t="str">
        <f ca="1">IFERROR(__xludf.DUMMYFUNCTION("""COMPUTED_VALUE"""),"bhuvanavarsha7701@gmail.com")</f>
        <v>bhuvanavarsha7701@gmail.com</v>
      </c>
      <c r="R116" s="59" t="str">
        <f ca="1">IFERROR(__xludf.DUMMYFUNCTION("""COMPUTED_VALUE"""),"SEM-7")</f>
        <v>SEM-7</v>
      </c>
      <c r="S116" s="9"/>
      <c r="T116" s="9"/>
      <c r="U116" s="9"/>
      <c r="V116" s="9"/>
      <c r="W116" s="9"/>
      <c r="X116" s="9"/>
      <c r="Y116" s="9"/>
    </row>
    <row r="117" spans="1:25" ht="26.25" customHeight="1" x14ac:dyDescent="0.15">
      <c r="A117" s="59" t="str">
        <f ca="1">IFERROR(__xludf.DUMMYFUNCTION("""COMPUTED_VALUE"""),"Nandella Pranavi Prathyusha")</f>
        <v>Nandella Pranavi Prathyusha</v>
      </c>
      <c r="B117" s="59" t="str">
        <f ca="1">IFERROR(__xludf.DUMMYFUNCTION("""COMPUTED_VALUE"""),"18331A05A8")</f>
        <v>18331A05A8</v>
      </c>
      <c r="C117" s="59" t="str">
        <f ca="1">IFERROR(__xludf.DUMMYFUNCTION("""COMPUTED_VALUE"""),"2021-2022")</f>
        <v>2021-2022</v>
      </c>
      <c r="D117" s="59" t="str">
        <f ca="1">IFERROR(__xludf.DUMMYFUNCTION("""COMPUTED_VALUE"""),"Webinar")</f>
        <v>Webinar</v>
      </c>
      <c r="E117" s="59" t="str">
        <f ca="1">IFERROR(__xludf.DUMMYFUNCTION("""COMPUTED_VALUE"""),"IP awareness/Training program")</f>
        <v>IP awareness/Training program</v>
      </c>
      <c r="F117" s="59">
        <f ca="1">IFERROR(__xludf.DUMMYFUNCTION("""COMPUTED_VALUE"""),1)</f>
        <v>1</v>
      </c>
      <c r="G117" s="70">
        <f ca="1">IFERROR(__xludf.DUMMYFUNCTION("""COMPUTED_VALUE"""),44567)</f>
        <v>44567</v>
      </c>
      <c r="H117" s="70">
        <f ca="1">IFERROR(__xludf.DUMMYFUNCTION("""COMPUTED_VALUE"""),44567)</f>
        <v>44567</v>
      </c>
      <c r="I117" s="59" t="str">
        <f ca="1">IFERROR(__xludf.DUMMYFUNCTION("""COMPUTED_VALUE"""),"Intellectual Property Office, India")</f>
        <v>Intellectual Property Office, India</v>
      </c>
      <c r="J117" s="59" t="str">
        <f ca="1">IFERROR(__xludf.DUMMYFUNCTION("""COMPUTED_VALUE"""),"C Kalyan chakravarthy")</f>
        <v>C Kalyan chakravarthy</v>
      </c>
      <c r="K117" s="59" t="str">
        <f ca="1">IFERROR(__xludf.DUMMYFUNCTION("""COMPUTED_VALUE"""),"National")</f>
        <v>National</v>
      </c>
      <c r="L117" s="59" t="str">
        <f ca="1">IFERROR(__xludf.DUMMYFUNCTION("""COMPUTED_VALUE"""),"Free")</f>
        <v>Free</v>
      </c>
      <c r="M117" s="59"/>
      <c r="N117" s="71" t="str">
        <f ca="1">IFERROR(__xludf.DUMMYFUNCTION("""COMPUTED_VALUE"""),"https://drive.google.com/open?id=1pUeLcOiE1mkVTh4yivLyyXGlkX3NswyC")</f>
        <v>https://drive.google.com/open?id=1pUeLcOiE1mkVTh4yivLyyXGlkX3NswyC</v>
      </c>
      <c r="O117" s="59" t="str">
        <f ca="1">IFERROR(__xludf.DUMMYFUNCTION("""COMPUTED_VALUE"""),"2018-2022")</f>
        <v>2018-2022</v>
      </c>
      <c r="P117" s="59" t="str">
        <f ca="1">IFERROR(__xludf.DUMMYFUNCTION("""COMPUTED_VALUE"""),"S5: Student Workshops/Conf attended")</f>
        <v>S5: Student Workshops/Conf attended</v>
      </c>
      <c r="Q117" s="59" t="str">
        <f ca="1">IFERROR(__xludf.DUMMYFUNCTION("""COMPUTED_VALUE"""),"pranaviprathyusha1@gmail.com")</f>
        <v>pranaviprathyusha1@gmail.com</v>
      </c>
      <c r="R117" s="59" t="str">
        <f ca="1">IFERROR(__xludf.DUMMYFUNCTION("""COMPUTED_VALUE"""),"SEM-7")</f>
        <v>SEM-7</v>
      </c>
      <c r="S117" s="9"/>
      <c r="T117" s="9"/>
      <c r="U117" s="9"/>
      <c r="V117" s="9"/>
      <c r="W117" s="9"/>
      <c r="X117" s="9"/>
      <c r="Y117" s="9"/>
    </row>
    <row r="118" spans="1:25" ht="26.25" customHeight="1" x14ac:dyDescent="0.15">
      <c r="A118" s="9" t="str">
        <f ca="1">IFERROR(__xludf.DUMMYFUNCTION("""COMPUTED_VALUE"""),"Sai Gayathri Latchipatula")</f>
        <v>Sai Gayathri Latchipatula</v>
      </c>
      <c r="B118" s="9" t="str">
        <f ca="1">IFERROR(__xludf.DUMMYFUNCTION("""COMPUTED_VALUE"""),"18331A0587")</f>
        <v>18331A0587</v>
      </c>
      <c r="C118" s="9" t="str">
        <f ca="1">IFERROR(__xludf.DUMMYFUNCTION("""COMPUTED_VALUE"""),"2019-2020")</f>
        <v>2019-2020</v>
      </c>
      <c r="D118" s="9" t="str">
        <f ca="1">IFERROR(__xludf.DUMMYFUNCTION("""COMPUTED_VALUE"""),"Workshop")</f>
        <v>Workshop</v>
      </c>
      <c r="E118" s="9" t="str">
        <f ca="1">IFERROR(__xludf.DUMMYFUNCTION("""COMPUTED_VALUE"""),"Android application development")</f>
        <v>Android application development</v>
      </c>
      <c r="F118" s="9">
        <f ca="1">IFERROR(__xludf.DUMMYFUNCTION("""COMPUTED_VALUE"""),17)</f>
        <v>17</v>
      </c>
      <c r="G118" s="72">
        <f ca="1">IFERROR(__xludf.DUMMYFUNCTION("""COMPUTED_VALUE"""),44025)</f>
        <v>44025</v>
      </c>
      <c r="H118" s="72">
        <f ca="1">IFERROR(__xludf.DUMMYFUNCTION("""COMPUTED_VALUE"""),44044)</f>
        <v>44044</v>
      </c>
      <c r="I118" s="9" t="str">
        <f ca="1">IFERROR(__xludf.DUMMYFUNCTION("""COMPUTED_VALUE"""),"Apssdc")</f>
        <v>Apssdc</v>
      </c>
      <c r="J118" s="9" t="str">
        <f ca="1">IFERROR(__xludf.DUMMYFUNCTION("""COMPUTED_VALUE"""),"Nageswar Rao")</f>
        <v>Nageswar Rao</v>
      </c>
      <c r="K118" s="9" t="str">
        <f ca="1">IFERROR(__xludf.DUMMYFUNCTION("""COMPUTED_VALUE"""),"State")</f>
        <v>State</v>
      </c>
      <c r="L118" s="9" t="str">
        <f ca="1">IFERROR(__xludf.DUMMYFUNCTION("""COMPUTED_VALUE"""),"Free")</f>
        <v>Free</v>
      </c>
      <c r="M118" s="9"/>
      <c r="N118" s="73" t="str">
        <f ca="1">IFERROR(__xludf.DUMMYFUNCTION("""COMPUTED_VALUE"""),"https://drive.google.com/open?id=1ELPYEE3rpdtKRQRpwVSO-bZmIYuc3FF8")</f>
        <v>https://drive.google.com/open?id=1ELPYEE3rpdtKRQRpwVSO-bZmIYuc3FF8</v>
      </c>
      <c r="O118" s="9" t="str">
        <f ca="1">IFERROR(__xludf.DUMMYFUNCTION("""COMPUTED_VALUE"""),"2018-2022")</f>
        <v>2018-2022</v>
      </c>
      <c r="P118" s="9" t="str">
        <f ca="1">IFERROR(__xludf.DUMMYFUNCTION("""COMPUTED_VALUE"""),"S5: Student Workshops/Conf attended")</f>
        <v>S5: Student Workshops/Conf attended</v>
      </c>
      <c r="Q118" s="9" t="str">
        <f ca="1">IFERROR(__xludf.DUMMYFUNCTION("""COMPUTED_VALUE"""),"latchipatulasaigayathri@gmail.com")</f>
        <v>latchipatulasaigayathri@gmail.com</v>
      </c>
      <c r="R118" s="9" t="str">
        <f ca="1">IFERROR(__xludf.DUMMYFUNCTION("""COMPUTED_VALUE"""),"SEM-8")</f>
        <v>SEM-8</v>
      </c>
      <c r="S118" s="9"/>
      <c r="T118" s="9"/>
      <c r="U118" s="9"/>
      <c r="V118" s="9"/>
      <c r="W118" s="9"/>
      <c r="X118" s="9"/>
      <c r="Y118" s="9"/>
    </row>
    <row r="119" spans="1:25" ht="26.25" customHeight="1" x14ac:dyDescent="0.15">
      <c r="A119" s="9" t="str">
        <f ca="1">IFERROR(__xludf.DUMMYFUNCTION("""COMPUTED_VALUE"""),"Sai Gayathri Latchipatula")</f>
        <v>Sai Gayathri Latchipatula</v>
      </c>
      <c r="B119" s="9" t="str">
        <f ca="1">IFERROR(__xludf.DUMMYFUNCTION("""COMPUTED_VALUE"""),"18331A0587")</f>
        <v>18331A0587</v>
      </c>
      <c r="C119" s="9" t="str">
        <f ca="1">IFERROR(__xludf.DUMMYFUNCTION("""COMPUTED_VALUE"""),"2020-2021")</f>
        <v>2020-2021</v>
      </c>
      <c r="D119" s="9" t="str">
        <f ca="1">IFERROR(__xludf.DUMMYFUNCTION("""COMPUTED_VALUE"""),"Workshop")</f>
        <v>Workshop</v>
      </c>
      <c r="E119" s="9" t="str">
        <f ca="1">IFERROR(__xludf.DUMMYFUNCTION("""COMPUTED_VALUE"""),"Advancded Android Application development")</f>
        <v>Advancded Android Application development</v>
      </c>
      <c r="F119" s="9">
        <f ca="1">IFERROR(__xludf.DUMMYFUNCTION("""COMPUTED_VALUE"""),15)</f>
        <v>15</v>
      </c>
      <c r="G119" s="72">
        <f ca="1">IFERROR(__xludf.DUMMYFUNCTION("""COMPUTED_VALUE"""),44067)</f>
        <v>44067</v>
      </c>
      <c r="H119" s="72">
        <f ca="1">IFERROR(__xludf.DUMMYFUNCTION("""COMPUTED_VALUE"""),44079)</f>
        <v>44079</v>
      </c>
      <c r="I119" s="9" t="str">
        <f ca="1">IFERROR(__xludf.DUMMYFUNCTION("""COMPUTED_VALUE"""),"Appsdc ")</f>
        <v xml:space="preserve">Appsdc </v>
      </c>
      <c r="J119" s="9" t="str">
        <f ca="1">IFERROR(__xludf.DUMMYFUNCTION("""COMPUTED_VALUE"""),"nageswara rao")</f>
        <v>nageswara rao</v>
      </c>
      <c r="K119" s="9" t="str">
        <f ca="1">IFERROR(__xludf.DUMMYFUNCTION("""COMPUTED_VALUE"""),"State")</f>
        <v>State</v>
      </c>
      <c r="L119" s="9" t="str">
        <f ca="1">IFERROR(__xludf.DUMMYFUNCTION("""COMPUTED_VALUE"""),"Free")</f>
        <v>Free</v>
      </c>
      <c r="M119" s="9"/>
      <c r="N119" s="73" t="str">
        <f ca="1">IFERROR(__xludf.DUMMYFUNCTION("""COMPUTED_VALUE"""),"https://drive.google.com/open?id=1CHLGWB1XlhaqLC5Og-QimOht_H5MHELK")</f>
        <v>https://drive.google.com/open?id=1CHLGWB1XlhaqLC5Og-QimOht_H5MHELK</v>
      </c>
      <c r="O119" s="9" t="str">
        <f ca="1">IFERROR(__xludf.DUMMYFUNCTION("""COMPUTED_VALUE"""),"2018-2022")</f>
        <v>2018-2022</v>
      </c>
      <c r="P119" s="9" t="str">
        <f ca="1">IFERROR(__xludf.DUMMYFUNCTION("""COMPUTED_VALUE"""),"S5: Student Workshops/Conf attended")</f>
        <v>S5: Student Workshops/Conf attended</v>
      </c>
      <c r="Q119" s="9" t="str">
        <f ca="1">IFERROR(__xludf.DUMMYFUNCTION("""COMPUTED_VALUE"""),"latchipatulasaigayathri@gmail.com")</f>
        <v>latchipatulasaigayathri@gmail.com</v>
      </c>
      <c r="R119" s="9" t="str">
        <f ca="1">IFERROR(__xludf.DUMMYFUNCTION("""COMPUTED_VALUE"""),"SEM-8")</f>
        <v>SEM-8</v>
      </c>
      <c r="S119" s="9"/>
      <c r="T119" s="9"/>
      <c r="U119" s="9"/>
      <c r="V119" s="9"/>
      <c r="W119" s="9"/>
      <c r="X119" s="9"/>
      <c r="Y119" s="9"/>
    </row>
    <row r="120" spans="1:25" ht="26.25" customHeight="1" x14ac:dyDescent="0.1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</row>
    <row r="121" spans="1:25" ht="26.25" customHeight="1" x14ac:dyDescent="0.1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</row>
    <row r="122" spans="1:25" ht="26.25" customHeight="1" x14ac:dyDescent="0.1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</row>
    <row r="123" spans="1:25" ht="26.25" customHeight="1" x14ac:dyDescent="0.1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</row>
    <row r="124" spans="1:25" ht="26.25" customHeight="1" x14ac:dyDescent="0.1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</row>
    <row r="125" spans="1:25" ht="26.25" customHeight="1" x14ac:dyDescent="0.1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</row>
    <row r="126" spans="1:25" ht="26.25" customHeight="1" x14ac:dyDescent="0.1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</row>
    <row r="127" spans="1:25" ht="26.25" customHeight="1" x14ac:dyDescent="0.1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</row>
    <row r="128" spans="1:25" ht="26.25" customHeight="1" x14ac:dyDescent="0.1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</row>
    <row r="129" spans="1:25" ht="26.25" customHeight="1" x14ac:dyDescent="0.1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</row>
    <row r="130" spans="1:25" ht="26.25" customHeight="1" x14ac:dyDescent="0.1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</row>
    <row r="131" spans="1:25" ht="26.25" customHeight="1" x14ac:dyDescent="0.1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</row>
    <row r="132" spans="1:25" ht="26.25" customHeight="1" x14ac:dyDescent="0.1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</row>
    <row r="133" spans="1:25" ht="26.25" customHeight="1" x14ac:dyDescent="0.1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</row>
    <row r="134" spans="1:25" ht="26.25" customHeight="1" x14ac:dyDescent="0.1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</row>
    <row r="135" spans="1:25" ht="26.25" customHeight="1" x14ac:dyDescent="0.1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</row>
    <row r="136" spans="1:25" ht="26.25" customHeight="1" x14ac:dyDescent="0.1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</row>
    <row r="137" spans="1:25" ht="26.25" customHeight="1" x14ac:dyDescent="0.1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</row>
    <row r="138" spans="1:25" ht="26.25" customHeight="1" x14ac:dyDescent="0.1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</row>
    <row r="139" spans="1:25" ht="26.25" customHeight="1" x14ac:dyDescent="0.1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</row>
    <row r="140" spans="1:25" ht="26.25" customHeight="1" x14ac:dyDescent="0.1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</row>
    <row r="141" spans="1:25" ht="26.25" customHeight="1" x14ac:dyDescent="0.1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</row>
    <row r="142" spans="1:25" ht="26.25" customHeight="1" x14ac:dyDescent="0.1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</row>
    <row r="143" spans="1:25" ht="26.25" customHeight="1" x14ac:dyDescent="0.1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</row>
    <row r="144" spans="1:25" ht="26.25" customHeight="1" x14ac:dyDescent="0.1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</row>
    <row r="145" spans="1:25" ht="26.25" customHeight="1" x14ac:dyDescent="0.1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</row>
    <row r="146" spans="1:25" ht="26.25" customHeight="1" x14ac:dyDescent="0.1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</row>
    <row r="147" spans="1:25" ht="26.25" customHeight="1" x14ac:dyDescent="0.1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</row>
    <row r="148" spans="1:25" ht="26.25" customHeight="1" x14ac:dyDescent="0.1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</row>
    <row r="149" spans="1:25" ht="26.25" customHeight="1" x14ac:dyDescent="0.1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</row>
    <row r="150" spans="1:25" ht="26.25" customHeight="1" x14ac:dyDescent="0.1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</row>
    <row r="151" spans="1:25" ht="26.25" customHeight="1" x14ac:dyDescent="0.1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</row>
    <row r="152" spans="1:25" ht="26.25" customHeight="1" x14ac:dyDescent="0.1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</row>
    <row r="153" spans="1:25" ht="26.25" customHeight="1" x14ac:dyDescent="0.1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</row>
    <row r="154" spans="1:25" ht="26.25" customHeight="1" x14ac:dyDescent="0.1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</row>
    <row r="155" spans="1:25" ht="26.25" customHeight="1" x14ac:dyDescent="0.1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</row>
    <row r="156" spans="1:25" ht="26.25" customHeight="1" x14ac:dyDescent="0.1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</row>
    <row r="157" spans="1:25" ht="26.25" customHeight="1" x14ac:dyDescent="0.1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</row>
    <row r="158" spans="1:25" ht="26.25" customHeight="1" x14ac:dyDescent="0.1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</row>
    <row r="159" spans="1:25" ht="26.25" customHeight="1" x14ac:dyDescent="0.1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</row>
    <row r="160" spans="1:25" ht="26.25" customHeight="1" x14ac:dyDescent="0.1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</row>
    <row r="161" spans="1:25" ht="26.25" customHeight="1" x14ac:dyDescent="0.1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</row>
    <row r="162" spans="1:25" ht="26.25" customHeight="1" x14ac:dyDescent="0.1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</row>
    <row r="163" spans="1:25" ht="26.25" customHeight="1" x14ac:dyDescent="0.1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</row>
    <row r="164" spans="1:25" ht="26.25" customHeight="1" x14ac:dyDescent="0.1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</row>
    <row r="165" spans="1:25" ht="26.25" customHeight="1" x14ac:dyDescent="0.1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</row>
    <row r="166" spans="1:25" ht="26.25" customHeight="1" x14ac:dyDescent="0.1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</row>
    <row r="167" spans="1:25" ht="26.25" customHeight="1" x14ac:dyDescent="0.1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</row>
    <row r="168" spans="1:25" ht="26.25" customHeight="1" x14ac:dyDescent="0.1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</row>
    <row r="169" spans="1:25" ht="26.25" customHeight="1" x14ac:dyDescent="0.1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</row>
    <row r="170" spans="1:25" ht="26.25" customHeight="1" x14ac:dyDescent="0.1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</row>
    <row r="171" spans="1:25" ht="26.25" customHeight="1" x14ac:dyDescent="0.1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</row>
    <row r="172" spans="1:25" ht="26.25" customHeight="1" x14ac:dyDescent="0.1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</row>
    <row r="173" spans="1:25" ht="26.25" customHeight="1" x14ac:dyDescent="0.1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</row>
    <row r="174" spans="1:25" ht="26.25" customHeight="1" x14ac:dyDescent="0.1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</row>
    <row r="175" spans="1:25" ht="26.25" customHeight="1" x14ac:dyDescent="0.1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</row>
    <row r="176" spans="1:25" ht="26.25" customHeight="1" x14ac:dyDescent="0.1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</row>
    <row r="177" spans="1:25" ht="26.25" customHeight="1" x14ac:dyDescent="0.1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</row>
    <row r="178" spans="1:25" ht="26.25" customHeight="1" x14ac:dyDescent="0.1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</row>
    <row r="179" spans="1:25" ht="26.25" customHeight="1" x14ac:dyDescent="0.1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</row>
    <row r="180" spans="1:25" ht="26.25" customHeight="1" x14ac:dyDescent="0.1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</row>
    <row r="181" spans="1:25" ht="26.25" customHeight="1" x14ac:dyDescent="0.1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</row>
    <row r="182" spans="1:25" ht="26.25" customHeight="1" x14ac:dyDescent="0.1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</row>
    <row r="183" spans="1:25" ht="26.25" customHeight="1" x14ac:dyDescent="0.1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</row>
    <row r="184" spans="1:25" ht="26.25" customHeight="1" x14ac:dyDescent="0.1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</row>
    <row r="185" spans="1:25" ht="26.25" customHeight="1" x14ac:dyDescent="0.1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</row>
    <row r="186" spans="1:25" ht="26.25" customHeight="1" x14ac:dyDescent="0.1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</row>
    <row r="187" spans="1:25" ht="26.25" customHeight="1" x14ac:dyDescent="0.1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</row>
    <row r="188" spans="1:25" ht="26.25" customHeight="1" x14ac:dyDescent="0.1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</row>
    <row r="189" spans="1:25" ht="26.25" customHeight="1" x14ac:dyDescent="0.1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</row>
    <row r="190" spans="1:25" ht="26.25" customHeight="1" x14ac:dyDescent="0.1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</row>
    <row r="191" spans="1:25" ht="26.25" customHeight="1" x14ac:dyDescent="0.1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</row>
    <row r="192" spans="1:25" ht="26.25" customHeight="1" x14ac:dyDescent="0.1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</row>
    <row r="193" spans="1:25" ht="26.25" customHeight="1" x14ac:dyDescent="0.1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</row>
    <row r="194" spans="1:25" ht="26.25" customHeight="1" x14ac:dyDescent="0.1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</row>
    <row r="195" spans="1:25" ht="26.25" customHeight="1" x14ac:dyDescent="0.1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</row>
    <row r="196" spans="1:25" ht="26.25" customHeight="1" x14ac:dyDescent="0.1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</row>
    <row r="197" spans="1:25" ht="26.25" customHeight="1" x14ac:dyDescent="0.1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</row>
    <row r="198" spans="1:25" ht="26.25" customHeight="1" x14ac:dyDescent="0.1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</row>
    <row r="199" spans="1:25" ht="26.25" customHeight="1" x14ac:dyDescent="0.1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</row>
    <row r="200" spans="1:25" ht="26.25" customHeight="1" x14ac:dyDescent="0.1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</row>
    <row r="201" spans="1:25" ht="26.25" customHeight="1" x14ac:dyDescent="0.1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</row>
    <row r="202" spans="1:25" ht="26.25" customHeight="1" x14ac:dyDescent="0.1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</row>
    <row r="203" spans="1:25" ht="26.25" customHeight="1" x14ac:dyDescent="0.1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</row>
    <row r="204" spans="1:25" ht="26.25" customHeight="1" x14ac:dyDescent="0.1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</row>
    <row r="205" spans="1:25" ht="26.25" customHeight="1" x14ac:dyDescent="0.1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</row>
    <row r="206" spans="1:25" ht="26.25" customHeight="1" x14ac:dyDescent="0.1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</row>
    <row r="207" spans="1:25" ht="26.25" customHeight="1" x14ac:dyDescent="0.1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</row>
    <row r="208" spans="1:25" ht="26.25" customHeight="1" x14ac:dyDescent="0.1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</row>
    <row r="209" spans="1:25" ht="26.25" customHeight="1" x14ac:dyDescent="0.1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</row>
    <row r="210" spans="1:25" ht="26.25" customHeight="1" x14ac:dyDescent="0.1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</row>
    <row r="211" spans="1:25" ht="26.25" customHeight="1" x14ac:dyDescent="0.1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</row>
    <row r="212" spans="1:25" ht="26.25" customHeight="1" x14ac:dyDescent="0.1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</row>
    <row r="213" spans="1:25" ht="26.25" customHeight="1" x14ac:dyDescent="0.1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</row>
    <row r="214" spans="1:25" ht="26.25" customHeight="1" x14ac:dyDescent="0.1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</row>
    <row r="215" spans="1:25" ht="26.25" customHeight="1" x14ac:dyDescent="0.1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</row>
    <row r="216" spans="1:25" ht="26.25" customHeight="1" x14ac:dyDescent="0.1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</row>
    <row r="217" spans="1:25" ht="26.25" customHeight="1" x14ac:dyDescent="0.1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</row>
    <row r="218" spans="1:25" ht="26.25" customHeight="1" x14ac:dyDescent="0.1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</row>
    <row r="219" spans="1:25" ht="26.25" customHeight="1" x14ac:dyDescent="0.1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</row>
    <row r="220" spans="1:25" ht="26.25" customHeight="1" x14ac:dyDescent="0.1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</row>
    <row r="221" spans="1:25" ht="26.25" customHeight="1" x14ac:dyDescent="0.1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</row>
    <row r="222" spans="1:25" ht="26.25" customHeight="1" x14ac:dyDescent="0.1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</row>
    <row r="223" spans="1:25" ht="26.25" customHeight="1" x14ac:dyDescent="0.1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</row>
    <row r="224" spans="1:25" ht="26.25" customHeight="1" x14ac:dyDescent="0.1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</row>
    <row r="225" spans="1:25" ht="26.25" customHeight="1" x14ac:dyDescent="0.1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</row>
    <row r="226" spans="1:25" ht="26.25" customHeight="1" x14ac:dyDescent="0.1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</row>
    <row r="227" spans="1:25" ht="26.25" customHeight="1" x14ac:dyDescent="0.1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</row>
    <row r="228" spans="1:25" ht="26.25" customHeight="1" x14ac:dyDescent="0.1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</row>
    <row r="229" spans="1:25" ht="26.25" customHeight="1" x14ac:dyDescent="0.1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</row>
    <row r="230" spans="1:25" ht="26.25" customHeight="1" x14ac:dyDescent="0.1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</row>
    <row r="231" spans="1:25" ht="26.25" customHeight="1" x14ac:dyDescent="0.1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</row>
    <row r="232" spans="1:25" ht="26.25" customHeight="1" x14ac:dyDescent="0.1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</row>
    <row r="233" spans="1:25" ht="26.25" customHeight="1" x14ac:dyDescent="0.1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</row>
    <row r="234" spans="1:25" ht="26.25" customHeight="1" x14ac:dyDescent="0.1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</row>
    <row r="235" spans="1:25" ht="26.25" customHeight="1" x14ac:dyDescent="0.1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</row>
    <row r="236" spans="1:25" ht="26.25" customHeight="1" x14ac:dyDescent="0.1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</row>
    <row r="237" spans="1:25" ht="26.25" customHeight="1" x14ac:dyDescent="0.1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</row>
    <row r="238" spans="1:25" ht="26.25" customHeight="1" x14ac:dyDescent="0.1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</row>
    <row r="239" spans="1:25" ht="26.25" customHeight="1" x14ac:dyDescent="0.1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</row>
    <row r="240" spans="1:25" ht="26.25" customHeight="1" x14ac:dyDescent="0.1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</row>
    <row r="241" spans="1:25" ht="26.25" customHeight="1" x14ac:dyDescent="0.1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</row>
    <row r="242" spans="1:25" ht="26.25" customHeight="1" x14ac:dyDescent="0.1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</row>
    <row r="243" spans="1:25" ht="26.25" customHeight="1" x14ac:dyDescent="0.1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</row>
    <row r="244" spans="1:25" ht="26.25" customHeight="1" x14ac:dyDescent="0.1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</row>
    <row r="245" spans="1:25" ht="26.25" customHeight="1" x14ac:dyDescent="0.1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</row>
    <row r="246" spans="1:25" ht="26.25" customHeight="1" x14ac:dyDescent="0.1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</row>
    <row r="247" spans="1:25" ht="26.25" customHeight="1" x14ac:dyDescent="0.1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</row>
    <row r="248" spans="1:25" ht="26.25" customHeight="1" x14ac:dyDescent="0.1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</row>
    <row r="249" spans="1:25" ht="26.25" customHeight="1" x14ac:dyDescent="0.1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</row>
    <row r="250" spans="1:25" ht="26.25" customHeight="1" x14ac:dyDescent="0.1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</row>
    <row r="251" spans="1:25" ht="26.25" customHeight="1" x14ac:dyDescent="0.1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</row>
    <row r="252" spans="1:25" ht="26.25" customHeight="1" x14ac:dyDescent="0.1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</row>
    <row r="253" spans="1:25" ht="26.25" customHeight="1" x14ac:dyDescent="0.1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</row>
    <row r="254" spans="1:25" ht="26.25" customHeight="1" x14ac:dyDescent="0.1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</row>
    <row r="255" spans="1:25" ht="26.25" customHeight="1" x14ac:dyDescent="0.1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</row>
    <row r="256" spans="1:25" ht="26.25" customHeight="1" x14ac:dyDescent="0.1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</row>
    <row r="257" spans="1:25" ht="26.25" customHeight="1" x14ac:dyDescent="0.1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</row>
    <row r="258" spans="1:25" ht="26.25" customHeight="1" x14ac:dyDescent="0.1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</row>
    <row r="259" spans="1:25" ht="26.25" customHeight="1" x14ac:dyDescent="0.1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</row>
    <row r="260" spans="1:25" ht="26.25" customHeight="1" x14ac:dyDescent="0.1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</row>
    <row r="261" spans="1:25" ht="26.25" customHeight="1" x14ac:dyDescent="0.1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</row>
    <row r="262" spans="1:25" ht="26.25" customHeight="1" x14ac:dyDescent="0.1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</row>
    <row r="263" spans="1:25" ht="26.25" customHeight="1" x14ac:dyDescent="0.1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</row>
    <row r="264" spans="1:25" ht="26.25" customHeight="1" x14ac:dyDescent="0.1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</row>
    <row r="265" spans="1:25" ht="26.25" customHeight="1" x14ac:dyDescent="0.1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</row>
    <row r="266" spans="1:25" ht="26.25" customHeight="1" x14ac:dyDescent="0.1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</row>
    <row r="267" spans="1:25" ht="26.25" customHeight="1" x14ac:dyDescent="0.1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</row>
    <row r="268" spans="1:25" ht="26.25" customHeight="1" x14ac:dyDescent="0.1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</row>
    <row r="269" spans="1:25" ht="26.25" customHeight="1" x14ac:dyDescent="0.1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</row>
    <row r="270" spans="1:25" ht="26.25" customHeight="1" x14ac:dyDescent="0.1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</row>
    <row r="271" spans="1:25" ht="26.25" customHeight="1" x14ac:dyDescent="0.1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</row>
    <row r="272" spans="1:25" ht="26.25" customHeight="1" x14ac:dyDescent="0.1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</row>
    <row r="273" spans="1:25" ht="26.25" customHeight="1" x14ac:dyDescent="0.1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</row>
    <row r="274" spans="1:25" ht="26.25" customHeight="1" x14ac:dyDescent="0.1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</row>
    <row r="275" spans="1:25" ht="26.25" customHeight="1" x14ac:dyDescent="0.1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</row>
    <row r="276" spans="1:25" ht="26.25" customHeight="1" x14ac:dyDescent="0.1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</row>
    <row r="277" spans="1:25" ht="26.25" customHeight="1" x14ac:dyDescent="0.1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</row>
    <row r="278" spans="1:25" ht="26.25" customHeight="1" x14ac:dyDescent="0.1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</row>
    <row r="279" spans="1:25" ht="26.25" customHeight="1" x14ac:dyDescent="0.1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</row>
    <row r="280" spans="1:25" ht="26.25" customHeight="1" x14ac:dyDescent="0.1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</row>
    <row r="281" spans="1:25" ht="26.25" customHeight="1" x14ac:dyDescent="0.1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</row>
    <row r="282" spans="1:25" ht="26.25" customHeight="1" x14ac:dyDescent="0.1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</row>
    <row r="283" spans="1:25" ht="26.25" customHeight="1" x14ac:dyDescent="0.1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</row>
    <row r="284" spans="1:25" ht="26.25" customHeight="1" x14ac:dyDescent="0.1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</row>
    <row r="285" spans="1:25" ht="26.25" customHeight="1" x14ac:dyDescent="0.1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</row>
    <row r="286" spans="1:25" ht="26.25" customHeight="1" x14ac:dyDescent="0.1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</row>
    <row r="287" spans="1:25" ht="26.25" customHeight="1" x14ac:dyDescent="0.1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</row>
    <row r="288" spans="1:25" ht="26.25" customHeight="1" x14ac:dyDescent="0.1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</row>
    <row r="289" spans="1:25" ht="26.25" customHeight="1" x14ac:dyDescent="0.1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</row>
    <row r="290" spans="1:25" ht="26.25" customHeight="1" x14ac:dyDescent="0.1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</row>
    <row r="291" spans="1:25" ht="26.25" customHeight="1" x14ac:dyDescent="0.1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</row>
    <row r="292" spans="1:25" ht="26.25" customHeight="1" x14ac:dyDescent="0.1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</row>
    <row r="293" spans="1:25" ht="26.25" customHeight="1" x14ac:dyDescent="0.1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</row>
    <row r="294" spans="1:25" ht="26.25" customHeight="1" x14ac:dyDescent="0.1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</row>
    <row r="295" spans="1:25" ht="26.25" customHeight="1" x14ac:dyDescent="0.1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</row>
    <row r="296" spans="1:25" ht="26.25" customHeight="1" x14ac:dyDescent="0.1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</row>
    <row r="297" spans="1:25" ht="26.25" customHeight="1" x14ac:dyDescent="0.1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</row>
    <row r="298" spans="1:25" ht="26.25" customHeight="1" x14ac:dyDescent="0.1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</row>
    <row r="299" spans="1:25" ht="26.25" customHeight="1" x14ac:dyDescent="0.1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</row>
    <row r="300" spans="1:25" ht="26.25" customHeight="1" x14ac:dyDescent="0.1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</row>
    <row r="301" spans="1:25" ht="26.25" customHeight="1" x14ac:dyDescent="0.1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</row>
    <row r="302" spans="1:25" ht="26.25" customHeight="1" x14ac:dyDescent="0.1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</row>
    <row r="303" spans="1:25" ht="26.25" customHeight="1" x14ac:dyDescent="0.1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</row>
    <row r="304" spans="1:25" ht="26.25" customHeight="1" x14ac:dyDescent="0.1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</row>
    <row r="305" spans="1:25" ht="26.25" customHeight="1" x14ac:dyDescent="0.1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</row>
    <row r="306" spans="1:25" ht="26.25" customHeight="1" x14ac:dyDescent="0.1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</row>
    <row r="307" spans="1:25" ht="26.25" customHeight="1" x14ac:dyDescent="0.1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</row>
    <row r="308" spans="1:25" ht="26.25" customHeight="1" x14ac:dyDescent="0.1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</row>
    <row r="309" spans="1:25" ht="26.25" customHeight="1" x14ac:dyDescent="0.1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</row>
    <row r="310" spans="1:25" ht="26.25" customHeight="1" x14ac:dyDescent="0.1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</row>
    <row r="311" spans="1:25" ht="26.25" customHeight="1" x14ac:dyDescent="0.1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</row>
    <row r="312" spans="1:25" ht="26.25" customHeight="1" x14ac:dyDescent="0.1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</row>
    <row r="313" spans="1:25" ht="26.25" customHeight="1" x14ac:dyDescent="0.1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</row>
    <row r="314" spans="1:25" ht="26.25" customHeight="1" x14ac:dyDescent="0.1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</row>
    <row r="315" spans="1:25" ht="26.25" customHeight="1" x14ac:dyDescent="0.1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</row>
    <row r="316" spans="1:25" ht="26.25" customHeight="1" x14ac:dyDescent="0.1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</row>
    <row r="317" spans="1:25" ht="26.25" customHeight="1" x14ac:dyDescent="0.1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</row>
    <row r="318" spans="1:25" ht="26.25" customHeight="1" x14ac:dyDescent="0.1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</row>
    <row r="319" spans="1:25" ht="26.25" customHeight="1" x14ac:dyDescent="0.1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</row>
    <row r="320" spans="1:25" ht="26.25" customHeight="1" x14ac:dyDescent="0.1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</row>
    <row r="321" spans="1:25" ht="26.25" customHeight="1" x14ac:dyDescent="0.1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</row>
    <row r="322" spans="1:25" ht="26.25" customHeight="1" x14ac:dyDescent="0.1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</row>
    <row r="323" spans="1:25" ht="26.25" customHeight="1" x14ac:dyDescent="0.1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</row>
    <row r="324" spans="1:25" ht="26.25" customHeight="1" x14ac:dyDescent="0.1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</row>
    <row r="325" spans="1:25" ht="26.25" customHeight="1" x14ac:dyDescent="0.1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</row>
    <row r="326" spans="1:25" ht="26.25" customHeight="1" x14ac:dyDescent="0.1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</row>
    <row r="327" spans="1:25" ht="26.25" customHeight="1" x14ac:dyDescent="0.1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</row>
    <row r="328" spans="1:25" ht="26.25" customHeight="1" x14ac:dyDescent="0.1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</row>
    <row r="329" spans="1:25" ht="26.25" customHeight="1" x14ac:dyDescent="0.1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</row>
    <row r="330" spans="1:25" ht="26.25" customHeight="1" x14ac:dyDescent="0.1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</row>
    <row r="331" spans="1:25" ht="26.25" customHeight="1" x14ac:dyDescent="0.1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</row>
    <row r="332" spans="1:25" ht="26.25" customHeight="1" x14ac:dyDescent="0.1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</row>
    <row r="333" spans="1:25" ht="26.25" customHeight="1" x14ac:dyDescent="0.1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</row>
    <row r="334" spans="1:25" ht="26.25" customHeight="1" x14ac:dyDescent="0.1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</row>
    <row r="335" spans="1:25" ht="26.25" customHeight="1" x14ac:dyDescent="0.1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</row>
    <row r="336" spans="1:25" ht="26.25" customHeight="1" x14ac:dyDescent="0.1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</row>
    <row r="337" spans="1:25" ht="26.25" customHeight="1" x14ac:dyDescent="0.1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</row>
    <row r="338" spans="1:25" ht="26.25" customHeight="1" x14ac:dyDescent="0.1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</row>
    <row r="339" spans="1:25" ht="26.25" customHeight="1" x14ac:dyDescent="0.1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</row>
    <row r="340" spans="1:25" ht="26.25" customHeight="1" x14ac:dyDescent="0.1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</row>
    <row r="341" spans="1:25" ht="26.25" customHeight="1" x14ac:dyDescent="0.1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</row>
    <row r="342" spans="1:25" ht="26.25" customHeight="1" x14ac:dyDescent="0.1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</row>
    <row r="343" spans="1:25" ht="26.25" customHeight="1" x14ac:dyDescent="0.1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</row>
    <row r="344" spans="1:25" ht="26.25" customHeight="1" x14ac:dyDescent="0.1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</row>
    <row r="345" spans="1:25" ht="26.25" customHeight="1" x14ac:dyDescent="0.1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</row>
    <row r="346" spans="1:25" ht="26.25" customHeight="1" x14ac:dyDescent="0.1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</row>
    <row r="347" spans="1:25" ht="26.25" customHeight="1" x14ac:dyDescent="0.1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</row>
    <row r="348" spans="1:25" ht="26.25" customHeight="1" x14ac:dyDescent="0.1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</row>
    <row r="349" spans="1:25" ht="26.25" customHeight="1" x14ac:dyDescent="0.1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</row>
    <row r="350" spans="1:25" ht="26.25" customHeight="1" x14ac:dyDescent="0.1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</row>
    <row r="351" spans="1:25" ht="26.25" customHeight="1" x14ac:dyDescent="0.1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</row>
    <row r="352" spans="1:25" ht="26.25" customHeight="1" x14ac:dyDescent="0.1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</row>
    <row r="353" spans="1:25" ht="26.25" customHeight="1" x14ac:dyDescent="0.1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</row>
    <row r="354" spans="1:25" ht="26.25" customHeight="1" x14ac:dyDescent="0.1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</row>
    <row r="355" spans="1:25" ht="26.25" customHeight="1" x14ac:dyDescent="0.1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</row>
    <row r="356" spans="1:25" ht="26.25" customHeight="1" x14ac:dyDescent="0.1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</row>
    <row r="357" spans="1:25" ht="26.25" customHeight="1" x14ac:dyDescent="0.1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</row>
    <row r="358" spans="1:25" ht="26.25" customHeight="1" x14ac:dyDescent="0.1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</row>
    <row r="359" spans="1:25" ht="26.25" customHeight="1" x14ac:dyDescent="0.1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</row>
    <row r="360" spans="1:25" ht="26.25" customHeight="1" x14ac:dyDescent="0.1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</row>
    <row r="361" spans="1:25" ht="26.25" customHeight="1" x14ac:dyDescent="0.1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</row>
    <row r="362" spans="1:25" ht="26.25" customHeight="1" x14ac:dyDescent="0.1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</row>
    <row r="363" spans="1:25" ht="26.25" customHeight="1" x14ac:dyDescent="0.1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</row>
    <row r="364" spans="1:25" ht="26.25" customHeight="1" x14ac:dyDescent="0.1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</row>
    <row r="365" spans="1:25" ht="26.25" customHeight="1" x14ac:dyDescent="0.1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</row>
    <row r="366" spans="1:25" ht="26.25" customHeight="1" x14ac:dyDescent="0.1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</row>
    <row r="367" spans="1:25" ht="26.25" customHeight="1" x14ac:dyDescent="0.1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</row>
    <row r="368" spans="1:25" ht="26.25" customHeight="1" x14ac:dyDescent="0.1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</row>
    <row r="369" spans="1:25" ht="26.25" customHeight="1" x14ac:dyDescent="0.1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</row>
    <row r="370" spans="1:25" ht="26.25" customHeight="1" x14ac:dyDescent="0.1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</row>
    <row r="371" spans="1:25" ht="26.25" customHeight="1" x14ac:dyDescent="0.1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</row>
    <row r="372" spans="1:25" ht="26.25" customHeight="1" x14ac:dyDescent="0.1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</row>
    <row r="373" spans="1:25" ht="26.25" customHeight="1" x14ac:dyDescent="0.1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</row>
    <row r="374" spans="1:25" ht="26.25" customHeight="1" x14ac:dyDescent="0.1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</row>
    <row r="375" spans="1:25" ht="26.25" customHeight="1" x14ac:dyDescent="0.1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</row>
    <row r="376" spans="1:25" ht="26.25" customHeight="1" x14ac:dyDescent="0.1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</row>
    <row r="377" spans="1:25" ht="26.25" customHeight="1" x14ac:dyDescent="0.1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</row>
    <row r="378" spans="1:25" ht="26.25" customHeight="1" x14ac:dyDescent="0.1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</row>
    <row r="379" spans="1:25" ht="26.25" customHeight="1" x14ac:dyDescent="0.1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</row>
    <row r="380" spans="1:25" ht="26.25" customHeight="1" x14ac:dyDescent="0.1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</row>
    <row r="381" spans="1:25" ht="26.25" customHeight="1" x14ac:dyDescent="0.1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</row>
    <row r="382" spans="1:25" ht="26.25" customHeight="1" x14ac:dyDescent="0.1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</row>
    <row r="383" spans="1:25" ht="26.25" customHeight="1" x14ac:dyDescent="0.1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</row>
    <row r="384" spans="1:25" ht="26.25" customHeight="1" x14ac:dyDescent="0.1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</row>
    <row r="385" spans="1:25" ht="26.25" customHeight="1" x14ac:dyDescent="0.1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</row>
    <row r="386" spans="1:25" ht="26.25" customHeight="1" x14ac:dyDescent="0.1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</row>
    <row r="387" spans="1:25" ht="26.25" customHeight="1" x14ac:dyDescent="0.1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</row>
    <row r="388" spans="1:25" ht="26.25" customHeight="1" x14ac:dyDescent="0.1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</row>
    <row r="389" spans="1:25" ht="26.25" customHeight="1" x14ac:dyDescent="0.1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</row>
    <row r="390" spans="1:25" ht="26.25" customHeight="1" x14ac:dyDescent="0.1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</row>
    <row r="391" spans="1:25" ht="26.25" customHeight="1" x14ac:dyDescent="0.1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</row>
    <row r="392" spans="1:25" ht="26.25" customHeight="1" x14ac:dyDescent="0.1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</row>
    <row r="393" spans="1:25" ht="26.25" customHeight="1" x14ac:dyDescent="0.1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</row>
    <row r="394" spans="1:25" ht="26.25" customHeight="1" x14ac:dyDescent="0.1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</row>
    <row r="395" spans="1:25" ht="26.25" customHeight="1" x14ac:dyDescent="0.1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</row>
    <row r="396" spans="1:25" ht="26.25" customHeight="1" x14ac:dyDescent="0.1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</row>
    <row r="397" spans="1:25" ht="26.25" customHeight="1" x14ac:dyDescent="0.1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</row>
    <row r="398" spans="1:25" ht="26.25" customHeight="1" x14ac:dyDescent="0.1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</row>
    <row r="399" spans="1:25" ht="26.25" customHeight="1" x14ac:dyDescent="0.1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</row>
    <row r="400" spans="1:25" ht="26.25" customHeight="1" x14ac:dyDescent="0.1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</row>
    <row r="401" spans="1:25" ht="26.25" customHeight="1" x14ac:dyDescent="0.1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</row>
    <row r="402" spans="1:25" ht="26.25" customHeight="1" x14ac:dyDescent="0.1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</row>
    <row r="403" spans="1:25" ht="26.25" customHeight="1" x14ac:dyDescent="0.1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</row>
    <row r="404" spans="1:25" ht="26.25" customHeight="1" x14ac:dyDescent="0.1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</row>
    <row r="405" spans="1:25" ht="26.25" customHeight="1" x14ac:dyDescent="0.1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</row>
    <row r="406" spans="1:25" ht="26.25" customHeight="1" x14ac:dyDescent="0.1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</row>
    <row r="407" spans="1:25" ht="26.25" customHeight="1" x14ac:dyDescent="0.1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</row>
    <row r="408" spans="1:25" ht="26.25" customHeight="1" x14ac:dyDescent="0.1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</row>
    <row r="409" spans="1:25" ht="26.25" customHeight="1" x14ac:dyDescent="0.1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</row>
    <row r="410" spans="1:25" ht="26.25" customHeight="1" x14ac:dyDescent="0.1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</row>
    <row r="411" spans="1:25" ht="26.25" customHeight="1" x14ac:dyDescent="0.1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</row>
    <row r="412" spans="1:25" ht="26.25" customHeight="1" x14ac:dyDescent="0.1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</row>
    <row r="413" spans="1:25" ht="26.25" customHeight="1" x14ac:dyDescent="0.1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</row>
    <row r="414" spans="1:25" ht="26.25" customHeight="1" x14ac:dyDescent="0.1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</row>
    <row r="415" spans="1:25" ht="26.25" customHeight="1" x14ac:dyDescent="0.1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</row>
    <row r="416" spans="1:25" ht="26.25" customHeight="1" x14ac:dyDescent="0.1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</row>
    <row r="417" spans="1:25" ht="26.25" customHeight="1" x14ac:dyDescent="0.1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</row>
    <row r="418" spans="1:25" ht="26.25" customHeight="1" x14ac:dyDescent="0.1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</row>
    <row r="419" spans="1:25" ht="26.25" customHeight="1" x14ac:dyDescent="0.1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</row>
    <row r="420" spans="1:25" ht="26.25" customHeight="1" x14ac:dyDescent="0.1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</row>
    <row r="421" spans="1:25" ht="26.25" customHeight="1" x14ac:dyDescent="0.1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</row>
    <row r="422" spans="1:25" ht="26.25" customHeight="1" x14ac:dyDescent="0.1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</row>
    <row r="423" spans="1:25" ht="26.25" customHeight="1" x14ac:dyDescent="0.1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</row>
    <row r="424" spans="1:25" ht="26.25" customHeight="1" x14ac:dyDescent="0.1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</row>
    <row r="425" spans="1:25" ht="26.25" customHeight="1" x14ac:dyDescent="0.1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</row>
    <row r="426" spans="1:25" ht="26.25" customHeight="1" x14ac:dyDescent="0.1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</row>
    <row r="427" spans="1:25" ht="26.25" customHeight="1" x14ac:dyDescent="0.1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</row>
    <row r="428" spans="1:25" ht="26.25" customHeight="1" x14ac:dyDescent="0.1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</row>
    <row r="429" spans="1:25" ht="26.25" customHeight="1" x14ac:dyDescent="0.1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</row>
    <row r="430" spans="1:25" ht="26.25" customHeight="1" x14ac:dyDescent="0.1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</row>
    <row r="431" spans="1:25" ht="26.25" customHeight="1" x14ac:dyDescent="0.1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</row>
    <row r="432" spans="1:25" ht="26.25" customHeight="1" x14ac:dyDescent="0.1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</row>
    <row r="433" spans="1:25" ht="26.25" customHeight="1" x14ac:dyDescent="0.1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</row>
    <row r="434" spans="1:25" ht="26.25" customHeight="1" x14ac:dyDescent="0.1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</row>
    <row r="435" spans="1:25" ht="26.25" customHeight="1" x14ac:dyDescent="0.1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</row>
    <row r="436" spans="1:25" ht="26.25" customHeight="1" x14ac:dyDescent="0.1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</row>
    <row r="437" spans="1:25" ht="26.25" customHeight="1" x14ac:dyDescent="0.1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</row>
    <row r="438" spans="1:25" ht="26.25" customHeight="1" x14ac:dyDescent="0.1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</row>
    <row r="439" spans="1:25" ht="26.25" customHeight="1" x14ac:dyDescent="0.1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</row>
    <row r="440" spans="1:25" ht="26.25" customHeight="1" x14ac:dyDescent="0.1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</row>
    <row r="441" spans="1:25" ht="26.25" customHeight="1" x14ac:dyDescent="0.1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</row>
    <row r="442" spans="1:25" ht="26.25" customHeight="1" x14ac:dyDescent="0.1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</row>
    <row r="443" spans="1:25" ht="26.25" customHeight="1" x14ac:dyDescent="0.1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</row>
    <row r="444" spans="1:25" ht="26.25" customHeight="1" x14ac:dyDescent="0.1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</row>
    <row r="445" spans="1:25" ht="26.25" customHeight="1" x14ac:dyDescent="0.1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</row>
    <row r="446" spans="1:25" ht="26.25" customHeight="1" x14ac:dyDescent="0.1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</row>
    <row r="447" spans="1:25" ht="26.25" customHeight="1" x14ac:dyDescent="0.1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</row>
    <row r="448" spans="1:25" ht="26.25" customHeight="1" x14ac:dyDescent="0.1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</row>
    <row r="449" spans="1:25" ht="26.25" customHeight="1" x14ac:dyDescent="0.1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</row>
    <row r="450" spans="1:25" ht="26.25" customHeight="1" x14ac:dyDescent="0.1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</row>
    <row r="451" spans="1:25" ht="26.25" customHeight="1" x14ac:dyDescent="0.1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</row>
    <row r="452" spans="1:25" ht="26.25" customHeight="1" x14ac:dyDescent="0.1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</row>
    <row r="453" spans="1:25" ht="26.25" customHeight="1" x14ac:dyDescent="0.1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</row>
    <row r="454" spans="1:25" ht="26.25" customHeight="1" x14ac:dyDescent="0.1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</row>
    <row r="455" spans="1:25" ht="26.25" customHeight="1" x14ac:dyDescent="0.1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</row>
    <row r="456" spans="1:25" ht="26.25" customHeight="1" x14ac:dyDescent="0.1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</row>
    <row r="457" spans="1:25" ht="26.25" customHeight="1" x14ac:dyDescent="0.1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</row>
    <row r="458" spans="1:25" ht="26.25" customHeight="1" x14ac:dyDescent="0.1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</row>
    <row r="459" spans="1:25" ht="26.25" customHeight="1" x14ac:dyDescent="0.1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</row>
    <row r="460" spans="1:25" ht="26.25" customHeight="1" x14ac:dyDescent="0.1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</row>
    <row r="461" spans="1:25" ht="26.25" customHeight="1" x14ac:dyDescent="0.1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</row>
    <row r="462" spans="1:25" ht="26.25" customHeight="1" x14ac:dyDescent="0.1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</row>
    <row r="463" spans="1:25" ht="26.25" customHeight="1" x14ac:dyDescent="0.1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</row>
    <row r="464" spans="1:25" ht="26.25" customHeight="1" x14ac:dyDescent="0.1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</row>
    <row r="465" spans="1:25" ht="26.25" customHeight="1" x14ac:dyDescent="0.1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</row>
    <row r="466" spans="1:25" ht="26.25" customHeight="1" x14ac:dyDescent="0.1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</row>
    <row r="467" spans="1:25" ht="26.25" customHeight="1" x14ac:dyDescent="0.1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</row>
    <row r="468" spans="1:25" ht="26.25" customHeight="1" x14ac:dyDescent="0.1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</row>
    <row r="469" spans="1:25" ht="26.25" customHeight="1" x14ac:dyDescent="0.1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</row>
    <row r="470" spans="1:25" ht="26.25" customHeight="1" x14ac:dyDescent="0.1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</row>
    <row r="471" spans="1:25" ht="26.25" customHeight="1" x14ac:dyDescent="0.1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</row>
    <row r="472" spans="1:25" ht="26.25" customHeight="1" x14ac:dyDescent="0.1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</row>
    <row r="473" spans="1:25" ht="26.25" customHeight="1" x14ac:dyDescent="0.1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</row>
    <row r="474" spans="1:25" ht="26.25" customHeight="1" x14ac:dyDescent="0.1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</row>
    <row r="475" spans="1:25" ht="26.25" customHeight="1" x14ac:dyDescent="0.1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</row>
    <row r="476" spans="1:25" ht="26.25" customHeight="1" x14ac:dyDescent="0.1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</row>
    <row r="477" spans="1:25" ht="26.25" customHeight="1" x14ac:dyDescent="0.1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</row>
    <row r="478" spans="1:25" ht="26.25" customHeight="1" x14ac:dyDescent="0.1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</row>
    <row r="479" spans="1:25" ht="26.25" customHeight="1" x14ac:dyDescent="0.1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</row>
    <row r="480" spans="1:25" ht="26.25" customHeight="1" x14ac:dyDescent="0.1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</row>
    <row r="481" spans="1:25" ht="26.25" customHeight="1" x14ac:dyDescent="0.1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</row>
    <row r="482" spans="1:25" ht="26.25" customHeight="1" x14ac:dyDescent="0.1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</row>
    <row r="483" spans="1:25" ht="26.25" customHeight="1" x14ac:dyDescent="0.1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</row>
    <row r="484" spans="1:25" ht="26.25" customHeight="1" x14ac:dyDescent="0.1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</row>
    <row r="485" spans="1:25" ht="26.25" customHeight="1" x14ac:dyDescent="0.1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</row>
    <row r="486" spans="1:25" ht="26.25" customHeight="1" x14ac:dyDescent="0.1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</row>
    <row r="487" spans="1:25" ht="26.25" customHeight="1" x14ac:dyDescent="0.1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</row>
    <row r="488" spans="1:25" ht="26.25" customHeight="1" x14ac:dyDescent="0.1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</row>
    <row r="489" spans="1:25" ht="26.25" customHeight="1" x14ac:dyDescent="0.1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</row>
    <row r="490" spans="1:25" ht="26.25" customHeight="1" x14ac:dyDescent="0.1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</row>
    <row r="491" spans="1:25" ht="26.25" customHeight="1" x14ac:dyDescent="0.1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</row>
    <row r="492" spans="1:25" ht="26.25" customHeight="1" x14ac:dyDescent="0.1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</row>
    <row r="493" spans="1:25" ht="26.25" customHeight="1" x14ac:dyDescent="0.1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</row>
    <row r="494" spans="1:25" ht="26.25" customHeight="1" x14ac:dyDescent="0.1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</row>
    <row r="495" spans="1:25" ht="26.25" customHeight="1" x14ac:dyDescent="0.1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</row>
    <row r="496" spans="1:25" ht="26.25" customHeight="1" x14ac:dyDescent="0.1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</row>
    <row r="497" spans="1:25" ht="26.25" customHeight="1" x14ac:dyDescent="0.1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</row>
    <row r="498" spans="1:25" ht="26.25" customHeight="1" x14ac:dyDescent="0.1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</row>
    <row r="499" spans="1:25" ht="26.25" customHeight="1" x14ac:dyDescent="0.1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</row>
    <row r="500" spans="1:25" ht="26.25" customHeight="1" x14ac:dyDescent="0.1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</row>
    <row r="501" spans="1:25" ht="26.25" customHeight="1" x14ac:dyDescent="0.1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</row>
    <row r="502" spans="1:25" ht="26.25" customHeight="1" x14ac:dyDescent="0.1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</row>
    <row r="503" spans="1:25" ht="26.25" customHeight="1" x14ac:dyDescent="0.1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</row>
    <row r="504" spans="1:25" ht="26.25" customHeight="1" x14ac:dyDescent="0.1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</row>
    <row r="505" spans="1:25" ht="26.25" customHeight="1" x14ac:dyDescent="0.1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</row>
    <row r="506" spans="1:25" ht="26.25" customHeight="1" x14ac:dyDescent="0.1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</row>
    <row r="507" spans="1:25" ht="26.25" customHeight="1" x14ac:dyDescent="0.1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</row>
    <row r="508" spans="1:25" ht="26.25" customHeight="1" x14ac:dyDescent="0.1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</row>
    <row r="509" spans="1:25" ht="26.25" customHeight="1" x14ac:dyDescent="0.1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</row>
    <row r="510" spans="1:25" ht="26.25" customHeight="1" x14ac:dyDescent="0.1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</row>
    <row r="511" spans="1:25" ht="26.25" customHeight="1" x14ac:dyDescent="0.1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</row>
    <row r="512" spans="1:25" ht="26.25" customHeight="1" x14ac:dyDescent="0.1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</row>
    <row r="513" spans="1:25" ht="26.25" customHeight="1" x14ac:dyDescent="0.1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</row>
    <row r="514" spans="1:25" ht="26.25" customHeight="1" x14ac:dyDescent="0.1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</row>
    <row r="515" spans="1:25" ht="26.25" customHeight="1" x14ac:dyDescent="0.1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</row>
    <row r="516" spans="1:25" ht="26.25" customHeight="1" x14ac:dyDescent="0.1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</row>
    <row r="517" spans="1:25" ht="26.25" customHeight="1" x14ac:dyDescent="0.1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</row>
    <row r="518" spans="1:25" ht="26.25" customHeight="1" x14ac:dyDescent="0.1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</row>
    <row r="519" spans="1:25" ht="26.25" customHeight="1" x14ac:dyDescent="0.1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</row>
    <row r="520" spans="1:25" ht="26.25" customHeight="1" x14ac:dyDescent="0.1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</row>
    <row r="521" spans="1:25" ht="26.25" customHeight="1" x14ac:dyDescent="0.1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</row>
    <row r="522" spans="1:25" ht="26.25" customHeight="1" x14ac:dyDescent="0.1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</row>
    <row r="523" spans="1:25" ht="26.25" customHeight="1" x14ac:dyDescent="0.1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</row>
    <row r="524" spans="1:25" ht="26.25" customHeight="1" x14ac:dyDescent="0.1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</row>
    <row r="525" spans="1:25" ht="26.25" customHeight="1" x14ac:dyDescent="0.1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</row>
    <row r="526" spans="1:25" ht="26.25" customHeight="1" x14ac:dyDescent="0.1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</row>
    <row r="527" spans="1:25" ht="26.25" customHeight="1" x14ac:dyDescent="0.1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</row>
    <row r="528" spans="1:25" ht="26.25" customHeight="1" x14ac:dyDescent="0.1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</row>
    <row r="529" spans="1:25" ht="26.25" customHeight="1" x14ac:dyDescent="0.1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</row>
    <row r="530" spans="1:25" ht="26.25" customHeight="1" x14ac:dyDescent="0.1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</row>
    <row r="531" spans="1:25" ht="26.25" customHeight="1" x14ac:dyDescent="0.1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</row>
    <row r="532" spans="1:25" ht="26.25" customHeight="1" x14ac:dyDescent="0.1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</row>
    <row r="533" spans="1:25" ht="26.25" customHeight="1" x14ac:dyDescent="0.1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</row>
    <row r="534" spans="1:25" ht="26.25" customHeight="1" x14ac:dyDescent="0.1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</row>
    <row r="535" spans="1:25" ht="26.25" customHeight="1" x14ac:dyDescent="0.1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</row>
    <row r="536" spans="1:25" ht="26.25" customHeight="1" x14ac:dyDescent="0.1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</row>
    <row r="537" spans="1:25" ht="26.25" customHeight="1" x14ac:dyDescent="0.1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</row>
    <row r="538" spans="1:25" ht="26.25" customHeight="1" x14ac:dyDescent="0.1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</row>
    <row r="539" spans="1:25" ht="26.25" customHeight="1" x14ac:dyDescent="0.1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</row>
    <row r="540" spans="1:25" ht="26.25" customHeight="1" x14ac:dyDescent="0.1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</row>
    <row r="541" spans="1:25" ht="26.25" customHeight="1" x14ac:dyDescent="0.1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</row>
    <row r="542" spans="1:25" ht="26.25" customHeight="1" x14ac:dyDescent="0.1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</row>
    <row r="543" spans="1:25" ht="26.25" customHeight="1" x14ac:dyDescent="0.1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</row>
    <row r="544" spans="1:25" ht="26.25" customHeight="1" x14ac:dyDescent="0.1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</row>
    <row r="545" spans="1:25" ht="26.25" customHeight="1" x14ac:dyDescent="0.1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</row>
    <row r="546" spans="1:25" ht="26.25" customHeight="1" x14ac:dyDescent="0.1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</row>
    <row r="547" spans="1:25" ht="26.25" customHeight="1" x14ac:dyDescent="0.1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</row>
    <row r="548" spans="1:25" ht="26.25" customHeight="1" x14ac:dyDescent="0.1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</row>
    <row r="549" spans="1:25" ht="26.25" customHeight="1" x14ac:dyDescent="0.1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</row>
    <row r="550" spans="1:25" ht="26.25" customHeight="1" x14ac:dyDescent="0.1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</row>
    <row r="551" spans="1:25" ht="26.25" customHeight="1" x14ac:dyDescent="0.1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</row>
    <row r="552" spans="1:25" ht="26.25" customHeight="1" x14ac:dyDescent="0.1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</row>
    <row r="553" spans="1:25" ht="26.25" customHeight="1" x14ac:dyDescent="0.1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</row>
    <row r="554" spans="1:25" ht="26.25" customHeight="1" x14ac:dyDescent="0.1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</row>
    <row r="555" spans="1:25" ht="26.25" customHeight="1" x14ac:dyDescent="0.1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</row>
    <row r="556" spans="1:25" ht="26.25" customHeight="1" x14ac:dyDescent="0.1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</row>
    <row r="557" spans="1:25" ht="26.25" customHeight="1" x14ac:dyDescent="0.1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</row>
    <row r="558" spans="1:25" ht="26.25" customHeight="1" x14ac:dyDescent="0.1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</row>
    <row r="559" spans="1:25" ht="26.25" customHeight="1" x14ac:dyDescent="0.1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</row>
    <row r="560" spans="1:25" ht="26.25" customHeight="1" x14ac:dyDescent="0.1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</row>
    <row r="561" spans="1:25" ht="26.25" customHeight="1" x14ac:dyDescent="0.1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</row>
    <row r="562" spans="1:25" ht="26.25" customHeight="1" x14ac:dyDescent="0.1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</row>
    <row r="563" spans="1:25" ht="26.25" customHeight="1" x14ac:dyDescent="0.1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</row>
    <row r="564" spans="1:25" ht="26.25" customHeight="1" x14ac:dyDescent="0.1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</row>
    <row r="565" spans="1:25" ht="26.25" customHeight="1" x14ac:dyDescent="0.1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</row>
    <row r="566" spans="1:25" ht="26.25" customHeight="1" x14ac:dyDescent="0.1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</row>
    <row r="567" spans="1:25" ht="26.25" customHeight="1" x14ac:dyDescent="0.1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</row>
    <row r="568" spans="1:25" ht="26.25" customHeight="1" x14ac:dyDescent="0.1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</row>
    <row r="569" spans="1:25" ht="26.25" customHeight="1" x14ac:dyDescent="0.1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</row>
    <row r="570" spans="1:25" ht="26.25" customHeight="1" x14ac:dyDescent="0.1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</row>
    <row r="571" spans="1:25" ht="26.25" customHeight="1" x14ac:dyDescent="0.1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</row>
    <row r="572" spans="1:25" ht="26.25" customHeight="1" x14ac:dyDescent="0.1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</row>
    <row r="573" spans="1:25" ht="26.25" customHeight="1" x14ac:dyDescent="0.1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</row>
    <row r="574" spans="1:25" ht="26.25" customHeight="1" x14ac:dyDescent="0.1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</row>
    <row r="575" spans="1:25" ht="26.25" customHeight="1" x14ac:dyDescent="0.1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</row>
    <row r="576" spans="1:25" ht="26.25" customHeight="1" x14ac:dyDescent="0.1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</row>
    <row r="577" spans="1:25" ht="26.25" customHeight="1" x14ac:dyDescent="0.1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</row>
    <row r="578" spans="1:25" ht="26.25" customHeight="1" x14ac:dyDescent="0.1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</row>
    <row r="579" spans="1:25" ht="26.25" customHeight="1" x14ac:dyDescent="0.1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</row>
    <row r="580" spans="1:25" ht="26.25" customHeight="1" x14ac:dyDescent="0.1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</row>
    <row r="581" spans="1:25" ht="26.25" customHeight="1" x14ac:dyDescent="0.1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</row>
    <row r="582" spans="1:25" ht="26.25" customHeight="1" x14ac:dyDescent="0.1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</row>
    <row r="583" spans="1:25" ht="26.25" customHeight="1" x14ac:dyDescent="0.1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</row>
    <row r="584" spans="1:25" ht="26.25" customHeight="1" x14ac:dyDescent="0.1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</row>
    <row r="585" spans="1:25" ht="26.25" customHeight="1" x14ac:dyDescent="0.1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</row>
    <row r="586" spans="1:25" ht="26.25" customHeight="1" x14ac:dyDescent="0.1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</row>
    <row r="587" spans="1:25" ht="26.25" customHeight="1" x14ac:dyDescent="0.1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</row>
    <row r="588" spans="1:25" ht="26.25" customHeight="1" x14ac:dyDescent="0.1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</row>
    <row r="589" spans="1:25" ht="26.25" customHeight="1" x14ac:dyDescent="0.1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</row>
    <row r="590" spans="1:25" ht="26.25" customHeight="1" x14ac:dyDescent="0.1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</row>
    <row r="591" spans="1:25" ht="26.25" customHeight="1" x14ac:dyDescent="0.1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</row>
    <row r="592" spans="1:25" ht="26.25" customHeight="1" x14ac:dyDescent="0.1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</row>
    <row r="593" spans="1:25" ht="26.25" customHeight="1" x14ac:dyDescent="0.1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</row>
    <row r="594" spans="1:25" ht="26.25" customHeight="1" x14ac:dyDescent="0.1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</row>
    <row r="595" spans="1:25" ht="26.25" customHeight="1" x14ac:dyDescent="0.1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</row>
    <row r="596" spans="1:25" ht="26.25" customHeight="1" x14ac:dyDescent="0.1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</row>
    <row r="597" spans="1:25" ht="26.25" customHeight="1" x14ac:dyDescent="0.1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</row>
    <row r="598" spans="1:25" ht="26.25" customHeight="1" x14ac:dyDescent="0.1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</row>
    <row r="599" spans="1:25" ht="26.25" customHeight="1" x14ac:dyDescent="0.1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</row>
    <row r="600" spans="1:25" ht="26.25" customHeight="1" x14ac:dyDescent="0.1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</row>
    <row r="601" spans="1:25" ht="26.25" customHeight="1" x14ac:dyDescent="0.1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</row>
    <row r="602" spans="1:25" ht="26.25" customHeight="1" x14ac:dyDescent="0.1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</row>
    <row r="603" spans="1:25" ht="26.25" customHeight="1" x14ac:dyDescent="0.1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</row>
    <row r="604" spans="1:25" ht="26.25" customHeight="1" x14ac:dyDescent="0.1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</row>
    <row r="605" spans="1:25" ht="26.25" customHeight="1" x14ac:dyDescent="0.1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</row>
    <row r="606" spans="1:25" ht="26.25" customHeight="1" x14ac:dyDescent="0.1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</row>
    <row r="607" spans="1:25" ht="26.25" customHeight="1" x14ac:dyDescent="0.1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</row>
    <row r="608" spans="1:25" ht="26.25" customHeight="1" x14ac:dyDescent="0.1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</row>
    <row r="609" spans="1:25" ht="26.25" customHeight="1" x14ac:dyDescent="0.1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</row>
    <row r="610" spans="1:25" ht="26.25" customHeight="1" x14ac:dyDescent="0.1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</row>
    <row r="611" spans="1:25" ht="26.25" customHeight="1" x14ac:dyDescent="0.1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</row>
    <row r="612" spans="1:25" ht="26.25" customHeight="1" x14ac:dyDescent="0.1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</row>
    <row r="613" spans="1:25" ht="26.25" customHeight="1" x14ac:dyDescent="0.1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</row>
    <row r="614" spans="1:25" ht="26.25" customHeight="1" x14ac:dyDescent="0.1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</row>
    <row r="615" spans="1:25" ht="26.25" customHeight="1" x14ac:dyDescent="0.1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</row>
    <row r="616" spans="1:25" ht="26.25" customHeight="1" x14ac:dyDescent="0.1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</row>
    <row r="617" spans="1:25" ht="26.25" customHeight="1" x14ac:dyDescent="0.1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</row>
    <row r="618" spans="1:25" ht="26.25" customHeight="1" x14ac:dyDescent="0.1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</row>
    <row r="619" spans="1:25" ht="26.25" customHeight="1" x14ac:dyDescent="0.1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</row>
    <row r="620" spans="1:25" ht="26.25" customHeight="1" x14ac:dyDescent="0.1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</row>
    <row r="621" spans="1:25" ht="26.25" customHeight="1" x14ac:dyDescent="0.1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</row>
    <row r="622" spans="1:25" ht="26.25" customHeight="1" x14ac:dyDescent="0.1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</row>
    <row r="623" spans="1:25" ht="26.25" customHeight="1" x14ac:dyDescent="0.1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</row>
    <row r="624" spans="1:25" ht="26.25" customHeight="1" x14ac:dyDescent="0.1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</row>
    <row r="625" spans="1:25" ht="26.25" customHeight="1" x14ac:dyDescent="0.1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</row>
    <row r="626" spans="1:25" ht="26.25" customHeight="1" x14ac:dyDescent="0.1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</row>
    <row r="627" spans="1:25" ht="26.25" customHeight="1" x14ac:dyDescent="0.1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</row>
    <row r="628" spans="1:25" ht="26.25" customHeight="1" x14ac:dyDescent="0.1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</row>
    <row r="629" spans="1:25" ht="26.25" customHeight="1" x14ac:dyDescent="0.1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</row>
    <row r="630" spans="1:25" ht="26.25" customHeight="1" x14ac:dyDescent="0.1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</row>
    <row r="631" spans="1:25" ht="26.25" customHeight="1" x14ac:dyDescent="0.1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</row>
    <row r="632" spans="1:25" ht="26.25" customHeight="1" x14ac:dyDescent="0.1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</row>
    <row r="633" spans="1:25" ht="26.25" customHeight="1" x14ac:dyDescent="0.1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</row>
    <row r="634" spans="1:25" ht="26.25" customHeight="1" x14ac:dyDescent="0.1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</row>
    <row r="635" spans="1:25" ht="26.25" customHeight="1" x14ac:dyDescent="0.1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</row>
    <row r="636" spans="1:25" ht="26.25" customHeight="1" x14ac:dyDescent="0.1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</row>
    <row r="637" spans="1:25" ht="26.25" customHeight="1" x14ac:dyDescent="0.1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</row>
    <row r="638" spans="1:25" ht="26.25" customHeight="1" x14ac:dyDescent="0.1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</row>
    <row r="639" spans="1:25" ht="26.25" customHeight="1" x14ac:dyDescent="0.1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</row>
    <row r="640" spans="1:25" ht="26.25" customHeight="1" x14ac:dyDescent="0.1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</row>
    <row r="641" spans="1:25" ht="26.25" customHeight="1" x14ac:dyDescent="0.1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</row>
    <row r="642" spans="1:25" ht="26.25" customHeight="1" x14ac:dyDescent="0.1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</row>
    <row r="643" spans="1:25" ht="26.25" customHeight="1" x14ac:dyDescent="0.1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</row>
    <row r="644" spans="1:25" ht="26.25" customHeight="1" x14ac:dyDescent="0.1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</row>
    <row r="645" spans="1:25" ht="26.25" customHeight="1" x14ac:dyDescent="0.1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</row>
    <row r="646" spans="1:25" ht="26.25" customHeight="1" x14ac:dyDescent="0.1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</row>
    <row r="647" spans="1:25" ht="26.25" customHeight="1" x14ac:dyDescent="0.1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</row>
    <row r="648" spans="1:25" ht="26.25" customHeight="1" x14ac:dyDescent="0.1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</row>
    <row r="649" spans="1:25" ht="26.25" customHeight="1" x14ac:dyDescent="0.1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</row>
    <row r="650" spans="1:25" ht="26.25" customHeight="1" x14ac:dyDescent="0.1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</row>
    <row r="651" spans="1:25" ht="26.25" customHeight="1" x14ac:dyDescent="0.1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</row>
    <row r="652" spans="1:25" ht="26.25" customHeight="1" x14ac:dyDescent="0.1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</row>
    <row r="653" spans="1:25" ht="26.25" customHeight="1" x14ac:dyDescent="0.1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</row>
    <row r="654" spans="1:25" ht="26.25" customHeight="1" x14ac:dyDescent="0.1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</row>
    <row r="655" spans="1:25" ht="26.25" customHeight="1" x14ac:dyDescent="0.1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</row>
    <row r="656" spans="1:25" ht="26.25" customHeight="1" x14ac:dyDescent="0.1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</row>
    <row r="657" spans="1:25" ht="26.25" customHeight="1" x14ac:dyDescent="0.1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</row>
    <row r="658" spans="1:25" ht="26.25" customHeight="1" x14ac:dyDescent="0.1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</row>
    <row r="659" spans="1:25" ht="26.25" customHeight="1" x14ac:dyDescent="0.1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</row>
    <row r="660" spans="1:25" ht="26.25" customHeight="1" x14ac:dyDescent="0.1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</row>
    <row r="661" spans="1:25" ht="26.25" customHeight="1" x14ac:dyDescent="0.1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</row>
    <row r="662" spans="1:25" ht="26.25" customHeight="1" x14ac:dyDescent="0.1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</row>
    <row r="663" spans="1:25" ht="26.25" customHeight="1" x14ac:dyDescent="0.1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</row>
    <row r="664" spans="1:25" ht="26.25" customHeight="1" x14ac:dyDescent="0.1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</row>
    <row r="665" spans="1:25" ht="26.25" customHeight="1" x14ac:dyDescent="0.1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</row>
    <row r="666" spans="1:25" ht="26.25" customHeight="1" x14ac:dyDescent="0.1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</row>
    <row r="667" spans="1:25" ht="26.25" customHeight="1" x14ac:dyDescent="0.1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</row>
    <row r="668" spans="1:25" ht="26.25" customHeight="1" x14ac:dyDescent="0.1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</row>
    <row r="669" spans="1:25" ht="26.25" customHeight="1" x14ac:dyDescent="0.1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</row>
    <row r="670" spans="1:25" ht="26.25" customHeight="1" x14ac:dyDescent="0.1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</row>
    <row r="671" spans="1:25" ht="26.25" customHeight="1" x14ac:dyDescent="0.1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</row>
    <row r="672" spans="1:25" ht="26.25" customHeight="1" x14ac:dyDescent="0.1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</row>
    <row r="673" spans="1:25" ht="26.25" customHeight="1" x14ac:dyDescent="0.1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</row>
    <row r="674" spans="1:25" ht="26.25" customHeight="1" x14ac:dyDescent="0.1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</row>
    <row r="675" spans="1:25" ht="26.25" customHeight="1" x14ac:dyDescent="0.1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</row>
    <row r="676" spans="1:25" ht="26.25" customHeight="1" x14ac:dyDescent="0.1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</row>
    <row r="677" spans="1:25" ht="26.25" customHeight="1" x14ac:dyDescent="0.1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</row>
    <row r="678" spans="1:25" ht="26.25" customHeight="1" x14ac:dyDescent="0.1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</row>
    <row r="679" spans="1:25" ht="26.25" customHeight="1" x14ac:dyDescent="0.1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</row>
    <row r="680" spans="1:25" ht="26.25" customHeight="1" x14ac:dyDescent="0.1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</row>
    <row r="681" spans="1:25" ht="26.25" customHeight="1" x14ac:dyDescent="0.1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</row>
    <row r="682" spans="1:25" ht="26.25" customHeight="1" x14ac:dyDescent="0.1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</row>
    <row r="683" spans="1:25" ht="26.25" customHeight="1" x14ac:dyDescent="0.1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</row>
    <row r="684" spans="1:25" ht="26.25" customHeight="1" x14ac:dyDescent="0.1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</row>
    <row r="685" spans="1:25" ht="26.25" customHeight="1" x14ac:dyDescent="0.1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</row>
    <row r="686" spans="1:25" ht="26.25" customHeight="1" x14ac:dyDescent="0.1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</row>
    <row r="687" spans="1:25" ht="26.25" customHeight="1" x14ac:dyDescent="0.1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</row>
    <row r="688" spans="1:25" ht="26.25" customHeight="1" x14ac:dyDescent="0.1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</row>
    <row r="689" spans="1:25" ht="26.25" customHeight="1" x14ac:dyDescent="0.1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</row>
    <row r="690" spans="1:25" ht="26.25" customHeight="1" x14ac:dyDescent="0.1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</row>
    <row r="691" spans="1:25" ht="26.25" customHeight="1" x14ac:dyDescent="0.1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</row>
    <row r="692" spans="1:25" ht="26.25" customHeight="1" x14ac:dyDescent="0.1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</row>
    <row r="693" spans="1:25" ht="26.25" customHeight="1" x14ac:dyDescent="0.1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</row>
    <row r="694" spans="1:25" ht="26.25" customHeight="1" x14ac:dyDescent="0.1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</row>
    <row r="695" spans="1:25" ht="26.25" customHeight="1" x14ac:dyDescent="0.1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</row>
    <row r="696" spans="1:25" ht="26.25" customHeight="1" x14ac:dyDescent="0.1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</row>
    <row r="697" spans="1:25" ht="26.25" customHeight="1" x14ac:dyDescent="0.1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</row>
    <row r="698" spans="1:25" ht="26.25" customHeight="1" x14ac:dyDescent="0.1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</row>
    <row r="699" spans="1:25" ht="26.25" customHeight="1" x14ac:dyDescent="0.1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</row>
    <row r="700" spans="1:25" ht="26.25" customHeight="1" x14ac:dyDescent="0.1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</row>
    <row r="701" spans="1:25" ht="26.25" customHeight="1" x14ac:dyDescent="0.1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</row>
    <row r="702" spans="1:25" ht="26.25" customHeight="1" x14ac:dyDescent="0.1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</row>
    <row r="703" spans="1:25" ht="26.25" customHeight="1" x14ac:dyDescent="0.1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</row>
    <row r="704" spans="1:25" ht="26.25" customHeight="1" x14ac:dyDescent="0.1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</row>
    <row r="705" spans="1:25" ht="26.25" customHeight="1" x14ac:dyDescent="0.1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</row>
    <row r="706" spans="1:25" ht="26.25" customHeight="1" x14ac:dyDescent="0.1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</row>
    <row r="707" spans="1:25" ht="26.25" customHeight="1" x14ac:dyDescent="0.1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</row>
    <row r="708" spans="1:25" ht="26.25" customHeight="1" x14ac:dyDescent="0.1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</row>
    <row r="709" spans="1:25" ht="26.25" customHeight="1" x14ac:dyDescent="0.1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</row>
    <row r="710" spans="1:25" ht="26.25" customHeight="1" x14ac:dyDescent="0.1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</row>
    <row r="711" spans="1:25" ht="26.25" customHeight="1" x14ac:dyDescent="0.1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</row>
    <row r="712" spans="1:25" ht="26.25" customHeight="1" x14ac:dyDescent="0.1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</row>
    <row r="713" spans="1:25" ht="26.25" customHeight="1" x14ac:dyDescent="0.1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</row>
    <row r="714" spans="1:25" ht="26.25" customHeight="1" x14ac:dyDescent="0.1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</row>
    <row r="715" spans="1:25" ht="26.25" customHeight="1" x14ac:dyDescent="0.1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</row>
    <row r="716" spans="1:25" ht="26.25" customHeight="1" x14ac:dyDescent="0.1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</row>
    <row r="717" spans="1:25" ht="26.25" customHeight="1" x14ac:dyDescent="0.1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</row>
    <row r="718" spans="1:25" ht="26.25" customHeight="1" x14ac:dyDescent="0.1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</row>
    <row r="719" spans="1:25" ht="26.25" customHeight="1" x14ac:dyDescent="0.1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</row>
    <row r="720" spans="1:25" ht="26.25" customHeight="1" x14ac:dyDescent="0.1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</row>
    <row r="721" spans="1:25" ht="26.25" customHeight="1" x14ac:dyDescent="0.1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</row>
    <row r="722" spans="1:25" ht="26.25" customHeight="1" x14ac:dyDescent="0.1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</row>
    <row r="723" spans="1:25" ht="26.25" customHeight="1" x14ac:dyDescent="0.1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</row>
    <row r="724" spans="1:25" ht="26.25" customHeight="1" x14ac:dyDescent="0.1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</row>
    <row r="725" spans="1:25" ht="26.25" customHeight="1" x14ac:dyDescent="0.1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</row>
    <row r="726" spans="1:25" ht="26.25" customHeight="1" x14ac:dyDescent="0.1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</row>
    <row r="727" spans="1:25" ht="26.25" customHeight="1" x14ac:dyDescent="0.1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</row>
    <row r="728" spans="1:25" ht="26.25" customHeight="1" x14ac:dyDescent="0.1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</row>
    <row r="729" spans="1:25" ht="26.25" customHeight="1" x14ac:dyDescent="0.1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</row>
    <row r="730" spans="1:25" ht="26.25" customHeight="1" x14ac:dyDescent="0.1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</row>
    <row r="731" spans="1:25" ht="26.25" customHeight="1" x14ac:dyDescent="0.1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</row>
    <row r="732" spans="1:25" ht="26.25" customHeight="1" x14ac:dyDescent="0.1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</row>
    <row r="733" spans="1:25" ht="26.25" customHeight="1" x14ac:dyDescent="0.1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</row>
    <row r="734" spans="1:25" ht="26.25" customHeight="1" x14ac:dyDescent="0.1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</row>
    <row r="735" spans="1:25" ht="26.25" customHeight="1" x14ac:dyDescent="0.1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</row>
    <row r="736" spans="1:25" ht="26.25" customHeight="1" x14ac:dyDescent="0.1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</row>
    <row r="737" spans="1:25" ht="26.25" customHeight="1" x14ac:dyDescent="0.1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</row>
    <row r="738" spans="1:25" ht="26.25" customHeight="1" x14ac:dyDescent="0.1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</row>
    <row r="739" spans="1:25" ht="26.25" customHeight="1" x14ac:dyDescent="0.1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</row>
    <row r="740" spans="1:25" ht="26.25" customHeight="1" x14ac:dyDescent="0.1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</row>
    <row r="741" spans="1:25" ht="26.25" customHeight="1" x14ac:dyDescent="0.1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</row>
    <row r="742" spans="1:25" ht="26.25" customHeight="1" x14ac:dyDescent="0.1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</row>
    <row r="743" spans="1:25" ht="26.25" customHeight="1" x14ac:dyDescent="0.1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</row>
    <row r="744" spans="1:25" ht="26.25" customHeight="1" x14ac:dyDescent="0.1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</row>
    <row r="745" spans="1:25" ht="26.25" customHeight="1" x14ac:dyDescent="0.1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</row>
    <row r="746" spans="1:25" ht="26.25" customHeight="1" x14ac:dyDescent="0.1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</row>
    <row r="747" spans="1:25" ht="26.25" customHeight="1" x14ac:dyDescent="0.1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</row>
    <row r="748" spans="1:25" ht="26.25" customHeight="1" x14ac:dyDescent="0.1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</row>
    <row r="749" spans="1:25" ht="26.25" customHeight="1" x14ac:dyDescent="0.1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</row>
    <row r="750" spans="1:25" ht="26.25" customHeight="1" x14ac:dyDescent="0.1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</row>
    <row r="751" spans="1:25" ht="26.25" customHeight="1" x14ac:dyDescent="0.1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</row>
    <row r="752" spans="1:25" ht="26.25" customHeight="1" x14ac:dyDescent="0.1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</row>
    <row r="753" spans="1:25" ht="26.25" customHeight="1" x14ac:dyDescent="0.1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</row>
    <row r="754" spans="1:25" ht="26.25" customHeight="1" x14ac:dyDescent="0.1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</row>
    <row r="755" spans="1:25" ht="26.25" customHeight="1" x14ac:dyDescent="0.1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</row>
    <row r="756" spans="1:25" ht="26.25" customHeight="1" x14ac:dyDescent="0.1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</row>
    <row r="757" spans="1:25" ht="26.25" customHeight="1" x14ac:dyDescent="0.1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</row>
    <row r="758" spans="1:25" ht="26.25" customHeight="1" x14ac:dyDescent="0.1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</row>
    <row r="759" spans="1:25" ht="26.25" customHeight="1" x14ac:dyDescent="0.1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</row>
    <row r="760" spans="1:25" ht="26.25" customHeight="1" x14ac:dyDescent="0.1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</row>
    <row r="761" spans="1:25" ht="26.25" customHeight="1" x14ac:dyDescent="0.1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</row>
    <row r="762" spans="1:25" ht="26.25" customHeight="1" x14ac:dyDescent="0.1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</row>
    <row r="763" spans="1:25" ht="26.25" customHeight="1" x14ac:dyDescent="0.1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</row>
    <row r="764" spans="1:25" ht="26.25" customHeight="1" x14ac:dyDescent="0.1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</row>
    <row r="765" spans="1:25" ht="26.25" customHeight="1" x14ac:dyDescent="0.1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</row>
    <row r="766" spans="1:25" ht="26.25" customHeight="1" x14ac:dyDescent="0.1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</row>
    <row r="767" spans="1:25" ht="26.25" customHeight="1" x14ac:dyDescent="0.1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</row>
    <row r="768" spans="1:25" ht="26.25" customHeight="1" x14ac:dyDescent="0.1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</row>
    <row r="769" spans="1:25" ht="26.25" customHeight="1" x14ac:dyDescent="0.1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</row>
    <row r="770" spans="1:25" ht="26.25" customHeight="1" x14ac:dyDescent="0.1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</row>
    <row r="771" spans="1:25" ht="26.25" customHeight="1" x14ac:dyDescent="0.1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</row>
    <row r="772" spans="1:25" ht="26.25" customHeight="1" x14ac:dyDescent="0.1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</row>
    <row r="773" spans="1:25" ht="26.25" customHeight="1" x14ac:dyDescent="0.1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</row>
    <row r="774" spans="1:25" ht="26.25" customHeight="1" x14ac:dyDescent="0.1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</row>
    <row r="775" spans="1:25" ht="26.25" customHeight="1" x14ac:dyDescent="0.1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</row>
    <row r="776" spans="1:25" ht="26.25" customHeight="1" x14ac:dyDescent="0.1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</row>
    <row r="777" spans="1:25" ht="26.25" customHeight="1" x14ac:dyDescent="0.1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</row>
    <row r="778" spans="1:25" ht="26.25" customHeight="1" x14ac:dyDescent="0.1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</row>
    <row r="779" spans="1:25" ht="26.25" customHeight="1" x14ac:dyDescent="0.1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</row>
    <row r="780" spans="1:25" ht="26.25" customHeight="1" x14ac:dyDescent="0.1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</row>
    <row r="781" spans="1:25" ht="26.25" customHeight="1" x14ac:dyDescent="0.1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</row>
    <row r="782" spans="1:25" ht="26.25" customHeight="1" x14ac:dyDescent="0.1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</row>
    <row r="783" spans="1:25" ht="26.25" customHeight="1" x14ac:dyDescent="0.1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</row>
    <row r="784" spans="1:25" ht="26.25" customHeight="1" x14ac:dyDescent="0.1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</row>
    <row r="785" spans="1:25" ht="26.25" customHeight="1" x14ac:dyDescent="0.1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</row>
    <row r="786" spans="1:25" ht="26.25" customHeight="1" x14ac:dyDescent="0.1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</row>
    <row r="787" spans="1:25" ht="26.25" customHeight="1" x14ac:dyDescent="0.1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</row>
    <row r="788" spans="1:25" ht="26.25" customHeight="1" x14ac:dyDescent="0.1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</row>
    <row r="789" spans="1:25" ht="26.25" customHeight="1" x14ac:dyDescent="0.1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</row>
    <row r="790" spans="1:25" ht="26.25" customHeight="1" x14ac:dyDescent="0.1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</row>
    <row r="791" spans="1:25" ht="26.25" customHeight="1" x14ac:dyDescent="0.1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</row>
    <row r="792" spans="1:25" ht="26.25" customHeight="1" x14ac:dyDescent="0.1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</row>
    <row r="793" spans="1:25" ht="26.25" customHeight="1" x14ac:dyDescent="0.1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</row>
    <row r="794" spans="1:25" ht="26.25" customHeight="1" x14ac:dyDescent="0.1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</row>
    <row r="795" spans="1:25" ht="26.25" customHeight="1" x14ac:dyDescent="0.1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</row>
    <row r="796" spans="1:25" ht="26.25" customHeight="1" x14ac:dyDescent="0.1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</row>
    <row r="797" spans="1:25" ht="26.25" customHeight="1" x14ac:dyDescent="0.1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</row>
    <row r="798" spans="1:25" ht="26.25" customHeight="1" x14ac:dyDescent="0.1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</row>
    <row r="799" spans="1:25" ht="26.25" customHeight="1" x14ac:dyDescent="0.1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</row>
    <row r="800" spans="1:25" ht="26.25" customHeight="1" x14ac:dyDescent="0.1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</row>
    <row r="801" spans="1:25" ht="26.25" customHeight="1" x14ac:dyDescent="0.1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</row>
    <row r="802" spans="1:25" ht="26.25" customHeight="1" x14ac:dyDescent="0.1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</row>
    <row r="803" spans="1:25" ht="26.25" customHeight="1" x14ac:dyDescent="0.1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</row>
    <row r="804" spans="1:25" ht="26.25" customHeight="1" x14ac:dyDescent="0.1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</row>
    <row r="805" spans="1:25" ht="26.25" customHeight="1" x14ac:dyDescent="0.1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</row>
    <row r="806" spans="1:25" ht="26.25" customHeight="1" x14ac:dyDescent="0.1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</row>
    <row r="807" spans="1:25" ht="26.25" customHeight="1" x14ac:dyDescent="0.1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</row>
    <row r="808" spans="1:25" ht="26.25" customHeight="1" x14ac:dyDescent="0.1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</row>
    <row r="809" spans="1:25" ht="26.25" customHeight="1" x14ac:dyDescent="0.1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</row>
    <row r="810" spans="1:25" ht="26.25" customHeight="1" x14ac:dyDescent="0.1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</row>
    <row r="811" spans="1:25" ht="26.25" customHeight="1" x14ac:dyDescent="0.1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</row>
    <row r="812" spans="1:25" ht="26.25" customHeight="1" x14ac:dyDescent="0.1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</row>
    <row r="813" spans="1:25" ht="26.25" customHeight="1" x14ac:dyDescent="0.1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</row>
    <row r="814" spans="1:25" ht="26.25" customHeight="1" x14ac:dyDescent="0.1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</row>
    <row r="815" spans="1:25" ht="26.25" customHeight="1" x14ac:dyDescent="0.1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</row>
    <row r="816" spans="1:25" ht="26.25" customHeight="1" x14ac:dyDescent="0.1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</row>
    <row r="817" spans="1:25" ht="26.25" customHeight="1" x14ac:dyDescent="0.1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</row>
    <row r="818" spans="1:25" ht="26.25" customHeight="1" x14ac:dyDescent="0.1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</row>
    <row r="819" spans="1:25" ht="26.25" customHeight="1" x14ac:dyDescent="0.1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</row>
    <row r="820" spans="1:25" ht="26.25" customHeight="1" x14ac:dyDescent="0.1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</row>
    <row r="821" spans="1:25" ht="26.25" customHeight="1" x14ac:dyDescent="0.1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</row>
    <row r="822" spans="1:25" ht="26.25" customHeight="1" x14ac:dyDescent="0.1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</row>
    <row r="823" spans="1:25" ht="26.25" customHeight="1" x14ac:dyDescent="0.1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</row>
    <row r="824" spans="1:25" ht="26.25" customHeight="1" x14ac:dyDescent="0.1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</row>
    <row r="825" spans="1:25" ht="26.25" customHeight="1" x14ac:dyDescent="0.1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</row>
    <row r="826" spans="1:25" ht="26.25" customHeight="1" x14ac:dyDescent="0.1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</row>
    <row r="827" spans="1:25" ht="26.25" customHeight="1" x14ac:dyDescent="0.1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</row>
    <row r="828" spans="1:25" ht="26.25" customHeight="1" x14ac:dyDescent="0.1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</row>
    <row r="829" spans="1:25" ht="26.25" customHeight="1" x14ac:dyDescent="0.1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</row>
    <row r="830" spans="1:25" ht="26.25" customHeight="1" x14ac:dyDescent="0.1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</row>
    <row r="831" spans="1:25" ht="26.25" customHeight="1" x14ac:dyDescent="0.1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</row>
    <row r="832" spans="1:25" ht="26.25" customHeight="1" x14ac:dyDescent="0.1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</row>
    <row r="833" spans="1:25" ht="26.25" customHeight="1" x14ac:dyDescent="0.1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</row>
    <row r="834" spans="1:25" ht="26.25" customHeight="1" x14ac:dyDescent="0.1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</row>
    <row r="835" spans="1:25" ht="26.25" customHeight="1" x14ac:dyDescent="0.1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</row>
    <row r="836" spans="1:25" ht="26.25" customHeight="1" x14ac:dyDescent="0.1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</row>
    <row r="837" spans="1:25" ht="26.25" customHeight="1" x14ac:dyDescent="0.1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</row>
    <row r="838" spans="1:25" ht="26.25" customHeight="1" x14ac:dyDescent="0.1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</row>
    <row r="839" spans="1:25" ht="26.25" customHeight="1" x14ac:dyDescent="0.1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</row>
    <row r="840" spans="1:25" ht="26.25" customHeight="1" x14ac:dyDescent="0.1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</row>
    <row r="841" spans="1:25" ht="26.25" customHeight="1" x14ac:dyDescent="0.1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</row>
    <row r="842" spans="1:25" ht="26.25" customHeight="1" x14ac:dyDescent="0.1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</row>
    <row r="843" spans="1:25" ht="26.25" customHeight="1" x14ac:dyDescent="0.1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</row>
    <row r="844" spans="1:25" ht="26.25" customHeight="1" x14ac:dyDescent="0.1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</row>
    <row r="845" spans="1:25" ht="26.25" customHeight="1" x14ac:dyDescent="0.1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</row>
    <row r="846" spans="1:25" ht="26.25" customHeight="1" x14ac:dyDescent="0.1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</row>
    <row r="847" spans="1:25" ht="26.25" customHeight="1" x14ac:dyDescent="0.1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</row>
    <row r="848" spans="1:25" ht="26.25" customHeight="1" x14ac:dyDescent="0.1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</row>
    <row r="849" spans="1:25" ht="26.25" customHeight="1" x14ac:dyDescent="0.1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</row>
    <row r="850" spans="1:25" ht="26.25" customHeight="1" x14ac:dyDescent="0.1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</row>
    <row r="851" spans="1:25" ht="26.25" customHeight="1" x14ac:dyDescent="0.1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</row>
    <row r="852" spans="1:25" ht="26.25" customHeight="1" x14ac:dyDescent="0.1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</row>
    <row r="853" spans="1:25" ht="26.25" customHeight="1" x14ac:dyDescent="0.1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</row>
    <row r="854" spans="1:25" ht="26.25" customHeight="1" x14ac:dyDescent="0.1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</row>
    <row r="855" spans="1:25" ht="26.25" customHeight="1" x14ac:dyDescent="0.1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</row>
    <row r="856" spans="1:25" ht="26.25" customHeight="1" x14ac:dyDescent="0.1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</row>
    <row r="857" spans="1:25" ht="26.25" customHeight="1" x14ac:dyDescent="0.1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</row>
    <row r="858" spans="1:25" ht="26.25" customHeight="1" x14ac:dyDescent="0.1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</row>
    <row r="859" spans="1:25" ht="26.25" customHeight="1" x14ac:dyDescent="0.1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</row>
    <row r="860" spans="1:25" ht="26.25" customHeight="1" x14ac:dyDescent="0.1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</row>
    <row r="861" spans="1:25" ht="26.25" customHeight="1" x14ac:dyDescent="0.1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</row>
    <row r="862" spans="1:25" ht="26.25" customHeight="1" x14ac:dyDescent="0.1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</row>
    <row r="863" spans="1:25" ht="26.25" customHeight="1" x14ac:dyDescent="0.1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</row>
    <row r="864" spans="1:25" ht="26.25" customHeight="1" x14ac:dyDescent="0.1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</row>
    <row r="865" spans="1:25" ht="26.25" customHeight="1" x14ac:dyDescent="0.1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</row>
    <row r="866" spans="1:25" ht="26.25" customHeight="1" x14ac:dyDescent="0.1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</row>
    <row r="867" spans="1:25" ht="26.25" customHeight="1" x14ac:dyDescent="0.1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</row>
    <row r="868" spans="1:25" ht="26.25" customHeight="1" x14ac:dyDescent="0.1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</row>
    <row r="869" spans="1:25" ht="26.25" customHeight="1" x14ac:dyDescent="0.1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</row>
    <row r="870" spans="1:25" ht="26.25" customHeight="1" x14ac:dyDescent="0.1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</row>
    <row r="871" spans="1:25" ht="26.25" customHeight="1" x14ac:dyDescent="0.1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</row>
    <row r="872" spans="1:25" ht="26.25" customHeight="1" x14ac:dyDescent="0.1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</row>
    <row r="873" spans="1:25" ht="26.25" customHeight="1" x14ac:dyDescent="0.1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</row>
    <row r="874" spans="1:25" ht="26.25" customHeight="1" x14ac:dyDescent="0.1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</row>
    <row r="875" spans="1:25" ht="26.25" customHeight="1" x14ac:dyDescent="0.1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</row>
    <row r="876" spans="1:25" ht="26.25" customHeight="1" x14ac:dyDescent="0.1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</row>
    <row r="877" spans="1:25" ht="26.25" customHeight="1" x14ac:dyDescent="0.1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</row>
    <row r="878" spans="1:25" ht="26.25" customHeight="1" x14ac:dyDescent="0.1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</row>
    <row r="879" spans="1:25" ht="26.25" customHeight="1" x14ac:dyDescent="0.1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</row>
    <row r="880" spans="1:25" ht="26.25" customHeight="1" x14ac:dyDescent="0.1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</row>
    <row r="881" spans="1:25" ht="26.25" customHeight="1" x14ac:dyDescent="0.1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</row>
    <row r="882" spans="1:25" ht="26.25" customHeight="1" x14ac:dyDescent="0.1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</row>
    <row r="883" spans="1:25" ht="26.25" customHeight="1" x14ac:dyDescent="0.1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</row>
    <row r="884" spans="1:25" ht="26.25" customHeight="1" x14ac:dyDescent="0.1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</row>
    <row r="885" spans="1:25" ht="26.25" customHeight="1" x14ac:dyDescent="0.1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</row>
    <row r="886" spans="1:25" ht="26.25" customHeight="1" x14ac:dyDescent="0.1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</row>
    <row r="887" spans="1:25" ht="26.25" customHeight="1" x14ac:dyDescent="0.1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</row>
    <row r="888" spans="1:25" ht="26.25" customHeight="1" x14ac:dyDescent="0.1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</row>
    <row r="889" spans="1:25" ht="26.25" customHeight="1" x14ac:dyDescent="0.1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</row>
    <row r="890" spans="1:25" ht="26.25" customHeight="1" x14ac:dyDescent="0.1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</row>
    <row r="891" spans="1:25" ht="26.25" customHeight="1" x14ac:dyDescent="0.1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</row>
    <row r="892" spans="1:25" ht="26.25" customHeight="1" x14ac:dyDescent="0.1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</row>
    <row r="893" spans="1:25" ht="26.25" customHeight="1" x14ac:dyDescent="0.1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</row>
    <row r="894" spans="1:25" ht="26.25" customHeight="1" x14ac:dyDescent="0.1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</row>
    <row r="895" spans="1:25" ht="26.25" customHeight="1" x14ac:dyDescent="0.1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</row>
    <row r="896" spans="1:25" ht="26.25" customHeight="1" x14ac:dyDescent="0.1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</row>
    <row r="897" spans="1:25" ht="26.25" customHeight="1" x14ac:dyDescent="0.1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</row>
    <row r="898" spans="1:25" ht="26.25" customHeight="1" x14ac:dyDescent="0.1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</row>
    <row r="899" spans="1:25" ht="26.25" customHeight="1" x14ac:dyDescent="0.1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</row>
    <row r="900" spans="1:25" ht="26.25" customHeight="1" x14ac:dyDescent="0.1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</row>
    <row r="901" spans="1:25" ht="26.25" customHeight="1" x14ac:dyDescent="0.1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</row>
    <row r="902" spans="1:25" ht="26.25" customHeight="1" x14ac:dyDescent="0.1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</row>
    <row r="903" spans="1:25" ht="26.25" customHeight="1" x14ac:dyDescent="0.1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</row>
    <row r="904" spans="1:25" ht="26.25" customHeight="1" x14ac:dyDescent="0.1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</row>
    <row r="905" spans="1:25" ht="26.25" customHeight="1" x14ac:dyDescent="0.1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</row>
    <row r="906" spans="1:25" ht="26.25" customHeight="1" x14ac:dyDescent="0.1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</row>
    <row r="907" spans="1:25" ht="26.25" customHeight="1" x14ac:dyDescent="0.1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</row>
    <row r="908" spans="1:25" ht="26.25" customHeight="1" x14ac:dyDescent="0.1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</row>
    <row r="909" spans="1:25" ht="26.25" customHeight="1" x14ac:dyDescent="0.1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</row>
    <row r="910" spans="1:25" ht="26.25" customHeight="1" x14ac:dyDescent="0.1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</row>
    <row r="911" spans="1:25" ht="26.25" customHeight="1" x14ac:dyDescent="0.1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</row>
    <row r="912" spans="1:25" ht="26.25" customHeight="1" x14ac:dyDescent="0.1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</row>
    <row r="913" spans="1:25" ht="26.25" customHeight="1" x14ac:dyDescent="0.1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</row>
    <row r="914" spans="1:25" ht="26.25" customHeight="1" x14ac:dyDescent="0.1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</row>
    <row r="915" spans="1:25" ht="26.25" customHeight="1" x14ac:dyDescent="0.1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</row>
    <row r="916" spans="1:25" ht="26.25" customHeight="1" x14ac:dyDescent="0.1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</row>
    <row r="917" spans="1:25" ht="26.25" customHeight="1" x14ac:dyDescent="0.1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</row>
    <row r="918" spans="1:25" ht="26.25" customHeight="1" x14ac:dyDescent="0.1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</row>
    <row r="919" spans="1:25" ht="26.25" customHeight="1" x14ac:dyDescent="0.1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</row>
    <row r="920" spans="1:25" ht="26.25" customHeight="1" x14ac:dyDescent="0.1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</row>
    <row r="921" spans="1:25" ht="26.25" customHeight="1" x14ac:dyDescent="0.1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</row>
    <row r="922" spans="1:25" ht="26.25" customHeight="1" x14ac:dyDescent="0.1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</row>
    <row r="923" spans="1:25" ht="26.25" customHeight="1" x14ac:dyDescent="0.1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</row>
    <row r="924" spans="1:25" ht="26.25" customHeight="1" x14ac:dyDescent="0.1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</row>
    <row r="925" spans="1:25" ht="26.25" customHeight="1" x14ac:dyDescent="0.1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</row>
    <row r="926" spans="1:25" ht="26.25" customHeight="1" x14ac:dyDescent="0.1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</row>
    <row r="927" spans="1:25" ht="26.25" customHeight="1" x14ac:dyDescent="0.1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</row>
    <row r="928" spans="1:25" ht="26.25" customHeight="1" x14ac:dyDescent="0.1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</row>
    <row r="929" spans="1:25" ht="26.25" customHeight="1" x14ac:dyDescent="0.1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</row>
    <row r="930" spans="1:25" ht="26.25" customHeight="1" x14ac:dyDescent="0.1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</row>
    <row r="931" spans="1:25" ht="26.25" customHeight="1" x14ac:dyDescent="0.1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</row>
    <row r="932" spans="1:25" ht="26.25" customHeight="1" x14ac:dyDescent="0.1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</row>
    <row r="933" spans="1:25" ht="26.25" customHeight="1" x14ac:dyDescent="0.1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</row>
    <row r="934" spans="1:25" ht="26.25" customHeight="1" x14ac:dyDescent="0.1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</row>
    <row r="935" spans="1:25" ht="26.25" customHeight="1" x14ac:dyDescent="0.1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</row>
    <row r="936" spans="1:25" ht="26.25" customHeight="1" x14ac:dyDescent="0.1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</row>
    <row r="937" spans="1:25" ht="26.25" customHeight="1" x14ac:dyDescent="0.1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</row>
    <row r="938" spans="1:25" ht="26.25" customHeight="1" x14ac:dyDescent="0.1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</row>
    <row r="939" spans="1:25" ht="26.25" customHeight="1" x14ac:dyDescent="0.1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</row>
    <row r="940" spans="1:25" ht="26.25" customHeight="1" x14ac:dyDescent="0.1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</row>
    <row r="941" spans="1:25" ht="26.25" customHeight="1" x14ac:dyDescent="0.1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</row>
    <row r="942" spans="1:25" ht="26.25" customHeight="1" x14ac:dyDescent="0.1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</row>
    <row r="943" spans="1:25" ht="26.25" customHeight="1" x14ac:dyDescent="0.1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</row>
    <row r="944" spans="1:25" ht="26.25" customHeight="1" x14ac:dyDescent="0.1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</row>
    <row r="945" spans="1:25" ht="26.25" customHeight="1" x14ac:dyDescent="0.1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</row>
    <row r="946" spans="1:25" ht="26.25" customHeight="1" x14ac:dyDescent="0.1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</row>
    <row r="947" spans="1:25" ht="26.25" customHeight="1" x14ac:dyDescent="0.1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</row>
    <row r="948" spans="1:25" ht="26.25" customHeight="1" x14ac:dyDescent="0.1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</row>
    <row r="949" spans="1:25" ht="26.25" customHeight="1" x14ac:dyDescent="0.1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</row>
    <row r="950" spans="1:25" ht="26.25" customHeight="1" x14ac:dyDescent="0.1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</row>
    <row r="951" spans="1:25" ht="26.25" customHeight="1" x14ac:dyDescent="0.1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</row>
    <row r="952" spans="1:25" ht="26.25" customHeight="1" x14ac:dyDescent="0.1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</row>
    <row r="953" spans="1:25" ht="26.25" customHeight="1" x14ac:dyDescent="0.1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</row>
    <row r="954" spans="1:25" ht="26.25" customHeight="1" x14ac:dyDescent="0.1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</row>
    <row r="955" spans="1:25" ht="26.25" customHeight="1" x14ac:dyDescent="0.1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</row>
    <row r="956" spans="1:25" ht="26.25" customHeight="1" x14ac:dyDescent="0.1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</row>
    <row r="957" spans="1:25" ht="26.25" customHeight="1" x14ac:dyDescent="0.1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</row>
    <row r="958" spans="1:25" ht="26.25" customHeight="1" x14ac:dyDescent="0.1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</row>
    <row r="959" spans="1:25" ht="26.25" customHeight="1" x14ac:dyDescent="0.1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</row>
    <row r="960" spans="1:25" ht="26.25" customHeight="1" x14ac:dyDescent="0.1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</row>
    <row r="961" spans="1:25" ht="26.25" customHeight="1" x14ac:dyDescent="0.1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</row>
    <row r="962" spans="1:25" ht="26.25" customHeight="1" x14ac:dyDescent="0.1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</row>
    <row r="963" spans="1:25" ht="26.25" customHeight="1" x14ac:dyDescent="0.1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</row>
    <row r="964" spans="1:25" ht="26.25" customHeight="1" x14ac:dyDescent="0.1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</row>
    <row r="965" spans="1:25" ht="26.25" customHeight="1" x14ac:dyDescent="0.1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</row>
    <row r="966" spans="1:25" ht="26.25" customHeight="1" x14ac:dyDescent="0.1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</row>
    <row r="967" spans="1:25" ht="26.25" customHeight="1" x14ac:dyDescent="0.1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</row>
    <row r="968" spans="1:25" ht="26.25" customHeight="1" x14ac:dyDescent="0.1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</row>
    <row r="969" spans="1:25" ht="26.25" customHeight="1" x14ac:dyDescent="0.1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</row>
    <row r="970" spans="1:25" ht="26.25" customHeight="1" x14ac:dyDescent="0.1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</row>
    <row r="971" spans="1:25" ht="26.25" customHeight="1" x14ac:dyDescent="0.1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</row>
    <row r="972" spans="1:25" ht="26.25" customHeight="1" x14ac:dyDescent="0.1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</row>
    <row r="973" spans="1:25" ht="26.25" customHeight="1" x14ac:dyDescent="0.1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</row>
    <row r="974" spans="1:25" ht="26.25" customHeight="1" x14ac:dyDescent="0.1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</row>
    <row r="975" spans="1:25" ht="26.25" customHeight="1" x14ac:dyDescent="0.1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</row>
    <row r="976" spans="1:25" ht="26.25" customHeight="1" x14ac:dyDescent="0.1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</row>
    <row r="977" spans="1:25" ht="26.25" customHeight="1" x14ac:dyDescent="0.1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</row>
    <row r="978" spans="1:25" ht="26.25" customHeight="1" x14ac:dyDescent="0.1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</row>
    <row r="979" spans="1:25" ht="26.25" customHeight="1" x14ac:dyDescent="0.1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</row>
    <row r="980" spans="1:25" ht="26.25" customHeight="1" x14ac:dyDescent="0.1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</row>
    <row r="981" spans="1:25" ht="26.25" customHeight="1" x14ac:dyDescent="0.1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</row>
    <row r="982" spans="1:25" ht="26.25" customHeight="1" x14ac:dyDescent="0.1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</row>
    <row r="983" spans="1:25" ht="26.25" customHeight="1" x14ac:dyDescent="0.1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</row>
    <row r="984" spans="1:25" ht="26.25" customHeight="1" x14ac:dyDescent="0.1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</row>
    <row r="985" spans="1:25" ht="26.25" customHeight="1" x14ac:dyDescent="0.1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</row>
    <row r="986" spans="1:25" ht="26.25" customHeight="1" x14ac:dyDescent="0.1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</row>
    <row r="987" spans="1:25" ht="26.25" customHeight="1" x14ac:dyDescent="0.1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</row>
    <row r="988" spans="1:25" ht="26.25" customHeight="1" x14ac:dyDescent="0.1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</row>
    <row r="989" spans="1:25" ht="26.25" customHeight="1" x14ac:dyDescent="0.1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</row>
    <row r="990" spans="1:25" ht="26.25" customHeight="1" x14ac:dyDescent="0.1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</row>
    <row r="991" spans="1:25" ht="26.25" customHeight="1" x14ac:dyDescent="0.1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</row>
    <row r="992" spans="1:25" ht="26.25" customHeight="1" x14ac:dyDescent="0.1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</row>
    <row r="993" spans="1:25" ht="26.25" customHeight="1" x14ac:dyDescent="0.1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</row>
    <row r="994" spans="1:25" ht="26.25" customHeight="1" x14ac:dyDescent="0.1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</row>
    <row r="995" spans="1:25" ht="26.25" customHeight="1" x14ac:dyDescent="0.1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</row>
    <row r="996" spans="1:25" ht="26.25" customHeight="1" x14ac:dyDescent="0.1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</row>
  </sheetData>
  <hyperlinks>
    <hyperlink ref="N2" r:id="rId1" display="https://drive.google.com/open?id=1GzSlloib5_ZjM3U8BaXAS0iZVY4Qvefl" xr:uid="{00000000-0004-0000-0600-000000000000}"/>
    <hyperlink ref="N3" r:id="rId2" display="https://drive.google.com/open?id=1nOXIgsmw_1iZ20dMcolXCnFpxNh3geu6" xr:uid="{00000000-0004-0000-0600-000001000000}"/>
    <hyperlink ref="N4" r:id="rId3" display="https://drive.google.com/open?id=1afo59aMa85woopBPrtJmp_56u-PY7HTs" xr:uid="{00000000-0004-0000-0600-000002000000}"/>
    <hyperlink ref="N5" r:id="rId4" display="https://drive.google.com/open?id=1QmIkUIxHvdzBAcki1wIXRP47a-PU77Kk" xr:uid="{00000000-0004-0000-0600-000003000000}"/>
    <hyperlink ref="N6" r:id="rId5" display="https://drive.google.com/open?id=1Pe0T8pWf12QdeQ2l38yTmPICsIyeZbQy" xr:uid="{00000000-0004-0000-0600-000004000000}"/>
    <hyperlink ref="N7" r:id="rId6" display="https://drive.google.com/open?id=1W3oS3s45iTQmlMEJQi1z29zqvH6WU2Oe" xr:uid="{00000000-0004-0000-0600-000005000000}"/>
    <hyperlink ref="N8" r:id="rId7" display="https://drive.google.com/open?id=1RgZ80kmSdlvQtzc3UJScqGgKGkzKnbfI" xr:uid="{00000000-0004-0000-0600-000006000000}"/>
    <hyperlink ref="N9" r:id="rId8" display="https://drive.google.com/open?id=1dK_D_RDE24bPlmDiUo1YrkdeeNUXFGV-" xr:uid="{00000000-0004-0000-0600-000007000000}"/>
    <hyperlink ref="N10" r:id="rId9" display="https://drive.google.com/open?id=1TYqCMYsPfhi8HRht_jC-sxycUMe9HGFz" xr:uid="{00000000-0004-0000-0600-000008000000}"/>
    <hyperlink ref="N11" r:id="rId10" display="https://drive.google.com/open?id=1uuWNhUbL1MBPVA0Q1VgPjVpSFZOEDzao" xr:uid="{00000000-0004-0000-0600-000009000000}"/>
    <hyperlink ref="N12" r:id="rId11" display="https://drive.google.com/open?id=1uAFAwt3dYk4mRC_UPUBn5AW5Zxo56IkM" xr:uid="{00000000-0004-0000-0600-00000A000000}"/>
    <hyperlink ref="N13" r:id="rId12" display="https://drive.google.com/open?id=18nREiU1AqlhbNSEtT3q_qfWZ3kD-lLE5" xr:uid="{00000000-0004-0000-0600-00000B000000}"/>
    <hyperlink ref="N14" r:id="rId13" display="https://drive.google.com/open?id=1a0rY2N1aRx84OJCd0TO_zTJMfUd5I30t" xr:uid="{00000000-0004-0000-0600-00000C000000}"/>
    <hyperlink ref="N15" r:id="rId14" display="https://drive.google.com/open?id=1t2RW8Ou2_Z21Ub-FmXX3n8O8MdXYovhZ" xr:uid="{00000000-0004-0000-0600-00000D000000}"/>
    <hyperlink ref="N16" r:id="rId15" display="https://drive.google.com/open?id=1cXf0pIBBC1kOVLsyX-_DetYOgp09YzA_" xr:uid="{00000000-0004-0000-0600-00000E000000}"/>
    <hyperlink ref="N17" r:id="rId16" display="https://drive.google.com/open?id=1DJ2JnCvQr30lA7e1yMtsehGcovvjzUil" xr:uid="{00000000-0004-0000-0600-00000F000000}"/>
    <hyperlink ref="N18" r:id="rId17" display="https://drive.google.com/open?id=1bymUP6eHfxlufPNEm_LBn01j8OdUH3ZD" xr:uid="{00000000-0004-0000-0600-000010000000}"/>
    <hyperlink ref="N19" r:id="rId18" display="https://drive.google.com/open?id=1L1Qo1Mxhgikalx904HBgg4GAs8INbe9I" xr:uid="{00000000-0004-0000-0600-000011000000}"/>
    <hyperlink ref="N20" r:id="rId19" display="https://drive.google.com/open?id=1rWOtnSib5pNevDKPrBsgqUJemwthqMRE" xr:uid="{00000000-0004-0000-0600-000012000000}"/>
    <hyperlink ref="N21" r:id="rId20" display="https://drive.google.com/open?id=1k-RdzvCgtdevHdpknc1frcI8zeceBy31" xr:uid="{00000000-0004-0000-0600-000013000000}"/>
    <hyperlink ref="N22" r:id="rId21" display="https://drive.google.com/open?id=1u9whwEgeafFtxo1K4e69WtfCHd4-5x7u" xr:uid="{00000000-0004-0000-0600-000014000000}"/>
    <hyperlink ref="N23" r:id="rId22" display="https://drive.google.com/open?id=1Y9_qqWpPAcz7k69iFzE4GAdFFfx03ljx" xr:uid="{00000000-0004-0000-0600-000015000000}"/>
    <hyperlink ref="N24" r:id="rId23" display="https://drive.google.com/open?id=1f68sWt-5rGKluE20-P2Im7xMMD-04opV" xr:uid="{00000000-0004-0000-0600-000016000000}"/>
    <hyperlink ref="N25" r:id="rId24" display="https://drive.google.com/open?id=13LkRJTs4XF0_4gVHPtBDYYbiBl1B3cT3" xr:uid="{00000000-0004-0000-0600-000017000000}"/>
    <hyperlink ref="N26" r:id="rId25" display="https://drive.google.com/open?id=1MN72QEOBlsJEpBytw8ieoI5Y1fdvvO8B" xr:uid="{00000000-0004-0000-0600-000018000000}"/>
    <hyperlink ref="N27" r:id="rId26" display="https://drive.google.com/open?id=1mmZ91l860Gob8yBSsKcYE-clugg18T9H" xr:uid="{00000000-0004-0000-0600-000019000000}"/>
    <hyperlink ref="N28" r:id="rId27" display="https://drive.google.com/open?id=1ERDbRT7AXsv2WVl9XVABo_pFFLRjA9xp" xr:uid="{00000000-0004-0000-0600-00001A000000}"/>
    <hyperlink ref="N29" r:id="rId28" display="https://drive.google.com/open?id=1lwSOwIwTVqpRGpHUzE0w7n6RB76vPn-L" xr:uid="{00000000-0004-0000-0600-00001B000000}"/>
    <hyperlink ref="N30" r:id="rId29" display="https://drive.google.com/open?id=1YJN4rRyY1B01XvUq4hn70_L_LIvcg3Kv" xr:uid="{00000000-0004-0000-0600-00001C000000}"/>
    <hyperlink ref="N31" r:id="rId30" display="https://drive.google.com/open?id=1_AmuudImeuAke-60a-pwhO2xVaxGX9rn" xr:uid="{00000000-0004-0000-0600-00001D000000}"/>
    <hyperlink ref="N32" r:id="rId31" display="https://drive.google.com/open?id=1v5U4mH5Q8y5JkinMsVnRQk6Qam2Nz3kX" xr:uid="{00000000-0004-0000-0600-00001E000000}"/>
    <hyperlink ref="N33" r:id="rId32" display="https://drive.google.com/open?id=1dMNxi_Or7UhKxJPL3YEinENFdowglzpI" xr:uid="{00000000-0004-0000-0600-00001F000000}"/>
    <hyperlink ref="N34" r:id="rId33" display="https://drive.google.com/open?id=19Ka6YBVza_JMpDFUmAyufew4waw_D5y0" xr:uid="{00000000-0004-0000-0600-000020000000}"/>
    <hyperlink ref="N35" r:id="rId34" display="https://drive.google.com/open?id=1snuULu0HwVOJ687g5nrp_n5xXeDOBAOD" xr:uid="{00000000-0004-0000-0600-000021000000}"/>
    <hyperlink ref="N36" r:id="rId35" display="https://drive.google.com/open?id=1Wm4MnZKWaOo8kn9bpOgiuXGTJuxbVBfo" xr:uid="{00000000-0004-0000-0600-000022000000}"/>
    <hyperlink ref="N37" r:id="rId36" display="https://drive.google.com/open?id=1UW4JMALPhi0QZwc7UJeLomfBEpWwBMSu" xr:uid="{00000000-0004-0000-0600-000023000000}"/>
    <hyperlink ref="N38" r:id="rId37" display="https://drive.google.com/open?id=1Xa6M5OzsQg1V9f_t8BfVNYGChbG7C8wf" xr:uid="{00000000-0004-0000-0600-000024000000}"/>
    <hyperlink ref="N39" r:id="rId38" display="https://drive.google.com/open?id=1WASeusBpiMpHwN8Tc4olsQAqUnPt0BGt" xr:uid="{00000000-0004-0000-0600-000025000000}"/>
    <hyperlink ref="N40" r:id="rId39" display="https://drive.google.com/open?id=1-5ulWFAkRwnJeAKm0eIUioBG-oDd3-t6" xr:uid="{00000000-0004-0000-0600-000026000000}"/>
    <hyperlink ref="N41" r:id="rId40" display="https://drive.google.com/open?id=1zvZKnreh3OXHMk5VhsXTjp2KaWv929to" xr:uid="{00000000-0004-0000-0600-000027000000}"/>
    <hyperlink ref="N42" r:id="rId41" display="https://drive.google.com/open?id=1QnUhsVy-V9By4eiuivhfai7KsnOFOEpg" xr:uid="{00000000-0004-0000-0600-000028000000}"/>
    <hyperlink ref="N43" r:id="rId42" display="https://drive.google.com/open?id=1lxAJST8TXOy3XcL_6b_yYdnKszShgTct" xr:uid="{00000000-0004-0000-0600-000029000000}"/>
    <hyperlink ref="N44" r:id="rId43" display="https://drive.google.com/open?id=1xgPDjIIWtlF8N_AbDktqiqkbj0DwF7lD" xr:uid="{00000000-0004-0000-0600-00002A000000}"/>
    <hyperlink ref="N45" r:id="rId44" display="https://drive.google.com/open?id=1Xw2oJAu2cW0rAc9TPYjclklox-UbSYzd" xr:uid="{00000000-0004-0000-0600-00002B000000}"/>
    <hyperlink ref="N46" r:id="rId45" display="https://drive.google.com/open?id=1DhXoFA1w4UZTLOmDgJtSJ8eYXX20ozee" xr:uid="{00000000-0004-0000-0600-00002C000000}"/>
    <hyperlink ref="N47" r:id="rId46" display="https://drive.google.com/open?id=1St4ALTYPjBjD_fwPzqO2wiDh4k_BcGAm" xr:uid="{00000000-0004-0000-0600-00002D000000}"/>
    <hyperlink ref="N48" r:id="rId47" display="https://drive.google.com/open?id=19Vnr-yfir3mSMfja5hULLq4nv1UtLUFs" xr:uid="{00000000-0004-0000-0600-00002E000000}"/>
    <hyperlink ref="N49" r:id="rId48" display="https://drive.google.com/open?id=1b10yQQiqJa5x-8VGCPcRG_CInB4HWbui" xr:uid="{00000000-0004-0000-0600-00002F000000}"/>
    <hyperlink ref="N50" r:id="rId49" display="https://drive.google.com/open?id=1tEBdOaI5D-hDwEhnzhVTlujb8AifOd6E" xr:uid="{00000000-0004-0000-0600-000030000000}"/>
    <hyperlink ref="N51" r:id="rId50" display="https://drive.google.com/open?id=1KNB5mdpBylr3Sq-X6G2GSjH6Uo6pYECQ" xr:uid="{00000000-0004-0000-0600-000031000000}"/>
    <hyperlink ref="N52" r:id="rId51" display="https://drive.google.com/open?id=15KfSnOojoq7cgldAyhisNnYZCXghX_TB" xr:uid="{00000000-0004-0000-0600-000032000000}"/>
    <hyperlink ref="N53" r:id="rId52" display="https://drive.google.com/open?id=165gm2cIFcNxj5zaOUv4C6bN2YlDlYYeR" xr:uid="{00000000-0004-0000-0600-000033000000}"/>
    <hyperlink ref="N54" r:id="rId53" display="https://drive.google.com/open?id=1N7m8oEXhRnGzxG2-xw3itirH2SvkA6r9" xr:uid="{00000000-0004-0000-0600-000034000000}"/>
    <hyperlink ref="N55" r:id="rId54" display="https://drive.google.com/open?id=1IrAvW02zQnWaBoFjCxeNvfNtAZnO5_n7" xr:uid="{00000000-0004-0000-0600-000035000000}"/>
    <hyperlink ref="N56" r:id="rId55" display="https://drive.google.com/open?id=1JTnzJnLZbGd66fe_TL_fryOq94tevmAZ" xr:uid="{00000000-0004-0000-0600-000036000000}"/>
    <hyperlink ref="N57" r:id="rId56" display="https://drive.google.com/open?id=16x3z72xdhCk6YK9A67W_yXtuyx05bPN1" xr:uid="{00000000-0004-0000-0600-000037000000}"/>
    <hyperlink ref="N58" r:id="rId57" display="https://drive.google.com/open?id=1skgTASfCSWO8hGQPc6u4CIRldHi6rvWf" xr:uid="{00000000-0004-0000-0600-000038000000}"/>
    <hyperlink ref="N59" r:id="rId58" display="https://drive.google.com/open?id=1JKiX_JHVCRcuVNSyJyJaAbmdcYd1jhGE" xr:uid="{00000000-0004-0000-0600-000039000000}"/>
    <hyperlink ref="N60" r:id="rId59" display="https://drive.google.com/open?id=1-YPdD-Vl_sybYqQmOafz3bTBgBWsgVDU" xr:uid="{00000000-0004-0000-0600-00003A000000}"/>
    <hyperlink ref="N61" r:id="rId60" display="https://drive.google.com/open?id=1f7ZdZP0Y8ylvFDgvbt3EbAAAlwQBCWbP" xr:uid="{00000000-0004-0000-0600-00003B000000}"/>
    <hyperlink ref="N62" r:id="rId61" display="https://drive.google.com/open?id=18qYGJEXtnFFuODV51Xsx6ukkfnK9x7e_" xr:uid="{00000000-0004-0000-0600-00003C000000}"/>
    <hyperlink ref="N63" r:id="rId62" display="https://drive.google.com/open?id=1ijOUB7VQ2hNHPGHW72G42Z4NKaQLEOd1" xr:uid="{00000000-0004-0000-0600-00003D000000}"/>
    <hyperlink ref="N64" r:id="rId63" display="https://drive.google.com/open?id=1GYI3beS34UKdwNxyKDCVgA7e5RJ2y8RA" xr:uid="{00000000-0004-0000-0600-00003E000000}"/>
    <hyperlink ref="N65" r:id="rId64" display="https://drive.google.com/open?id=1iOl5zk8jwAhdEaC20sFGrBDFkqGX_xRy" xr:uid="{00000000-0004-0000-0600-00003F000000}"/>
    <hyperlink ref="N66" r:id="rId65" display="https://drive.google.com/open?id=1Q-7YhkSF7m4wLi3K0CVmURJR9q2aTB2J" xr:uid="{00000000-0004-0000-0600-000040000000}"/>
    <hyperlink ref="N67" r:id="rId66" display="https://drive.google.com/open?id=1nHKEpBmLzwDIC7-hYAYMG2_dJItDviPX" xr:uid="{00000000-0004-0000-0600-000041000000}"/>
    <hyperlink ref="N68" r:id="rId67" display="https://drive.google.com/open?id=1KloXdaVGNkXol7VQk2g9ENDnLuu-Zmt5" xr:uid="{00000000-0004-0000-0600-000042000000}"/>
    <hyperlink ref="N69" r:id="rId68" display="https://drive.google.com/open?id=1_Ond_jtt-d4exjAneB4sKCd2EikihoCK" xr:uid="{00000000-0004-0000-0600-000043000000}"/>
    <hyperlink ref="N70" r:id="rId69" display="https://drive.google.com/open?id=1YuVsBrH8JGCYk8UYHg-tqKCJZ8AOJa3k" xr:uid="{00000000-0004-0000-0600-000044000000}"/>
    <hyperlink ref="N71" r:id="rId70" display="https://drive.google.com/open?id=1hsdS8x6QAkr093ZKVQozx_VW02UX_ciT" xr:uid="{00000000-0004-0000-0600-000045000000}"/>
    <hyperlink ref="N72" r:id="rId71" display="https://drive.google.com/open?id=12mLbgSr8BQGMi1V9Ki3S11KzhbWIS1ne" xr:uid="{00000000-0004-0000-0600-000046000000}"/>
    <hyperlink ref="N73" r:id="rId72" display="https://drive.google.com/open?id=1BE7JQdinxMsRNrXWG8ECY6NhXcr3E34U" xr:uid="{00000000-0004-0000-0600-000047000000}"/>
    <hyperlink ref="N74" r:id="rId73" display="https://drive.google.com/open?id=1uVsSqbzOHsEXd8qtejGTUQkuw-oQqRX2" xr:uid="{00000000-0004-0000-0600-000048000000}"/>
    <hyperlink ref="N75" r:id="rId74" display="https://drive.google.com/open?id=1CUBc4XwsGKxtG0Gm3o57OEqgjSf_ux31" xr:uid="{00000000-0004-0000-0600-000049000000}"/>
    <hyperlink ref="N76" r:id="rId75" display="https://drive.google.com/open?id=1wRDnWjVgTMxaH-hngAwYfoHXbiKKZt70" xr:uid="{00000000-0004-0000-0600-00004A000000}"/>
    <hyperlink ref="N77" r:id="rId76" display="https://drive.google.com/open?id=1fgv5CvK18243Ysu4UJmQrd7eBoTRVQvp" xr:uid="{00000000-0004-0000-0600-00004B000000}"/>
    <hyperlink ref="N78" r:id="rId77" display="https://drive.google.com/open?id=1R7MqIRs3YZOruWBtAqBzwhgUzbDpw4tb" xr:uid="{00000000-0004-0000-0600-00004C000000}"/>
    <hyperlink ref="N79" r:id="rId78" display="https://drive.google.com/open?id=1ANx1BaRz1AoBB0EdoUoNP7vJe5AVsnVV" xr:uid="{00000000-0004-0000-0600-00004D000000}"/>
    <hyperlink ref="N80" r:id="rId79" display="https://drive.google.com/open?id=1f6QUzmNI0NAK3xQ4rBtytOxYcgP1jjNk" xr:uid="{00000000-0004-0000-0600-00004E000000}"/>
    <hyperlink ref="N81" r:id="rId80" display="https://drive.google.com/open?id=1FPX2QrZLTvGZfjzHUBavNjiV9l1kTGPq" xr:uid="{00000000-0004-0000-0600-00004F000000}"/>
    <hyperlink ref="N82" r:id="rId81" display="https://drive.google.com/open?id=1P_SDynCHaaW72tBwCIbXv8UEO8NUopEk" xr:uid="{00000000-0004-0000-0600-000050000000}"/>
    <hyperlink ref="N83" r:id="rId82" display="https://drive.google.com/open?id=134P2I3pD2SS-W20-g3ud9BmBsVEiO2FR" xr:uid="{00000000-0004-0000-0600-000051000000}"/>
    <hyperlink ref="N84" r:id="rId83" display="https://drive.google.com/open?id=12Aw9JBnVJ5rWOQ2L_VqcpXMWITfO6AgA" xr:uid="{00000000-0004-0000-0600-000052000000}"/>
    <hyperlink ref="N85" r:id="rId84" display="https://drive.google.com/open?id=1BoUN3WLMggs9Bm6YOfMVjkHpYDJ16YUP" xr:uid="{00000000-0004-0000-0600-000053000000}"/>
    <hyperlink ref="N86" r:id="rId85" display="https://drive.google.com/open?id=1-VEYMCW3l0PXFEtYFpD3jldSLz6PLv8l" xr:uid="{00000000-0004-0000-0600-000054000000}"/>
    <hyperlink ref="N87" r:id="rId86" display="https://drive.google.com/open?id=12oZBqNOCdGscf-2Q9CeT0JV9-npaxoEZ" xr:uid="{00000000-0004-0000-0600-000055000000}"/>
    <hyperlink ref="I88" r:id="rId87" display="http://1stop.ai/" xr:uid="{00000000-0004-0000-0600-000056000000}"/>
    <hyperlink ref="N88" r:id="rId88" display="https://drive.google.com/open?id=135lffPeuyEr33WeMtI8SWpmgcErped5g" xr:uid="{00000000-0004-0000-0600-000057000000}"/>
    <hyperlink ref="I89" r:id="rId89" display="http://1stop.ai/" xr:uid="{00000000-0004-0000-0600-000058000000}"/>
    <hyperlink ref="N89" r:id="rId90" display="https://drive.google.com/open?id=1xHB7KlbUemK4WT97QXCv1wmS6wBM8Ib9" xr:uid="{00000000-0004-0000-0600-000059000000}"/>
    <hyperlink ref="N90" r:id="rId91" display="https://drive.google.com/open?id=1SITLo59BA2g6jPYZieToe5GLnG9g9zbO" xr:uid="{00000000-0004-0000-0600-00005A000000}"/>
    <hyperlink ref="N91" r:id="rId92" display="https://drive.google.com/open?id=1Ra_1aYRguclV2sJfGLJG3mjP_04GJuSP" xr:uid="{00000000-0004-0000-0600-00005B000000}"/>
    <hyperlink ref="N92" r:id="rId93" display="https://drive.google.com/open?id=16U575sMRpFQYinxQDwYYXgmIvOKTrbCr" xr:uid="{00000000-0004-0000-0600-00005C000000}"/>
    <hyperlink ref="N93" r:id="rId94" display="https://drive.google.com/open?id=1NowfernrLisMsTjXwN2MTz0gb5_43kXk" xr:uid="{00000000-0004-0000-0600-00005D000000}"/>
    <hyperlink ref="N94" r:id="rId95" display="https://drive.google.com/open?id=1NXOPsyh955aIGZjzTRRVIr0FWUw4rpis" xr:uid="{00000000-0004-0000-0600-00005E000000}"/>
    <hyperlink ref="N95" r:id="rId96" display="https://drive.google.com/open?id=1g38x1n1M60apvsFzB3wZCCoaSepNDmv9" xr:uid="{00000000-0004-0000-0600-00005F000000}"/>
    <hyperlink ref="N96" r:id="rId97" display="https://drive.google.com/open?id=1VIjxi_MlNnA9ugQx67YvTGsEQC5oDd4y" xr:uid="{00000000-0004-0000-0600-000060000000}"/>
    <hyperlink ref="N97" r:id="rId98" display="https://drive.google.com/open?id=1VTe8G3ag7QW6ZX3AXCtEh60hSBycfJ4w" xr:uid="{00000000-0004-0000-0600-000061000000}"/>
    <hyperlink ref="N98" r:id="rId99" display="https://drive.google.com/open?id=1g0QXVO9noo4etUmIUP_oXpwHqMjRE4Bt" xr:uid="{00000000-0004-0000-0600-000062000000}"/>
    <hyperlink ref="N99" r:id="rId100" display="https://drive.google.com/open?id=1u3NS11v0fvpPHhZMHMMRQxaGA8DySqfG" xr:uid="{00000000-0004-0000-0600-000063000000}"/>
    <hyperlink ref="N100" r:id="rId101" display="https://drive.google.com/open?id=1EkYPRhT0FUNeDhx1N_rR_eAwme2sNrD8" xr:uid="{00000000-0004-0000-0600-000064000000}"/>
    <hyperlink ref="N101" r:id="rId102" display="https://drive.google.com/open?id=18KJNAHlNOgi39ODIHQNwA6UZDkEVrb_G" xr:uid="{00000000-0004-0000-0600-000065000000}"/>
    <hyperlink ref="N102" r:id="rId103" display="https://drive.google.com/open?id=1K4YvXyrOQTuJ2FfJ45B5JuJcD8DQ_fTh" xr:uid="{00000000-0004-0000-0600-000066000000}"/>
    <hyperlink ref="N103" r:id="rId104" display="https://drive.google.com/open?id=1WkQtQLdGhQBJEgkiVn1gYaIcUbBhvm13" xr:uid="{00000000-0004-0000-0600-000067000000}"/>
    <hyperlink ref="N104" r:id="rId105" display="https://drive.google.com/open?id=15ej9vscZ0I8ge1ld4LdQpKYaykpN1SaF" xr:uid="{00000000-0004-0000-0600-000068000000}"/>
    <hyperlink ref="N105" r:id="rId106" display="https://drive.google.com/open?id=1BiLv-XLj1k_RULgHrqvPtYN3P8kqC0QZ" xr:uid="{00000000-0004-0000-0600-000069000000}"/>
    <hyperlink ref="N106" r:id="rId107" display="https://drive.google.com/open?id=1eU1ODAZjWmC1lWUo_kbTMctGyyaKRRwt" xr:uid="{00000000-0004-0000-0600-00006A000000}"/>
    <hyperlink ref="N107" r:id="rId108" display="https://drive.google.com/open?id=1CdIhKOLxHMKon7MhlxfbyeqhVil30Pmz" xr:uid="{00000000-0004-0000-0600-00006B000000}"/>
    <hyperlink ref="N108" r:id="rId109" display="https://drive.google.com/open?id=1RNxNHVErA7ZetNxkkw55UxK_dJZ0frz-" xr:uid="{00000000-0004-0000-0600-00006C000000}"/>
    <hyperlink ref="N109" r:id="rId110" display="https://drive.google.com/open?id=13ZIfIPothsMAgPWvm_xwT_qHdQfFypAW" xr:uid="{00000000-0004-0000-0600-00006D000000}"/>
    <hyperlink ref="N110" r:id="rId111" display="https://drive.google.com/open?id=1DEdRuYekCFhzd1erkA9WdK8eaGdsNCPZ" xr:uid="{00000000-0004-0000-0600-00006E000000}"/>
    <hyperlink ref="N111" r:id="rId112" display="https://drive.google.com/open?id=1i7HvRm7o_Fo5ru2AXb8mglLcWf9bU4VQ" xr:uid="{00000000-0004-0000-0600-00006F000000}"/>
    <hyperlink ref="N112" r:id="rId113" display="https://drive.google.com/open?id=1KXxLf3kmQ7XkswAbYhV3eiJBIuHbXixm" xr:uid="{00000000-0004-0000-0600-000070000000}"/>
    <hyperlink ref="N113" r:id="rId114" display="https://drive.google.com/open?id=1MDrSYOioEUHeQwB-6smO-gSyxJqD4CJI" xr:uid="{00000000-0004-0000-0600-000071000000}"/>
    <hyperlink ref="N114" r:id="rId115" display="https://drive.google.com/open?id=1cD-nvUkKghHS_22NQ1cJ-jlCn5Gm2Flt" xr:uid="{00000000-0004-0000-0600-000072000000}"/>
    <hyperlink ref="N115" r:id="rId116" display="https://drive.google.com/open?id=1P39TxcaJYNVH5sxUyMPon24uWCHmo6Qe" xr:uid="{00000000-0004-0000-0600-000073000000}"/>
    <hyperlink ref="N116" r:id="rId117" display="https://drive.google.com/open?id=1CXij0NCjjlHixbFN2sf5gEXDE3wvUNSd" xr:uid="{00000000-0004-0000-0600-000074000000}"/>
    <hyperlink ref="N117" r:id="rId118" display="https://drive.google.com/open?id=1pUeLcOiE1mkVTh4yivLyyXGlkX3NswyC" xr:uid="{00000000-0004-0000-0600-000075000000}"/>
    <hyperlink ref="N118" r:id="rId119" display="https://drive.google.com/open?id=1ELPYEE3rpdtKRQRpwVSO-bZmIYuc3FF8" xr:uid="{00000000-0004-0000-0600-000076000000}"/>
    <hyperlink ref="N119" r:id="rId120" display="https://drive.google.com/open?id=1CHLGWB1XlhaqLC5Og-QimOht_H5MHELK" xr:uid="{00000000-0004-0000-0600-000077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X996"/>
  <sheetViews>
    <sheetView workbookViewId="0"/>
  </sheetViews>
  <sheetFormatPr baseColWidth="10" defaultColWidth="12.6640625" defaultRowHeight="15.75" customHeight="1" x14ac:dyDescent="0.15"/>
  <cols>
    <col min="1" max="1" width="28" customWidth="1"/>
    <col min="2" max="2" width="13.83203125" customWidth="1"/>
    <col min="3" max="3" width="15.6640625" customWidth="1"/>
    <col min="4" max="4" width="56.1640625" customWidth="1"/>
    <col min="5" max="5" width="33.1640625" customWidth="1"/>
    <col min="6" max="6" width="14.33203125" customWidth="1"/>
    <col min="7" max="7" width="11.6640625" customWidth="1"/>
    <col min="8" max="8" width="10.6640625" customWidth="1"/>
    <col min="9" max="9" width="7.83203125" customWidth="1"/>
    <col min="10" max="10" width="64.1640625" customWidth="1"/>
    <col min="11" max="11" width="17.6640625" customWidth="1"/>
    <col min="12" max="12" width="23.83203125" customWidth="1"/>
    <col min="13" max="13" width="28.1640625" customWidth="1"/>
    <col min="14" max="14" width="12.6640625" customWidth="1"/>
  </cols>
  <sheetData>
    <row r="1" spans="1:24" ht="33" customHeight="1" x14ac:dyDescent="0.15">
      <c r="A1" s="86" t="s">
        <v>25</v>
      </c>
      <c r="B1" s="86" t="s">
        <v>26</v>
      </c>
      <c r="C1" s="86" t="s">
        <v>68</v>
      </c>
      <c r="D1" s="86" t="s">
        <v>78</v>
      </c>
      <c r="E1" s="86" t="s">
        <v>3888</v>
      </c>
      <c r="F1" s="86" t="s">
        <v>80</v>
      </c>
      <c r="G1" s="86" t="s">
        <v>55</v>
      </c>
      <c r="H1" s="86" t="s">
        <v>56</v>
      </c>
      <c r="I1" s="86" t="s">
        <v>81</v>
      </c>
      <c r="J1" s="86" t="s">
        <v>3889</v>
      </c>
      <c r="K1" s="15" t="s">
        <v>24</v>
      </c>
      <c r="L1" s="14" t="s">
        <v>1</v>
      </c>
      <c r="M1" s="15" t="s">
        <v>113</v>
      </c>
      <c r="N1" s="15" t="s">
        <v>114</v>
      </c>
      <c r="O1" s="9"/>
      <c r="P1" s="9"/>
      <c r="Q1" s="9"/>
      <c r="R1" s="9"/>
      <c r="S1" s="9"/>
      <c r="T1" s="9"/>
      <c r="U1" s="9"/>
      <c r="V1" s="9"/>
      <c r="W1" s="9"/>
      <c r="X1" s="9"/>
    </row>
    <row r="2" spans="1:24" ht="33" customHeight="1" x14ac:dyDescent="0.15">
      <c r="A2" s="69" t="str">
        <f ca="1">IFERROR(__xludf.DUMMYFUNCTION("QUERY(MasterData!A1:NK11244,""select BW,BX,BZ,CA,CB,CC,CD,CE,CF,CG,B,C,FL,FM where C='S6: Student NPTEL'"",0)"),"Bogapurapu Rahul")</f>
        <v>Bogapurapu Rahul</v>
      </c>
      <c r="B2" s="69" t="str">
        <f ca="1">IFERROR(__xludf.DUMMYFUNCTION("""COMPUTED_VALUE"""),"18331A0516")</f>
        <v>18331A0516</v>
      </c>
      <c r="C2" s="69" t="str">
        <f ca="1">IFERROR(__xludf.DUMMYFUNCTION("""COMPUTED_VALUE"""),"2021-2022")</f>
        <v>2021-2022</v>
      </c>
      <c r="D2" s="69" t="str">
        <f ca="1">IFERROR(__xludf.DUMMYFUNCTION("""COMPUTED_VALUE"""),"Soft Skills")</f>
        <v>Soft Skills</v>
      </c>
      <c r="E2" s="69" t="str">
        <f ca="1">IFERROR(__xludf.DUMMYFUNCTION("""COMPUTED_VALUE"""),"NPTEL")</f>
        <v>NPTEL</v>
      </c>
      <c r="F2" s="69" t="str">
        <f ca="1">IFERROR(__xludf.DUMMYFUNCTION("""COMPUTED_VALUE"""),"12 Weeks")</f>
        <v>12 Weeks</v>
      </c>
      <c r="G2" s="82">
        <f ca="1">IFERROR(__xludf.DUMMYFUNCTION("""COMPUTED_VALUE"""),44444)</f>
        <v>44444</v>
      </c>
      <c r="H2" s="82">
        <f ca="1">IFERROR(__xludf.DUMMYFUNCTION("""COMPUTED_VALUE"""),44535)</f>
        <v>44535</v>
      </c>
      <c r="I2" s="69">
        <f ca="1">IFERROR(__xludf.DUMMYFUNCTION("""COMPUTED_VALUE"""),62)</f>
        <v>62</v>
      </c>
      <c r="J2" s="75" t="str">
        <f ca="1">IFERROR(__xludf.DUMMYFUNCTION("""COMPUTED_VALUE"""),"https://drive.google.com/open?id=1piWHs3Y2Ya4_4oUq9AiKaWdJA4SIpaiH")</f>
        <v>https://drive.google.com/open?id=1piWHs3Y2Ya4_4oUq9AiKaWdJA4SIpaiH</v>
      </c>
      <c r="K2" s="69" t="str">
        <f ca="1">IFERROR(__xludf.DUMMYFUNCTION("""COMPUTED_VALUE"""),"2018-2022")</f>
        <v>2018-2022</v>
      </c>
      <c r="L2" s="69" t="str">
        <f ca="1">IFERROR(__xludf.DUMMYFUNCTION("""COMPUTED_VALUE"""),"S6: Student NPTEL")</f>
        <v>S6: Student NPTEL</v>
      </c>
      <c r="M2" s="69" t="str">
        <f ca="1">IFERROR(__xludf.DUMMYFUNCTION("""COMPUTED_VALUE"""),"rrahul94772@gmail.com")</f>
        <v>rrahul94772@gmail.com</v>
      </c>
      <c r="N2" s="69" t="str">
        <f ca="1">IFERROR(__xludf.DUMMYFUNCTION("""COMPUTED_VALUE"""),"SEM-8")</f>
        <v>SEM-8</v>
      </c>
      <c r="O2" s="69"/>
      <c r="P2" s="69"/>
      <c r="Q2" s="69"/>
      <c r="R2" s="69"/>
      <c r="S2" s="69"/>
      <c r="T2" s="69"/>
      <c r="U2" s="69"/>
      <c r="V2" s="69"/>
      <c r="W2" s="69"/>
      <c r="X2" s="69"/>
    </row>
    <row r="3" spans="1:24" ht="33" customHeight="1" x14ac:dyDescent="0.15">
      <c r="A3" s="69" t="str">
        <f ca="1">IFERROR(__xludf.DUMMYFUNCTION("""COMPUTED_VALUE"""),"L.Kavya")</f>
        <v>L.Kavya</v>
      </c>
      <c r="B3" s="69" t="str">
        <f ca="1">IFERROR(__xludf.DUMMYFUNCTION("""COMPUTED_VALUE"""),"18331A0585")</f>
        <v>18331A0585</v>
      </c>
      <c r="C3" s="69" t="str">
        <f ca="1">IFERROR(__xludf.DUMMYFUNCTION("""COMPUTED_VALUE"""),"2020-2021")</f>
        <v>2020-2021</v>
      </c>
      <c r="D3" s="69" t="str">
        <f ca="1">IFERROR(__xludf.DUMMYFUNCTION("""COMPUTED_VALUE"""),"Soft Skills")</f>
        <v>Soft Skills</v>
      </c>
      <c r="E3" s="69" t="str">
        <f ca="1">IFERROR(__xludf.DUMMYFUNCTION("""COMPUTED_VALUE"""),"NPTEL")</f>
        <v>NPTEL</v>
      </c>
      <c r="F3" s="69" t="str">
        <f ca="1">IFERROR(__xludf.DUMMYFUNCTION("""COMPUTED_VALUE"""),"12 weeks")</f>
        <v>12 weeks</v>
      </c>
      <c r="G3" s="82">
        <f ca="1">IFERROR(__xludf.DUMMYFUNCTION("""COMPUTED_VALUE"""),44089)</f>
        <v>44089</v>
      </c>
      <c r="H3" s="82">
        <f ca="1">IFERROR(__xludf.DUMMYFUNCTION("""COMPUTED_VALUE"""),44190)</f>
        <v>44190</v>
      </c>
      <c r="I3" s="69">
        <f ca="1">IFERROR(__xludf.DUMMYFUNCTION("""COMPUTED_VALUE"""),63)</f>
        <v>63</v>
      </c>
      <c r="J3" s="75" t="str">
        <f ca="1">IFERROR(__xludf.DUMMYFUNCTION("""COMPUTED_VALUE"""),"https://drive.google.com/open?id=10hLmuCevcj4rym65LtXH_pBpFzZsdz2h")</f>
        <v>https://drive.google.com/open?id=10hLmuCevcj4rym65LtXH_pBpFzZsdz2h</v>
      </c>
      <c r="K3" s="69" t="str">
        <f ca="1">IFERROR(__xludf.DUMMYFUNCTION("""COMPUTED_VALUE"""),"2018-2022")</f>
        <v>2018-2022</v>
      </c>
      <c r="L3" s="69" t="str">
        <f ca="1">IFERROR(__xludf.DUMMYFUNCTION("""COMPUTED_VALUE"""),"S6: Student NPTEL")</f>
        <v>S6: Student NPTEL</v>
      </c>
      <c r="M3" s="69" t="str">
        <f ca="1">IFERROR(__xludf.DUMMYFUNCTION("""COMPUTED_VALUE"""),"lakhanapuramkavya@gmail.com")</f>
        <v>lakhanapuramkavya@gmail.com</v>
      </c>
      <c r="N3" s="69" t="str">
        <f ca="1">IFERROR(__xludf.DUMMYFUNCTION("""COMPUTED_VALUE"""),"SEM-8")</f>
        <v>SEM-8</v>
      </c>
      <c r="O3" s="69"/>
      <c r="P3" s="69"/>
      <c r="Q3" s="69"/>
      <c r="R3" s="69"/>
      <c r="S3" s="69"/>
      <c r="T3" s="69"/>
      <c r="U3" s="69"/>
      <c r="V3" s="69"/>
      <c r="W3" s="69"/>
      <c r="X3" s="69"/>
    </row>
    <row r="4" spans="1:24" ht="33" customHeight="1" x14ac:dyDescent="0.15">
      <c r="A4" s="69" t="str">
        <f ca="1">IFERROR(__xludf.DUMMYFUNCTION("""COMPUTED_VALUE"""),"LATCHUBUKTHA SUTESH")</f>
        <v>LATCHUBUKTHA SUTESH</v>
      </c>
      <c r="B4" s="69" t="str">
        <f ca="1">IFERROR(__xludf.DUMMYFUNCTION("""COMPUTED_VALUE"""),"18331A0588")</f>
        <v>18331A0588</v>
      </c>
      <c r="C4" s="69" t="str">
        <f ca="1">IFERROR(__xludf.DUMMYFUNCTION("""COMPUTED_VALUE"""),"2019-2020")</f>
        <v>2019-2020</v>
      </c>
      <c r="D4" s="69" t="str">
        <f ca="1">IFERROR(__xludf.DUMMYFUNCTION("""COMPUTED_VALUE"""),"Programming in C")</f>
        <v>Programming in C</v>
      </c>
      <c r="E4" s="69" t="str">
        <f ca="1">IFERROR(__xludf.DUMMYFUNCTION("""COMPUTED_VALUE"""),"NPTEL")</f>
        <v>NPTEL</v>
      </c>
      <c r="F4" s="69" t="str">
        <f ca="1">IFERROR(__xludf.DUMMYFUNCTION("""COMPUTED_VALUE"""),"8 weeks")</f>
        <v>8 weeks</v>
      </c>
      <c r="G4" s="82">
        <f ca="1">IFERROR(__xludf.DUMMYFUNCTION("""COMPUTED_VALUE"""),43647)</f>
        <v>43647</v>
      </c>
      <c r="H4" s="82">
        <f ca="1">IFERROR(__xludf.DUMMYFUNCTION("""COMPUTED_VALUE"""),43709)</f>
        <v>43709</v>
      </c>
      <c r="I4" s="69">
        <f ca="1">IFERROR(__xludf.DUMMYFUNCTION("""COMPUTED_VALUE"""),84)</f>
        <v>84</v>
      </c>
      <c r="J4" s="75" t="str">
        <f ca="1">IFERROR(__xludf.DUMMYFUNCTION("""COMPUTED_VALUE"""),"https://drive.google.com/open?id=1Rv0duWK5org1VQf4Lv2k64_LZkKBgSPi")</f>
        <v>https://drive.google.com/open?id=1Rv0duWK5org1VQf4Lv2k64_LZkKBgSPi</v>
      </c>
      <c r="K4" s="69" t="str">
        <f ca="1">IFERROR(__xludf.DUMMYFUNCTION("""COMPUTED_VALUE"""),"2018-2022")</f>
        <v>2018-2022</v>
      </c>
      <c r="L4" s="69" t="str">
        <f ca="1">IFERROR(__xludf.DUMMYFUNCTION("""COMPUTED_VALUE"""),"S6: Student NPTEL")</f>
        <v>S6: Student NPTEL</v>
      </c>
      <c r="M4" s="69" t="str">
        <f ca="1">IFERROR(__xludf.DUMMYFUNCTION("""COMPUTED_VALUE"""),"latchubukthasutesh9@gmail.com")</f>
        <v>latchubukthasutesh9@gmail.com</v>
      </c>
      <c r="N4" s="69" t="str">
        <f ca="1">IFERROR(__xludf.DUMMYFUNCTION("""COMPUTED_VALUE"""),"SEM-3")</f>
        <v>SEM-3</v>
      </c>
      <c r="O4" s="69"/>
      <c r="P4" s="69"/>
      <c r="Q4" s="69"/>
      <c r="R4" s="69"/>
      <c r="S4" s="69"/>
      <c r="T4" s="69"/>
      <c r="U4" s="69"/>
      <c r="V4" s="69"/>
      <c r="W4" s="69"/>
      <c r="X4" s="69"/>
    </row>
    <row r="5" spans="1:24" ht="33" customHeight="1" x14ac:dyDescent="0.15">
      <c r="A5" s="69" t="str">
        <f ca="1">IFERROR(__xludf.DUMMYFUNCTION("""COMPUTED_VALUE"""),"LATCHUBUKTHA SUTESH")</f>
        <v>LATCHUBUKTHA SUTESH</v>
      </c>
      <c r="B5" s="69" t="str">
        <f ca="1">IFERROR(__xludf.DUMMYFUNCTION("""COMPUTED_VALUE"""),"18331A0588")</f>
        <v>18331A0588</v>
      </c>
      <c r="C5" s="69" t="str">
        <f ca="1">IFERROR(__xludf.DUMMYFUNCTION("""COMPUTED_VALUE"""),"2019-2020")</f>
        <v>2019-2020</v>
      </c>
      <c r="D5" s="69" t="str">
        <f ca="1">IFERROR(__xludf.DUMMYFUNCTION("""COMPUTED_VALUE"""),"Programming in java")</f>
        <v>Programming in java</v>
      </c>
      <c r="E5" s="69" t="str">
        <f ca="1">IFERROR(__xludf.DUMMYFUNCTION("""COMPUTED_VALUE"""),"NPTEL")</f>
        <v>NPTEL</v>
      </c>
      <c r="F5" s="69" t="str">
        <f ca="1">IFERROR(__xludf.DUMMYFUNCTION("""COMPUTED_VALUE"""),"12 weeks")</f>
        <v>12 weeks</v>
      </c>
      <c r="G5" s="82">
        <f ca="1">IFERROR(__xludf.DUMMYFUNCTION("""COMPUTED_VALUE"""),43831)</f>
        <v>43831</v>
      </c>
      <c r="H5" s="82">
        <f ca="1">IFERROR(__xludf.DUMMYFUNCTION("""COMPUTED_VALUE"""),43921)</f>
        <v>43921</v>
      </c>
      <c r="I5" s="69">
        <f ca="1">IFERROR(__xludf.DUMMYFUNCTION("""COMPUTED_VALUE"""),96)</f>
        <v>96</v>
      </c>
      <c r="J5" s="75" t="str">
        <f ca="1">IFERROR(__xludf.DUMMYFUNCTION("""COMPUTED_VALUE"""),"https://drive.google.com/open?id=1Ljw76TOEBELwkGryhr8VqCI-2coBs_iX")</f>
        <v>https://drive.google.com/open?id=1Ljw76TOEBELwkGryhr8VqCI-2coBs_iX</v>
      </c>
      <c r="K5" s="69" t="str">
        <f ca="1">IFERROR(__xludf.DUMMYFUNCTION("""COMPUTED_VALUE"""),"2018-2022")</f>
        <v>2018-2022</v>
      </c>
      <c r="L5" s="69" t="str">
        <f ca="1">IFERROR(__xludf.DUMMYFUNCTION("""COMPUTED_VALUE"""),"S6: Student NPTEL")</f>
        <v>S6: Student NPTEL</v>
      </c>
      <c r="M5" s="69" t="str">
        <f ca="1">IFERROR(__xludf.DUMMYFUNCTION("""COMPUTED_VALUE"""),"latchubukthasutesh9@gmail.com")</f>
        <v>latchubukthasutesh9@gmail.com</v>
      </c>
      <c r="N5" s="69" t="str">
        <f ca="1">IFERROR(__xludf.DUMMYFUNCTION("""COMPUTED_VALUE"""),"SEM-4")</f>
        <v>SEM-4</v>
      </c>
      <c r="O5" s="69"/>
      <c r="P5" s="69"/>
      <c r="Q5" s="69"/>
      <c r="R5" s="69"/>
      <c r="S5" s="69"/>
      <c r="T5" s="69"/>
      <c r="U5" s="69"/>
      <c r="V5" s="69"/>
      <c r="W5" s="69"/>
      <c r="X5" s="69"/>
    </row>
    <row r="6" spans="1:24" ht="33" customHeight="1" x14ac:dyDescent="0.15">
      <c r="A6" s="69" t="str">
        <f ca="1">IFERROR(__xludf.DUMMYFUNCTION("""COMPUTED_VALUE"""),"Yuvaraj Chowdary Ratnala")</f>
        <v>Yuvaraj Chowdary Ratnala</v>
      </c>
      <c r="B6" s="69" t="str">
        <f ca="1">IFERROR(__xludf.DUMMYFUNCTION("""COMPUTED_VALUE"""),"18331A05C3")</f>
        <v>18331A05C3</v>
      </c>
      <c r="C6" s="69" t="str">
        <f ca="1">IFERROR(__xludf.DUMMYFUNCTION("""COMPUTED_VALUE"""),"2019-2020")</f>
        <v>2019-2020</v>
      </c>
      <c r="D6" s="69" t="str">
        <f ca="1">IFERROR(__xludf.DUMMYFUNCTION("""COMPUTED_VALUE"""),"Joy of Computing using Python")</f>
        <v>Joy of Computing using Python</v>
      </c>
      <c r="E6" s="69" t="str">
        <f ca="1">IFERROR(__xludf.DUMMYFUNCTION("""COMPUTED_VALUE"""),"NPTEL")</f>
        <v>NPTEL</v>
      </c>
      <c r="F6" s="69" t="str">
        <f ca="1">IFERROR(__xludf.DUMMYFUNCTION("""COMPUTED_VALUE"""),"12 weeks")</f>
        <v>12 weeks</v>
      </c>
      <c r="G6" s="82">
        <f ca="1">IFERROR(__xludf.DUMMYFUNCTION("""COMPUTED_VALUE"""),44075)</f>
        <v>44075</v>
      </c>
      <c r="H6" s="82">
        <f ca="1">IFERROR(__xludf.DUMMYFUNCTION("""COMPUTED_VALUE"""),44196)</f>
        <v>44196</v>
      </c>
      <c r="I6" s="69">
        <f ca="1">IFERROR(__xludf.DUMMYFUNCTION("""COMPUTED_VALUE"""),89)</f>
        <v>89</v>
      </c>
      <c r="J6" s="75" t="str">
        <f ca="1">IFERROR(__xludf.DUMMYFUNCTION("""COMPUTED_VALUE"""),"https://drive.google.com/open?id=1tzckmNokaVHGruMN6Hc_EC3u6-od9oOJ")</f>
        <v>https://drive.google.com/open?id=1tzckmNokaVHGruMN6Hc_EC3u6-od9oOJ</v>
      </c>
      <c r="K6" s="69" t="str">
        <f ca="1">IFERROR(__xludf.DUMMYFUNCTION("""COMPUTED_VALUE"""),"2018-2022")</f>
        <v>2018-2022</v>
      </c>
      <c r="L6" s="69" t="str">
        <f ca="1">IFERROR(__xludf.DUMMYFUNCTION("""COMPUTED_VALUE"""),"S6: Student NPTEL")</f>
        <v>S6: Student NPTEL</v>
      </c>
      <c r="M6" s="69" t="str">
        <f ca="1">IFERROR(__xludf.DUMMYFUNCTION("""COMPUTED_VALUE"""),"18331A05C3@mvgrce.edu.in")</f>
        <v>18331A05C3@mvgrce.edu.in</v>
      </c>
      <c r="N6" s="69" t="str">
        <f ca="1">IFERROR(__xludf.DUMMYFUNCTION("""COMPUTED_VALUE"""),"SEM-8")</f>
        <v>SEM-8</v>
      </c>
      <c r="O6" s="69"/>
      <c r="P6" s="69"/>
      <c r="Q6" s="69"/>
      <c r="R6" s="69"/>
      <c r="S6" s="69"/>
      <c r="T6" s="69"/>
      <c r="U6" s="69"/>
      <c r="V6" s="69"/>
      <c r="W6" s="69"/>
      <c r="X6" s="69"/>
    </row>
    <row r="7" spans="1:24" ht="33" customHeight="1" x14ac:dyDescent="0.15">
      <c r="A7" s="69" t="str">
        <f ca="1">IFERROR(__xludf.DUMMYFUNCTION("""COMPUTED_VALUE"""),"Yuvaraj Chowdary Ratnala")</f>
        <v>Yuvaraj Chowdary Ratnala</v>
      </c>
      <c r="B7" s="69" t="str">
        <f ca="1">IFERROR(__xludf.DUMMYFUNCTION("""COMPUTED_VALUE"""),"18331A05C3")</f>
        <v>18331A05C3</v>
      </c>
      <c r="C7" s="69" t="str">
        <f ca="1">IFERROR(__xludf.DUMMYFUNCTION("""COMPUTED_VALUE"""),"2019-2020")</f>
        <v>2019-2020</v>
      </c>
      <c r="D7" s="69" t="str">
        <f ca="1">IFERROR(__xludf.DUMMYFUNCTION("""COMPUTED_VALUE"""),"Biology for Engineers and other Non-biologists")</f>
        <v>Biology for Engineers and other Non-biologists</v>
      </c>
      <c r="E7" s="69" t="str">
        <f ca="1">IFERROR(__xludf.DUMMYFUNCTION("""COMPUTED_VALUE"""),"NPTEL")</f>
        <v>NPTEL</v>
      </c>
      <c r="F7" s="69" t="str">
        <f ca="1">IFERROR(__xludf.DUMMYFUNCTION("""COMPUTED_VALUE"""),"4 weeks")</f>
        <v>4 weeks</v>
      </c>
      <c r="G7" s="82">
        <f ca="1">IFERROR(__xludf.DUMMYFUNCTION("""COMPUTED_VALUE"""),43647)</f>
        <v>43647</v>
      </c>
      <c r="H7" s="82">
        <f ca="1">IFERROR(__xludf.DUMMYFUNCTION("""COMPUTED_VALUE"""),43678)</f>
        <v>43678</v>
      </c>
      <c r="I7" s="69">
        <f ca="1">IFERROR(__xludf.DUMMYFUNCTION("""COMPUTED_VALUE"""),79)</f>
        <v>79</v>
      </c>
      <c r="J7" s="75" t="str">
        <f ca="1">IFERROR(__xludf.DUMMYFUNCTION("""COMPUTED_VALUE"""),"https://drive.google.com/open?id=1rNKTlVQ1Mg-UyM2vSMSBZCEV7h0azLbL")</f>
        <v>https://drive.google.com/open?id=1rNKTlVQ1Mg-UyM2vSMSBZCEV7h0azLbL</v>
      </c>
      <c r="K7" s="69" t="str">
        <f ca="1">IFERROR(__xludf.DUMMYFUNCTION("""COMPUTED_VALUE"""),"2018-2022")</f>
        <v>2018-2022</v>
      </c>
      <c r="L7" s="69" t="str">
        <f ca="1">IFERROR(__xludf.DUMMYFUNCTION("""COMPUTED_VALUE"""),"S6: Student NPTEL")</f>
        <v>S6: Student NPTEL</v>
      </c>
      <c r="M7" s="69" t="str">
        <f ca="1">IFERROR(__xludf.DUMMYFUNCTION("""COMPUTED_VALUE"""),"18331A05C3@mvgrce.edu.in")</f>
        <v>18331A05C3@mvgrce.edu.in</v>
      </c>
      <c r="N7" s="69" t="str">
        <f ca="1">IFERROR(__xludf.DUMMYFUNCTION("""COMPUTED_VALUE"""),"SEM-8")</f>
        <v>SEM-8</v>
      </c>
      <c r="O7" s="69"/>
      <c r="P7" s="69"/>
      <c r="Q7" s="69"/>
      <c r="R7" s="69"/>
      <c r="S7" s="69"/>
      <c r="T7" s="69"/>
      <c r="U7" s="69"/>
      <c r="V7" s="69"/>
      <c r="W7" s="69"/>
      <c r="X7" s="69"/>
    </row>
    <row r="8" spans="1:24" ht="33" customHeight="1" x14ac:dyDescent="0.15">
      <c r="A8" s="69" t="str">
        <f ca="1">IFERROR(__xludf.DUMMYFUNCTION("""COMPUTED_VALUE"""),"Kusuma Patnaik Murahari")</f>
        <v>Kusuma Patnaik Murahari</v>
      </c>
      <c r="B8" s="69" t="str">
        <f ca="1">IFERROR(__xludf.DUMMYFUNCTION("""COMPUTED_VALUE"""),"18331A0584")</f>
        <v>18331A0584</v>
      </c>
      <c r="C8" s="69" t="str">
        <f ca="1">IFERROR(__xludf.DUMMYFUNCTION("""COMPUTED_VALUE"""),"2019-2020")</f>
        <v>2019-2020</v>
      </c>
      <c r="D8" s="69" t="str">
        <f ca="1">IFERROR(__xludf.DUMMYFUNCTION("""COMPUTED_VALUE"""),"Developing Soft Skills and Personality")</f>
        <v>Developing Soft Skills and Personality</v>
      </c>
      <c r="E8" s="69" t="str">
        <f ca="1">IFERROR(__xludf.DUMMYFUNCTION("""COMPUTED_VALUE"""),"NPTEL")</f>
        <v>NPTEL</v>
      </c>
      <c r="F8" s="69" t="str">
        <f ca="1">IFERROR(__xludf.DUMMYFUNCTION("""COMPUTED_VALUE"""),"2 months")</f>
        <v>2 months</v>
      </c>
      <c r="G8" s="82">
        <f ca="1">IFERROR(__xludf.DUMMYFUNCTION("""COMPUTED_VALUE"""),43678)</f>
        <v>43678</v>
      </c>
      <c r="H8" s="82">
        <f ca="1">IFERROR(__xludf.DUMMYFUNCTION("""COMPUTED_VALUE"""),43739)</f>
        <v>43739</v>
      </c>
      <c r="I8" s="69">
        <f ca="1">IFERROR(__xludf.DUMMYFUNCTION("""COMPUTED_VALUE"""),90)</f>
        <v>90</v>
      </c>
      <c r="J8" s="75" t="str">
        <f ca="1">IFERROR(__xludf.DUMMYFUNCTION("""COMPUTED_VALUE"""),"https://drive.google.com/open?id=1mGpPuvf5TuUWPtLTJqcAplQbHfswZDei")</f>
        <v>https://drive.google.com/open?id=1mGpPuvf5TuUWPtLTJqcAplQbHfswZDei</v>
      </c>
      <c r="K8" s="69" t="str">
        <f ca="1">IFERROR(__xludf.DUMMYFUNCTION("""COMPUTED_VALUE"""),"2018-2022")</f>
        <v>2018-2022</v>
      </c>
      <c r="L8" s="69" t="str">
        <f ca="1">IFERROR(__xludf.DUMMYFUNCTION("""COMPUTED_VALUE"""),"S6: Student NPTEL")</f>
        <v>S6: Student NPTEL</v>
      </c>
      <c r="M8" s="69" t="str">
        <f ca="1">IFERROR(__xludf.DUMMYFUNCTION("""COMPUTED_VALUE"""),"muraharikusum2000@gmail.com")</f>
        <v>muraharikusum2000@gmail.com</v>
      </c>
      <c r="N8" s="69" t="str">
        <f ca="1">IFERROR(__xludf.DUMMYFUNCTION("""COMPUTED_VALUE"""),"SEM-8")</f>
        <v>SEM-8</v>
      </c>
      <c r="O8" s="69"/>
      <c r="P8" s="69"/>
      <c r="Q8" s="69"/>
      <c r="R8" s="69"/>
      <c r="S8" s="69"/>
      <c r="T8" s="69"/>
      <c r="U8" s="69"/>
      <c r="V8" s="69"/>
      <c r="W8" s="69"/>
      <c r="X8" s="69"/>
    </row>
    <row r="9" spans="1:24" ht="33" customHeight="1" x14ac:dyDescent="0.15">
      <c r="A9" s="69" t="str">
        <f ca="1">IFERROR(__xludf.DUMMYFUNCTION("""COMPUTED_VALUE"""),"UMANANDAN SAGAR CHUKKA")</f>
        <v>UMANANDAN SAGAR CHUKKA</v>
      </c>
      <c r="B9" s="69" t="str">
        <f ca="1">IFERROR(__xludf.DUMMYFUNCTION("""COMPUTED_VALUE"""),"18331A05G1")</f>
        <v>18331A05G1</v>
      </c>
      <c r="C9" s="69" t="str">
        <f ca="1">IFERROR(__xludf.DUMMYFUNCTION("""COMPUTED_VALUE"""),"2019-2020")</f>
        <v>2019-2020</v>
      </c>
      <c r="D9" s="69" t="str">
        <f ca="1">IFERROR(__xludf.DUMMYFUNCTION("""COMPUTED_VALUE"""),"THE JOY OF COMPUTING WITH PYTHON")</f>
        <v>THE JOY OF COMPUTING WITH PYTHON</v>
      </c>
      <c r="E9" s="69" t="str">
        <f ca="1">IFERROR(__xludf.DUMMYFUNCTION("""COMPUTED_VALUE"""),"SWAYAM")</f>
        <v>SWAYAM</v>
      </c>
      <c r="F9" s="69" t="str">
        <f ca="1">IFERROR(__xludf.DUMMYFUNCTION("""COMPUTED_VALUE"""),"12 week")</f>
        <v>12 week</v>
      </c>
      <c r="G9" s="82">
        <f ca="1">IFERROR(__xludf.DUMMYFUNCTION("""COMPUTED_VALUE"""),44750)</f>
        <v>44750</v>
      </c>
      <c r="H9" s="82">
        <f ca="1">IFERROR(__xludf.DUMMYFUNCTION("""COMPUTED_VALUE"""),44843)</f>
        <v>44843</v>
      </c>
      <c r="I9" s="69">
        <f ca="1">IFERROR(__xludf.DUMMYFUNCTION("""COMPUTED_VALUE"""),87)</f>
        <v>87</v>
      </c>
      <c r="J9" s="75" t="str">
        <f ca="1">IFERROR(__xludf.DUMMYFUNCTION("""COMPUTED_VALUE"""),"https://drive.google.com/open?id=16HY80oc6HtCuuvj5JewUNCelUtFbxbkg")</f>
        <v>https://drive.google.com/open?id=16HY80oc6HtCuuvj5JewUNCelUtFbxbkg</v>
      </c>
      <c r="K9" s="69" t="str">
        <f ca="1">IFERROR(__xludf.DUMMYFUNCTION("""COMPUTED_VALUE"""),"2018-2022")</f>
        <v>2018-2022</v>
      </c>
      <c r="L9" s="69" t="str">
        <f ca="1">IFERROR(__xludf.DUMMYFUNCTION("""COMPUTED_VALUE"""),"S6: Student NPTEL")</f>
        <v>S6: Student NPTEL</v>
      </c>
      <c r="M9" s="69" t="str">
        <f ca="1">IFERROR(__xludf.DUMMYFUNCTION("""COMPUTED_VALUE"""),"cusagar@gmail.com")</f>
        <v>cusagar@gmail.com</v>
      </c>
      <c r="N9" s="69" t="str">
        <f ca="1">IFERROR(__xludf.DUMMYFUNCTION("""COMPUTED_VALUE"""),"SEM-8")</f>
        <v>SEM-8</v>
      </c>
      <c r="O9" s="69"/>
      <c r="P9" s="69"/>
      <c r="Q9" s="69"/>
      <c r="R9" s="69"/>
      <c r="S9" s="69"/>
      <c r="T9" s="69"/>
      <c r="U9" s="69"/>
      <c r="V9" s="69"/>
      <c r="W9" s="69"/>
      <c r="X9" s="69"/>
    </row>
    <row r="10" spans="1:24" ht="33" customHeight="1" x14ac:dyDescent="0.15">
      <c r="A10" s="69" t="str">
        <f ca="1">IFERROR(__xludf.DUMMYFUNCTION("""COMPUTED_VALUE"""),"Penumatcha sai vamsi krishna varma")</f>
        <v>Penumatcha sai vamsi krishna varma</v>
      </c>
      <c r="B10" s="69" t="str">
        <f ca="1">IFERROR(__xludf.DUMMYFUNCTION("""COMPUTED_VALUE"""),"18331A05B9")</f>
        <v>18331A05B9</v>
      </c>
      <c r="C10" s="69" t="str">
        <f ca="1">IFERROR(__xludf.DUMMYFUNCTION("""COMPUTED_VALUE"""),"2020-2021")</f>
        <v>2020-2021</v>
      </c>
      <c r="D10" s="69" t="str">
        <f ca="1">IFERROR(__xludf.DUMMYFUNCTION("""COMPUTED_VALUE"""),"The joy of computing python")</f>
        <v>The joy of computing python</v>
      </c>
      <c r="E10" s="69" t="str">
        <f ca="1">IFERROR(__xludf.DUMMYFUNCTION("""COMPUTED_VALUE"""),"Nptel")</f>
        <v>Nptel</v>
      </c>
      <c r="F10" s="69" t="str">
        <f ca="1">IFERROR(__xludf.DUMMYFUNCTION("""COMPUTED_VALUE"""),"12 weeks")</f>
        <v>12 weeks</v>
      </c>
      <c r="G10" s="82">
        <f ca="1">IFERROR(__xludf.DUMMYFUNCTION("""COMPUTED_VALUE"""),44201)</f>
        <v>44201</v>
      </c>
      <c r="H10" s="82">
        <f ca="1">IFERROR(__xludf.DUMMYFUNCTION("""COMPUTED_VALUE"""),44656)</f>
        <v>44656</v>
      </c>
      <c r="I10" s="69">
        <f ca="1">IFERROR(__xludf.DUMMYFUNCTION("""COMPUTED_VALUE"""),70)</f>
        <v>70</v>
      </c>
      <c r="J10" s="75" t="str">
        <f ca="1">IFERROR(__xludf.DUMMYFUNCTION("""COMPUTED_VALUE"""),"https://drive.google.com/open?id=1cxNgSdtZCgxXJy14XYM9W6ctcNxeemck")</f>
        <v>https://drive.google.com/open?id=1cxNgSdtZCgxXJy14XYM9W6ctcNxeemck</v>
      </c>
      <c r="K10" s="69" t="str">
        <f ca="1">IFERROR(__xludf.DUMMYFUNCTION("""COMPUTED_VALUE"""),"2018-2022")</f>
        <v>2018-2022</v>
      </c>
      <c r="L10" s="69" t="str">
        <f ca="1">IFERROR(__xludf.DUMMYFUNCTION("""COMPUTED_VALUE"""),"S6: Student NPTEL")</f>
        <v>S6: Student NPTEL</v>
      </c>
      <c r="M10" s="69" t="str">
        <f ca="1">IFERROR(__xludf.DUMMYFUNCTION("""COMPUTED_VALUE"""),"varmavamsi38@gmail.com")</f>
        <v>varmavamsi38@gmail.com</v>
      </c>
      <c r="N10" s="69" t="str">
        <f ca="1">IFERROR(__xludf.DUMMYFUNCTION("""COMPUTED_VALUE"""),"SEM-4")</f>
        <v>SEM-4</v>
      </c>
      <c r="O10" s="69"/>
      <c r="P10" s="69"/>
      <c r="Q10" s="69"/>
      <c r="R10" s="69"/>
      <c r="S10" s="69"/>
      <c r="T10" s="69"/>
      <c r="U10" s="69"/>
      <c r="V10" s="69"/>
      <c r="W10" s="69"/>
      <c r="X10" s="69"/>
    </row>
    <row r="11" spans="1:24" ht="33" customHeight="1" x14ac:dyDescent="0.15">
      <c r="A11" s="69" t="str">
        <f ca="1">IFERROR(__xludf.DUMMYFUNCTION("""COMPUTED_VALUE""")," BUDIDI SURYA SAI MAHESWAR")</f>
        <v xml:space="preserve"> BUDIDI SURYA SAI MAHESWAR</v>
      </c>
      <c r="B11" s="69" t="str">
        <f ca="1">IFERROR(__xludf.DUMMYFUNCTION("""COMPUTED_VALUE"""),"18331A0521")</f>
        <v>18331A0521</v>
      </c>
      <c r="C11" s="69" t="str">
        <f ca="1">IFERROR(__xludf.DUMMYFUNCTION("""COMPUTED_VALUE"""),"2020-2021")</f>
        <v>2020-2021</v>
      </c>
      <c r="D11" s="69" t="str">
        <f ca="1">IFERROR(__xludf.DUMMYFUNCTION("""COMPUTED_VALUE"""),"The joy of computing using python")</f>
        <v>The joy of computing using python</v>
      </c>
      <c r="E11" s="69" t="str">
        <f ca="1">IFERROR(__xludf.DUMMYFUNCTION("""COMPUTED_VALUE"""),"NPTEL")</f>
        <v>NPTEL</v>
      </c>
      <c r="F11" s="69" t="str">
        <f ca="1">IFERROR(__xludf.DUMMYFUNCTION("""COMPUTED_VALUE"""),"3 MONTHS")</f>
        <v>3 MONTHS</v>
      </c>
      <c r="G11" s="82">
        <f ca="1">IFERROR(__xludf.DUMMYFUNCTION("""COMPUTED_VALUE"""),44203)</f>
        <v>44203</v>
      </c>
      <c r="H11" s="82">
        <f ca="1">IFERROR(__xludf.DUMMYFUNCTION("""COMPUTED_VALUE"""),44293)</f>
        <v>44293</v>
      </c>
      <c r="I11" s="69">
        <f ca="1">IFERROR(__xludf.DUMMYFUNCTION("""COMPUTED_VALUE"""),78)</f>
        <v>78</v>
      </c>
      <c r="J11" s="75" t="str">
        <f ca="1">IFERROR(__xludf.DUMMYFUNCTION("""COMPUTED_VALUE"""),"https://drive.google.com/open?id=1SWhau6BZsYrQW2m8wvGigOczG7S684k8")</f>
        <v>https://drive.google.com/open?id=1SWhau6BZsYrQW2m8wvGigOczG7S684k8</v>
      </c>
      <c r="K11" s="69" t="str">
        <f ca="1">IFERROR(__xludf.DUMMYFUNCTION("""COMPUTED_VALUE"""),"2018-2022")</f>
        <v>2018-2022</v>
      </c>
      <c r="L11" s="69" t="str">
        <f ca="1">IFERROR(__xludf.DUMMYFUNCTION("""COMPUTED_VALUE"""),"S6: Student NPTEL")</f>
        <v>S6: Student NPTEL</v>
      </c>
      <c r="M11" s="69" t="str">
        <f ca="1">IFERROR(__xludf.DUMMYFUNCTION("""COMPUTED_VALUE"""),"suryamahesh2000@gmail.com")</f>
        <v>suryamahesh2000@gmail.com</v>
      </c>
      <c r="N11" s="69" t="str">
        <f ca="1">IFERROR(__xludf.DUMMYFUNCTION("""COMPUTED_VALUE"""),"SEM-5")</f>
        <v>SEM-5</v>
      </c>
      <c r="O11" s="69"/>
      <c r="P11" s="69"/>
      <c r="Q11" s="69"/>
      <c r="R11" s="69"/>
      <c r="S11" s="69"/>
      <c r="T11" s="69"/>
      <c r="U11" s="69"/>
      <c r="V11" s="69"/>
      <c r="W11" s="69"/>
      <c r="X11" s="69"/>
    </row>
    <row r="12" spans="1:24" ht="33" customHeight="1" x14ac:dyDescent="0.15">
      <c r="A12" s="69" t="str">
        <f ca="1">IFERROR(__xludf.DUMMYFUNCTION("""COMPUTED_VALUE"""),"Telaprolu Anusha")</f>
        <v>Telaprolu Anusha</v>
      </c>
      <c r="B12" s="69" t="str">
        <f ca="1">IFERROR(__xludf.DUMMYFUNCTION("""COMPUTED_VALUE"""),"18331A05F3")</f>
        <v>18331A05F3</v>
      </c>
      <c r="C12" s="69" t="str">
        <f ca="1">IFERROR(__xludf.DUMMYFUNCTION("""COMPUTED_VALUE"""),"2021-2022")</f>
        <v>2021-2022</v>
      </c>
      <c r="D12" s="69" t="str">
        <f ca="1">IFERROR(__xludf.DUMMYFUNCTION("""COMPUTED_VALUE"""),"DEVELOPING SOFT SKILLS AND PERSONALITY")</f>
        <v>DEVELOPING SOFT SKILLS AND PERSONALITY</v>
      </c>
      <c r="E12" s="69" t="str">
        <f ca="1">IFERROR(__xludf.DUMMYFUNCTION("""COMPUTED_VALUE"""),"NPTEL")</f>
        <v>NPTEL</v>
      </c>
      <c r="F12" s="69" t="str">
        <f ca="1">IFERROR(__xludf.DUMMYFUNCTION("""COMPUTED_VALUE"""),"18 WEEKS")</f>
        <v>18 WEEKS</v>
      </c>
      <c r="G12" s="82">
        <f ca="1">IFERROR(__xludf.DUMMYFUNCTION("""COMPUTED_VALUE"""),43687)</f>
        <v>43687</v>
      </c>
      <c r="H12" s="82">
        <f ca="1">IFERROR(__xludf.DUMMYFUNCTION("""COMPUTED_VALUE"""),43748)</f>
        <v>43748</v>
      </c>
      <c r="I12" s="69">
        <f ca="1">IFERROR(__xludf.DUMMYFUNCTION("""COMPUTED_VALUE"""),78)</f>
        <v>78</v>
      </c>
      <c r="J12" s="75" t="str">
        <f ca="1">IFERROR(__xludf.DUMMYFUNCTION("""COMPUTED_VALUE"""),"https://drive.google.com/open?id=10ICl2iGnFmohHhEghsK1kCY2vbKE3S4V")</f>
        <v>https://drive.google.com/open?id=10ICl2iGnFmohHhEghsK1kCY2vbKE3S4V</v>
      </c>
      <c r="K12" s="69" t="str">
        <f ca="1">IFERROR(__xludf.DUMMYFUNCTION("""COMPUTED_VALUE"""),"2018-2022")</f>
        <v>2018-2022</v>
      </c>
      <c r="L12" s="69" t="str">
        <f ca="1">IFERROR(__xludf.DUMMYFUNCTION("""COMPUTED_VALUE"""),"S6: Student NPTEL")</f>
        <v>S6: Student NPTEL</v>
      </c>
      <c r="M12" s="69" t="str">
        <f ca="1">IFERROR(__xludf.DUMMYFUNCTION("""COMPUTED_VALUE"""),"anushatelaprolu04@gmail.com")</f>
        <v>anushatelaprolu04@gmail.com</v>
      </c>
      <c r="N12" s="69" t="str">
        <f ca="1">IFERROR(__xludf.DUMMYFUNCTION("""COMPUTED_VALUE"""),"SEM-8")</f>
        <v>SEM-8</v>
      </c>
      <c r="O12" s="69"/>
      <c r="P12" s="69"/>
      <c r="Q12" s="69"/>
      <c r="R12" s="69"/>
      <c r="S12" s="69"/>
      <c r="T12" s="69"/>
      <c r="U12" s="69"/>
      <c r="V12" s="69"/>
      <c r="W12" s="69"/>
      <c r="X12" s="69"/>
    </row>
    <row r="13" spans="1:24" ht="33" customHeight="1" x14ac:dyDescent="0.15">
      <c r="A13" s="69" t="str">
        <f ca="1">IFERROR(__xludf.DUMMYFUNCTION("""COMPUTED_VALUE"""),"Telaprolu Anusha")</f>
        <v>Telaprolu Anusha</v>
      </c>
      <c r="B13" s="69" t="str">
        <f ca="1">IFERROR(__xludf.DUMMYFUNCTION("""COMPUTED_VALUE"""),"18331A05F3")</f>
        <v>18331A05F3</v>
      </c>
      <c r="C13" s="69" t="str">
        <f ca="1">IFERROR(__xludf.DUMMYFUNCTION("""COMPUTED_VALUE"""),"2021-2022")</f>
        <v>2021-2022</v>
      </c>
      <c r="D13" s="69" t="str">
        <f ca="1">IFERROR(__xludf.DUMMYFUNCTION("""COMPUTED_VALUE"""),"DATABASE MANAGEMENT SYSTEM")</f>
        <v>DATABASE MANAGEMENT SYSTEM</v>
      </c>
      <c r="E13" s="69" t="str">
        <f ca="1">IFERROR(__xludf.DUMMYFUNCTION("""COMPUTED_VALUE"""),"NPTEL")</f>
        <v>NPTEL</v>
      </c>
      <c r="F13" s="69" t="str">
        <f ca="1">IFERROR(__xludf.DUMMYFUNCTION("""COMPUTED_VALUE"""),"8 weeks")</f>
        <v>8 weeks</v>
      </c>
      <c r="G13" s="82">
        <f ca="1">IFERROR(__xludf.DUMMYFUNCTION("""COMPUTED_VALUE"""),43849)</f>
        <v>43849</v>
      </c>
      <c r="H13" s="82">
        <f ca="1">IFERROR(__xludf.DUMMYFUNCTION("""COMPUTED_VALUE"""),43909)</f>
        <v>43909</v>
      </c>
      <c r="I13" s="69">
        <f ca="1">IFERROR(__xludf.DUMMYFUNCTION("""COMPUTED_VALUE"""),90)</f>
        <v>90</v>
      </c>
      <c r="J13" s="75" t="str">
        <f ca="1">IFERROR(__xludf.DUMMYFUNCTION("""COMPUTED_VALUE"""),"https://drive.google.com/open?id=1CgkJja-xS0LqyyIfSu4y9kgIUYuvt0gx")</f>
        <v>https://drive.google.com/open?id=1CgkJja-xS0LqyyIfSu4y9kgIUYuvt0gx</v>
      </c>
      <c r="K13" s="69" t="str">
        <f ca="1">IFERROR(__xludf.DUMMYFUNCTION("""COMPUTED_VALUE"""),"2018-2022")</f>
        <v>2018-2022</v>
      </c>
      <c r="L13" s="69" t="str">
        <f ca="1">IFERROR(__xludf.DUMMYFUNCTION("""COMPUTED_VALUE"""),"S6: Student NPTEL")</f>
        <v>S6: Student NPTEL</v>
      </c>
      <c r="M13" s="69" t="str">
        <f ca="1">IFERROR(__xludf.DUMMYFUNCTION("""COMPUTED_VALUE"""),"anushatelaprolu04@gmail.com")</f>
        <v>anushatelaprolu04@gmail.com</v>
      </c>
      <c r="N13" s="69" t="str">
        <f ca="1">IFERROR(__xludf.DUMMYFUNCTION("""COMPUTED_VALUE"""),"SEM-8")</f>
        <v>SEM-8</v>
      </c>
      <c r="O13" s="69"/>
      <c r="P13" s="69"/>
      <c r="Q13" s="69"/>
      <c r="R13" s="69"/>
      <c r="S13" s="69"/>
      <c r="T13" s="69"/>
      <c r="U13" s="69"/>
      <c r="V13" s="69"/>
      <c r="W13" s="69"/>
      <c r="X13" s="69"/>
    </row>
    <row r="14" spans="1:24" ht="33" customHeight="1" x14ac:dyDescent="0.15">
      <c r="A14" s="69" t="str">
        <f ca="1">IFERROR(__xludf.DUMMYFUNCTION("""COMPUTED_VALUE"""),"Telaprolu Anusha")</f>
        <v>Telaprolu Anusha</v>
      </c>
      <c r="B14" s="69" t="str">
        <f ca="1">IFERROR(__xludf.DUMMYFUNCTION("""COMPUTED_VALUE"""),"18331A05F3")</f>
        <v>18331A05F3</v>
      </c>
      <c r="C14" s="69" t="str">
        <f ca="1">IFERROR(__xludf.DUMMYFUNCTION("""COMPUTED_VALUE"""),"2021-2022")</f>
        <v>2021-2022</v>
      </c>
      <c r="D14" s="69" t="str">
        <f ca="1">IFERROR(__xludf.DUMMYFUNCTION("""COMPUTED_VALUE"""),"PROGRAMMING IN JAVA")</f>
        <v>PROGRAMMING IN JAVA</v>
      </c>
      <c r="E14" s="69" t="str">
        <f ca="1">IFERROR(__xludf.DUMMYFUNCTION("""COMPUTED_VALUE"""),"NPTEL")</f>
        <v>NPTEL</v>
      </c>
      <c r="F14" s="69" t="str">
        <f ca="1">IFERROR(__xludf.DUMMYFUNCTION("""COMPUTED_VALUE"""),"12 WEEKS")</f>
        <v>12 WEEKS</v>
      </c>
      <c r="G14" s="82">
        <f ca="1">IFERROR(__xludf.DUMMYFUNCTION("""COMPUTED_VALUE"""),43848)</f>
        <v>43848</v>
      </c>
      <c r="H14" s="82">
        <f ca="1">IFERROR(__xludf.DUMMYFUNCTION("""COMPUTED_VALUE"""),43939)</f>
        <v>43939</v>
      </c>
      <c r="I14" s="69">
        <f ca="1">IFERROR(__xludf.DUMMYFUNCTION("""COMPUTED_VALUE"""),100)</f>
        <v>100</v>
      </c>
      <c r="J14" s="75" t="str">
        <f ca="1">IFERROR(__xludf.DUMMYFUNCTION("""COMPUTED_VALUE"""),"https://drive.google.com/open?id=1ZG1YYMjQ4TXCkBaoZqizj2_VmRSfoIKO")</f>
        <v>https://drive.google.com/open?id=1ZG1YYMjQ4TXCkBaoZqizj2_VmRSfoIKO</v>
      </c>
      <c r="K14" s="69" t="str">
        <f ca="1">IFERROR(__xludf.DUMMYFUNCTION("""COMPUTED_VALUE"""),"2018-2022")</f>
        <v>2018-2022</v>
      </c>
      <c r="L14" s="69" t="str">
        <f ca="1">IFERROR(__xludf.DUMMYFUNCTION("""COMPUTED_VALUE"""),"S6: Student NPTEL")</f>
        <v>S6: Student NPTEL</v>
      </c>
      <c r="M14" s="69" t="str">
        <f ca="1">IFERROR(__xludf.DUMMYFUNCTION("""COMPUTED_VALUE"""),"anushatelaprolu04@gmail.com")</f>
        <v>anushatelaprolu04@gmail.com</v>
      </c>
      <c r="N14" s="69" t="str">
        <f ca="1">IFERROR(__xludf.DUMMYFUNCTION("""COMPUTED_VALUE"""),"SEM-8")</f>
        <v>SEM-8</v>
      </c>
      <c r="O14" s="69"/>
      <c r="P14" s="69"/>
      <c r="Q14" s="69"/>
      <c r="R14" s="69"/>
      <c r="S14" s="69"/>
      <c r="T14" s="69"/>
      <c r="U14" s="69"/>
      <c r="V14" s="69"/>
      <c r="W14" s="69"/>
      <c r="X14" s="69"/>
    </row>
    <row r="15" spans="1:24" ht="33" customHeight="1" x14ac:dyDescent="0.15">
      <c r="A15" s="69" t="str">
        <f ca="1">IFERROR(__xludf.DUMMYFUNCTION("""COMPUTED_VALUE"""),"Telaprolu Anusha")</f>
        <v>Telaprolu Anusha</v>
      </c>
      <c r="B15" s="69" t="str">
        <f ca="1">IFERROR(__xludf.DUMMYFUNCTION("""COMPUTED_VALUE"""),"18331A05F3")</f>
        <v>18331A05F3</v>
      </c>
      <c r="C15" s="69" t="str">
        <f ca="1">IFERROR(__xludf.DUMMYFUNCTION("""COMPUTED_VALUE"""),"2021-2022")</f>
        <v>2021-2022</v>
      </c>
      <c r="D15" s="69" t="str">
        <f ca="1">IFERROR(__xludf.DUMMYFUNCTION("""COMPUTED_VALUE"""),"THE JOY OF COMPUTING USING PYTHON")</f>
        <v>THE JOY OF COMPUTING USING PYTHON</v>
      </c>
      <c r="E15" s="69" t="str">
        <f ca="1">IFERROR(__xludf.DUMMYFUNCTION("""COMPUTED_VALUE"""),"NPTEL")</f>
        <v>NPTEL</v>
      </c>
      <c r="F15" s="69" t="str">
        <f ca="1">IFERROR(__xludf.DUMMYFUNCTION("""COMPUTED_VALUE"""),"12 WEEKS")</f>
        <v>12 WEEKS</v>
      </c>
      <c r="G15" s="82">
        <f ca="1">IFERROR(__xludf.DUMMYFUNCTION("""COMPUTED_VALUE"""),43653)</f>
        <v>43653</v>
      </c>
      <c r="H15" s="82">
        <f ca="1">IFERROR(__xludf.DUMMYFUNCTION("""COMPUTED_VALUE"""),43743)</f>
        <v>43743</v>
      </c>
      <c r="I15" s="69">
        <f ca="1">IFERROR(__xludf.DUMMYFUNCTION("""COMPUTED_VALUE"""),80)</f>
        <v>80</v>
      </c>
      <c r="J15" s="75" t="str">
        <f ca="1">IFERROR(__xludf.DUMMYFUNCTION("""COMPUTED_VALUE"""),"https://drive.google.com/open?id=1TA671kxGBe6lEKNctxZgT38P8oIqNMJb")</f>
        <v>https://drive.google.com/open?id=1TA671kxGBe6lEKNctxZgT38P8oIqNMJb</v>
      </c>
      <c r="K15" s="69" t="str">
        <f ca="1">IFERROR(__xludf.DUMMYFUNCTION("""COMPUTED_VALUE"""),"2018-2022")</f>
        <v>2018-2022</v>
      </c>
      <c r="L15" s="69" t="str">
        <f ca="1">IFERROR(__xludf.DUMMYFUNCTION("""COMPUTED_VALUE"""),"S6: Student NPTEL")</f>
        <v>S6: Student NPTEL</v>
      </c>
      <c r="M15" s="69" t="str">
        <f ca="1">IFERROR(__xludf.DUMMYFUNCTION("""COMPUTED_VALUE"""),"anushatelaprolu04@gmail.com")</f>
        <v>anushatelaprolu04@gmail.com</v>
      </c>
      <c r="N15" s="69" t="str">
        <f ca="1">IFERROR(__xludf.DUMMYFUNCTION("""COMPUTED_VALUE"""),"SEM-8")</f>
        <v>SEM-8</v>
      </c>
      <c r="O15" s="69"/>
      <c r="P15" s="69"/>
      <c r="Q15" s="69"/>
      <c r="R15" s="69"/>
      <c r="S15" s="69"/>
      <c r="T15" s="69"/>
      <c r="U15" s="69"/>
      <c r="V15" s="69"/>
      <c r="W15" s="69"/>
      <c r="X15" s="69"/>
    </row>
    <row r="16" spans="1:24" ht="33" customHeight="1" x14ac:dyDescent="0.15">
      <c r="A16" s="69" t="str">
        <f ca="1">IFERROR(__xludf.DUMMYFUNCTION("""COMPUTED_VALUE"""),"Gayatri Devi Datla")</f>
        <v>Gayatri Devi Datla</v>
      </c>
      <c r="B16" s="69" t="str">
        <f ca="1">IFERROR(__xludf.DUMMYFUNCTION("""COMPUTED_VALUE"""),"18331A0545")</f>
        <v>18331A0545</v>
      </c>
      <c r="C16" s="69" t="str">
        <f ca="1">IFERROR(__xludf.DUMMYFUNCTION("""COMPUTED_VALUE"""),"2021-2022")</f>
        <v>2021-2022</v>
      </c>
      <c r="D16" s="69" t="str">
        <f ca="1">IFERROR(__xludf.DUMMYFUNCTION("""COMPUTED_VALUE"""),"Development of softskills and personality ")</f>
        <v xml:space="preserve">Development of softskills and personality </v>
      </c>
      <c r="E16" s="69" t="str">
        <f ca="1">IFERROR(__xludf.DUMMYFUNCTION("""COMPUTED_VALUE"""),"Nptel")</f>
        <v>Nptel</v>
      </c>
      <c r="F16" s="69" t="str">
        <f ca="1">IFERROR(__xludf.DUMMYFUNCTION("""COMPUTED_VALUE"""),"8 weeks")</f>
        <v>8 weeks</v>
      </c>
      <c r="G16" s="82">
        <f ca="1">IFERROR(__xludf.DUMMYFUNCTION("""COMPUTED_VALUE"""),43685)</f>
        <v>43685</v>
      </c>
      <c r="H16" s="82">
        <f ca="1">IFERROR(__xludf.DUMMYFUNCTION("""COMPUTED_VALUE"""),43746)</f>
        <v>43746</v>
      </c>
      <c r="I16" s="69">
        <f ca="1">IFERROR(__xludf.DUMMYFUNCTION("""COMPUTED_VALUE"""),51)</f>
        <v>51</v>
      </c>
      <c r="J16" s="75" t="str">
        <f ca="1">IFERROR(__xludf.DUMMYFUNCTION("""COMPUTED_VALUE"""),"https://drive.google.com/open?id=1TUDXE9LzcTF8LfMkXxNqJqzwyfWVxVjM")</f>
        <v>https://drive.google.com/open?id=1TUDXE9LzcTF8LfMkXxNqJqzwyfWVxVjM</v>
      </c>
      <c r="K16" s="69" t="str">
        <f ca="1">IFERROR(__xludf.DUMMYFUNCTION("""COMPUTED_VALUE"""),"2018-2022")</f>
        <v>2018-2022</v>
      </c>
      <c r="L16" s="69" t="str">
        <f ca="1">IFERROR(__xludf.DUMMYFUNCTION("""COMPUTED_VALUE"""),"S6: Student NPTEL")</f>
        <v>S6: Student NPTEL</v>
      </c>
      <c r="M16" s="69" t="str">
        <f ca="1">IFERROR(__xludf.DUMMYFUNCTION("""COMPUTED_VALUE"""),"gayatridevidatla2001@gmail.com")</f>
        <v>gayatridevidatla2001@gmail.com</v>
      </c>
      <c r="N16" s="69" t="str">
        <f ca="1">IFERROR(__xludf.DUMMYFUNCTION("""COMPUTED_VALUE"""),"SEM-8")</f>
        <v>SEM-8</v>
      </c>
      <c r="O16" s="69"/>
      <c r="P16" s="69"/>
      <c r="Q16" s="69"/>
      <c r="R16" s="69"/>
      <c r="S16" s="69"/>
      <c r="T16" s="69"/>
      <c r="U16" s="69"/>
      <c r="V16" s="69"/>
      <c r="W16" s="69"/>
      <c r="X16" s="69"/>
    </row>
    <row r="17" spans="1:24" ht="33" customHeight="1" x14ac:dyDescent="0.15">
      <c r="A17" s="69" t="str">
        <f ca="1">IFERROR(__xludf.DUMMYFUNCTION("""COMPUTED_VALUE"""),"Gayatri Devi Datla")</f>
        <v>Gayatri Devi Datla</v>
      </c>
      <c r="B17" s="69" t="str">
        <f ca="1">IFERROR(__xludf.DUMMYFUNCTION("""COMPUTED_VALUE"""),"18331A0545")</f>
        <v>18331A0545</v>
      </c>
      <c r="C17" s="69" t="str">
        <f ca="1">IFERROR(__xludf.DUMMYFUNCTION("""COMPUTED_VALUE"""),"2021-2022")</f>
        <v>2021-2022</v>
      </c>
      <c r="D17" s="69" t="str">
        <f ca="1">IFERROR(__xludf.DUMMYFUNCTION("""COMPUTED_VALUE"""),"Softskills ")</f>
        <v xml:space="preserve">Softskills </v>
      </c>
      <c r="E17" s="69" t="str">
        <f ca="1">IFERROR(__xludf.DUMMYFUNCTION("""COMPUTED_VALUE"""),"Nptel")</f>
        <v>Nptel</v>
      </c>
      <c r="F17" s="69" t="str">
        <f ca="1">IFERROR(__xludf.DUMMYFUNCTION("""COMPUTED_VALUE"""),"12weeks")</f>
        <v>12weeks</v>
      </c>
      <c r="G17" s="82">
        <f ca="1">IFERROR(__xludf.DUMMYFUNCTION("""COMPUTED_VALUE"""),44088)</f>
        <v>44088</v>
      </c>
      <c r="H17" s="82">
        <f ca="1">IFERROR(__xludf.DUMMYFUNCTION("""COMPUTED_VALUE"""),44181)</f>
        <v>44181</v>
      </c>
      <c r="I17" s="69">
        <f ca="1">IFERROR(__xludf.DUMMYFUNCTION("""COMPUTED_VALUE"""),52)</f>
        <v>52</v>
      </c>
      <c r="J17" s="75" t="str">
        <f ca="1">IFERROR(__xludf.DUMMYFUNCTION("""COMPUTED_VALUE"""),"https://drive.google.com/open?id=1GYGDiZixLyORKX67jOnV6DN7WueVpLsm")</f>
        <v>https://drive.google.com/open?id=1GYGDiZixLyORKX67jOnV6DN7WueVpLsm</v>
      </c>
      <c r="K17" s="69" t="str">
        <f ca="1">IFERROR(__xludf.DUMMYFUNCTION("""COMPUTED_VALUE"""),"2018-2022")</f>
        <v>2018-2022</v>
      </c>
      <c r="L17" s="69" t="str">
        <f ca="1">IFERROR(__xludf.DUMMYFUNCTION("""COMPUTED_VALUE"""),"S6: Student NPTEL")</f>
        <v>S6: Student NPTEL</v>
      </c>
      <c r="M17" s="69" t="str">
        <f ca="1">IFERROR(__xludf.DUMMYFUNCTION("""COMPUTED_VALUE"""),"gayatridevidatla2001@gmail.com")</f>
        <v>gayatridevidatla2001@gmail.com</v>
      </c>
      <c r="N17" s="69" t="str">
        <f ca="1">IFERROR(__xludf.DUMMYFUNCTION("""COMPUTED_VALUE"""),"SEM-8")</f>
        <v>SEM-8</v>
      </c>
      <c r="O17" s="69"/>
      <c r="P17" s="69"/>
      <c r="Q17" s="69"/>
      <c r="R17" s="69"/>
      <c r="S17" s="69"/>
      <c r="T17" s="69"/>
      <c r="U17" s="69"/>
      <c r="V17" s="69"/>
      <c r="W17" s="69"/>
      <c r="X17" s="69"/>
    </row>
    <row r="18" spans="1:24" ht="33" customHeight="1" x14ac:dyDescent="0.15">
      <c r="A18" s="69" t="str">
        <f ca="1">IFERROR(__xludf.DUMMYFUNCTION("""COMPUTED_VALUE"""),"MUKHEE JYOTHSNA")</f>
        <v>MUKHEE JYOTHSNA</v>
      </c>
      <c r="B18" s="69" t="str">
        <f ca="1">IFERROR(__xludf.DUMMYFUNCTION("""COMPUTED_VALUE"""),"18331A05A2")</f>
        <v>18331A05A2</v>
      </c>
      <c r="C18" s="69" t="str">
        <f ca="1">IFERROR(__xludf.DUMMYFUNCTION("""COMPUTED_VALUE"""),"2021-2022")</f>
        <v>2021-2022</v>
      </c>
      <c r="D18" s="69" t="str">
        <f ca="1">IFERROR(__xludf.DUMMYFUNCTION("""COMPUTED_VALUE"""),"Introduction to Programming in C")</f>
        <v>Introduction to Programming in C</v>
      </c>
      <c r="E18" s="69" t="str">
        <f ca="1">IFERROR(__xludf.DUMMYFUNCTION("""COMPUTED_VALUE"""),"NPTEL")</f>
        <v>NPTEL</v>
      </c>
      <c r="F18" s="69" t="str">
        <f ca="1">IFERROR(__xludf.DUMMYFUNCTION("""COMPUTED_VALUE"""),"2 Months")</f>
        <v>2 Months</v>
      </c>
      <c r="G18" s="82">
        <f ca="1">IFERROR(__xludf.DUMMYFUNCTION("""COMPUTED_VALUE"""),43664)</f>
        <v>43664</v>
      </c>
      <c r="H18" s="82">
        <f ca="1">IFERROR(__xludf.DUMMYFUNCTION("""COMPUTED_VALUE"""),43717)</f>
        <v>43717</v>
      </c>
      <c r="I18" s="69">
        <f ca="1">IFERROR(__xludf.DUMMYFUNCTION("""COMPUTED_VALUE"""),77)</f>
        <v>77</v>
      </c>
      <c r="J18" s="75" t="str">
        <f ca="1">IFERROR(__xludf.DUMMYFUNCTION("""COMPUTED_VALUE"""),"https://drive.google.com/open?id=100ON6FXXFJQCTUfsWvvxEkja3pplX6TH")</f>
        <v>https://drive.google.com/open?id=100ON6FXXFJQCTUfsWvvxEkja3pplX6TH</v>
      </c>
      <c r="K18" s="69" t="str">
        <f ca="1">IFERROR(__xludf.DUMMYFUNCTION("""COMPUTED_VALUE"""),"2018-2022")</f>
        <v>2018-2022</v>
      </c>
      <c r="L18" s="69" t="str">
        <f ca="1">IFERROR(__xludf.DUMMYFUNCTION("""COMPUTED_VALUE"""),"S6: Student NPTEL")</f>
        <v>S6: Student NPTEL</v>
      </c>
      <c r="M18" s="69" t="str">
        <f ca="1">IFERROR(__xludf.DUMMYFUNCTION("""COMPUTED_VALUE"""),"jyothsnamukhee03@gmail.com")</f>
        <v>jyothsnamukhee03@gmail.com</v>
      </c>
      <c r="N18" s="69" t="str">
        <f ca="1">IFERROR(__xludf.DUMMYFUNCTION("""COMPUTED_VALUE"""),"SEM-8")</f>
        <v>SEM-8</v>
      </c>
      <c r="O18" s="69"/>
      <c r="P18" s="69"/>
      <c r="Q18" s="69"/>
      <c r="R18" s="69"/>
      <c r="S18" s="69"/>
      <c r="T18" s="69"/>
      <c r="U18" s="69"/>
      <c r="V18" s="69"/>
      <c r="W18" s="69"/>
      <c r="X18" s="69"/>
    </row>
    <row r="19" spans="1:24" ht="33" customHeight="1" x14ac:dyDescent="0.15">
      <c r="A19" s="69" t="str">
        <f ca="1">IFERROR(__xludf.DUMMYFUNCTION("""COMPUTED_VALUE"""),"Sai Yogesh Bhasuru")</f>
        <v>Sai Yogesh Bhasuru</v>
      </c>
      <c r="B19" s="69" t="str">
        <f ca="1">IFERROR(__xludf.DUMMYFUNCTION("""COMPUTED_VALUE"""),"18331A05D4")</f>
        <v>18331A05D4</v>
      </c>
      <c r="C19" s="69" t="str">
        <f ca="1">IFERROR(__xludf.DUMMYFUNCTION("""COMPUTED_VALUE"""),"2020-2021")</f>
        <v>2020-2021</v>
      </c>
      <c r="D19" s="69" t="str">
        <f ca="1">IFERROR(__xludf.DUMMYFUNCTION("""COMPUTED_VALUE"""),"Joy of Computing with Python")</f>
        <v>Joy of Computing with Python</v>
      </c>
      <c r="E19" s="69" t="str">
        <f ca="1">IFERROR(__xludf.DUMMYFUNCTION("""COMPUTED_VALUE"""),"NPTEL")</f>
        <v>NPTEL</v>
      </c>
      <c r="F19" s="69" t="str">
        <f ca="1">IFERROR(__xludf.DUMMYFUNCTION("""COMPUTED_VALUE"""),"3 Months")</f>
        <v>3 Months</v>
      </c>
      <c r="G19" s="82">
        <f ca="1">IFERROR(__xludf.DUMMYFUNCTION("""COMPUTED_VALUE"""),44216)</f>
        <v>44216</v>
      </c>
      <c r="H19" s="82">
        <f ca="1">IFERROR(__xludf.DUMMYFUNCTION("""COMPUTED_VALUE"""),44288)</f>
        <v>44288</v>
      </c>
      <c r="I19" s="69">
        <f ca="1">IFERROR(__xludf.DUMMYFUNCTION("""COMPUTED_VALUE"""),89)</f>
        <v>89</v>
      </c>
      <c r="J19" s="75" t="str">
        <f ca="1">IFERROR(__xludf.DUMMYFUNCTION("""COMPUTED_VALUE"""),"https://drive.google.com/open?id=1ycpGI9ww9o25WRe9xh6ExTvdOLI-e72k")</f>
        <v>https://drive.google.com/open?id=1ycpGI9ww9o25WRe9xh6ExTvdOLI-e72k</v>
      </c>
      <c r="K19" s="69" t="str">
        <f ca="1">IFERROR(__xludf.DUMMYFUNCTION("""COMPUTED_VALUE"""),"2018-2022")</f>
        <v>2018-2022</v>
      </c>
      <c r="L19" s="69" t="str">
        <f ca="1">IFERROR(__xludf.DUMMYFUNCTION("""COMPUTED_VALUE"""),"S6: Student NPTEL")</f>
        <v>S6: Student NPTEL</v>
      </c>
      <c r="M19" s="69" t="str">
        <f ca="1">IFERROR(__xludf.DUMMYFUNCTION("""COMPUTED_VALUE"""),"saiyogeshbhasuru16@gmail.com")</f>
        <v>saiyogeshbhasuru16@gmail.com</v>
      </c>
      <c r="N19" s="69" t="str">
        <f ca="1">IFERROR(__xludf.DUMMYFUNCTION("""COMPUTED_VALUE"""),"SEM-8")</f>
        <v>SEM-8</v>
      </c>
      <c r="O19" s="69"/>
      <c r="P19" s="69"/>
      <c r="Q19" s="69"/>
      <c r="R19" s="69"/>
      <c r="S19" s="69"/>
      <c r="T19" s="69"/>
      <c r="U19" s="69"/>
      <c r="V19" s="69"/>
      <c r="W19" s="69"/>
      <c r="X19" s="69"/>
    </row>
    <row r="20" spans="1:24" ht="33" customHeight="1" x14ac:dyDescent="0.15">
      <c r="A20" s="69" t="str">
        <f ca="1">IFERROR(__xludf.DUMMYFUNCTION("""COMPUTED_VALUE"""),"Gara Ranjeet kumar")</f>
        <v>Gara Ranjeet kumar</v>
      </c>
      <c r="B20" s="69" t="str">
        <f ca="1">IFERROR(__xludf.DUMMYFUNCTION("""COMPUTED_VALUE"""),"18331A0544")</f>
        <v>18331A0544</v>
      </c>
      <c r="C20" s="69" t="str">
        <f ca="1">IFERROR(__xludf.DUMMYFUNCTION("""COMPUTED_VALUE"""),"2018-2019")</f>
        <v>2018-2019</v>
      </c>
      <c r="D20" s="69" t="str">
        <f ca="1">IFERROR(__xludf.DUMMYFUNCTION("""COMPUTED_VALUE"""),"Introduction to programing in C")</f>
        <v>Introduction to programing in C</v>
      </c>
      <c r="E20" s="69" t="str">
        <f ca="1">IFERROR(__xludf.DUMMYFUNCTION("""COMPUTED_VALUE"""),"NPTEL")</f>
        <v>NPTEL</v>
      </c>
      <c r="F20" s="69" t="str">
        <f ca="1">IFERROR(__xludf.DUMMYFUNCTION("""COMPUTED_VALUE"""),"8 weeks")</f>
        <v>8 weeks</v>
      </c>
      <c r="G20" s="82">
        <f ca="1">IFERROR(__xludf.DUMMYFUNCTION("""COMPUTED_VALUE"""),43282)</f>
        <v>43282</v>
      </c>
      <c r="H20" s="82">
        <f ca="1">IFERROR(__xludf.DUMMYFUNCTION("""COMPUTED_VALUE"""),43342)</f>
        <v>43342</v>
      </c>
      <c r="I20" s="69">
        <f ca="1">IFERROR(__xludf.DUMMYFUNCTION("""COMPUTED_VALUE"""),40)</f>
        <v>40</v>
      </c>
      <c r="J20" s="75" t="str">
        <f ca="1">IFERROR(__xludf.DUMMYFUNCTION("""COMPUTED_VALUE"""),"https://drive.google.com/open?id=1g39anyffvpUh0R9NdOuTGXraa6W7E7g-")</f>
        <v>https://drive.google.com/open?id=1g39anyffvpUh0R9NdOuTGXraa6W7E7g-</v>
      </c>
      <c r="K20" s="69" t="str">
        <f ca="1">IFERROR(__xludf.DUMMYFUNCTION("""COMPUTED_VALUE"""),"2018-2022")</f>
        <v>2018-2022</v>
      </c>
      <c r="L20" s="69" t="str">
        <f ca="1">IFERROR(__xludf.DUMMYFUNCTION("""COMPUTED_VALUE"""),"S6: Student NPTEL")</f>
        <v>S6: Student NPTEL</v>
      </c>
      <c r="M20" s="69" t="str">
        <f ca="1">IFERROR(__xludf.DUMMYFUNCTION("""COMPUTED_VALUE"""),"ranjeetgara123@gmail.com")</f>
        <v>ranjeetgara123@gmail.com</v>
      </c>
      <c r="N20" s="69" t="str">
        <f ca="1">IFERROR(__xludf.DUMMYFUNCTION("""COMPUTED_VALUE"""),"SEM-1")</f>
        <v>SEM-1</v>
      </c>
      <c r="O20" s="69"/>
      <c r="P20" s="69"/>
      <c r="Q20" s="69"/>
      <c r="R20" s="69"/>
      <c r="S20" s="69"/>
      <c r="T20" s="69"/>
      <c r="U20" s="69"/>
      <c r="V20" s="69"/>
      <c r="W20" s="69"/>
      <c r="X20" s="69"/>
    </row>
    <row r="21" spans="1:24" ht="33" customHeight="1" x14ac:dyDescent="0.15">
      <c r="A21" s="69" t="str">
        <f ca="1">IFERROR(__xludf.DUMMYFUNCTION("""COMPUTED_VALUE"""),"Killana Gayatri Venkata Manikanta")</f>
        <v>Killana Gayatri Venkata Manikanta</v>
      </c>
      <c r="B21" s="69" t="str">
        <f ca="1">IFERROR(__xludf.DUMMYFUNCTION("""COMPUTED_VALUE"""),"18331A0576")</f>
        <v>18331A0576</v>
      </c>
      <c r="C21" s="69" t="str">
        <f ca="1">IFERROR(__xludf.DUMMYFUNCTION("""COMPUTED_VALUE"""),"2019-2020")</f>
        <v>2019-2020</v>
      </c>
      <c r="D21" s="69" t="str">
        <f ca="1">IFERROR(__xludf.DUMMYFUNCTION("""COMPUTED_VALUE"""),"C certitficate")</f>
        <v>C certitficate</v>
      </c>
      <c r="E21" s="69" t="str">
        <f ca="1">IFERROR(__xludf.DUMMYFUNCTION("""COMPUTED_VALUE"""),"NPTEL")</f>
        <v>NPTEL</v>
      </c>
      <c r="F21" s="69" t="str">
        <f ca="1">IFERROR(__xludf.DUMMYFUNCTION("""COMPUTED_VALUE"""),"2 months")</f>
        <v>2 months</v>
      </c>
      <c r="G21" s="82">
        <f ca="1">IFERROR(__xludf.DUMMYFUNCTION("""COMPUTED_VALUE"""),43657)</f>
        <v>43657</v>
      </c>
      <c r="H21" s="82">
        <f ca="1">IFERROR(__xludf.DUMMYFUNCTION("""COMPUTED_VALUE"""),43720)</f>
        <v>43720</v>
      </c>
      <c r="I21" s="69">
        <f ca="1">IFERROR(__xludf.DUMMYFUNCTION("""COMPUTED_VALUE"""),67)</f>
        <v>67</v>
      </c>
      <c r="J21" s="75" t="str">
        <f ca="1">IFERROR(__xludf.DUMMYFUNCTION("""COMPUTED_VALUE"""),"https://drive.google.com/open?id=1n51ksBrcJzu8FL6s0RaMBBoDHsOxzL4B")</f>
        <v>https://drive.google.com/open?id=1n51ksBrcJzu8FL6s0RaMBBoDHsOxzL4B</v>
      </c>
      <c r="K21" s="69" t="str">
        <f ca="1">IFERROR(__xludf.DUMMYFUNCTION("""COMPUTED_VALUE"""),"2018-2022")</f>
        <v>2018-2022</v>
      </c>
      <c r="L21" s="69" t="str">
        <f ca="1">IFERROR(__xludf.DUMMYFUNCTION("""COMPUTED_VALUE"""),"S6: Student NPTEL")</f>
        <v>S6: Student NPTEL</v>
      </c>
      <c r="M21" s="69" t="str">
        <f ca="1">IFERROR(__xludf.DUMMYFUNCTION("""COMPUTED_VALUE"""),"manikantakillana22@gmail.com")</f>
        <v>manikantakillana22@gmail.com</v>
      </c>
      <c r="N21" s="69" t="str">
        <f ca="1">IFERROR(__xludf.DUMMYFUNCTION("""COMPUTED_VALUE"""),"SEM-3")</f>
        <v>SEM-3</v>
      </c>
      <c r="O21" s="69"/>
      <c r="P21" s="69"/>
      <c r="Q21" s="69"/>
      <c r="R21" s="69"/>
      <c r="S21" s="69"/>
      <c r="T21" s="69"/>
      <c r="U21" s="69"/>
      <c r="V21" s="69"/>
      <c r="W21" s="69"/>
      <c r="X21" s="69"/>
    </row>
    <row r="22" spans="1:24" ht="33" customHeight="1" x14ac:dyDescent="0.15">
      <c r="A22" s="69" t="str">
        <f ca="1">IFERROR(__xludf.DUMMYFUNCTION("""COMPUTED_VALUE"""),"Jaswanth Vajrapu")</f>
        <v>Jaswanth Vajrapu</v>
      </c>
      <c r="B22" s="69" t="str">
        <f ca="1">IFERROR(__xludf.DUMMYFUNCTION("""COMPUTED_VALUE"""),"18331A05G5")</f>
        <v>18331A05G5</v>
      </c>
      <c r="C22" s="69" t="str">
        <f ca="1">IFERROR(__xludf.DUMMYFUNCTION("""COMPUTED_VALUE"""),"2019-2020")</f>
        <v>2019-2020</v>
      </c>
      <c r="D22" s="69" t="str">
        <f ca="1">IFERROR(__xludf.DUMMYFUNCTION("""COMPUTED_VALUE"""),"Problem Solving in C")</f>
        <v>Problem Solving in C</v>
      </c>
      <c r="E22" s="69" t="str">
        <f ca="1">IFERROR(__xludf.DUMMYFUNCTION("""COMPUTED_VALUE"""),"NPTEL")</f>
        <v>NPTEL</v>
      </c>
      <c r="F22" s="69" t="str">
        <f ca="1">IFERROR(__xludf.DUMMYFUNCTION("""COMPUTED_VALUE"""),"12 Weeks")</f>
        <v>12 Weeks</v>
      </c>
      <c r="G22" s="82">
        <f ca="1">IFERROR(__xludf.DUMMYFUNCTION("""COMPUTED_VALUE"""),43476)</f>
        <v>43476</v>
      </c>
      <c r="H22" s="82">
        <f ca="1">IFERROR(__xludf.DUMMYFUNCTION("""COMPUTED_VALUE"""),43566)</f>
        <v>43566</v>
      </c>
      <c r="I22" s="69">
        <f ca="1">IFERROR(__xludf.DUMMYFUNCTION("""COMPUTED_VALUE"""),73)</f>
        <v>73</v>
      </c>
      <c r="J22" s="75" t="str">
        <f ca="1">IFERROR(__xludf.DUMMYFUNCTION("""COMPUTED_VALUE"""),"https://drive.google.com/open?id=1Ge4SRokCJY04Io2zfoiUhLhrAKh00_Ga")</f>
        <v>https://drive.google.com/open?id=1Ge4SRokCJY04Io2zfoiUhLhrAKh00_Ga</v>
      </c>
      <c r="K22" s="69" t="str">
        <f ca="1">IFERROR(__xludf.DUMMYFUNCTION("""COMPUTED_VALUE"""),"2018-2022")</f>
        <v>2018-2022</v>
      </c>
      <c r="L22" s="69" t="str">
        <f ca="1">IFERROR(__xludf.DUMMYFUNCTION("""COMPUTED_VALUE"""),"S6: Student NPTEL")</f>
        <v>S6: Student NPTEL</v>
      </c>
      <c r="M22" s="69" t="str">
        <f ca="1">IFERROR(__xludf.DUMMYFUNCTION("""COMPUTED_VALUE"""),"jaswanth.vjp13@gmail.com")</f>
        <v>jaswanth.vjp13@gmail.com</v>
      </c>
      <c r="N22" s="69" t="str">
        <f ca="1">IFERROR(__xludf.DUMMYFUNCTION("""COMPUTED_VALUE"""),"SEM-3")</f>
        <v>SEM-3</v>
      </c>
      <c r="O22" s="69"/>
      <c r="P22" s="69"/>
      <c r="Q22" s="69"/>
      <c r="R22" s="69"/>
      <c r="S22" s="69"/>
      <c r="T22" s="69"/>
      <c r="U22" s="69"/>
      <c r="V22" s="69"/>
      <c r="W22" s="69"/>
      <c r="X22" s="69"/>
    </row>
    <row r="23" spans="1:24" ht="33" customHeight="1" x14ac:dyDescent="0.15">
      <c r="A23" s="69" t="str">
        <f ca="1">IFERROR(__xludf.DUMMYFUNCTION("""COMPUTED_VALUE"""),"Chaitra Mudili")</f>
        <v>Chaitra Mudili</v>
      </c>
      <c r="B23" s="69" t="str">
        <f ca="1">IFERROR(__xludf.DUMMYFUNCTION("""COMPUTED_VALUE"""),"18331A05A0")</f>
        <v>18331A05A0</v>
      </c>
      <c r="C23" s="69" t="str">
        <f ca="1">IFERROR(__xludf.DUMMYFUNCTION("""COMPUTED_VALUE"""),"2020-2021")</f>
        <v>2020-2021</v>
      </c>
      <c r="D23" s="69" t="str">
        <f ca="1">IFERROR(__xludf.DUMMYFUNCTION("""COMPUTED_VALUE"""),"Soft Skills")</f>
        <v>Soft Skills</v>
      </c>
      <c r="E23" s="69" t="str">
        <f ca="1">IFERROR(__xludf.DUMMYFUNCTION("""COMPUTED_VALUE"""),"NPTEL")</f>
        <v>NPTEL</v>
      </c>
      <c r="F23" s="69" t="str">
        <f ca="1">IFERROR(__xludf.DUMMYFUNCTION("""COMPUTED_VALUE"""),"12 weeks")</f>
        <v>12 weeks</v>
      </c>
      <c r="G23" s="82">
        <f ca="1">IFERROR(__xludf.DUMMYFUNCTION("""COMPUTED_VALUE"""),44075)</f>
        <v>44075</v>
      </c>
      <c r="H23" s="82">
        <f ca="1">IFERROR(__xludf.DUMMYFUNCTION("""COMPUTED_VALUE"""),44191)</f>
        <v>44191</v>
      </c>
      <c r="I23" s="69">
        <f ca="1">IFERROR(__xludf.DUMMYFUNCTION("""COMPUTED_VALUE"""),90)</f>
        <v>90</v>
      </c>
      <c r="J23" s="75" t="str">
        <f ca="1">IFERROR(__xludf.DUMMYFUNCTION("""COMPUTED_VALUE"""),"https://drive.google.com/open?id=1MifZlr4QTyfjCEJejPJbr5s190TAXprE")</f>
        <v>https://drive.google.com/open?id=1MifZlr4QTyfjCEJejPJbr5s190TAXprE</v>
      </c>
      <c r="K23" s="69" t="str">
        <f ca="1">IFERROR(__xludf.DUMMYFUNCTION("""COMPUTED_VALUE"""),"2018-2022")</f>
        <v>2018-2022</v>
      </c>
      <c r="L23" s="69" t="str">
        <f ca="1">IFERROR(__xludf.DUMMYFUNCTION("""COMPUTED_VALUE"""),"S6: Student NPTEL")</f>
        <v>S6: Student NPTEL</v>
      </c>
      <c r="M23" s="69" t="str">
        <f ca="1">IFERROR(__xludf.DUMMYFUNCTION("""COMPUTED_VALUE"""),"chaitra2026@gmail.com")</f>
        <v>chaitra2026@gmail.com</v>
      </c>
      <c r="N23" s="69" t="str">
        <f ca="1">IFERROR(__xludf.DUMMYFUNCTION("""COMPUTED_VALUE"""),"SEM-5")</f>
        <v>SEM-5</v>
      </c>
      <c r="O23" s="69"/>
      <c r="P23" s="69"/>
      <c r="Q23" s="69"/>
      <c r="R23" s="69"/>
      <c r="S23" s="69"/>
      <c r="T23" s="69"/>
      <c r="U23" s="69"/>
      <c r="V23" s="69"/>
      <c r="W23" s="69"/>
      <c r="X23" s="69"/>
    </row>
    <row r="24" spans="1:24" ht="33" customHeight="1" x14ac:dyDescent="0.15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</row>
    <row r="25" spans="1:24" ht="33" customHeight="1" x14ac:dyDescent="0.1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</row>
    <row r="26" spans="1:24" ht="33" customHeight="1" x14ac:dyDescent="0.15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</row>
    <row r="27" spans="1:24" ht="33" customHeight="1" x14ac:dyDescent="0.15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</row>
    <row r="28" spans="1:24" ht="33" customHeight="1" x14ac:dyDescent="0.15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</row>
    <row r="29" spans="1:24" ht="33" customHeight="1" x14ac:dyDescent="0.15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</row>
    <row r="30" spans="1:24" ht="33" customHeight="1" x14ac:dyDescent="0.15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</row>
    <row r="31" spans="1:24" ht="33" customHeight="1" x14ac:dyDescent="0.1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</row>
    <row r="32" spans="1:24" ht="33" customHeight="1" x14ac:dyDescent="0.1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</row>
    <row r="33" spans="1:24" ht="33" customHeight="1" x14ac:dyDescent="0.1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</row>
    <row r="34" spans="1:24" ht="33" customHeight="1" x14ac:dyDescent="0.1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</row>
    <row r="35" spans="1:24" ht="33" customHeight="1" x14ac:dyDescent="0.1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</row>
    <row r="36" spans="1:24" ht="33" customHeight="1" x14ac:dyDescent="0.1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</row>
    <row r="37" spans="1:24" ht="33" customHeight="1" x14ac:dyDescent="0.1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</row>
    <row r="38" spans="1:24" ht="33" customHeight="1" x14ac:dyDescent="0.1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</row>
    <row r="39" spans="1:24" ht="33" customHeight="1" x14ac:dyDescent="0.1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</row>
    <row r="40" spans="1:24" ht="33" customHeight="1" x14ac:dyDescent="0.1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</row>
    <row r="41" spans="1:24" ht="33" customHeight="1" x14ac:dyDescent="0.1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</row>
    <row r="42" spans="1:24" ht="33" customHeight="1" x14ac:dyDescent="0.1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</row>
    <row r="43" spans="1:24" ht="33" customHeight="1" x14ac:dyDescent="0.1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</row>
    <row r="44" spans="1:24" ht="33" customHeight="1" x14ac:dyDescent="0.1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</row>
    <row r="45" spans="1:24" ht="33" customHeight="1" x14ac:dyDescent="0.1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</row>
    <row r="46" spans="1:24" ht="33" customHeight="1" x14ac:dyDescent="0.1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</row>
    <row r="47" spans="1:24" ht="33" customHeight="1" x14ac:dyDescent="0.1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</row>
    <row r="48" spans="1:24" ht="33" customHeight="1" x14ac:dyDescent="0.1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</row>
    <row r="49" spans="1:24" ht="33" customHeight="1" x14ac:dyDescent="0.1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</row>
    <row r="50" spans="1:24" ht="33" customHeight="1" x14ac:dyDescent="0.1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</row>
    <row r="51" spans="1:24" ht="33" customHeight="1" x14ac:dyDescent="0.1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</row>
    <row r="52" spans="1:24" ht="33" customHeight="1" x14ac:dyDescent="0.1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</row>
    <row r="53" spans="1:24" ht="33" customHeight="1" x14ac:dyDescent="0.1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</row>
    <row r="54" spans="1:24" ht="33" customHeight="1" x14ac:dyDescent="0.1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</row>
    <row r="55" spans="1:24" ht="33" customHeight="1" x14ac:dyDescent="0.1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</row>
    <row r="56" spans="1:24" ht="33" customHeight="1" x14ac:dyDescent="0.1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</row>
    <row r="57" spans="1:24" ht="33" customHeight="1" x14ac:dyDescent="0.1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</row>
    <row r="58" spans="1:24" ht="33" customHeight="1" x14ac:dyDescent="0.1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</row>
    <row r="59" spans="1:24" ht="33" customHeight="1" x14ac:dyDescent="0.1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</row>
    <row r="60" spans="1:24" ht="33" customHeight="1" x14ac:dyDescent="0.1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</row>
    <row r="61" spans="1:24" ht="33" customHeight="1" x14ac:dyDescent="0.1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</row>
    <row r="62" spans="1:24" ht="33" customHeight="1" x14ac:dyDescent="0.1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</row>
    <row r="63" spans="1:24" ht="33" customHeight="1" x14ac:dyDescent="0.1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</row>
    <row r="64" spans="1:24" ht="33" customHeight="1" x14ac:dyDescent="0.1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</row>
    <row r="65" spans="1:24" ht="33" customHeight="1" x14ac:dyDescent="0.1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</row>
    <row r="66" spans="1:24" ht="33" customHeight="1" x14ac:dyDescent="0.1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</row>
    <row r="67" spans="1:24" ht="33" customHeight="1" x14ac:dyDescent="0.1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</row>
    <row r="68" spans="1:24" ht="33" customHeight="1" x14ac:dyDescent="0.1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</row>
    <row r="69" spans="1:24" ht="33" customHeight="1" x14ac:dyDescent="0.1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</row>
    <row r="70" spans="1:24" ht="33" customHeight="1" x14ac:dyDescent="0.1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</row>
    <row r="71" spans="1:24" ht="33" customHeight="1" x14ac:dyDescent="0.1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</row>
    <row r="72" spans="1:24" ht="33" customHeight="1" x14ac:dyDescent="0.1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</row>
    <row r="73" spans="1:24" ht="33" customHeight="1" x14ac:dyDescent="0.1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</row>
    <row r="74" spans="1:24" ht="33" customHeight="1" x14ac:dyDescent="0.1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</row>
    <row r="75" spans="1:24" ht="33" customHeight="1" x14ac:dyDescent="0.1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</row>
    <row r="76" spans="1:24" ht="33" customHeight="1" x14ac:dyDescent="0.1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</row>
    <row r="77" spans="1:24" ht="33" customHeight="1" x14ac:dyDescent="0.1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</row>
    <row r="78" spans="1:24" ht="33" customHeight="1" x14ac:dyDescent="0.1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</row>
    <row r="79" spans="1:24" ht="33" customHeight="1" x14ac:dyDescent="0.1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</row>
    <row r="80" spans="1:24" ht="33" customHeight="1" x14ac:dyDescent="0.1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</row>
    <row r="81" spans="1:24" ht="33" customHeight="1" x14ac:dyDescent="0.1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</row>
    <row r="82" spans="1:24" ht="33" customHeight="1" x14ac:dyDescent="0.1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</row>
    <row r="83" spans="1:24" ht="33" customHeight="1" x14ac:dyDescent="0.1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</row>
    <row r="84" spans="1:24" ht="33" customHeight="1" x14ac:dyDescent="0.1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</row>
    <row r="85" spans="1:24" ht="33" customHeight="1" x14ac:dyDescent="0.1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</row>
    <row r="86" spans="1:24" ht="33" customHeight="1" x14ac:dyDescent="0.1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</row>
    <row r="87" spans="1:24" ht="33" customHeight="1" x14ac:dyDescent="0.1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</row>
    <row r="88" spans="1:24" ht="33" customHeight="1" x14ac:dyDescent="0.1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</row>
    <row r="89" spans="1:24" ht="33" customHeight="1" x14ac:dyDescent="0.1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</row>
    <row r="90" spans="1:24" ht="33" customHeight="1" x14ac:dyDescent="0.1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</row>
    <row r="91" spans="1:24" ht="33" customHeight="1" x14ac:dyDescent="0.1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</row>
    <row r="92" spans="1:24" ht="33" customHeight="1" x14ac:dyDescent="0.1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</row>
    <row r="93" spans="1:24" ht="33" customHeight="1" x14ac:dyDescent="0.1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</row>
    <row r="94" spans="1:24" ht="33" customHeight="1" x14ac:dyDescent="0.1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</row>
    <row r="95" spans="1:24" ht="33" customHeight="1" x14ac:dyDescent="0.1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</row>
    <row r="96" spans="1:24" ht="33" customHeight="1" x14ac:dyDescent="0.1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</row>
    <row r="97" spans="1:24" ht="33" customHeight="1" x14ac:dyDescent="0.1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</row>
    <row r="98" spans="1:24" ht="33" customHeight="1" x14ac:dyDescent="0.1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</row>
    <row r="99" spans="1:24" ht="33" customHeight="1" x14ac:dyDescent="0.1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</row>
    <row r="100" spans="1:24" ht="33" customHeight="1" x14ac:dyDescent="0.1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</row>
    <row r="101" spans="1:24" ht="33" customHeight="1" x14ac:dyDescent="0.1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</row>
    <row r="102" spans="1:24" ht="33" customHeight="1" x14ac:dyDescent="0.1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</row>
    <row r="103" spans="1:24" ht="33" customHeight="1" x14ac:dyDescent="0.1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</row>
    <row r="104" spans="1:24" ht="33" customHeight="1" x14ac:dyDescent="0.1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</row>
    <row r="105" spans="1:24" ht="33" customHeight="1" x14ac:dyDescent="0.1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</row>
    <row r="106" spans="1:24" ht="33" customHeight="1" x14ac:dyDescent="0.1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</row>
    <row r="107" spans="1:24" ht="33" customHeight="1" x14ac:dyDescent="0.1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</row>
    <row r="108" spans="1:24" ht="33" customHeight="1" x14ac:dyDescent="0.1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</row>
    <row r="109" spans="1:24" ht="33" customHeight="1" x14ac:dyDescent="0.1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</row>
    <row r="110" spans="1:24" ht="33" customHeight="1" x14ac:dyDescent="0.1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</row>
    <row r="111" spans="1:24" ht="33" customHeight="1" x14ac:dyDescent="0.1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</row>
    <row r="112" spans="1:24" ht="33" customHeight="1" x14ac:dyDescent="0.1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</row>
    <row r="113" spans="1:24" ht="33" customHeight="1" x14ac:dyDescent="0.1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</row>
    <row r="114" spans="1:24" ht="33" customHeight="1" x14ac:dyDescent="0.1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</row>
    <row r="115" spans="1:24" ht="33" customHeight="1" x14ac:dyDescent="0.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</row>
    <row r="116" spans="1:24" ht="33" customHeight="1" x14ac:dyDescent="0.1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</row>
    <row r="117" spans="1:24" ht="33" customHeight="1" x14ac:dyDescent="0.1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</row>
    <row r="118" spans="1:24" ht="33" customHeight="1" x14ac:dyDescent="0.1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</row>
    <row r="119" spans="1:24" ht="33" customHeight="1" x14ac:dyDescent="0.1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</row>
    <row r="120" spans="1:24" ht="33" customHeight="1" x14ac:dyDescent="0.1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</row>
    <row r="121" spans="1:24" ht="33" customHeight="1" x14ac:dyDescent="0.1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</row>
    <row r="122" spans="1:24" ht="33" customHeight="1" x14ac:dyDescent="0.1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</row>
    <row r="123" spans="1:24" ht="33" customHeight="1" x14ac:dyDescent="0.1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</row>
    <row r="124" spans="1:24" ht="33" customHeight="1" x14ac:dyDescent="0.1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</row>
    <row r="125" spans="1:24" ht="33" customHeight="1" x14ac:dyDescent="0.1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</row>
    <row r="126" spans="1:24" ht="33" customHeight="1" x14ac:dyDescent="0.1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</row>
    <row r="127" spans="1:24" ht="33" customHeight="1" x14ac:dyDescent="0.1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</row>
    <row r="128" spans="1:24" ht="33" customHeight="1" x14ac:dyDescent="0.1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</row>
    <row r="129" spans="1:24" ht="33" customHeight="1" x14ac:dyDescent="0.1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</row>
    <row r="130" spans="1:24" ht="33" customHeight="1" x14ac:dyDescent="0.1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</row>
    <row r="131" spans="1:24" ht="33" customHeight="1" x14ac:dyDescent="0.1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</row>
    <row r="132" spans="1:24" ht="33" customHeight="1" x14ac:dyDescent="0.1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</row>
    <row r="133" spans="1:24" ht="33" customHeight="1" x14ac:dyDescent="0.1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</row>
    <row r="134" spans="1:24" ht="33" customHeight="1" x14ac:dyDescent="0.1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</row>
    <row r="135" spans="1:24" ht="33" customHeight="1" x14ac:dyDescent="0.1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</row>
    <row r="136" spans="1:24" ht="33" customHeight="1" x14ac:dyDescent="0.1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</row>
    <row r="137" spans="1:24" ht="33" customHeight="1" x14ac:dyDescent="0.1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</row>
    <row r="138" spans="1:24" ht="33" customHeight="1" x14ac:dyDescent="0.1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</row>
    <row r="139" spans="1:24" ht="33" customHeight="1" x14ac:dyDescent="0.1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</row>
    <row r="140" spans="1:24" ht="33" customHeight="1" x14ac:dyDescent="0.1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</row>
    <row r="141" spans="1:24" ht="33" customHeight="1" x14ac:dyDescent="0.1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</row>
    <row r="142" spans="1:24" ht="33" customHeight="1" x14ac:dyDescent="0.1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</row>
    <row r="143" spans="1:24" ht="33" customHeight="1" x14ac:dyDescent="0.1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</row>
    <row r="144" spans="1:24" ht="33" customHeight="1" x14ac:dyDescent="0.1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</row>
    <row r="145" spans="1:24" ht="33" customHeight="1" x14ac:dyDescent="0.1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</row>
    <row r="146" spans="1:24" ht="33" customHeight="1" x14ac:dyDescent="0.1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</row>
    <row r="147" spans="1:24" ht="33" customHeight="1" x14ac:dyDescent="0.1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</row>
    <row r="148" spans="1:24" ht="33" customHeight="1" x14ac:dyDescent="0.1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</row>
    <row r="149" spans="1:24" ht="33" customHeight="1" x14ac:dyDescent="0.1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</row>
    <row r="150" spans="1:24" ht="33" customHeight="1" x14ac:dyDescent="0.1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</row>
    <row r="151" spans="1:24" ht="33" customHeight="1" x14ac:dyDescent="0.1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</row>
    <row r="152" spans="1:24" ht="33" customHeight="1" x14ac:dyDescent="0.1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</row>
    <row r="153" spans="1:24" ht="33" customHeight="1" x14ac:dyDescent="0.1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</row>
    <row r="154" spans="1:24" ht="33" customHeight="1" x14ac:dyDescent="0.1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</row>
    <row r="155" spans="1:24" ht="33" customHeight="1" x14ac:dyDescent="0.1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</row>
    <row r="156" spans="1:24" ht="33" customHeight="1" x14ac:dyDescent="0.1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</row>
    <row r="157" spans="1:24" ht="33" customHeight="1" x14ac:dyDescent="0.1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</row>
    <row r="158" spans="1:24" ht="33" customHeight="1" x14ac:dyDescent="0.1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</row>
    <row r="159" spans="1:24" ht="33" customHeight="1" x14ac:dyDescent="0.1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</row>
    <row r="160" spans="1:24" ht="33" customHeight="1" x14ac:dyDescent="0.1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</row>
    <row r="161" spans="1:24" ht="33" customHeight="1" x14ac:dyDescent="0.1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</row>
    <row r="162" spans="1:24" ht="33" customHeight="1" x14ac:dyDescent="0.1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</row>
    <row r="163" spans="1:24" ht="33" customHeight="1" x14ac:dyDescent="0.1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</row>
    <row r="164" spans="1:24" ht="33" customHeight="1" x14ac:dyDescent="0.1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</row>
    <row r="165" spans="1:24" ht="33" customHeight="1" x14ac:dyDescent="0.1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</row>
    <row r="166" spans="1:24" ht="33" customHeight="1" x14ac:dyDescent="0.1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</row>
    <row r="167" spans="1:24" ht="33" customHeight="1" x14ac:dyDescent="0.1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</row>
    <row r="168" spans="1:24" ht="33" customHeight="1" x14ac:dyDescent="0.1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</row>
    <row r="169" spans="1:24" ht="33" customHeight="1" x14ac:dyDescent="0.1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</row>
    <row r="170" spans="1:24" ht="33" customHeight="1" x14ac:dyDescent="0.1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</row>
    <row r="171" spans="1:24" ht="33" customHeight="1" x14ac:dyDescent="0.1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</row>
    <row r="172" spans="1:24" ht="33" customHeight="1" x14ac:dyDescent="0.1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</row>
    <row r="173" spans="1:24" ht="33" customHeight="1" x14ac:dyDescent="0.1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</row>
    <row r="174" spans="1:24" ht="33" customHeight="1" x14ac:dyDescent="0.1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</row>
    <row r="175" spans="1:24" ht="33" customHeight="1" x14ac:dyDescent="0.1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</row>
    <row r="176" spans="1:24" ht="33" customHeight="1" x14ac:dyDescent="0.1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</row>
    <row r="177" spans="1:24" ht="33" customHeight="1" x14ac:dyDescent="0.1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</row>
    <row r="178" spans="1:24" ht="33" customHeight="1" x14ac:dyDescent="0.1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</row>
    <row r="179" spans="1:24" ht="33" customHeight="1" x14ac:dyDescent="0.1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</row>
    <row r="180" spans="1:24" ht="33" customHeight="1" x14ac:dyDescent="0.1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</row>
    <row r="181" spans="1:24" ht="33" customHeight="1" x14ac:dyDescent="0.1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</row>
    <row r="182" spans="1:24" ht="33" customHeight="1" x14ac:dyDescent="0.1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</row>
    <row r="183" spans="1:24" ht="33" customHeight="1" x14ac:dyDescent="0.1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</row>
    <row r="184" spans="1:24" ht="33" customHeight="1" x14ac:dyDescent="0.1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</row>
    <row r="185" spans="1:24" ht="33" customHeight="1" x14ac:dyDescent="0.1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</row>
    <row r="186" spans="1:24" ht="33" customHeight="1" x14ac:dyDescent="0.1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</row>
    <row r="187" spans="1:24" ht="33" customHeight="1" x14ac:dyDescent="0.1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</row>
    <row r="188" spans="1:24" ht="33" customHeight="1" x14ac:dyDescent="0.1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</row>
    <row r="189" spans="1:24" ht="33" customHeight="1" x14ac:dyDescent="0.1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</row>
    <row r="190" spans="1:24" ht="33" customHeight="1" x14ac:dyDescent="0.1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</row>
    <row r="191" spans="1:24" ht="33" customHeight="1" x14ac:dyDescent="0.1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</row>
    <row r="192" spans="1:24" ht="33" customHeight="1" x14ac:dyDescent="0.1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</row>
    <row r="193" spans="1:24" ht="33" customHeight="1" x14ac:dyDescent="0.1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</row>
    <row r="194" spans="1:24" ht="33" customHeight="1" x14ac:dyDescent="0.1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</row>
    <row r="195" spans="1:24" ht="33" customHeight="1" x14ac:dyDescent="0.1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</row>
    <row r="196" spans="1:24" ht="33" customHeight="1" x14ac:dyDescent="0.1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</row>
    <row r="197" spans="1:24" ht="33" customHeight="1" x14ac:dyDescent="0.1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</row>
    <row r="198" spans="1:24" ht="33" customHeight="1" x14ac:dyDescent="0.1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</row>
    <row r="199" spans="1:24" ht="33" customHeight="1" x14ac:dyDescent="0.1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</row>
    <row r="200" spans="1:24" ht="33" customHeight="1" x14ac:dyDescent="0.1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</row>
    <row r="201" spans="1:24" ht="33" customHeight="1" x14ac:dyDescent="0.1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</row>
    <row r="202" spans="1:24" ht="33" customHeight="1" x14ac:dyDescent="0.1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</row>
    <row r="203" spans="1:24" ht="33" customHeight="1" x14ac:dyDescent="0.1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</row>
    <row r="204" spans="1:24" ht="33" customHeight="1" x14ac:dyDescent="0.1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</row>
    <row r="205" spans="1:24" ht="33" customHeight="1" x14ac:dyDescent="0.1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</row>
    <row r="206" spans="1:24" ht="33" customHeight="1" x14ac:dyDescent="0.1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</row>
    <row r="207" spans="1:24" ht="33" customHeight="1" x14ac:dyDescent="0.1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</row>
    <row r="208" spans="1:24" ht="33" customHeight="1" x14ac:dyDescent="0.1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</row>
    <row r="209" spans="1:24" ht="33" customHeight="1" x14ac:dyDescent="0.1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</row>
    <row r="210" spans="1:24" ht="33" customHeight="1" x14ac:dyDescent="0.1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</row>
    <row r="211" spans="1:24" ht="33" customHeight="1" x14ac:dyDescent="0.1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</row>
    <row r="212" spans="1:24" ht="33" customHeight="1" x14ac:dyDescent="0.1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</row>
    <row r="213" spans="1:24" ht="33" customHeight="1" x14ac:dyDescent="0.1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</row>
    <row r="214" spans="1:24" ht="33" customHeight="1" x14ac:dyDescent="0.1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</row>
    <row r="215" spans="1:24" ht="33" customHeight="1" x14ac:dyDescent="0.1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</row>
    <row r="216" spans="1:24" ht="33" customHeight="1" x14ac:dyDescent="0.1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</row>
    <row r="217" spans="1:24" ht="33" customHeight="1" x14ac:dyDescent="0.1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</row>
    <row r="218" spans="1:24" ht="33" customHeight="1" x14ac:dyDescent="0.1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</row>
    <row r="219" spans="1:24" ht="33" customHeight="1" x14ac:dyDescent="0.1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</row>
    <row r="220" spans="1:24" ht="33" customHeight="1" x14ac:dyDescent="0.1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</row>
    <row r="221" spans="1:24" ht="33" customHeight="1" x14ac:dyDescent="0.1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</row>
    <row r="222" spans="1:24" ht="33" customHeight="1" x14ac:dyDescent="0.1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</row>
    <row r="223" spans="1:24" ht="33" customHeight="1" x14ac:dyDescent="0.1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</row>
    <row r="224" spans="1:24" ht="33" customHeight="1" x14ac:dyDescent="0.1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</row>
    <row r="225" spans="1:24" ht="33" customHeight="1" x14ac:dyDescent="0.1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</row>
    <row r="226" spans="1:24" ht="33" customHeight="1" x14ac:dyDescent="0.1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</row>
    <row r="227" spans="1:24" ht="33" customHeight="1" x14ac:dyDescent="0.1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</row>
    <row r="228" spans="1:24" ht="33" customHeight="1" x14ac:dyDescent="0.1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</row>
    <row r="229" spans="1:24" ht="33" customHeight="1" x14ac:dyDescent="0.1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</row>
    <row r="230" spans="1:24" ht="33" customHeight="1" x14ac:dyDescent="0.1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</row>
    <row r="231" spans="1:24" ht="33" customHeight="1" x14ac:dyDescent="0.1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</row>
    <row r="232" spans="1:24" ht="33" customHeight="1" x14ac:dyDescent="0.1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</row>
    <row r="233" spans="1:24" ht="33" customHeight="1" x14ac:dyDescent="0.1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</row>
    <row r="234" spans="1:24" ht="33" customHeight="1" x14ac:dyDescent="0.1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</row>
    <row r="235" spans="1:24" ht="33" customHeight="1" x14ac:dyDescent="0.1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</row>
    <row r="236" spans="1:24" ht="33" customHeight="1" x14ac:dyDescent="0.1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</row>
    <row r="237" spans="1:24" ht="33" customHeight="1" x14ac:dyDescent="0.1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</row>
    <row r="238" spans="1:24" ht="33" customHeight="1" x14ac:dyDescent="0.1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</row>
    <row r="239" spans="1:24" ht="33" customHeight="1" x14ac:dyDescent="0.1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</row>
    <row r="240" spans="1:24" ht="33" customHeight="1" x14ac:dyDescent="0.1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</row>
    <row r="241" spans="1:24" ht="33" customHeight="1" x14ac:dyDescent="0.1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</row>
    <row r="242" spans="1:24" ht="33" customHeight="1" x14ac:dyDescent="0.1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</row>
    <row r="243" spans="1:24" ht="33" customHeight="1" x14ac:dyDescent="0.1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</row>
    <row r="244" spans="1:24" ht="33" customHeight="1" x14ac:dyDescent="0.1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</row>
    <row r="245" spans="1:24" ht="33" customHeight="1" x14ac:dyDescent="0.1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</row>
    <row r="246" spans="1:24" ht="33" customHeight="1" x14ac:dyDescent="0.1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</row>
    <row r="247" spans="1:24" ht="33" customHeight="1" x14ac:dyDescent="0.1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</row>
    <row r="248" spans="1:24" ht="33" customHeight="1" x14ac:dyDescent="0.1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</row>
    <row r="249" spans="1:24" ht="33" customHeight="1" x14ac:dyDescent="0.1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</row>
    <row r="250" spans="1:24" ht="33" customHeight="1" x14ac:dyDescent="0.1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</row>
    <row r="251" spans="1:24" ht="33" customHeight="1" x14ac:dyDescent="0.1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</row>
    <row r="252" spans="1:24" ht="33" customHeight="1" x14ac:dyDescent="0.1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</row>
    <row r="253" spans="1:24" ht="33" customHeight="1" x14ac:dyDescent="0.1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</row>
    <row r="254" spans="1:24" ht="33" customHeight="1" x14ac:dyDescent="0.1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</row>
    <row r="255" spans="1:24" ht="33" customHeight="1" x14ac:dyDescent="0.1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</row>
    <row r="256" spans="1:24" ht="33" customHeight="1" x14ac:dyDescent="0.1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</row>
    <row r="257" spans="1:24" ht="33" customHeight="1" x14ac:dyDescent="0.1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</row>
    <row r="258" spans="1:24" ht="33" customHeight="1" x14ac:dyDescent="0.1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</row>
    <row r="259" spans="1:24" ht="33" customHeight="1" x14ac:dyDescent="0.1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</row>
    <row r="260" spans="1:24" ht="33" customHeight="1" x14ac:dyDescent="0.1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</row>
    <row r="261" spans="1:24" ht="33" customHeight="1" x14ac:dyDescent="0.1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</row>
    <row r="262" spans="1:24" ht="33" customHeight="1" x14ac:dyDescent="0.1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</row>
    <row r="263" spans="1:24" ht="33" customHeight="1" x14ac:dyDescent="0.1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</row>
    <row r="264" spans="1:24" ht="33" customHeight="1" x14ac:dyDescent="0.1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</row>
    <row r="265" spans="1:24" ht="33" customHeight="1" x14ac:dyDescent="0.1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</row>
    <row r="266" spans="1:24" ht="33" customHeight="1" x14ac:dyDescent="0.1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</row>
    <row r="267" spans="1:24" ht="33" customHeight="1" x14ac:dyDescent="0.1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</row>
    <row r="268" spans="1:24" ht="33" customHeight="1" x14ac:dyDescent="0.1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</row>
    <row r="269" spans="1:24" ht="33" customHeight="1" x14ac:dyDescent="0.1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</row>
    <row r="270" spans="1:24" ht="33" customHeight="1" x14ac:dyDescent="0.1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</row>
    <row r="271" spans="1:24" ht="33" customHeight="1" x14ac:dyDescent="0.1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</row>
    <row r="272" spans="1:24" ht="33" customHeight="1" x14ac:dyDescent="0.1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</row>
    <row r="273" spans="1:24" ht="33" customHeight="1" x14ac:dyDescent="0.1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</row>
    <row r="274" spans="1:24" ht="33" customHeight="1" x14ac:dyDescent="0.1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</row>
    <row r="275" spans="1:24" ht="33" customHeight="1" x14ac:dyDescent="0.1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</row>
    <row r="276" spans="1:24" ht="33" customHeight="1" x14ac:dyDescent="0.1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</row>
    <row r="277" spans="1:24" ht="33" customHeight="1" x14ac:dyDescent="0.1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</row>
    <row r="278" spans="1:24" ht="33" customHeight="1" x14ac:dyDescent="0.1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</row>
    <row r="279" spans="1:24" ht="33" customHeight="1" x14ac:dyDescent="0.1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</row>
    <row r="280" spans="1:24" ht="33" customHeight="1" x14ac:dyDescent="0.1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</row>
    <row r="281" spans="1:24" ht="33" customHeight="1" x14ac:dyDescent="0.1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</row>
    <row r="282" spans="1:24" ht="33" customHeight="1" x14ac:dyDescent="0.1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</row>
    <row r="283" spans="1:24" ht="33" customHeight="1" x14ac:dyDescent="0.1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</row>
    <row r="284" spans="1:24" ht="33" customHeight="1" x14ac:dyDescent="0.1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</row>
    <row r="285" spans="1:24" ht="33" customHeight="1" x14ac:dyDescent="0.1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</row>
    <row r="286" spans="1:24" ht="33" customHeight="1" x14ac:dyDescent="0.1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</row>
    <row r="287" spans="1:24" ht="33" customHeight="1" x14ac:dyDescent="0.1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</row>
    <row r="288" spans="1:24" ht="33" customHeight="1" x14ac:dyDescent="0.1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</row>
    <row r="289" spans="1:24" ht="33" customHeight="1" x14ac:dyDescent="0.1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</row>
    <row r="290" spans="1:24" ht="33" customHeight="1" x14ac:dyDescent="0.1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</row>
    <row r="291" spans="1:24" ht="33" customHeight="1" x14ac:dyDescent="0.1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</row>
    <row r="292" spans="1:24" ht="33" customHeight="1" x14ac:dyDescent="0.1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</row>
    <row r="293" spans="1:24" ht="33" customHeight="1" x14ac:dyDescent="0.1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</row>
    <row r="294" spans="1:24" ht="33" customHeight="1" x14ac:dyDescent="0.1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</row>
    <row r="295" spans="1:24" ht="33" customHeight="1" x14ac:dyDescent="0.1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</row>
    <row r="296" spans="1:24" ht="33" customHeight="1" x14ac:dyDescent="0.1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</row>
    <row r="297" spans="1:24" ht="33" customHeight="1" x14ac:dyDescent="0.1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</row>
    <row r="298" spans="1:24" ht="33" customHeight="1" x14ac:dyDescent="0.1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</row>
    <row r="299" spans="1:24" ht="33" customHeight="1" x14ac:dyDescent="0.1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</row>
    <row r="300" spans="1:24" ht="33" customHeight="1" x14ac:dyDescent="0.1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</row>
    <row r="301" spans="1:24" ht="33" customHeight="1" x14ac:dyDescent="0.1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</row>
    <row r="302" spans="1:24" ht="33" customHeight="1" x14ac:dyDescent="0.1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</row>
    <row r="303" spans="1:24" ht="33" customHeight="1" x14ac:dyDescent="0.1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</row>
    <row r="304" spans="1:24" ht="33" customHeight="1" x14ac:dyDescent="0.1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</row>
    <row r="305" spans="1:24" ht="33" customHeight="1" x14ac:dyDescent="0.1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</row>
    <row r="306" spans="1:24" ht="33" customHeight="1" x14ac:dyDescent="0.1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</row>
    <row r="307" spans="1:24" ht="33" customHeight="1" x14ac:dyDescent="0.1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</row>
    <row r="308" spans="1:24" ht="33" customHeight="1" x14ac:dyDescent="0.1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</row>
    <row r="309" spans="1:24" ht="33" customHeight="1" x14ac:dyDescent="0.1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</row>
    <row r="310" spans="1:24" ht="33" customHeight="1" x14ac:dyDescent="0.1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</row>
    <row r="311" spans="1:24" ht="33" customHeight="1" x14ac:dyDescent="0.1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</row>
    <row r="312" spans="1:24" ht="33" customHeight="1" x14ac:dyDescent="0.1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</row>
    <row r="313" spans="1:24" ht="33" customHeight="1" x14ac:dyDescent="0.1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</row>
    <row r="314" spans="1:24" ht="33" customHeight="1" x14ac:dyDescent="0.1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</row>
    <row r="315" spans="1:24" ht="33" customHeight="1" x14ac:dyDescent="0.1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</row>
    <row r="316" spans="1:24" ht="33" customHeight="1" x14ac:dyDescent="0.1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</row>
    <row r="317" spans="1:24" ht="33" customHeight="1" x14ac:dyDescent="0.1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</row>
    <row r="318" spans="1:24" ht="33" customHeight="1" x14ac:dyDescent="0.1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</row>
    <row r="319" spans="1:24" ht="33" customHeight="1" x14ac:dyDescent="0.1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</row>
    <row r="320" spans="1:24" ht="33" customHeight="1" x14ac:dyDescent="0.1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</row>
    <row r="321" spans="1:24" ht="33" customHeight="1" x14ac:dyDescent="0.1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</row>
    <row r="322" spans="1:24" ht="33" customHeight="1" x14ac:dyDescent="0.1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</row>
    <row r="323" spans="1:24" ht="33" customHeight="1" x14ac:dyDescent="0.1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</row>
    <row r="324" spans="1:24" ht="33" customHeight="1" x14ac:dyDescent="0.1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</row>
    <row r="325" spans="1:24" ht="33" customHeight="1" x14ac:dyDescent="0.1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</row>
    <row r="326" spans="1:24" ht="33" customHeight="1" x14ac:dyDescent="0.1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</row>
    <row r="327" spans="1:24" ht="33" customHeight="1" x14ac:dyDescent="0.1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</row>
    <row r="328" spans="1:24" ht="33" customHeight="1" x14ac:dyDescent="0.1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</row>
    <row r="329" spans="1:24" ht="33" customHeight="1" x14ac:dyDescent="0.1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</row>
    <row r="330" spans="1:24" ht="33" customHeight="1" x14ac:dyDescent="0.1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</row>
    <row r="331" spans="1:24" ht="33" customHeight="1" x14ac:dyDescent="0.1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</row>
    <row r="332" spans="1:24" ht="33" customHeight="1" x14ac:dyDescent="0.1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</row>
    <row r="333" spans="1:24" ht="33" customHeight="1" x14ac:dyDescent="0.1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</row>
    <row r="334" spans="1:24" ht="33" customHeight="1" x14ac:dyDescent="0.1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</row>
    <row r="335" spans="1:24" ht="33" customHeight="1" x14ac:dyDescent="0.1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</row>
    <row r="336" spans="1:24" ht="33" customHeight="1" x14ac:dyDescent="0.1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</row>
    <row r="337" spans="1:24" ht="33" customHeight="1" x14ac:dyDescent="0.1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</row>
    <row r="338" spans="1:24" ht="33" customHeight="1" x14ac:dyDescent="0.1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</row>
    <row r="339" spans="1:24" ht="33" customHeight="1" x14ac:dyDescent="0.1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</row>
    <row r="340" spans="1:24" ht="33" customHeight="1" x14ac:dyDescent="0.1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</row>
    <row r="341" spans="1:24" ht="33" customHeight="1" x14ac:dyDescent="0.1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</row>
    <row r="342" spans="1:24" ht="33" customHeight="1" x14ac:dyDescent="0.1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</row>
    <row r="343" spans="1:24" ht="33" customHeight="1" x14ac:dyDescent="0.1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</row>
    <row r="344" spans="1:24" ht="33" customHeight="1" x14ac:dyDescent="0.1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</row>
    <row r="345" spans="1:24" ht="33" customHeight="1" x14ac:dyDescent="0.1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</row>
    <row r="346" spans="1:24" ht="33" customHeight="1" x14ac:dyDescent="0.1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</row>
    <row r="347" spans="1:24" ht="33" customHeight="1" x14ac:dyDescent="0.1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</row>
    <row r="348" spans="1:24" ht="33" customHeight="1" x14ac:dyDescent="0.1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</row>
    <row r="349" spans="1:24" ht="33" customHeight="1" x14ac:dyDescent="0.1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</row>
    <row r="350" spans="1:24" ht="33" customHeight="1" x14ac:dyDescent="0.1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</row>
    <row r="351" spans="1:24" ht="33" customHeight="1" x14ac:dyDescent="0.1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</row>
    <row r="352" spans="1:24" ht="33" customHeight="1" x14ac:dyDescent="0.1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</row>
    <row r="353" spans="1:24" ht="33" customHeight="1" x14ac:dyDescent="0.1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</row>
    <row r="354" spans="1:24" ht="33" customHeight="1" x14ac:dyDescent="0.1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</row>
    <row r="355" spans="1:24" ht="33" customHeight="1" x14ac:dyDescent="0.1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</row>
    <row r="356" spans="1:24" ht="33" customHeight="1" x14ac:dyDescent="0.1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</row>
    <row r="357" spans="1:24" ht="33" customHeight="1" x14ac:dyDescent="0.1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</row>
    <row r="358" spans="1:24" ht="33" customHeight="1" x14ac:dyDescent="0.1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</row>
    <row r="359" spans="1:24" ht="33" customHeight="1" x14ac:dyDescent="0.1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</row>
    <row r="360" spans="1:24" ht="33" customHeight="1" x14ac:dyDescent="0.1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</row>
    <row r="361" spans="1:24" ht="33" customHeight="1" x14ac:dyDescent="0.1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</row>
    <row r="362" spans="1:24" ht="33" customHeight="1" x14ac:dyDescent="0.1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</row>
    <row r="363" spans="1:24" ht="33" customHeight="1" x14ac:dyDescent="0.1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</row>
    <row r="364" spans="1:24" ht="33" customHeight="1" x14ac:dyDescent="0.1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</row>
    <row r="365" spans="1:24" ht="33" customHeight="1" x14ac:dyDescent="0.1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</row>
    <row r="366" spans="1:24" ht="33" customHeight="1" x14ac:dyDescent="0.1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</row>
    <row r="367" spans="1:24" ht="33" customHeight="1" x14ac:dyDescent="0.1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</row>
    <row r="368" spans="1:24" ht="33" customHeight="1" x14ac:dyDescent="0.1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</row>
    <row r="369" spans="1:24" ht="33" customHeight="1" x14ac:dyDescent="0.1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</row>
    <row r="370" spans="1:24" ht="33" customHeight="1" x14ac:dyDescent="0.1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</row>
    <row r="371" spans="1:24" ht="33" customHeight="1" x14ac:dyDescent="0.1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</row>
    <row r="372" spans="1:24" ht="33" customHeight="1" x14ac:dyDescent="0.1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</row>
    <row r="373" spans="1:24" ht="33" customHeight="1" x14ac:dyDescent="0.1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</row>
    <row r="374" spans="1:24" ht="33" customHeight="1" x14ac:dyDescent="0.1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</row>
    <row r="375" spans="1:24" ht="33" customHeight="1" x14ac:dyDescent="0.1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</row>
    <row r="376" spans="1:24" ht="33" customHeight="1" x14ac:dyDescent="0.1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</row>
    <row r="377" spans="1:24" ht="33" customHeight="1" x14ac:dyDescent="0.1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</row>
    <row r="378" spans="1:24" ht="33" customHeight="1" x14ac:dyDescent="0.1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</row>
    <row r="379" spans="1:24" ht="33" customHeight="1" x14ac:dyDescent="0.1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</row>
    <row r="380" spans="1:24" ht="33" customHeight="1" x14ac:dyDescent="0.1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</row>
    <row r="381" spans="1:24" ht="33" customHeight="1" x14ac:dyDescent="0.1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</row>
    <row r="382" spans="1:24" ht="33" customHeight="1" x14ac:dyDescent="0.1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</row>
    <row r="383" spans="1:24" ht="33" customHeight="1" x14ac:dyDescent="0.1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</row>
    <row r="384" spans="1:24" ht="33" customHeight="1" x14ac:dyDescent="0.1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</row>
    <row r="385" spans="1:24" ht="33" customHeight="1" x14ac:dyDescent="0.1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</row>
    <row r="386" spans="1:24" ht="33" customHeight="1" x14ac:dyDescent="0.1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</row>
    <row r="387" spans="1:24" ht="33" customHeight="1" x14ac:dyDescent="0.1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</row>
    <row r="388" spans="1:24" ht="33" customHeight="1" x14ac:dyDescent="0.1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</row>
    <row r="389" spans="1:24" ht="33" customHeight="1" x14ac:dyDescent="0.1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</row>
    <row r="390" spans="1:24" ht="33" customHeight="1" x14ac:dyDescent="0.1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</row>
    <row r="391" spans="1:24" ht="33" customHeight="1" x14ac:dyDescent="0.1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</row>
    <row r="392" spans="1:24" ht="33" customHeight="1" x14ac:dyDescent="0.1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</row>
    <row r="393" spans="1:24" ht="33" customHeight="1" x14ac:dyDescent="0.1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</row>
    <row r="394" spans="1:24" ht="33" customHeight="1" x14ac:dyDescent="0.1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</row>
    <row r="395" spans="1:24" ht="33" customHeight="1" x14ac:dyDescent="0.1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</row>
    <row r="396" spans="1:24" ht="33" customHeight="1" x14ac:dyDescent="0.1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</row>
    <row r="397" spans="1:24" ht="33" customHeight="1" x14ac:dyDescent="0.1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</row>
    <row r="398" spans="1:24" ht="33" customHeight="1" x14ac:dyDescent="0.1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</row>
    <row r="399" spans="1:24" ht="33" customHeight="1" x14ac:dyDescent="0.1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</row>
    <row r="400" spans="1:24" ht="33" customHeight="1" x14ac:dyDescent="0.1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</row>
    <row r="401" spans="1:24" ht="33" customHeight="1" x14ac:dyDescent="0.1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</row>
    <row r="402" spans="1:24" ht="33" customHeight="1" x14ac:dyDescent="0.1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</row>
    <row r="403" spans="1:24" ht="33" customHeight="1" x14ac:dyDescent="0.1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</row>
    <row r="404" spans="1:24" ht="33" customHeight="1" x14ac:dyDescent="0.1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</row>
    <row r="405" spans="1:24" ht="33" customHeight="1" x14ac:dyDescent="0.1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</row>
    <row r="406" spans="1:24" ht="33" customHeight="1" x14ac:dyDescent="0.1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</row>
    <row r="407" spans="1:24" ht="33" customHeight="1" x14ac:dyDescent="0.1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</row>
    <row r="408" spans="1:24" ht="33" customHeight="1" x14ac:dyDescent="0.1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</row>
    <row r="409" spans="1:24" ht="33" customHeight="1" x14ac:dyDescent="0.1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</row>
    <row r="410" spans="1:24" ht="33" customHeight="1" x14ac:dyDescent="0.1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</row>
    <row r="411" spans="1:24" ht="33" customHeight="1" x14ac:dyDescent="0.1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</row>
    <row r="412" spans="1:24" ht="33" customHeight="1" x14ac:dyDescent="0.1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</row>
    <row r="413" spans="1:24" ht="33" customHeight="1" x14ac:dyDescent="0.1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</row>
    <row r="414" spans="1:24" ht="33" customHeight="1" x14ac:dyDescent="0.1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</row>
    <row r="415" spans="1:24" ht="33" customHeight="1" x14ac:dyDescent="0.1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</row>
    <row r="416" spans="1:24" ht="33" customHeight="1" x14ac:dyDescent="0.1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</row>
    <row r="417" spans="1:24" ht="33" customHeight="1" x14ac:dyDescent="0.1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</row>
    <row r="418" spans="1:24" ht="33" customHeight="1" x14ac:dyDescent="0.1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</row>
    <row r="419" spans="1:24" ht="33" customHeight="1" x14ac:dyDescent="0.1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</row>
    <row r="420" spans="1:24" ht="33" customHeight="1" x14ac:dyDescent="0.1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</row>
    <row r="421" spans="1:24" ht="33" customHeight="1" x14ac:dyDescent="0.1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</row>
    <row r="422" spans="1:24" ht="33" customHeight="1" x14ac:dyDescent="0.1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</row>
    <row r="423" spans="1:24" ht="33" customHeight="1" x14ac:dyDescent="0.1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</row>
    <row r="424" spans="1:24" ht="33" customHeight="1" x14ac:dyDescent="0.1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</row>
    <row r="425" spans="1:24" ht="33" customHeight="1" x14ac:dyDescent="0.1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</row>
    <row r="426" spans="1:24" ht="33" customHeight="1" x14ac:dyDescent="0.1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</row>
    <row r="427" spans="1:24" ht="33" customHeight="1" x14ac:dyDescent="0.1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</row>
    <row r="428" spans="1:24" ht="33" customHeight="1" x14ac:dyDescent="0.1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</row>
    <row r="429" spans="1:24" ht="33" customHeight="1" x14ac:dyDescent="0.1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</row>
    <row r="430" spans="1:24" ht="33" customHeight="1" x14ac:dyDescent="0.1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</row>
    <row r="431" spans="1:24" ht="33" customHeight="1" x14ac:dyDescent="0.1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</row>
    <row r="432" spans="1:24" ht="33" customHeight="1" x14ac:dyDescent="0.1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</row>
    <row r="433" spans="1:24" ht="33" customHeight="1" x14ac:dyDescent="0.1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</row>
    <row r="434" spans="1:24" ht="33" customHeight="1" x14ac:dyDescent="0.1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</row>
    <row r="435" spans="1:24" ht="33" customHeight="1" x14ac:dyDescent="0.1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</row>
    <row r="436" spans="1:24" ht="33" customHeight="1" x14ac:dyDescent="0.1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</row>
    <row r="437" spans="1:24" ht="33" customHeight="1" x14ac:dyDescent="0.1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</row>
    <row r="438" spans="1:24" ht="33" customHeight="1" x14ac:dyDescent="0.1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</row>
    <row r="439" spans="1:24" ht="33" customHeight="1" x14ac:dyDescent="0.1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</row>
    <row r="440" spans="1:24" ht="33" customHeight="1" x14ac:dyDescent="0.1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</row>
    <row r="441" spans="1:24" ht="33" customHeight="1" x14ac:dyDescent="0.1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</row>
    <row r="442" spans="1:24" ht="33" customHeight="1" x14ac:dyDescent="0.1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</row>
    <row r="443" spans="1:24" ht="33" customHeight="1" x14ac:dyDescent="0.1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</row>
    <row r="444" spans="1:24" ht="33" customHeight="1" x14ac:dyDescent="0.1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</row>
    <row r="445" spans="1:24" ht="33" customHeight="1" x14ac:dyDescent="0.1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</row>
    <row r="446" spans="1:24" ht="33" customHeight="1" x14ac:dyDescent="0.1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</row>
    <row r="447" spans="1:24" ht="33" customHeight="1" x14ac:dyDescent="0.1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</row>
    <row r="448" spans="1:24" ht="33" customHeight="1" x14ac:dyDescent="0.1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</row>
    <row r="449" spans="1:24" ht="33" customHeight="1" x14ac:dyDescent="0.1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</row>
    <row r="450" spans="1:24" ht="33" customHeight="1" x14ac:dyDescent="0.1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</row>
    <row r="451" spans="1:24" ht="33" customHeight="1" x14ac:dyDescent="0.1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</row>
    <row r="452" spans="1:24" ht="33" customHeight="1" x14ac:dyDescent="0.1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</row>
    <row r="453" spans="1:24" ht="33" customHeight="1" x14ac:dyDescent="0.1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</row>
    <row r="454" spans="1:24" ht="33" customHeight="1" x14ac:dyDescent="0.1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</row>
    <row r="455" spans="1:24" ht="33" customHeight="1" x14ac:dyDescent="0.1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</row>
    <row r="456" spans="1:24" ht="33" customHeight="1" x14ac:dyDescent="0.1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</row>
    <row r="457" spans="1:24" ht="33" customHeight="1" x14ac:dyDescent="0.1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</row>
    <row r="458" spans="1:24" ht="33" customHeight="1" x14ac:dyDescent="0.1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</row>
    <row r="459" spans="1:24" ht="33" customHeight="1" x14ac:dyDescent="0.1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</row>
    <row r="460" spans="1:24" ht="33" customHeight="1" x14ac:dyDescent="0.1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</row>
    <row r="461" spans="1:24" ht="33" customHeight="1" x14ac:dyDescent="0.1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</row>
    <row r="462" spans="1:24" ht="33" customHeight="1" x14ac:dyDescent="0.1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</row>
    <row r="463" spans="1:24" ht="33" customHeight="1" x14ac:dyDescent="0.1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</row>
    <row r="464" spans="1:24" ht="33" customHeight="1" x14ac:dyDescent="0.1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</row>
    <row r="465" spans="1:24" ht="33" customHeight="1" x14ac:dyDescent="0.1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</row>
    <row r="466" spans="1:24" ht="33" customHeight="1" x14ac:dyDescent="0.1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</row>
    <row r="467" spans="1:24" ht="33" customHeight="1" x14ac:dyDescent="0.1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</row>
    <row r="468" spans="1:24" ht="33" customHeight="1" x14ac:dyDescent="0.1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</row>
    <row r="469" spans="1:24" ht="33" customHeight="1" x14ac:dyDescent="0.1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</row>
    <row r="470" spans="1:24" ht="33" customHeight="1" x14ac:dyDescent="0.1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</row>
    <row r="471" spans="1:24" ht="33" customHeight="1" x14ac:dyDescent="0.1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</row>
    <row r="472" spans="1:24" ht="33" customHeight="1" x14ac:dyDescent="0.1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</row>
    <row r="473" spans="1:24" ht="33" customHeight="1" x14ac:dyDescent="0.1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</row>
    <row r="474" spans="1:24" ht="33" customHeight="1" x14ac:dyDescent="0.1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</row>
    <row r="475" spans="1:24" ht="33" customHeight="1" x14ac:dyDescent="0.1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</row>
    <row r="476" spans="1:24" ht="33" customHeight="1" x14ac:dyDescent="0.1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</row>
    <row r="477" spans="1:24" ht="33" customHeight="1" x14ac:dyDescent="0.1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</row>
    <row r="478" spans="1:24" ht="33" customHeight="1" x14ac:dyDescent="0.1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</row>
    <row r="479" spans="1:24" ht="33" customHeight="1" x14ac:dyDescent="0.1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</row>
    <row r="480" spans="1:24" ht="33" customHeight="1" x14ac:dyDescent="0.1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</row>
    <row r="481" spans="1:24" ht="33" customHeight="1" x14ac:dyDescent="0.1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</row>
    <row r="482" spans="1:24" ht="33" customHeight="1" x14ac:dyDescent="0.1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</row>
    <row r="483" spans="1:24" ht="33" customHeight="1" x14ac:dyDescent="0.1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</row>
    <row r="484" spans="1:24" ht="33" customHeight="1" x14ac:dyDescent="0.1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</row>
    <row r="485" spans="1:24" ht="33" customHeight="1" x14ac:dyDescent="0.1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</row>
    <row r="486" spans="1:24" ht="33" customHeight="1" x14ac:dyDescent="0.1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</row>
    <row r="487" spans="1:24" ht="33" customHeight="1" x14ac:dyDescent="0.1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</row>
    <row r="488" spans="1:24" ht="33" customHeight="1" x14ac:dyDescent="0.1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</row>
    <row r="489" spans="1:24" ht="33" customHeight="1" x14ac:dyDescent="0.1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</row>
    <row r="490" spans="1:24" ht="33" customHeight="1" x14ac:dyDescent="0.1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</row>
    <row r="491" spans="1:24" ht="33" customHeight="1" x14ac:dyDescent="0.1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</row>
    <row r="492" spans="1:24" ht="33" customHeight="1" x14ac:dyDescent="0.1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</row>
    <row r="493" spans="1:24" ht="33" customHeight="1" x14ac:dyDescent="0.1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</row>
    <row r="494" spans="1:24" ht="33" customHeight="1" x14ac:dyDescent="0.1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</row>
    <row r="495" spans="1:24" ht="33" customHeight="1" x14ac:dyDescent="0.1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</row>
    <row r="496" spans="1:24" ht="33" customHeight="1" x14ac:dyDescent="0.1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</row>
    <row r="497" spans="1:24" ht="33" customHeight="1" x14ac:dyDescent="0.1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</row>
    <row r="498" spans="1:24" ht="33" customHeight="1" x14ac:dyDescent="0.1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</row>
    <row r="499" spans="1:24" ht="33" customHeight="1" x14ac:dyDescent="0.1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</row>
    <row r="500" spans="1:24" ht="33" customHeight="1" x14ac:dyDescent="0.1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</row>
    <row r="501" spans="1:24" ht="33" customHeight="1" x14ac:dyDescent="0.1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</row>
    <row r="502" spans="1:24" ht="33" customHeight="1" x14ac:dyDescent="0.1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</row>
    <row r="503" spans="1:24" ht="33" customHeight="1" x14ac:dyDescent="0.1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</row>
    <row r="504" spans="1:24" ht="33" customHeight="1" x14ac:dyDescent="0.1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</row>
    <row r="505" spans="1:24" ht="33" customHeight="1" x14ac:dyDescent="0.1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</row>
    <row r="506" spans="1:24" ht="33" customHeight="1" x14ac:dyDescent="0.1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</row>
    <row r="507" spans="1:24" ht="33" customHeight="1" x14ac:dyDescent="0.1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</row>
    <row r="508" spans="1:24" ht="33" customHeight="1" x14ac:dyDescent="0.1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</row>
    <row r="509" spans="1:24" ht="33" customHeight="1" x14ac:dyDescent="0.1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</row>
    <row r="510" spans="1:24" ht="33" customHeight="1" x14ac:dyDescent="0.1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</row>
    <row r="511" spans="1:24" ht="33" customHeight="1" x14ac:dyDescent="0.1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</row>
    <row r="512" spans="1:24" ht="33" customHeight="1" x14ac:dyDescent="0.1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</row>
    <row r="513" spans="1:24" ht="33" customHeight="1" x14ac:dyDescent="0.1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</row>
    <row r="514" spans="1:24" ht="33" customHeight="1" x14ac:dyDescent="0.1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</row>
    <row r="515" spans="1:24" ht="33" customHeight="1" x14ac:dyDescent="0.1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</row>
    <row r="516" spans="1:24" ht="33" customHeight="1" x14ac:dyDescent="0.1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</row>
    <row r="517" spans="1:24" ht="33" customHeight="1" x14ac:dyDescent="0.1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</row>
    <row r="518" spans="1:24" ht="33" customHeight="1" x14ac:dyDescent="0.1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</row>
    <row r="519" spans="1:24" ht="33" customHeight="1" x14ac:dyDescent="0.1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</row>
    <row r="520" spans="1:24" ht="33" customHeight="1" x14ac:dyDescent="0.1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</row>
    <row r="521" spans="1:24" ht="33" customHeight="1" x14ac:dyDescent="0.1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</row>
    <row r="522" spans="1:24" ht="33" customHeight="1" x14ac:dyDescent="0.1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</row>
    <row r="523" spans="1:24" ht="33" customHeight="1" x14ac:dyDescent="0.1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</row>
    <row r="524" spans="1:24" ht="33" customHeight="1" x14ac:dyDescent="0.1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</row>
    <row r="525" spans="1:24" ht="33" customHeight="1" x14ac:dyDescent="0.1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</row>
    <row r="526" spans="1:24" ht="33" customHeight="1" x14ac:dyDescent="0.1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</row>
    <row r="527" spans="1:24" ht="33" customHeight="1" x14ac:dyDescent="0.1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</row>
    <row r="528" spans="1:24" ht="33" customHeight="1" x14ac:dyDescent="0.1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</row>
    <row r="529" spans="1:24" ht="33" customHeight="1" x14ac:dyDescent="0.1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</row>
    <row r="530" spans="1:24" ht="33" customHeight="1" x14ac:dyDescent="0.1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</row>
    <row r="531" spans="1:24" ht="33" customHeight="1" x14ac:dyDescent="0.1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</row>
    <row r="532" spans="1:24" ht="33" customHeight="1" x14ac:dyDescent="0.1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</row>
    <row r="533" spans="1:24" ht="33" customHeight="1" x14ac:dyDescent="0.1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</row>
    <row r="534" spans="1:24" ht="33" customHeight="1" x14ac:dyDescent="0.1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</row>
    <row r="535" spans="1:24" ht="33" customHeight="1" x14ac:dyDescent="0.1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</row>
    <row r="536" spans="1:24" ht="33" customHeight="1" x14ac:dyDescent="0.1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</row>
    <row r="537" spans="1:24" ht="33" customHeight="1" x14ac:dyDescent="0.1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</row>
    <row r="538" spans="1:24" ht="33" customHeight="1" x14ac:dyDescent="0.1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</row>
    <row r="539" spans="1:24" ht="33" customHeight="1" x14ac:dyDescent="0.1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</row>
    <row r="540" spans="1:24" ht="33" customHeight="1" x14ac:dyDescent="0.1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</row>
    <row r="541" spans="1:24" ht="33" customHeight="1" x14ac:dyDescent="0.1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</row>
    <row r="542" spans="1:24" ht="33" customHeight="1" x14ac:dyDescent="0.1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</row>
    <row r="543" spans="1:24" ht="33" customHeight="1" x14ac:dyDescent="0.1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</row>
    <row r="544" spans="1:24" ht="33" customHeight="1" x14ac:dyDescent="0.1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</row>
    <row r="545" spans="1:24" ht="33" customHeight="1" x14ac:dyDescent="0.1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</row>
    <row r="546" spans="1:24" ht="33" customHeight="1" x14ac:dyDescent="0.1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</row>
    <row r="547" spans="1:24" ht="33" customHeight="1" x14ac:dyDescent="0.1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</row>
    <row r="548" spans="1:24" ht="33" customHeight="1" x14ac:dyDescent="0.1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</row>
    <row r="549" spans="1:24" ht="33" customHeight="1" x14ac:dyDescent="0.1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</row>
    <row r="550" spans="1:24" ht="33" customHeight="1" x14ac:dyDescent="0.1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</row>
    <row r="551" spans="1:24" ht="33" customHeight="1" x14ac:dyDescent="0.1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</row>
    <row r="552" spans="1:24" ht="33" customHeight="1" x14ac:dyDescent="0.1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</row>
    <row r="553" spans="1:24" ht="33" customHeight="1" x14ac:dyDescent="0.1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</row>
    <row r="554" spans="1:24" ht="33" customHeight="1" x14ac:dyDescent="0.1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</row>
    <row r="555" spans="1:24" ht="33" customHeight="1" x14ac:dyDescent="0.1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</row>
    <row r="556" spans="1:24" ht="33" customHeight="1" x14ac:dyDescent="0.1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</row>
    <row r="557" spans="1:24" ht="33" customHeight="1" x14ac:dyDescent="0.1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</row>
    <row r="558" spans="1:24" ht="33" customHeight="1" x14ac:dyDescent="0.1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</row>
    <row r="559" spans="1:24" ht="33" customHeight="1" x14ac:dyDescent="0.1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</row>
    <row r="560" spans="1:24" ht="33" customHeight="1" x14ac:dyDescent="0.1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</row>
    <row r="561" spans="1:24" ht="33" customHeight="1" x14ac:dyDescent="0.1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</row>
    <row r="562" spans="1:24" ht="33" customHeight="1" x14ac:dyDescent="0.1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</row>
    <row r="563" spans="1:24" ht="33" customHeight="1" x14ac:dyDescent="0.1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</row>
    <row r="564" spans="1:24" ht="33" customHeight="1" x14ac:dyDescent="0.1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</row>
    <row r="565" spans="1:24" ht="33" customHeight="1" x14ac:dyDescent="0.1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</row>
    <row r="566" spans="1:24" ht="33" customHeight="1" x14ac:dyDescent="0.1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</row>
    <row r="567" spans="1:24" ht="33" customHeight="1" x14ac:dyDescent="0.1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</row>
    <row r="568" spans="1:24" ht="33" customHeight="1" x14ac:dyDescent="0.1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</row>
    <row r="569" spans="1:24" ht="33" customHeight="1" x14ac:dyDescent="0.1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</row>
    <row r="570" spans="1:24" ht="33" customHeight="1" x14ac:dyDescent="0.1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</row>
    <row r="571" spans="1:24" ht="33" customHeight="1" x14ac:dyDescent="0.1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</row>
    <row r="572" spans="1:24" ht="33" customHeight="1" x14ac:dyDescent="0.1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</row>
    <row r="573" spans="1:24" ht="33" customHeight="1" x14ac:dyDescent="0.1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</row>
    <row r="574" spans="1:24" ht="33" customHeight="1" x14ac:dyDescent="0.1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</row>
    <row r="575" spans="1:24" ht="33" customHeight="1" x14ac:dyDescent="0.1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</row>
    <row r="576" spans="1:24" ht="33" customHeight="1" x14ac:dyDescent="0.1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</row>
    <row r="577" spans="1:24" ht="33" customHeight="1" x14ac:dyDescent="0.1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</row>
    <row r="578" spans="1:24" ht="33" customHeight="1" x14ac:dyDescent="0.1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</row>
    <row r="579" spans="1:24" ht="33" customHeight="1" x14ac:dyDescent="0.1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</row>
    <row r="580" spans="1:24" ht="33" customHeight="1" x14ac:dyDescent="0.1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</row>
    <row r="581" spans="1:24" ht="33" customHeight="1" x14ac:dyDescent="0.1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</row>
    <row r="582" spans="1:24" ht="33" customHeight="1" x14ac:dyDescent="0.1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</row>
    <row r="583" spans="1:24" ht="33" customHeight="1" x14ac:dyDescent="0.1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</row>
    <row r="584" spans="1:24" ht="33" customHeight="1" x14ac:dyDescent="0.1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</row>
    <row r="585" spans="1:24" ht="33" customHeight="1" x14ac:dyDescent="0.1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</row>
    <row r="586" spans="1:24" ht="33" customHeight="1" x14ac:dyDescent="0.1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</row>
    <row r="587" spans="1:24" ht="33" customHeight="1" x14ac:dyDescent="0.1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</row>
    <row r="588" spans="1:24" ht="33" customHeight="1" x14ac:dyDescent="0.1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</row>
    <row r="589" spans="1:24" ht="33" customHeight="1" x14ac:dyDescent="0.1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</row>
    <row r="590" spans="1:24" ht="33" customHeight="1" x14ac:dyDescent="0.1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</row>
    <row r="591" spans="1:24" ht="33" customHeight="1" x14ac:dyDescent="0.1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</row>
    <row r="592" spans="1:24" ht="33" customHeight="1" x14ac:dyDescent="0.1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</row>
    <row r="593" spans="1:24" ht="33" customHeight="1" x14ac:dyDescent="0.1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</row>
    <row r="594" spans="1:24" ht="33" customHeight="1" x14ac:dyDescent="0.1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</row>
    <row r="595" spans="1:24" ht="33" customHeight="1" x14ac:dyDescent="0.1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</row>
    <row r="596" spans="1:24" ht="33" customHeight="1" x14ac:dyDescent="0.1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</row>
    <row r="597" spans="1:24" ht="33" customHeight="1" x14ac:dyDescent="0.1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</row>
    <row r="598" spans="1:24" ht="33" customHeight="1" x14ac:dyDescent="0.1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</row>
    <row r="599" spans="1:24" ht="33" customHeight="1" x14ac:dyDescent="0.1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</row>
    <row r="600" spans="1:24" ht="33" customHeight="1" x14ac:dyDescent="0.1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</row>
    <row r="601" spans="1:24" ht="33" customHeight="1" x14ac:dyDescent="0.1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</row>
    <row r="602" spans="1:24" ht="33" customHeight="1" x14ac:dyDescent="0.1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</row>
    <row r="603" spans="1:24" ht="33" customHeight="1" x14ac:dyDescent="0.1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</row>
    <row r="604" spans="1:24" ht="33" customHeight="1" x14ac:dyDescent="0.1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</row>
    <row r="605" spans="1:24" ht="33" customHeight="1" x14ac:dyDescent="0.1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</row>
    <row r="606" spans="1:24" ht="33" customHeight="1" x14ac:dyDescent="0.1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</row>
    <row r="607" spans="1:24" ht="33" customHeight="1" x14ac:dyDescent="0.1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</row>
    <row r="608" spans="1:24" ht="33" customHeight="1" x14ac:dyDescent="0.1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</row>
    <row r="609" spans="1:24" ht="33" customHeight="1" x14ac:dyDescent="0.1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</row>
    <row r="610" spans="1:24" ht="33" customHeight="1" x14ac:dyDescent="0.1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</row>
    <row r="611" spans="1:24" ht="33" customHeight="1" x14ac:dyDescent="0.1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</row>
    <row r="612" spans="1:24" ht="33" customHeight="1" x14ac:dyDescent="0.1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</row>
    <row r="613" spans="1:24" ht="33" customHeight="1" x14ac:dyDescent="0.1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</row>
    <row r="614" spans="1:24" ht="33" customHeight="1" x14ac:dyDescent="0.1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</row>
    <row r="615" spans="1:24" ht="33" customHeight="1" x14ac:dyDescent="0.1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</row>
    <row r="616" spans="1:24" ht="33" customHeight="1" x14ac:dyDescent="0.1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</row>
    <row r="617" spans="1:24" ht="33" customHeight="1" x14ac:dyDescent="0.1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</row>
    <row r="618" spans="1:24" ht="33" customHeight="1" x14ac:dyDescent="0.1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</row>
    <row r="619" spans="1:24" ht="33" customHeight="1" x14ac:dyDescent="0.1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</row>
    <row r="620" spans="1:24" ht="33" customHeight="1" x14ac:dyDescent="0.1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</row>
    <row r="621" spans="1:24" ht="33" customHeight="1" x14ac:dyDescent="0.1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</row>
    <row r="622" spans="1:24" ht="33" customHeight="1" x14ac:dyDescent="0.1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</row>
    <row r="623" spans="1:24" ht="33" customHeight="1" x14ac:dyDescent="0.1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</row>
    <row r="624" spans="1:24" ht="33" customHeight="1" x14ac:dyDescent="0.1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</row>
    <row r="625" spans="1:24" ht="33" customHeight="1" x14ac:dyDescent="0.1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</row>
    <row r="626" spans="1:24" ht="33" customHeight="1" x14ac:dyDescent="0.1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</row>
    <row r="627" spans="1:24" ht="33" customHeight="1" x14ac:dyDescent="0.1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</row>
    <row r="628" spans="1:24" ht="33" customHeight="1" x14ac:dyDescent="0.1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</row>
    <row r="629" spans="1:24" ht="33" customHeight="1" x14ac:dyDescent="0.1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</row>
    <row r="630" spans="1:24" ht="33" customHeight="1" x14ac:dyDescent="0.1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</row>
    <row r="631" spans="1:24" ht="33" customHeight="1" x14ac:dyDescent="0.1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</row>
    <row r="632" spans="1:24" ht="33" customHeight="1" x14ac:dyDescent="0.1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</row>
    <row r="633" spans="1:24" ht="33" customHeight="1" x14ac:dyDescent="0.1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</row>
    <row r="634" spans="1:24" ht="33" customHeight="1" x14ac:dyDescent="0.1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</row>
    <row r="635" spans="1:24" ht="33" customHeight="1" x14ac:dyDescent="0.1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</row>
    <row r="636" spans="1:24" ht="33" customHeight="1" x14ac:dyDescent="0.1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</row>
    <row r="637" spans="1:24" ht="33" customHeight="1" x14ac:dyDescent="0.1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</row>
    <row r="638" spans="1:24" ht="33" customHeight="1" x14ac:dyDescent="0.1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</row>
    <row r="639" spans="1:24" ht="33" customHeight="1" x14ac:dyDescent="0.1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</row>
    <row r="640" spans="1:24" ht="33" customHeight="1" x14ac:dyDescent="0.1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</row>
    <row r="641" spans="1:24" ht="33" customHeight="1" x14ac:dyDescent="0.1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</row>
    <row r="642" spans="1:24" ht="33" customHeight="1" x14ac:dyDescent="0.1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</row>
    <row r="643" spans="1:24" ht="33" customHeight="1" x14ac:dyDescent="0.1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</row>
    <row r="644" spans="1:24" ht="33" customHeight="1" x14ac:dyDescent="0.1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</row>
    <row r="645" spans="1:24" ht="33" customHeight="1" x14ac:dyDescent="0.1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</row>
    <row r="646" spans="1:24" ht="33" customHeight="1" x14ac:dyDescent="0.1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</row>
    <row r="647" spans="1:24" ht="33" customHeight="1" x14ac:dyDescent="0.1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</row>
    <row r="648" spans="1:24" ht="33" customHeight="1" x14ac:dyDescent="0.1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</row>
    <row r="649" spans="1:24" ht="33" customHeight="1" x14ac:dyDescent="0.1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</row>
    <row r="650" spans="1:24" ht="33" customHeight="1" x14ac:dyDescent="0.1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</row>
    <row r="651" spans="1:24" ht="33" customHeight="1" x14ac:dyDescent="0.1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</row>
    <row r="652" spans="1:24" ht="33" customHeight="1" x14ac:dyDescent="0.1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</row>
    <row r="653" spans="1:24" ht="33" customHeight="1" x14ac:dyDescent="0.1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</row>
    <row r="654" spans="1:24" ht="33" customHeight="1" x14ac:dyDescent="0.1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</row>
    <row r="655" spans="1:24" ht="33" customHeight="1" x14ac:dyDescent="0.1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</row>
    <row r="656" spans="1:24" ht="33" customHeight="1" x14ac:dyDescent="0.1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</row>
    <row r="657" spans="1:24" ht="33" customHeight="1" x14ac:dyDescent="0.1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</row>
    <row r="658" spans="1:24" ht="33" customHeight="1" x14ac:dyDescent="0.1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</row>
    <row r="659" spans="1:24" ht="33" customHeight="1" x14ac:dyDescent="0.1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</row>
    <row r="660" spans="1:24" ht="33" customHeight="1" x14ac:dyDescent="0.1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</row>
    <row r="661" spans="1:24" ht="33" customHeight="1" x14ac:dyDescent="0.1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</row>
    <row r="662" spans="1:24" ht="33" customHeight="1" x14ac:dyDescent="0.1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</row>
    <row r="663" spans="1:24" ht="33" customHeight="1" x14ac:dyDescent="0.1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</row>
    <row r="664" spans="1:24" ht="33" customHeight="1" x14ac:dyDescent="0.1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</row>
    <row r="665" spans="1:24" ht="33" customHeight="1" x14ac:dyDescent="0.1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</row>
    <row r="666" spans="1:24" ht="33" customHeight="1" x14ac:dyDescent="0.1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</row>
    <row r="667" spans="1:24" ht="33" customHeight="1" x14ac:dyDescent="0.1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</row>
    <row r="668" spans="1:24" ht="33" customHeight="1" x14ac:dyDescent="0.1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</row>
    <row r="669" spans="1:24" ht="33" customHeight="1" x14ac:dyDescent="0.1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</row>
    <row r="670" spans="1:24" ht="33" customHeight="1" x14ac:dyDescent="0.1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</row>
    <row r="671" spans="1:24" ht="33" customHeight="1" x14ac:dyDescent="0.1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</row>
    <row r="672" spans="1:24" ht="33" customHeight="1" x14ac:dyDescent="0.1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</row>
    <row r="673" spans="1:24" ht="33" customHeight="1" x14ac:dyDescent="0.1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</row>
    <row r="674" spans="1:24" ht="33" customHeight="1" x14ac:dyDescent="0.1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</row>
    <row r="675" spans="1:24" ht="33" customHeight="1" x14ac:dyDescent="0.1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</row>
    <row r="676" spans="1:24" ht="33" customHeight="1" x14ac:dyDescent="0.1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</row>
    <row r="677" spans="1:24" ht="33" customHeight="1" x14ac:dyDescent="0.1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</row>
    <row r="678" spans="1:24" ht="33" customHeight="1" x14ac:dyDescent="0.1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</row>
    <row r="679" spans="1:24" ht="33" customHeight="1" x14ac:dyDescent="0.1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</row>
    <row r="680" spans="1:24" ht="33" customHeight="1" x14ac:dyDescent="0.1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</row>
    <row r="681" spans="1:24" ht="33" customHeight="1" x14ac:dyDescent="0.1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</row>
    <row r="682" spans="1:24" ht="33" customHeight="1" x14ac:dyDescent="0.1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</row>
    <row r="683" spans="1:24" ht="33" customHeight="1" x14ac:dyDescent="0.1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</row>
    <row r="684" spans="1:24" ht="33" customHeight="1" x14ac:dyDescent="0.1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</row>
    <row r="685" spans="1:24" ht="33" customHeight="1" x14ac:dyDescent="0.1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</row>
    <row r="686" spans="1:24" ht="33" customHeight="1" x14ac:dyDescent="0.1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</row>
    <row r="687" spans="1:24" ht="33" customHeight="1" x14ac:dyDescent="0.1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</row>
    <row r="688" spans="1:24" ht="33" customHeight="1" x14ac:dyDescent="0.1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</row>
    <row r="689" spans="1:24" ht="33" customHeight="1" x14ac:dyDescent="0.1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</row>
    <row r="690" spans="1:24" ht="33" customHeight="1" x14ac:dyDescent="0.1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</row>
    <row r="691" spans="1:24" ht="33" customHeight="1" x14ac:dyDescent="0.1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</row>
    <row r="692" spans="1:24" ht="33" customHeight="1" x14ac:dyDescent="0.1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</row>
    <row r="693" spans="1:24" ht="33" customHeight="1" x14ac:dyDescent="0.1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</row>
    <row r="694" spans="1:24" ht="33" customHeight="1" x14ac:dyDescent="0.1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</row>
    <row r="695" spans="1:24" ht="33" customHeight="1" x14ac:dyDescent="0.1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</row>
    <row r="696" spans="1:24" ht="33" customHeight="1" x14ac:dyDescent="0.1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</row>
    <row r="697" spans="1:24" ht="33" customHeight="1" x14ac:dyDescent="0.1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</row>
    <row r="698" spans="1:24" ht="33" customHeight="1" x14ac:dyDescent="0.1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</row>
    <row r="699" spans="1:24" ht="33" customHeight="1" x14ac:dyDescent="0.1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</row>
    <row r="700" spans="1:24" ht="33" customHeight="1" x14ac:dyDescent="0.1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</row>
    <row r="701" spans="1:24" ht="33" customHeight="1" x14ac:dyDescent="0.1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</row>
    <row r="702" spans="1:24" ht="33" customHeight="1" x14ac:dyDescent="0.1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</row>
    <row r="703" spans="1:24" ht="33" customHeight="1" x14ac:dyDescent="0.1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</row>
    <row r="704" spans="1:24" ht="33" customHeight="1" x14ac:dyDescent="0.1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</row>
    <row r="705" spans="1:24" ht="33" customHeight="1" x14ac:dyDescent="0.1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</row>
    <row r="706" spans="1:24" ht="33" customHeight="1" x14ac:dyDescent="0.1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</row>
    <row r="707" spans="1:24" ht="33" customHeight="1" x14ac:dyDescent="0.1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</row>
    <row r="708" spans="1:24" ht="33" customHeight="1" x14ac:dyDescent="0.1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</row>
    <row r="709" spans="1:24" ht="33" customHeight="1" x14ac:dyDescent="0.1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</row>
    <row r="710" spans="1:24" ht="33" customHeight="1" x14ac:dyDescent="0.1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</row>
    <row r="711" spans="1:24" ht="33" customHeight="1" x14ac:dyDescent="0.1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</row>
    <row r="712" spans="1:24" ht="33" customHeight="1" x14ac:dyDescent="0.1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</row>
    <row r="713" spans="1:24" ht="33" customHeight="1" x14ac:dyDescent="0.1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</row>
    <row r="714" spans="1:24" ht="33" customHeight="1" x14ac:dyDescent="0.1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</row>
    <row r="715" spans="1:24" ht="33" customHeight="1" x14ac:dyDescent="0.1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</row>
    <row r="716" spans="1:24" ht="33" customHeight="1" x14ac:dyDescent="0.1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</row>
    <row r="717" spans="1:24" ht="33" customHeight="1" x14ac:dyDescent="0.1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</row>
    <row r="718" spans="1:24" ht="33" customHeight="1" x14ac:dyDescent="0.1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</row>
    <row r="719" spans="1:24" ht="33" customHeight="1" x14ac:dyDescent="0.1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</row>
    <row r="720" spans="1:24" ht="33" customHeight="1" x14ac:dyDescent="0.1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</row>
    <row r="721" spans="1:24" ht="33" customHeight="1" x14ac:dyDescent="0.1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</row>
    <row r="722" spans="1:24" ht="33" customHeight="1" x14ac:dyDescent="0.1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</row>
    <row r="723" spans="1:24" ht="33" customHeight="1" x14ac:dyDescent="0.1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</row>
    <row r="724" spans="1:24" ht="33" customHeight="1" x14ac:dyDescent="0.1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</row>
    <row r="725" spans="1:24" ht="33" customHeight="1" x14ac:dyDescent="0.1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</row>
    <row r="726" spans="1:24" ht="33" customHeight="1" x14ac:dyDescent="0.1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</row>
    <row r="727" spans="1:24" ht="33" customHeight="1" x14ac:dyDescent="0.1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</row>
    <row r="728" spans="1:24" ht="33" customHeight="1" x14ac:dyDescent="0.1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</row>
    <row r="729" spans="1:24" ht="33" customHeight="1" x14ac:dyDescent="0.1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</row>
    <row r="730" spans="1:24" ht="33" customHeight="1" x14ac:dyDescent="0.1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</row>
    <row r="731" spans="1:24" ht="33" customHeight="1" x14ac:dyDescent="0.1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</row>
    <row r="732" spans="1:24" ht="33" customHeight="1" x14ac:dyDescent="0.1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</row>
    <row r="733" spans="1:24" ht="33" customHeight="1" x14ac:dyDescent="0.1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</row>
    <row r="734" spans="1:24" ht="33" customHeight="1" x14ac:dyDescent="0.1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</row>
    <row r="735" spans="1:24" ht="33" customHeight="1" x14ac:dyDescent="0.1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</row>
    <row r="736" spans="1:24" ht="33" customHeight="1" x14ac:dyDescent="0.1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</row>
    <row r="737" spans="1:24" ht="33" customHeight="1" x14ac:dyDescent="0.1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</row>
    <row r="738" spans="1:24" ht="33" customHeight="1" x14ac:dyDescent="0.1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</row>
    <row r="739" spans="1:24" ht="33" customHeight="1" x14ac:dyDescent="0.1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</row>
    <row r="740" spans="1:24" ht="33" customHeight="1" x14ac:dyDescent="0.1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</row>
    <row r="741" spans="1:24" ht="33" customHeight="1" x14ac:dyDescent="0.1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</row>
    <row r="742" spans="1:24" ht="33" customHeight="1" x14ac:dyDescent="0.1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</row>
    <row r="743" spans="1:24" ht="33" customHeight="1" x14ac:dyDescent="0.1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</row>
    <row r="744" spans="1:24" ht="33" customHeight="1" x14ac:dyDescent="0.1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</row>
    <row r="745" spans="1:24" ht="33" customHeight="1" x14ac:dyDescent="0.1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</row>
    <row r="746" spans="1:24" ht="33" customHeight="1" x14ac:dyDescent="0.1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</row>
    <row r="747" spans="1:24" ht="33" customHeight="1" x14ac:dyDescent="0.1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</row>
    <row r="748" spans="1:24" ht="33" customHeight="1" x14ac:dyDescent="0.1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</row>
    <row r="749" spans="1:24" ht="33" customHeight="1" x14ac:dyDescent="0.1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</row>
    <row r="750" spans="1:24" ht="33" customHeight="1" x14ac:dyDescent="0.1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</row>
    <row r="751" spans="1:24" ht="33" customHeight="1" x14ac:dyDescent="0.1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</row>
    <row r="752" spans="1:24" ht="33" customHeight="1" x14ac:dyDescent="0.1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</row>
    <row r="753" spans="1:24" ht="33" customHeight="1" x14ac:dyDescent="0.1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</row>
    <row r="754" spans="1:24" ht="33" customHeight="1" x14ac:dyDescent="0.1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</row>
    <row r="755" spans="1:24" ht="33" customHeight="1" x14ac:dyDescent="0.1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</row>
    <row r="756" spans="1:24" ht="33" customHeight="1" x14ac:dyDescent="0.1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</row>
    <row r="757" spans="1:24" ht="33" customHeight="1" x14ac:dyDescent="0.1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</row>
    <row r="758" spans="1:24" ht="33" customHeight="1" x14ac:dyDescent="0.1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</row>
    <row r="759" spans="1:24" ht="33" customHeight="1" x14ac:dyDescent="0.1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</row>
    <row r="760" spans="1:24" ht="33" customHeight="1" x14ac:dyDescent="0.1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</row>
    <row r="761" spans="1:24" ht="33" customHeight="1" x14ac:dyDescent="0.1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</row>
    <row r="762" spans="1:24" ht="33" customHeight="1" x14ac:dyDescent="0.1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</row>
    <row r="763" spans="1:24" ht="33" customHeight="1" x14ac:dyDescent="0.1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</row>
    <row r="764" spans="1:24" ht="33" customHeight="1" x14ac:dyDescent="0.1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</row>
    <row r="765" spans="1:24" ht="33" customHeight="1" x14ac:dyDescent="0.1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</row>
    <row r="766" spans="1:24" ht="33" customHeight="1" x14ac:dyDescent="0.1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</row>
    <row r="767" spans="1:24" ht="33" customHeight="1" x14ac:dyDescent="0.1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</row>
    <row r="768" spans="1:24" ht="33" customHeight="1" x14ac:dyDescent="0.1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</row>
    <row r="769" spans="1:24" ht="33" customHeight="1" x14ac:dyDescent="0.1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</row>
    <row r="770" spans="1:24" ht="33" customHeight="1" x14ac:dyDescent="0.1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</row>
    <row r="771" spans="1:24" ht="33" customHeight="1" x14ac:dyDescent="0.1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</row>
    <row r="772" spans="1:24" ht="33" customHeight="1" x14ac:dyDescent="0.1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</row>
    <row r="773" spans="1:24" ht="33" customHeight="1" x14ac:dyDescent="0.1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</row>
    <row r="774" spans="1:24" ht="33" customHeight="1" x14ac:dyDescent="0.1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</row>
    <row r="775" spans="1:24" ht="33" customHeight="1" x14ac:dyDescent="0.1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</row>
    <row r="776" spans="1:24" ht="33" customHeight="1" x14ac:dyDescent="0.1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</row>
    <row r="777" spans="1:24" ht="33" customHeight="1" x14ac:dyDescent="0.1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</row>
    <row r="778" spans="1:24" ht="33" customHeight="1" x14ac:dyDescent="0.1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</row>
    <row r="779" spans="1:24" ht="33" customHeight="1" x14ac:dyDescent="0.1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</row>
    <row r="780" spans="1:24" ht="33" customHeight="1" x14ac:dyDescent="0.1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</row>
    <row r="781" spans="1:24" ht="33" customHeight="1" x14ac:dyDescent="0.1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</row>
    <row r="782" spans="1:24" ht="33" customHeight="1" x14ac:dyDescent="0.1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</row>
    <row r="783" spans="1:24" ht="33" customHeight="1" x14ac:dyDescent="0.1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</row>
    <row r="784" spans="1:24" ht="33" customHeight="1" x14ac:dyDescent="0.1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</row>
    <row r="785" spans="1:24" ht="33" customHeight="1" x14ac:dyDescent="0.1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</row>
    <row r="786" spans="1:24" ht="33" customHeight="1" x14ac:dyDescent="0.1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</row>
    <row r="787" spans="1:24" ht="33" customHeight="1" x14ac:dyDescent="0.1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</row>
    <row r="788" spans="1:24" ht="33" customHeight="1" x14ac:dyDescent="0.1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</row>
    <row r="789" spans="1:24" ht="33" customHeight="1" x14ac:dyDescent="0.1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</row>
    <row r="790" spans="1:24" ht="33" customHeight="1" x14ac:dyDescent="0.1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</row>
    <row r="791" spans="1:24" ht="33" customHeight="1" x14ac:dyDescent="0.1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</row>
    <row r="792" spans="1:24" ht="33" customHeight="1" x14ac:dyDescent="0.1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</row>
    <row r="793" spans="1:24" ht="33" customHeight="1" x14ac:dyDescent="0.1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</row>
    <row r="794" spans="1:24" ht="33" customHeight="1" x14ac:dyDescent="0.1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</row>
    <row r="795" spans="1:24" ht="33" customHeight="1" x14ac:dyDescent="0.1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</row>
    <row r="796" spans="1:24" ht="33" customHeight="1" x14ac:dyDescent="0.1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</row>
    <row r="797" spans="1:24" ht="33" customHeight="1" x14ac:dyDescent="0.1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</row>
    <row r="798" spans="1:24" ht="33" customHeight="1" x14ac:dyDescent="0.1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</row>
    <row r="799" spans="1:24" ht="33" customHeight="1" x14ac:dyDescent="0.1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</row>
    <row r="800" spans="1:24" ht="33" customHeight="1" x14ac:dyDescent="0.1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</row>
    <row r="801" spans="1:24" ht="33" customHeight="1" x14ac:dyDescent="0.1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</row>
    <row r="802" spans="1:24" ht="33" customHeight="1" x14ac:dyDescent="0.1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</row>
    <row r="803" spans="1:24" ht="33" customHeight="1" x14ac:dyDescent="0.1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</row>
    <row r="804" spans="1:24" ht="33" customHeight="1" x14ac:dyDescent="0.1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</row>
    <row r="805" spans="1:24" ht="33" customHeight="1" x14ac:dyDescent="0.1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</row>
    <row r="806" spans="1:24" ht="33" customHeight="1" x14ac:dyDescent="0.1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</row>
    <row r="807" spans="1:24" ht="33" customHeight="1" x14ac:dyDescent="0.1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</row>
    <row r="808" spans="1:24" ht="33" customHeight="1" x14ac:dyDescent="0.1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</row>
    <row r="809" spans="1:24" ht="33" customHeight="1" x14ac:dyDescent="0.1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</row>
    <row r="810" spans="1:24" ht="33" customHeight="1" x14ac:dyDescent="0.1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</row>
    <row r="811" spans="1:24" ht="33" customHeight="1" x14ac:dyDescent="0.1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</row>
    <row r="812" spans="1:24" ht="33" customHeight="1" x14ac:dyDescent="0.1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</row>
    <row r="813" spans="1:24" ht="33" customHeight="1" x14ac:dyDescent="0.1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</row>
    <row r="814" spans="1:24" ht="33" customHeight="1" x14ac:dyDescent="0.1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</row>
    <row r="815" spans="1:24" ht="33" customHeight="1" x14ac:dyDescent="0.1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</row>
    <row r="816" spans="1:24" ht="33" customHeight="1" x14ac:dyDescent="0.1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</row>
    <row r="817" spans="1:24" ht="33" customHeight="1" x14ac:dyDescent="0.1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</row>
    <row r="818" spans="1:24" ht="33" customHeight="1" x14ac:dyDescent="0.1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</row>
    <row r="819" spans="1:24" ht="33" customHeight="1" x14ac:dyDescent="0.1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</row>
    <row r="820" spans="1:24" ht="33" customHeight="1" x14ac:dyDescent="0.1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</row>
    <row r="821" spans="1:24" ht="33" customHeight="1" x14ac:dyDescent="0.1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</row>
    <row r="822" spans="1:24" ht="33" customHeight="1" x14ac:dyDescent="0.1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</row>
    <row r="823" spans="1:24" ht="33" customHeight="1" x14ac:dyDescent="0.1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</row>
    <row r="824" spans="1:24" ht="33" customHeight="1" x14ac:dyDescent="0.1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</row>
    <row r="825" spans="1:24" ht="33" customHeight="1" x14ac:dyDescent="0.1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</row>
    <row r="826" spans="1:24" ht="33" customHeight="1" x14ac:dyDescent="0.1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</row>
    <row r="827" spans="1:24" ht="33" customHeight="1" x14ac:dyDescent="0.1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</row>
    <row r="828" spans="1:24" ht="33" customHeight="1" x14ac:dyDescent="0.1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</row>
    <row r="829" spans="1:24" ht="33" customHeight="1" x14ac:dyDescent="0.1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</row>
    <row r="830" spans="1:24" ht="33" customHeight="1" x14ac:dyDescent="0.1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</row>
    <row r="831" spans="1:24" ht="33" customHeight="1" x14ac:dyDescent="0.1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</row>
    <row r="832" spans="1:24" ht="33" customHeight="1" x14ac:dyDescent="0.1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</row>
    <row r="833" spans="1:24" ht="33" customHeight="1" x14ac:dyDescent="0.1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</row>
    <row r="834" spans="1:24" ht="33" customHeight="1" x14ac:dyDescent="0.1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</row>
    <row r="835" spans="1:24" ht="33" customHeight="1" x14ac:dyDescent="0.1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</row>
    <row r="836" spans="1:24" ht="33" customHeight="1" x14ac:dyDescent="0.1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</row>
    <row r="837" spans="1:24" ht="33" customHeight="1" x14ac:dyDescent="0.1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</row>
    <row r="838" spans="1:24" ht="33" customHeight="1" x14ac:dyDescent="0.1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</row>
    <row r="839" spans="1:24" ht="33" customHeight="1" x14ac:dyDescent="0.1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</row>
    <row r="840" spans="1:24" ht="33" customHeight="1" x14ac:dyDescent="0.1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</row>
    <row r="841" spans="1:24" ht="33" customHeight="1" x14ac:dyDescent="0.1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</row>
    <row r="842" spans="1:24" ht="33" customHeight="1" x14ac:dyDescent="0.1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</row>
    <row r="843" spans="1:24" ht="33" customHeight="1" x14ac:dyDescent="0.1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</row>
    <row r="844" spans="1:24" ht="33" customHeight="1" x14ac:dyDescent="0.1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</row>
    <row r="845" spans="1:24" ht="33" customHeight="1" x14ac:dyDescent="0.1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</row>
    <row r="846" spans="1:24" ht="33" customHeight="1" x14ac:dyDescent="0.1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</row>
    <row r="847" spans="1:24" ht="33" customHeight="1" x14ac:dyDescent="0.1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</row>
    <row r="848" spans="1:24" ht="33" customHeight="1" x14ac:dyDescent="0.1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</row>
    <row r="849" spans="1:24" ht="33" customHeight="1" x14ac:dyDescent="0.1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</row>
    <row r="850" spans="1:24" ht="33" customHeight="1" x14ac:dyDescent="0.1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</row>
    <row r="851" spans="1:24" ht="33" customHeight="1" x14ac:dyDescent="0.1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</row>
    <row r="852" spans="1:24" ht="33" customHeight="1" x14ac:dyDescent="0.1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</row>
    <row r="853" spans="1:24" ht="33" customHeight="1" x14ac:dyDescent="0.1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</row>
    <row r="854" spans="1:24" ht="33" customHeight="1" x14ac:dyDescent="0.1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</row>
    <row r="855" spans="1:24" ht="33" customHeight="1" x14ac:dyDescent="0.1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</row>
    <row r="856" spans="1:24" ht="33" customHeight="1" x14ac:dyDescent="0.1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</row>
    <row r="857" spans="1:24" ht="33" customHeight="1" x14ac:dyDescent="0.1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</row>
    <row r="858" spans="1:24" ht="33" customHeight="1" x14ac:dyDescent="0.1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</row>
    <row r="859" spans="1:24" ht="33" customHeight="1" x14ac:dyDescent="0.1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</row>
    <row r="860" spans="1:24" ht="33" customHeight="1" x14ac:dyDescent="0.1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</row>
    <row r="861" spans="1:24" ht="33" customHeight="1" x14ac:dyDescent="0.1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</row>
    <row r="862" spans="1:24" ht="33" customHeight="1" x14ac:dyDescent="0.1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</row>
    <row r="863" spans="1:24" ht="33" customHeight="1" x14ac:dyDescent="0.1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</row>
    <row r="864" spans="1:24" ht="33" customHeight="1" x14ac:dyDescent="0.1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</row>
    <row r="865" spans="1:24" ht="33" customHeight="1" x14ac:dyDescent="0.1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</row>
    <row r="866" spans="1:24" ht="33" customHeight="1" x14ac:dyDescent="0.1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</row>
    <row r="867" spans="1:24" ht="33" customHeight="1" x14ac:dyDescent="0.1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</row>
    <row r="868" spans="1:24" ht="33" customHeight="1" x14ac:dyDescent="0.1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</row>
    <row r="869" spans="1:24" ht="33" customHeight="1" x14ac:dyDescent="0.1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</row>
    <row r="870" spans="1:24" ht="33" customHeight="1" x14ac:dyDescent="0.1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</row>
    <row r="871" spans="1:24" ht="33" customHeight="1" x14ac:dyDescent="0.1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</row>
    <row r="872" spans="1:24" ht="33" customHeight="1" x14ac:dyDescent="0.1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</row>
    <row r="873" spans="1:24" ht="33" customHeight="1" x14ac:dyDescent="0.1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</row>
    <row r="874" spans="1:24" ht="33" customHeight="1" x14ac:dyDescent="0.1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</row>
    <row r="875" spans="1:24" ht="33" customHeight="1" x14ac:dyDescent="0.1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</row>
    <row r="876" spans="1:24" ht="33" customHeight="1" x14ac:dyDescent="0.1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</row>
    <row r="877" spans="1:24" ht="33" customHeight="1" x14ac:dyDescent="0.1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</row>
    <row r="878" spans="1:24" ht="33" customHeight="1" x14ac:dyDescent="0.1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</row>
    <row r="879" spans="1:24" ht="33" customHeight="1" x14ac:dyDescent="0.1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</row>
    <row r="880" spans="1:24" ht="33" customHeight="1" x14ac:dyDescent="0.1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</row>
    <row r="881" spans="1:24" ht="33" customHeight="1" x14ac:dyDescent="0.1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</row>
    <row r="882" spans="1:24" ht="33" customHeight="1" x14ac:dyDescent="0.1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</row>
    <row r="883" spans="1:24" ht="33" customHeight="1" x14ac:dyDescent="0.1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</row>
    <row r="884" spans="1:24" ht="33" customHeight="1" x14ac:dyDescent="0.1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</row>
    <row r="885" spans="1:24" ht="33" customHeight="1" x14ac:dyDescent="0.1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</row>
    <row r="886" spans="1:24" ht="33" customHeight="1" x14ac:dyDescent="0.1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</row>
    <row r="887" spans="1:24" ht="33" customHeight="1" x14ac:dyDescent="0.1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</row>
    <row r="888" spans="1:24" ht="33" customHeight="1" x14ac:dyDescent="0.1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</row>
    <row r="889" spans="1:24" ht="33" customHeight="1" x14ac:dyDescent="0.1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</row>
    <row r="890" spans="1:24" ht="33" customHeight="1" x14ac:dyDescent="0.1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</row>
    <row r="891" spans="1:24" ht="33" customHeight="1" x14ac:dyDescent="0.1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</row>
    <row r="892" spans="1:24" ht="33" customHeight="1" x14ac:dyDescent="0.1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</row>
    <row r="893" spans="1:24" ht="33" customHeight="1" x14ac:dyDescent="0.1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</row>
    <row r="894" spans="1:24" ht="33" customHeight="1" x14ac:dyDescent="0.1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</row>
    <row r="895" spans="1:24" ht="33" customHeight="1" x14ac:dyDescent="0.1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</row>
    <row r="896" spans="1:24" ht="33" customHeight="1" x14ac:dyDescent="0.1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</row>
    <row r="897" spans="1:24" ht="33" customHeight="1" x14ac:dyDescent="0.1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</row>
    <row r="898" spans="1:24" ht="33" customHeight="1" x14ac:dyDescent="0.1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</row>
    <row r="899" spans="1:24" ht="33" customHeight="1" x14ac:dyDescent="0.1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</row>
    <row r="900" spans="1:24" ht="33" customHeight="1" x14ac:dyDescent="0.1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</row>
    <row r="901" spans="1:24" ht="33" customHeight="1" x14ac:dyDescent="0.1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</row>
    <row r="902" spans="1:24" ht="33" customHeight="1" x14ac:dyDescent="0.1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</row>
    <row r="903" spans="1:24" ht="33" customHeight="1" x14ac:dyDescent="0.1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</row>
    <row r="904" spans="1:24" ht="33" customHeight="1" x14ac:dyDescent="0.1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</row>
    <row r="905" spans="1:24" ht="33" customHeight="1" x14ac:dyDescent="0.1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</row>
    <row r="906" spans="1:24" ht="33" customHeight="1" x14ac:dyDescent="0.1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</row>
    <row r="907" spans="1:24" ht="33" customHeight="1" x14ac:dyDescent="0.1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</row>
    <row r="908" spans="1:24" ht="33" customHeight="1" x14ac:dyDescent="0.1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</row>
    <row r="909" spans="1:24" ht="33" customHeight="1" x14ac:dyDescent="0.1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</row>
    <row r="910" spans="1:24" ht="33" customHeight="1" x14ac:dyDescent="0.1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</row>
    <row r="911" spans="1:24" ht="33" customHeight="1" x14ac:dyDescent="0.1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</row>
    <row r="912" spans="1:24" ht="33" customHeight="1" x14ac:dyDescent="0.1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</row>
    <row r="913" spans="1:24" ht="33" customHeight="1" x14ac:dyDescent="0.1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</row>
    <row r="914" spans="1:24" ht="33" customHeight="1" x14ac:dyDescent="0.1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</row>
    <row r="915" spans="1:24" ht="33" customHeight="1" x14ac:dyDescent="0.1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</row>
    <row r="916" spans="1:24" ht="33" customHeight="1" x14ac:dyDescent="0.1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</row>
    <row r="917" spans="1:24" ht="33" customHeight="1" x14ac:dyDescent="0.1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</row>
    <row r="918" spans="1:24" ht="33" customHeight="1" x14ac:dyDescent="0.1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</row>
    <row r="919" spans="1:24" ht="33" customHeight="1" x14ac:dyDescent="0.1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</row>
    <row r="920" spans="1:24" ht="33" customHeight="1" x14ac:dyDescent="0.1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</row>
    <row r="921" spans="1:24" ht="33" customHeight="1" x14ac:dyDescent="0.1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</row>
    <row r="922" spans="1:24" ht="33" customHeight="1" x14ac:dyDescent="0.1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</row>
    <row r="923" spans="1:24" ht="33" customHeight="1" x14ac:dyDescent="0.1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</row>
    <row r="924" spans="1:24" ht="33" customHeight="1" x14ac:dyDescent="0.1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</row>
    <row r="925" spans="1:24" ht="33" customHeight="1" x14ac:dyDescent="0.1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</row>
    <row r="926" spans="1:24" ht="33" customHeight="1" x14ac:dyDescent="0.1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</row>
    <row r="927" spans="1:24" ht="33" customHeight="1" x14ac:dyDescent="0.1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</row>
    <row r="928" spans="1:24" ht="33" customHeight="1" x14ac:dyDescent="0.1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</row>
    <row r="929" spans="1:24" ht="33" customHeight="1" x14ac:dyDescent="0.1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</row>
    <row r="930" spans="1:24" ht="33" customHeight="1" x14ac:dyDescent="0.1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</row>
    <row r="931" spans="1:24" ht="33" customHeight="1" x14ac:dyDescent="0.1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</row>
    <row r="932" spans="1:24" ht="33" customHeight="1" x14ac:dyDescent="0.1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</row>
    <row r="933" spans="1:24" ht="33" customHeight="1" x14ac:dyDescent="0.1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</row>
    <row r="934" spans="1:24" ht="33" customHeight="1" x14ac:dyDescent="0.1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</row>
    <row r="935" spans="1:24" ht="33" customHeight="1" x14ac:dyDescent="0.1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</row>
    <row r="936" spans="1:24" ht="33" customHeight="1" x14ac:dyDescent="0.1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</row>
    <row r="937" spans="1:24" ht="33" customHeight="1" x14ac:dyDescent="0.1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</row>
    <row r="938" spans="1:24" ht="33" customHeight="1" x14ac:dyDescent="0.1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</row>
    <row r="939" spans="1:24" ht="33" customHeight="1" x14ac:dyDescent="0.1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</row>
    <row r="940" spans="1:24" ht="33" customHeight="1" x14ac:dyDescent="0.1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</row>
    <row r="941" spans="1:24" ht="33" customHeight="1" x14ac:dyDescent="0.1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</row>
    <row r="942" spans="1:24" ht="33" customHeight="1" x14ac:dyDescent="0.1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</row>
    <row r="943" spans="1:24" ht="33" customHeight="1" x14ac:dyDescent="0.1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</row>
    <row r="944" spans="1:24" ht="33" customHeight="1" x14ac:dyDescent="0.1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</row>
    <row r="945" spans="1:24" ht="33" customHeight="1" x14ac:dyDescent="0.1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</row>
    <row r="946" spans="1:24" ht="33" customHeight="1" x14ac:dyDescent="0.1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</row>
    <row r="947" spans="1:24" ht="33" customHeight="1" x14ac:dyDescent="0.1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</row>
    <row r="948" spans="1:24" ht="33" customHeight="1" x14ac:dyDescent="0.1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</row>
    <row r="949" spans="1:24" ht="33" customHeight="1" x14ac:dyDescent="0.1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</row>
    <row r="950" spans="1:24" ht="33" customHeight="1" x14ac:dyDescent="0.1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</row>
    <row r="951" spans="1:24" ht="33" customHeight="1" x14ac:dyDescent="0.1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</row>
    <row r="952" spans="1:24" ht="33" customHeight="1" x14ac:dyDescent="0.1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</row>
    <row r="953" spans="1:24" ht="33" customHeight="1" x14ac:dyDescent="0.1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</row>
    <row r="954" spans="1:24" ht="33" customHeight="1" x14ac:dyDescent="0.1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</row>
    <row r="955" spans="1:24" ht="33" customHeight="1" x14ac:dyDescent="0.1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</row>
    <row r="956" spans="1:24" ht="33" customHeight="1" x14ac:dyDescent="0.1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</row>
    <row r="957" spans="1:24" ht="33" customHeight="1" x14ac:dyDescent="0.1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</row>
    <row r="958" spans="1:24" ht="33" customHeight="1" x14ac:dyDescent="0.1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</row>
    <row r="959" spans="1:24" ht="33" customHeight="1" x14ac:dyDescent="0.1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</row>
    <row r="960" spans="1:24" ht="33" customHeight="1" x14ac:dyDescent="0.1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</row>
    <row r="961" spans="1:24" ht="33" customHeight="1" x14ac:dyDescent="0.1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</row>
    <row r="962" spans="1:24" ht="33" customHeight="1" x14ac:dyDescent="0.1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</row>
    <row r="963" spans="1:24" ht="33" customHeight="1" x14ac:dyDescent="0.1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</row>
    <row r="964" spans="1:24" ht="33" customHeight="1" x14ac:dyDescent="0.1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</row>
    <row r="965" spans="1:24" ht="33" customHeight="1" x14ac:dyDescent="0.1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</row>
    <row r="966" spans="1:24" ht="33" customHeight="1" x14ac:dyDescent="0.1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</row>
    <row r="967" spans="1:24" ht="33" customHeight="1" x14ac:dyDescent="0.1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</row>
    <row r="968" spans="1:24" ht="33" customHeight="1" x14ac:dyDescent="0.1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</row>
    <row r="969" spans="1:24" ht="33" customHeight="1" x14ac:dyDescent="0.1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</row>
    <row r="970" spans="1:24" ht="33" customHeight="1" x14ac:dyDescent="0.1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</row>
    <row r="971" spans="1:24" ht="33" customHeight="1" x14ac:dyDescent="0.1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</row>
    <row r="972" spans="1:24" ht="33" customHeight="1" x14ac:dyDescent="0.1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</row>
    <row r="973" spans="1:24" ht="33" customHeight="1" x14ac:dyDescent="0.1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</row>
    <row r="974" spans="1:24" ht="33" customHeight="1" x14ac:dyDescent="0.1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</row>
    <row r="975" spans="1:24" ht="33" customHeight="1" x14ac:dyDescent="0.1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</row>
    <row r="976" spans="1:24" ht="33" customHeight="1" x14ac:dyDescent="0.1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</row>
    <row r="977" spans="1:24" ht="33" customHeight="1" x14ac:dyDescent="0.1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</row>
    <row r="978" spans="1:24" ht="33" customHeight="1" x14ac:dyDescent="0.1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</row>
    <row r="979" spans="1:24" ht="33" customHeight="1" x14ac:dyDescent="0.1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</row>
    <row r="980" spans="1:24" ht="33" customHeight="1" x14ac:dyDescent="0.1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</row>
    <row r="981" spans="1:24" ht="33" customHeight="1" x14ac:dyDescent="0.1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</row>
    <row r="982" spans="1:24" ht="33" customHeight="1" x14ac:dyDescent="0.1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</row>
    <row r="983" spans="1:24" ht="33" customHeight="1" x14ac:dyDescent="0.1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</row>
    <row r="984" spans="1:24" ht="33" customHeight="1" x14ac:dyDescent="0.1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</row>
    <row r="985" spans="1:24" ht="33" customHeight="1" x14ac:dyDescent="0.1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</row>
    <row r="986" spans="1:24" ht="33" customHeight="1" x14ac:dyDescent="0.1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</row>
    <row r="987" spans="1:24" ht="33" customHeight="1" x14ac:dyDescent="0.1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</row>
    <row r="988" spans="1:24" ht="33" customHeight="1" x14ac:dyDescent="0.1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</row>
    <row r="989" spans="1:24" ht="33" customHeight="1" x14ac:dyDescent="0.1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</row>
    <row r="990" spans="1:24" ht="33" customHeight="1" x14ac:dyDescent="0.1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</row>
    <row r="991" spans="1:24" ht="33" customHeight="1" x14ac:dyDescent="0.1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</row>
    <row r="992" spans="1:24" ht="33" customHeight="1" x14ac:dyDescent="0.1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</row>
    <row r="993" spans="1:24" ht="33" customHeight="1" x14ac:dyDescent="0.1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</row>
    <row r="994" spans="1:24" ht="33" customHeight="1" x14ac:dyDescent="0.1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</row>
    <row r="995" spans="1:24" ht="33" customHeight="1" x14ac:dyDescent="0.1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</row>
    <row r="996" spans="1:24" ht="33" customHeight="1" x14ac:dyDescent="0.1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</row>
  </sheetData>
  <customSheetViews>
    <customSheetView guid="{B7E71E30-8C1B-44F2-8CCD-898BEED9B302}" filter="1" showAutoFilter="1">
      <pageMargins left="0.7" right="0.7" top="0.75" bottom="0.75" header="0.3" footer="0.3"/>
      <autoFilter ref="A1:X113" xr:uid="{66DBD1C1-CA19-E647-962F-B894DD9AACE9}"/>
    </customSheetView>
  </customSheetViews>
  <hyperlinks>
    <hyperlink ref="J2" r:id="rId1" display="https://drive.google.com/open?id=1piWHs3Y2Ya4_4oUq9AiKaWdJA4SIpaiH" xr:uid="{00000000-0004-0000-0700-000000000000}"/>
    <hyperlink ref="J3" r:id="rId2" display="https://drive.google.com/open?id=10hLmuCevcj4rym65LtXH_pBpFzZsdz2h" xr:uid="{00000000-0004-0000-0700-000001000000}"/>
    <hyperlink ref="J4" r:id="rId3" display="https://drive.google.com/open?id=1Rv0duWK5org1VQf4Lv2k64_LZkKBgSPi" xr:uid="{00000000-0004-0000-0700-000002000000}"/>
    <hyperlink ref="J5" r:id="rId4" display="https://drive.google.com/open?id=1Ljw76TOEBELwkGryhr8VqCI-2coBs_iX" xr:uid="{00000000-0004-0000-0700-000003000000}"/>
    <hyperlink ref="J6" r:id="rId5" display="https://drive.google.com/open?id=1tzckmNokaVHGruMN6Hc_EC3u6-od9oOJ" xr:uid="{00000000-0004-0000-0700-000004000000}"/>
    <hyperlink ref="J7" r:id="rId6" display="https://drive.google.com/open?id=1rNKTlVQ1Mg-UyM2vSMSBZCEV7h0azLbL" xr:uid="{00000000-0004-0000-0700-000005000000}"/>
    <hyperlink ref="J8" r:id="rId7" display="https://drive.google.com/open?id=1mGpPuvf5TuUWPtLTJqcAplQbHfswZDei" xr:uid="{00000000-0004-0000-0700-000006000000}"/>
    <hyperlink ref="J9" r:id="rId8" display="https://drive.google.com/open?id=16HY80oc6HtCuuvj5JewUNCelUtFbxbkg" xr:uid="{00000000-0004-0000-0700-000007000000}"/>
    <hyperlink ref="J10" r:id="rId9" display="https://drive.google.com/open?id=1cxNgSdtZCgxXJy14XYM9W6ctcNxeemck" xr:uid="{00000000-0004-0000-0700-000008000000}"/>
    <hyperlink ref="J11" r:id="rId10" display="https://drive.google.com/open?id=1SWhau6BZsYrQW2m8wvGigOczG7S684k8" xr:uid="{00000000-0004-0000-0700-000009000000}"/>
    <hyperlink ref="J12" r:id="rId11" display="https://drive.google.com/open?id=10ICl2iGnFmohHhEghsK1kCY2vbKE3S4V" xr:uid="{00000000-0004-0000-0700-00000A000000}"/>
    <hyperlink ref="J13" r:id="rId12" display="https://drive.google.com/open?id=1CgkJja-xS0LqyyIfSu4y9kgIUYuvt0gx" xr:uid="{00000000-0004-0000-0700-00000B000000}"/>
    <hyperlink ref="J14" r:id="rId13" display="https://drive.google.com/open?id=1ZG1YYMjQ4TXCkBaoZqizj2_VmRSfoIKO" xr:uid="{00000000-0004-0000-0700-00000C000000}"/>
    <hyperlink ref="J15" r:id="rId14" display="https://drive.google.com/open?id=1TA671kxGBe6lEKNctxZgT38P8oIqNMJb" xr:uid="{00000000-0004-0000-0700-00000D000000}"/>
    <hyperlink ref="J16" r:id="rId15" display="https://drive.google.com/open?id=1TUDXE9LzcTF8LfMkXxNqJqzwyfWVxVjM" xr:uid="{00000000-0004-0000-0700-00000E000000}"/>
    <hyperlink ref="J17" r:id="rId16" display="https://drive.google.com/open?id=1GYGDiZixLyORKX67jOnV6DN7WueVpLsm" xr:uid="{00000000-0004-0000-0700-00000F000000}"/>
    <hyperlink ref="J18" r:id="rId17" display="https://drive.google.com/open?id=100ON6FXXFJQCTUfsWvvxEkja3pplX6TH" xr:uid="{00000000-0004-0000-0700-000010000000}"/>
    <hyperlink ref="J19" r:id="rId18" display="https://drive.google.com/open?id=1ycpGI9ww9o25WRe9xh6ExTvdOLI-e72k" xr:uid="{00000000-0004-0000-0700-000011000000}"/>
    <hyperlink ref="J20" r:id="rId19" display="https://drive.google.com/open?id=1g39anyffvpUh0R9NdOuTGXraa6W7E7g-" xr:uid="{00000000-0004-0000-0700-000012000000}"/>
    <hyperlink ref="J21" r:id="rId20" display="https://drive.google.com/open?id=1n51ksBrcJzu8FL6s0RaMBBoDHsOxzL4B" xr:uid="{00000000-0004-0000-0700-000013000000}"/>
    <hyperlink ref="J22" r:id="rId21" display="https://drive.google.com/open?id=1Ge4SRokCJY04Io2zfoiUhLhrAKh00_Ga" xr:uid="{00000000-0004-0000-0700-000014000000}"/>
    <hyperlink ref="J23" r:id="rId22" display="https://drive.google.com/open?id=1MifZlr4QTyfjCEJejPJbr5s190TAXprE" xr:uid="{00000000-0004-0000-0700-000015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X996"/>
  <sheetViews>
    <sheetView workbookViewId="0"/>
  </sheetViews>
  <sheetFormatPr baseColWidth="10" defaultColWidth="12.6640625" defaultRowHeight="15.75" customHeight="1" x14ac:dyDescent="0.15"/>
  <cols>
    <col min="1" max="1" width="42.33203125" customWidth="1"/>
    <col min="2" max="2" width="9.1640625" customWidth="1"/>
    <col min="3" max="3" width="10.1640625" customWidth="1"/>
    <col min="4" max="4" width="9.5" customWidth="1"/>
    <col min="5" max="5" width="31.6640625" customWidth="1"/>
    <col min="6" max="8" width="17.5" customWidth="1"/>
    <col min="9" max="9" width="19" customWidth="1"/>
    <col min="10" max="10" width="61.1640625" customWidth="1"/>
    <col min="11" max="24" width="39.33203125" customWidth="1"/>
  </cols>
  <sheetData>
    <row r="1" spans="1:24" ht="31.5" customHeight="1" x14ac:dyDescent="0.15">
      <c r="A1" s="62" t="s">
        <v>83</v>
      </c>
      <c r="B1" s="64" t="s">
        <v>63</v>
      </c>
      <c r="C1" s="64" t="s">
        <v>55</v>
      </c>
      <c r="D1" s="64" t="s">
        <v>56</v>
      </c>
      <c r="E1" s="64" t="s">
        <v>84</v>
      </c>
      <c r="F1" s="64" t="s">
        <v>85</v>
      </c>
      <c r="G1" s="64" t="s">
        <v>86</v>
      </c>
      <c r="H1" s="64" t="s">
        <v>87</v>
      </c>
      <c r="I1" s="64" t="s">
        <v>88</v>
      </c>
      <c r="J1" s="64" t="s">
        <v>90</v>
      </c>
      <c r="K1" s="15" t="s">
        <v>24</v>
      </c>
      <c r="L1" s="14" t="s">
        <v>1</v>
      </c>
      <c r="M1" s="15" t="s">
        <v>113</v>
      </c>
      <c r="N1" s="15" t="s">
        <v>114</v>
      </c>
      <c r="O1" s="59"/>
      <c r="P1" s="59"/>
      <c r="Q1" s="59"/>
      <c r="R1" s="59"/>
      <c r="S1" s="59"/>
      <c r="T1" s="59"/>
      <c r="U1" s="59"/>
      <c r="V1" s="59"/>
      <c r="W1" s="59"/>
      <c r="X1" s="59"/>
    </row>
    <row r="2" spans="1:24" ht="31.5" customHeight="1" x14ac:dyDescent="0.15">
      <c r="A2" s="59" t="str">
        <f ca="1">IFERROR(__xludf.DUMMYFUNCTION("QUERY(MasterData!A1:NK11244,""select CH,CI,CJ,CK,CL,CM,CN,CO,CP,CQ,CR,B,C,FL,FM where C='S7: Student Workshops Organized'"",0)"),"#N/A")</f>
        <v>#N/A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</row>
    <row r="3" spans="1:24" ht="31.5" customHeight="1" x14ac:dyDescent="0.15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</row>
    <row r="4" spans="1:24" ht="31.5" customHeight="1" x14ac:dyDescent="0.15">
      <c r="A4" s="59"/>
      <c r="B4" s="59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</row>
    <row r="5" spans="1:24" ht="31.5" customHeight="1" x14ac:dyDescent="0.15">
      <c r="A5" s="59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</row>
    <row r="6" spans="1:24" ht="31.5" customHeight="1" x14ac:dyDescent="0.15">
      <c r="A6" s="59"/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</row>
    <row r="7" spans="1:24" ht="31.5" customHeight="1" x14ac:dyDescent="0.15">
      <c r="A7" s="59"/>
      <c r="B7" s="59"/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</row>
    <row r="8" spans="1:24" ht="31.5" customHeight="1" x14ac:dyDescent="0.15">
      <c r="A8" s="59"/>
      <c r="B8" s="59"/>
      <c r="C8" s="59"/>
      <c r="D8" s="59"/>
      <c r="E8" s="59"/>
      <c r="F8" s="59"/>
      <c r="G8" s="59"/>
      <c r="H8" s="59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</row>
    <row r="9" spans="1:24" ht="31.5" customHeight="1" x14ac:dyDescent="0.15">
      <c r="A9" s="59"/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</row>
    <row r="10" spans="1:24" ht="31.5" customHeight="1" x14ac:dyDescent="0.15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</row>
    <row r="11" spans="1:24" ht="31.5" customHeight="1" x14ac:dyDescent="0.15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</row>
    <row r="12" spans="1:24" ht="31.5" customHeight="1" x14ac:dyDescent="0.15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</row>
    <row r="13" spans="1:24" ht="31.5" customHeight="1" x14ac:dyDescent="0.15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</row>
    <row r="14" spans="1:24" ht="31.5" customHeight="1" x14ac:dyDescent="0.15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</row>
    <row r="15" spans="1:24" ht="31.5" customHeight="1" x14ac:dyDescent="0.15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</row>
    <row r="16" spans="1:24" ht="31.5" customHeight="1" x14ac:dyDescent="0.15">
      <c r="A16" s="59"/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</row>
    <row r="17" spans="1:24" ht="31.5" customHeight="1" x14ac:dyDescent="0.15">
      <c r="A17" s="59"/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</row>
    <row r="18" spans="1:24" ht="31.5" customHeight="1" x14ac:dyDescent="0.15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</row>
    <row r="19" spans="1:24" ht="31.5" customHeight="1" x14ac:dyDescent="0.15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</row>
    <row r="20" spans="1:24" ht="31.5" customHeight="1" x14ac:dyDescent="0.15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</row>
    <row r="21" spans="1:24" ht="31.5" customHeight="1" x14ac:dyDescent="0.1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</row>
    <row r="22" spans="1:24" ht="31.5" customHeight="1" x14ac:dyDescent="0.1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</row>
    <row r="23" spans="1:24" ht="31.5" customHeight="1" x14ac:dyDescent="0.15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</row>
    <row r="24" spans="1:24" ht="31.5" customHeight="1" x14ac:dyDescent="0.15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</row>
    <row r="25" spans="1:24" ht="31.5" customHeight="1" x14ac:dyDescent="0.15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</row>
    <row r="26" spans="1:24" ht="31.5" customHeight="1" x14ac:dyDescent="0.15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</row>
    <row r="27" spans="1:24" ht="31.5" customHeight="1" x14ac:dyDescent="0.15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</row>
    <row r="28" spans="1:24" ht="31.5" customHeight="1" x14ac:dyDescent="0.15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</row>
    <row r="29" spans="1:24" ht="31.5" customHeight="1" x14ac:dyDescent="0.15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</row>
    <row r="30" spans="1:24" ht="31.5" customHeight="1" x14ac:dyDescent="0.15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</row>
    <row r="31" spans="1:24" ht="31.5" customHeight="1" x14ac:dyDescent="0.15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</row>
    <row r="32" spans="1:24" ht="31.5" customHeight="1" x14ac:dyDescent="0.15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</row>
    <row r="33" spans="1:24" ht="31.5" customHeight="1" x14ac:dyDescent="0.15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</row>
    <row r="34" spans="1:24" ht="31.5" customHeight="1" x14ac:dyDescent="0.15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</row>
    <row r="35" spans="1:24" ht="31.5" customHeight="1" x14ac:dyDescent="0.15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</row>
    <row r="36" spans="1:24" ht="31.5" customHeight="1" x14ac:dyDescent="0.15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</row>
    <row r="37" spans="1:24" ht="31.5" customHeight="1" x14ac:dyDescent="0.15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</row>
    <row r="38" spans="1:24" ht="31.5" customHeight="1" x14ac:dyDescent="0.15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</row>
    <row r="39" spans="1:24" ht="31.5" customHeight="1" x14ac:dyDescent="0.15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</row>
    <row r="40" spans="1:24" ht="31.5" customHeight="1" x14ac:dyDescent="0.15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</row>
    <row r="41" spans="1:24" ht="31.5" customHeight="1" x14ac:dyDescent="0.15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</row>
    <row r="42" spans="1:24" ht="31.5" customHeight="1" x14ac:dyDescent="0.15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</row>
    <row r="43" spans="1:24" ht="31.5" customHeight="1" x14ac:dyDescent="0.15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</row>
    <row r="44" spans="1:24" ht="31.5" customHeight="1" x14ac:dyDescent="0.15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</row>
    <row r="45" spans="1:24" ht="31.5" customHeight="1" x14ac:dyDescent="0.15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</row>
    <row r="46" spans="1:24" ht="31.5" customHeight="1" x14ac:dyDescent="0.15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</row>
    <row r="47" spans="1:24" ht="31.5" customHeight="1" x14ac:dyDescent="0.15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</row>
    <row r="48" spans="1:24" ht="31.5" customHeight="1" x14ac:dyDescent="0.15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</row>
    <row r="49" spans="1:24" ht="31.5" customHeight="1" x14ac:dyDescent="0.15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</row>
    <row r="50" spans="1:24" ht="31.5" customHeight="1" x14ac:dyDescent="0.15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</row>
    <row r="51" spans="1:24" ht="31.5" customHeight="1" x14ac:dyDescent="0.15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</row>
    <row r="52" spans="1:24" ht="31.5" customHeight="1" x14ac:dyDescent="0.15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</row>
    <row r="53" spans="1:24" ht="31.5" customHeight="1" x14ac:dyDescent="0.15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</row>
    <row r="54" spans="1:24" ht="31.5" customHeight="1" x14ac:dyDescent="0.15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</row>
    <row r="55" spans="1:24" ht="31.5" customHeight="1" x14ac:dyDescent="0.15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</row>
    <row r="56" spans="1:24" ht="31.5" customHeight="1" x14ac:dyDescent="0.15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</row>
    <row r="57" spans="1:24" ht="31.5" customHeight="1" x14ac:dyDescent="0.15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</row>
    <row r="58" spans="1:24" ht="31.5" customHeight="1" x14ac:dyDescent="0.15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</row>
    <row r="59" spans="1:24" ht="31.5" customHeight="1" x14ac:dyDescent="0.15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</row>
    <row r="60" spans="1:24" ht="31.5" customHeight="1" x14ac:dyDescent="0.15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</row>
    <row r="61" spans="1:24" ht="31.5" customHeight="1" x14ac:dyDescent="0.15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</row>
    <row r="62" spans="1:24" ht="31.5" customHeight="1" x14ac:dyDescent="0.15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</row>
    <row r="63" spans="1:24" ht="31.5" customHeight="1" x14ac:dyDescent="0.15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</row>
    <row r="64" spans="1:24" ht="31.5" customHeight="1" x14ac:dyDescent="0.15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</row>
    <row r="65" spans="1:24" ht="31.5" customHeight="1" x14ac:dyDescent="0.15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</row>
    <row r="66" spans="1:24" ht="31.5" customHeight="1" x14ac:dyDescent="0.15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</row>
    <row r="67" spans="1:24" ht="31.5" customHeight="1" x14ac:dyDescent="0.15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</row>
    <row r="68" spans="1:24" ht="31.5" customHeight="1" x14ac:dyDescent="0.15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</row>
    <row r="69" spans="1:24" ht="31.5" customHeight="1" x14ac:dyDescent="0.15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</row>
    <row r="70" spans="1:24" ht="31.5" customHeight="1" x14ac:dyDescent="0.15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</row>
    <row r="71" spans="1:24" ht="31.5" customHeight="1" x14ac:dyDescent="0.15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</row>
    <row r="72" spans="1:24" ht="31.5" customHeight="1" x14ac:dyDescent="0.15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</row>
    <row r="73" spans="1:24" ht="31.5" customHeight="1" x14ac:dyDescent="0.15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</row>
    <row r="74" spans="1:24" ht="31.5" customHeight="1" x14ac:dyDescent="0.15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</row>
    <row r="75" spans="1:24" ht="31.5" customHeight="1" x14ac:dyDescent="0.15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</row>
    <row r="76" spans="1:24" ht="31.5" customHeight="1" x14ac:dyDescent="0.15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</row>
    <row r="77" spans="1:24" ht="31.5" customHeight="1" x14ac:dyDescent="0.15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</row>
    <row r="78" spans="1:24" ht="31.5" customHeight="1" x14ac:dyDescent="0.15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</row>
    <row r="79" spans="1:24" ht="31.5" customHeight="1" x14ac:dyDescent="0.15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</row>
    <row r="80" spans="1:24" ht="31.5" customHeight="1" x14ac:dyDescent="0.15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</row>
    <row r="81" spans="1:24" ht="31.5" customHeight="1" x14ac:dyDescent="0.15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</row>
    <row r="82" spans="1:24" ht="31.5" customHeight="1" x14ac:dyDescent="0.15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</row>
    <row r="83" spans="1:24" ht="31.5" customHeight="1" x14ac:dyDescent="0.15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</row>
    <row r="84" spans="1:24" ht="31.5" customHeight="1" x14ac:dyDescent="0.15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</row>
    <row r="85" spans="1:24" ht="31.5" customHeight="1" x14ac:dyDescent="0.15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</row>
    <row r="86" spans="1:24" ht="31.5" customHeight="1" x14ac:dyDescent="0.15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</row>
    <row r="87" spans="1:24" ht="31.5" customHeight="1" x14ac:dyDescent="0.15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</row>
    <row r="88" spans="1:24" ht="31.5" customHeight="1" x14ac:dyDescent="0.15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</row>
    <row r="89" spans="1:24" ht="31.5" customHeight="1" x14ac:dyDescent="0.15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</row>
    <row r="90" spans="1:24" ht="31.5" customHeight="1" x14ac:dyDescent="0.15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</row>
    <row r="91" spans="1:24" ht="31.5" customHeight="1" x14ac:dyDescent="0.15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</row>
    <row r="92" spans="1:24" ht="31.5" customHeight="1" x14ac:dyDescent="0.15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</row>
    <row r="93" spans="1:24" ht="31.5" customHeight="1" x14ac:dyDescent="0.15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</row>
    <row r="94" spans="1:24" ht="31.5" customHeight="1" x14ac:dyDescent="0.15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</row>
    <row r="95" spans="1:24" ht="31.5" customHeight="1" x14ac:dyDescent="0.15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</row>
    <row r="96" spans="1:24" ht="31.5" customHeight="1" x14ac:dyDescent="0.15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</row>
    <row r="97" spans="1:24" ht="31.5" customHeight="1" x14ac:dyDescent="0.15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</row>
    <row r="98" spans="1:24" ht="31.5" customHeight="1" x14ac:dyDescent="0.15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</row>
    <row r="99" spans="1:24" ht="31.5" customHeight="1" x14ac:dyDescent="0.15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</row>
    <row r="100" spans="1:24" ht="31.5" customHeight="1" x14ac:dyDescent="0.15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</row>
    <row r="101" spans="1:24" ht="31.5" customHeight="1" x14ac:dyDescent="0.15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</row>
    <row r="102" spans="1:24" ht="31.5" customHeight="1" x14ac:dyDescent="0.15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</row>
    <row r="103" spans="1:24" ht="31.5" customHeight="1" x14ac:dyDescent="0.15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</row>
    <row r="104" spans="1:24" ht="31.5" customHeight="1" x14ac:dyDescent="0.15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</row>
    <row r="105" spans="1:24" ht="31.5" customHeight="1" x14ac:dyDescent="0.15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</row>
    <row r="106" spans="1:24" ht="31.5" customHeight="1" x14ac:dyDescent="0.15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</row>
    <row r="107" spans="1:24" ht="31.5" customHeight="1" x14ac:dyDescent="0.15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</row>
    <row r="108" spans="1:24" ht="31.5" customHeight="1" x14ac:dyDescent="0.15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</row>
    <row r="109" spans="1:24" ht="31.5" customHeight="1" x14ac:dyDescent="0.15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</row>
    <row r="110" spans="1:24" ht="31.5" customHeight="1" x14ac:dyDescent="0.15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</row>
    <row r="111" spans="1:24" ht="31.5" customHeight="1" x14ac:dyDescent="0.15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</row>
    <row r="112" spans="1:24" ht="31.5" customHeight="1" x14ac:dyDescent="0.15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</row>
    <row r="113" spans="1:24" ht="31.5" customHeight="1" x14ac:dyDescent="0.15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</row>
    <row r="114" spans="1:24" ht="31.5" customHeight="1" x14ac:dyDescent="0.15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</row>
    <row r="115" spans="1:24" ht="31.5" customHeight="1" x14ac:dyDescent="0.15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</row>
    <row r="116" spans="1:24" ht="31.5" customHeight="1" x14ac:dyDescent="0.15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</row>
    <row r="117" spans="1:24" ht="31.5" customHeight="1" x14ac:dyDescent="0.15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</row>
    <row r="118" spans="1:24" ht="31.5" customHeight="1" x14ac:dyDescent="0.15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</row>
    <row r="119" spans="1:24" ht="31.5" customHeight="1" x14ac:dyDescent="0.15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</row>
    <row r="120" spans="1:24" ht="31.5" customHeight="1" x14ac:dyDescent="0.15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</row>
    <row r="121" spans="1:24" ht="31.5" customHeight="1" x14ac:dyDescent="0.15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</row>
    <row r="122" spans="1:24" ht="31.5" customHeight="1" x14ac:dyDescent="0.15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</row>
    <row r="123" spans="1:24" ht="31.5" customHeight="1" x14ac:dyDescent="0.15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</row>
    <row r="124" spans="1:24" ht="31.5" customHeight="1" x14ac:dyDescent="0.15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</row>
    <row r="125" spans="1:24" ht="31.5" customHeight="1" x14ac:dyDescent="0.15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</row>
    <row r="126" spans="1:24" ht="31.5" customHeight="1" x14ac:dyDescent="0.15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</row>
    <row r="127" spans="1:24" ht="31.5" customHeight="1" x14ac:dyDescent="0.15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</row>
    <row r="128" spans="1:24" ht="31.5" customHeight="1" x14ac:dyDescent="0.15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</row>
    <row r="129" spans="1:24" ht="31.5" customHeight="1" x14ac:dyDescent="0.15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</row>
    <row r="130" spans="1:24" ht="31.5" customHeight="1" x14ac:dyDescent="0.15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</row>
    <row r="131" spans="1:24" ht="31.5" customHeight="1" x14ac:dyDescent="0.15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</row>
    <row r="132" spans="1:24" ht="31.5" customHeight="1" x14ac:dyDescent="0.15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</row>
    <row r="133" spans="1:24" ht="31.5" customHeight="1" x14ac:dyDescent="0.15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</row>
    <row r="134" spans="1:24" ht="31.5" customHeight="1" x14ac:dyDescent="0.15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</row>
    <row r="135" spans="1:24" ht="31.5" customHeight="1" x14ac:dyDescent="0.15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</row>
    <row r="136" spans="1:24" ht="31.5" customHeight="1" x14ac:dyDescent="0.15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</row>
    <row r="137" spans="1:24" ht="31.5" customHeight="1" x14ac:dyDescent="0.15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</row>
    <row r="138" spans="1:24" ht="31.5" customHeight="1" x14ac:dyDescent="0.15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</row>
    <row r="139" spans="1:24" ht="31.5" customHeight="1" x14ac:dyDescent="0.15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</row>
    <row r="140" spans="1:24" ht="31.5" customHeight="1" x14ac:dyDescent="0.15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</row>
    <row r="141" spans="1:24" ht="31.5" customHeight="1" x14ac:dyDescent="0.15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</row>
    <row r="142" spans="1:24" ht="31.5" customHeight="1" x14ac:dyDescent="0.15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</row>
    <row r="143" spans="1:24" ht="31.5" customHeight="1" x14ac:dyDescent="0.15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</row>
    <row r="144" spans="1:24" ht="31.5" customHeight="1" x14ac:dyDescent="0.15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</row>
    <row r="145" spans="1:24" ht="31.5" customHeight="1" x14ac:dyDescent="0.15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</row>
    <row r="146" spans="1:24" ht="31.5" customHeight="1" x14ac:dyDescent="0.15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</row>
    <row r="147" spans="1:24" ht="31.5" customHeight="1" x14ac:dyDescent="0.15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</row>
    <row r="148" spans="1:24" ht="31.5" customHeight="1" x14ac:dyDescent="0.15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</row>
    <row r="149" spans="1:24" ht="31.5" customHeight="1" x14ac:dyDescent="0.15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</row>
    <row r="150" spans="1:24" ht="31.5" customHeight="1" x14ac:dyDescent="0.15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</row>
    <row r="151" spans="1:24" ht="31.5" customHeight="1" x14ac:dyDescent="0.15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</row>
    <row r="152" spans="1:24" ht="31.5" customHeight="1" x14ac:dyDescent="0.15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</row>
    <row r="153" spans="1:24" ht="31.5" customHeight="1" x14ac:dyDescent="0.15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</row>
    <row r="154" spans="1:24" ht="31.5" customHeight="1" x14ac:dyDescent="0.15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</row>
    <row r="155" spans="1:24" ht="31.5" customHeight="1" x14ac:dyDescent="0.15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</row>
    <row r="156" spans="1:24" ht="31.5" customHeight="1" x14ac:dyDescent="0.15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</row>
    <row r="157" spans="1:24" ht="31.5" customHeight="1" x14ac:dyDescent="0.15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</row>
    <row r="158" spans="1:24" ht="31.5" customHeight="1" x14ac:dyDescent="0.15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</row>
    <row r="159" spans="1:24" ht="31.5" customHeight="1" x14ac:dyDescent="0.15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</row>
    <row r="160" spans="1:24" ht="31.5" customHeight="1" x14ac:dyDescent="0.15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</row>
    <row r="161" spans="1:24" ht="31.5" customHeight="1" x14ac:dyDescent="0.15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</row>
    <row r="162" spans="1:24" ht="31.5" customHeight="1" x14ac:dyDescent="0.15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</row>
    <row r="163" spans="1:24" ht="31.5" customHeight="1" x14ac:dyDescent="0.15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</row>
    <row r="164" spans="1:24" ht="31.5" customHeight="1" x14ac:dyDescent="0.15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</row>
    <row r="165" spans="1:24" ht="31.5" customHeight="1" x14ac:dyDescent="0.15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</row>
    <row r="166" spans="1:24" ht="31.5" customHeight="1" x14ac:dyDescent="0.15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</row>
    <row r="167" spans="1:24" ht="31.5" customHeight="1" x14ac:dyDescent="0.15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</row>
    <row r="168" spans="1:24" ht="31.5" customHeight="1" x14ac:dyDescent="0.15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</row>
    <row r="169" spans="1:24" ht="31.5" customHeight="1" x14ac:dyDescent="0.15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</row>
    <row r="170" spans="1:24" ht="31.5" customHeight="1" x14ac:dyDescent="0.15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</row>
    <row r="171" spans="1:24" ht="31.5" customHeight="1" x14ac:dyDescent="0.15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</row>
    <row r="172" spans="1:24" ht="31.5" customHeight="1" x14ac:dyDescent="0.15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</row>
    <row r="173" spans="1:24" ht="31.5" customHeight="1" x14ac:dyDescent="0.15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</row>
    <row r="174" spans="1:24" ht="31.5" customHeight="1" x14ac:dyDescent="0.15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</row>
    <row r="175" spans="1:24" ht="31.5" customHeight="1" x14ac:dyDescent="0.15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</row>
    <row r="176" spans="1:24" ht="31.5" customHeight="1" x14ac:dyDescent="0.15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</row>
    <row r="177" spans="1:24" ht="31.5" customHeight="1" x14ac:dyDescent="0.15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</row>
    <row r="178" spans="1:24" ht="31.5" customHeight="1" x14ac:dyDescent="0.15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</row>
    <row r="179" spans="1:24" ht="31.5" customHeight="1" x14ac:dyDescent="0.15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</row>
    <row r="180" spans="1:24" ht="31.5" customHeight="1" x14ac:dyDescent="0.15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</row>
    <row r="181" spans="1:24" ht="31.5" customHeight="1" x14ac:dyDescent="0.15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</row>
    <row r="182" spans="1:24" ht="31.5" customHeight="1" x14ac:dyDescent="0.15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</row>
    <row r="183" spans="1:24" ht="31.5" customHeight="1" x14ac:dyDescent="0.15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</row>
    <row r="184" spans="1:24" ht="31.5" customHeight="1" x14ac:dyDescent="0.15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</row>
    <row r="185" spans="1:24" ht="31.5" customHeight="1" x14ac:dyDescent="0.15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</row>
    <row r="186" spans="1:24" ht="31.5" customHeight="1" x14ac:dyDescent="0.15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</row>
    <row r="187" spans="1:24" ht="31.5" customHeight="1" x14ac:dyDescent="0.15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</row>
    <row r="188" spans="1:24" ht="31.5" customHeight="1" x14ac:dyDescent="0.15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</row>
    <row r="189" spans="1:24" ht="31.5" customHeight="1" x14ac:dyDescent="0.15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</row>
    <row r="190" spans="1:24" ht="31.5" customHeight="1" x14ac:dyDescent="0.15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</row>
    <row r="191" spans="1:24" ht="31.5" customHeight="1" x14ac:dyDescent="0.15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</row>
    <row r="192" spans="1:24" ht="31.5" customHeight="1" x14ac:dyDescent="0.15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</row>
    <row r="193" spans="1:24" ht="31.5" customHeight="1" x14ac:dyDescent="0.15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</row>
    <row r="194" spans="1:24" ht="31.5" customHeight="1" x14ac:dyDescent="0.15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</row>
    <row r="195" spans="1:24" ht="31.5" customHeight="1" x14ac:dyDescent="0.15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</row>
    <row r="196" spans="1:24" ht="31.5" customHeight="1" x14ac:dyDescent="0.15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</row>
    <row r="197" spans="1:24" ht="31.5" customHeight="1" x14ac:dyDescent="0.15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</row>
    <row r="198" spans="1:24" ht="31.5" customHeight="1" x14ac:dyDescent="0.15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</row>
    <row r="199" spans="1:24" ht="31.5" customHeight="1" x14ac:dyDescent="0.15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</row>
    <row r="200" spans="1:24" ht="31.5" customHeight="1" x14ac:dyDescent="0.15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</row>
    <row r="201" spans="1:24" ht="31.5" customHeight="1" x14ac:dyDescent="0.15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</row>
    <row r="202" spans="1:24" ht="31.5" customHeight="1" x14ac:dyDescent="0.15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</row>
    <row r="203" spans="1:24" ht="31.5" customHeight="1" x14ac:dyDescent="0.15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</row>
    <row r="204" spans="1:24" ht="31.5" customHeight="1" x14ac:dyDescent="0.15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</row>
    <row r="205" spans="1:24" ht="31.5" customHeight="1" x14ac:dyDescent="0.15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</row>
    <row r="206" spans="1:24" ht="31.5" customHeight="1" x14ac:dyDescent="0.15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</row>
    <row r="207" spans="1:24" ht="31.5" customHeight="1" x14ac:dyDescent="0.15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</row>
    <row r="208" spans="1:24" ht="31.5" customHeight="1" x14ac:dyDescent="0.15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</row>
    <row r="209" spans="1:24" ht="31.5" customHeight="1" x14ac:dyDescent="0.15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</row>
    <row r="210" spans="1:24" ht="31.5" customHeight="1" x14ac:dyDescent="0.15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</row>
    <row r="211" spans="1:24" ht="31.5" customHeight="1" x14ac:dyDescent="0.15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</row>
    <row r="212" spans="1:24" ht="31.5" customHeight="1" x14ac:dyDescent="0.15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</row>
    <row r="213" spans="1:24" ht="31.5" customHeight="1" x14ac:dyDescent="0.15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</row>
    <row r="214" spans="1:24" ht="31.5" customHeight="1" x14ac:dyDescent="0.15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</row>
    <row r="215" spans="1:24" ht="31.5" customHeight="1" x14ac:dyDescent="0.15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</row>
    <row r="216" spans="1:24" ht="31.5" customHeight="1" x14ac:dyDescent="0.15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</row>
    <row r="217" spans="1:24" ht="31.5" customHeight="1" x14ac:dyDescent="0.15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</row>
    <row r="218" spans="1:24" ht="31.5" customHeight="1" x14ac:dyDescent="0.15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</row>
    <row r="219" spans="1:24" ht="31.5" customHeight="1" x14ac:dyDescent="0.15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</row>
    <row r="220" spans="1:24" ht="31.5" customHeight="1" x14ac:dyDescent="0.15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</row>
    <row r="221" spans="1:24" ht="31.5" customHeight="1" x14ac:dyDescent="0.15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</row>
    <row r="222" spans="1:24" ht="31.5" customHeight="1" x14ac:dyDescent="0.15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</row>
    <row r="223" spans="1:24" ht="31.5" customHeight="1" x14ac:dyDescent="0.15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</row>
    <row r="224" spans="1:24" ht="31.5" customHeight="1" x14ac:dyDescent="0.15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</row>
    <row r="225" spans="1:24" ht="31.5" customHeight="1" x14ac:dyDescent="0.15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</row>
    <row r="226" spans="1:24" ht="31.5" customHeight="1" x14ac:dyDescent="0.15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</row>
    <row r="227" spans="1:24" ht="31.5" customHeight="1" x14ac:dyDescent="0.15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</row>
    <row r="228" spans="1:24" ht="31.5" customHeight="1" x14ac:dyDescent="0.15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</row>
    <row r="229" spans="1:24" ht="31.5" customHeight="1" x14ac:dyDescent="0.15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</row>
    <row r="230" spans="1:24" ht="31.5" customHeight="1" x14ac:dyDescent="0.15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</row>
    <row r="231" spans="1:24" ht="31.5" customHeight="1" x14ac:dyDescent="0.15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</row>
    <row r="232" spans="1:24" ht="31.5" customHeight="1" x14ac:dyDescent="0.15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</row>
    <row r="233" spans="1:24" ht="31.5" customHeight="1" x14ac:dyDescent="0.15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</row>
    <row r="234" spans="1:24" ht="31.5" customHeight="1" x14ac:dyDescent="0.15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</row>
    <row r="235" spans="1:24" ht="31.5" customHeight="1" x14ac:dyDescent="0.15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</row>
    <row r="236" spans="1:24" ht="31.5" customHeight="1" x14ac:dyDescent="0.15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</row>
    <row r="237" spans="1:24" ht="31.5" customHeight="1" x14ac:dyDescent="0.15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</row>
    <row r="238" spans="1:24" ht="31.5" customHeight="1" x14ac:dyDescent="0.15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</row>
    <row r="239" spans="1:24" ht="31.5" customHeight="1" x14ac:dyDescent="0.15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</row>
    <row r="240" spans="1:24" ht="31.5" customHeight="1" x14ac:dyDescent="0.15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</row>
    <row r="241" spans="1:24" ht="31.5" customHeight="1" x14ac:dyDescent="0.15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</row>
    <row r="242" spans="1:24" ht="31.5" customHeight="1" x14ac:dyDescent="0.15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</row>
    <row r="243" spans="1:24" ht="31.5" customHeight="1" x14ac:dyDescent="0.15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</row>
    <row r="244" spans="1:24" ht="31.5" customHeight="1" x14ac:dyDescent="0.15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</row>
    <row r="245" spans="1:24" ht="31.5" customHeight="1" x14ac:dyDescent="0.15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</row>
    <row r="246" spans="1:24" ht="31.5" customHeight="1" x14ac:dyDescent="0.15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</row>
    <row r="247" spans="1:24" ht="31.5" customHeight="1" x14ac:dyDescent="0.15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</row>
    <row r="248" spans="1:24" ht="31.5" customHeight="1" x14ac:dyDescent="0.15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</row>
    <row r="249" spans="1:24" ht="31.5" customHeight="1" x14ac:dyDescent="0.15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</row>
    <row r="250" spans="1:24" ht="31.5" customHeight="1" x14ac:dyDescent="0.15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</row>
    <row r="251" spans="1:24" ht="31.5" customHeight="1" x14ac:dyDescent="0.15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</row>
    <row r="252" spans="1:24" ht="31.5" customHeight="1" x14ac:dyDescent="0.15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</row>
    <row r="253" spans="1:24" ht="31.5" customHeight="1" x14ac:dyDescent="0.15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</row>
    <row r="254" spans="1:24" ht="31.5" customHeight="1" x14ac:dyDescent="0.15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</row>
    <row r="255" spans="1:24" ht="31.5" customHeight="1" x14ac:dyDescent="0.15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</row>
    <row r="256" spans="1:24" ht="31.5" customHeight="1" x14ac:dyDescent="0.15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</row>
    <row r="257" spans="1:24" ht="31.5" customHeight="1" x14ac:dyDescent="0.15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</row>
    <row r="258" spans="1:24" ht="31.5" customHeight="1" x14ac:dyDescent="0.15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</row>
    <row r="259" spans="1:24" ht="31.5" customHeight="1" x14ac:dyDescent="0.15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</row>
    <row r="260" spans="1:24" ht="31.5" customHeight="1" x14ac:dyDescent="0.15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</row>
    <row r="261" spans="1:24" ht="31.5" customHeight="1" x14ac:dyDescent="0.15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</row>
    <row r="262" spans="1:24" ht="31.5" customHeight="1" x14ac:dyDescent="0.15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</row>
    <row r="263" spans="1:24" ht="31.5" customHeight="1" x14ac:dyDescent="0.15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</row>
    <row r="264" spans="1:24" ht="31.5" customHeight="1" x14ac:dyDescent="0.15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</row>
    <row r="265" spans="1:24" ht="31.5" customHeight="1" x14ac:dyDescent="0.15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</row>
    <row r="266" spans="1:24" ht="31.5" customHeight="1" x14ac:dyDescent="0.15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</row>
    <row r="267" spans="1:24" ht="31.5" customHeight="1" x14ac:dyDescent="0.15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</row>
    <row r="268" spans="1:24" ht="31.5" customHeight="1" x14ac:dyDescent="0.15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</row>
    <row r="269" spans="1:24" ht="31.5" customHeight="1" x14ac:dyDescent="0.15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</row>
    <row r="270" spans="1:24" ht="31.5" customHeight="1" x14ac:dyDescent="0.15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</row>
    <row r="271" spans="1:24" ht="31.5" customHeight="1" x14ac:dyDescent="0.15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</row>
    <row r="272" spans="1:24" ht="31.5" customHeight="1" x14ac:dyDescent="0.15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</row>
    <row r="273" spans="1:24" ht="31.5" customHeight="1" x14ac:dyDescent="0.15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</row>
    <row r="274" spans="1:24" ht="31.5" customHeight="1" x14ac:dyDescent="0.15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</row>
    <row r="275" spans="1:24" ht="31.5" customHeight="1" x14ac:dyDescent="0.15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</row>
    <row r="276" spans="1:24" ht="31.5" customHeight="1" x14ac:dyDescent="0.15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</row>
    <row r="277" spans="1:24" ht="31.5" customHeight="1" x14ac:dyDescent="0.15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</row>
    <row r="278" spans="1:24" ht="31.5" customHeight="1" x14ac:dyDescent="0.15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</row>
    <row r="279" spans="1:24" ht="31.5" customHeight="1" x14ac:dyDescent="0.15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</row>
    <row r="280" spans="1:24" ht="31.5" customHeight="1" x14ac:dyDescent="0.15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</row>
    <row r="281" spans="1:24" ht="31.5" customHeight="1" x14ac:dyDescent="0.15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</row>
    <row r="282" spans="1:24" ht="31.5" customHeight="1" x14ac:dyDescent="0.15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</row>
    <row r="283" spans="1:24" ht="31.5" customHeight="1" x14ac:dyDescent="0.15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</row>
    <row r="284" spans="1:24" ht="31.5" customHeight="1" x14ac:dyDescent="0.15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</row>
    <row r="285" spans="1:24" ht="31.5" customHeight="1" x14ac:dyDescent="0.15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</row>
    <row r="286" spans="1:24" ht="31.5" customHeight="1" x14ac:dyDescent="0.15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</row>
    <row r="287" spans="1:24" ht="31.5" customHeight="1" x14ac:dyDescent="0.15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</row>
    <row r="288" spans="1:24" ht="31.5" customHeight="1" x14ac:dyDescent="0.15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</row>
    <row r="289" spans="1:24" ht="31.5" customHeight="1" x14ac:dyDescent="0.15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</row>
    <row r="290" spans="1:24" ht="31.5" customHeight="1" x14ac:dyDescent="0.15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</row>
    <row r="291" spans="1:24" ht="31.5" customHeight="1" x14ac:dyDescent="0.15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</row>
    <row r="292" spans="1:24" ht="31.5" customHeight="1" x14ac:dyDescent="0.15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</row>
    <row r="293" spans="1:24" ht="31.5" customHeight="1" x14ac:dyDescent="0.15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</row>
    <row r="294" spans="1:24" ht="31.5" customHeight="1" x14ac:dyDescent="0.15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</row>
    <row r="295" spans="1:24" ht="31.5" customHeight="1" x14ac:dyDescent="0.15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</row>
    <row r="296" spans="1:24" ht="31.5" customHeight="1" x14ac:dyDescent="0.15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</row>
    <row r="297" spans="1:24" ht="31.5" customHeight="1" x14ac:dyDescent="0.15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</row>
    <row r="298" spans="1:24" ht="31.5" customHeight="1" x14ac:dyDescent="0.15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</row>
    <row r="299" spans="1:24" ht="31.5" customHeight="1" x14ac:dyDescent="0.15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</row>
    <row r="300" spans="1:24" ht="31.5" customHeight="1" x14ac:dyDescent="0.15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</row>
    <row r="301" spans="1:24" ht="31.5" customHeight="1" x14ac:dyDescent="0.15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</row>
    <row r="302" spans="1:24" ht="31.5" customHeight="1" x14ac:dyDescent="0.15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</row>
    <row r="303" spans="1:24" ht="31.5" customHeight="1" x14ac:dyDescent="0.15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</row>
    <row r="304" spans="1:24" ht="31.5" customHeight="1" x14ac:dyDescent="0.15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</row>
    <row r="305" spans="1:24" ht="31.5" customHeight="1" x14ac:dyDescent="0.15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</row>
    <row r="306" spans="1:24" ht="31.5" customHeight="1" x14ac:dyDescent="0.15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</row>
    <row r="307" spans="1:24" ht="31.5" customHeight="1" x14ac:dyDescent="0.15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</row>
    <row r="308" spans="1:24" ht="31.5" customHeight="1" x14ac:dyDescent="0.15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</row>
    <row r="309" spans="1:24" ht="31.5" customHeight="1" x14ac:dyDescent="0.15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</row>
    <row r="310" spans="1:24" ht="31.5" customHeight="1" x14ac:dyDescent="0.15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</row>
    <row r="311" spans="1:24" ht="31.5" customHeight="1" x14ac:dyDescent="0.15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</row>
    <row r="312" spans="1:24" ht="31.5" customHeight="1" x14ac:dyDescent="0.15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</row>
    <row r="313" spans="1:24" ht="31.5" customHeight="1" x14ac:dyDescent="0.15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</row>
    <row r="314" spans="1:24" ht="31.5" customHeight="1" x14ac:dyDescent="0.15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</row>
    <row r="315" spans="1:24" ht="31.5" customHeight="1" x14ac:dyDescent="0.15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</row>
    <row r="316" spans="1:24" ht="31.5" customHeight="1" x14ac:dyDescent="0.15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</row>
    <row r="317" spans="1:24" ht="31.5" customHeight="1" x14ac:dyDescent="0.15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</row>
    <row r="318" spans="1:24" ht="31.5" customHeight="1" x14ac:dyDescent="0.15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</row>
    <row r="319" spans="1:24" ht="31.5" customHeight="1" x14ac:dyDescent="0.15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</row>
    <row r="320" spans="1:24" ht="31.5" customHeight="1" x14ac:dyDescent="0.15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</row>
    <row r="321" spans="1:24" ht="31.5" customHeight="1" x14ac:dyDescent="0.15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</row>
    <row r="322" spans="1:24" ht="31.5" customHeight="1" x14ac:dyDescent="0.15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</row>
    <row r="323" spans="1:24" ht="31.5" customHeight="1" x14ac:dyDescent="0.15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</row>
    <row r="324" spans="1:24" ht="31.5" customHeight="1" x14ac:dyDescent="0.15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</row>
    <row r="325" spans="1:24" ht="31.5" customHeight="1" x14ac:dyDescent="0.15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</row>
    <row r="326" spans="1:24" ht="31.5" customHeight="1" x14ac:dyDescent="0.15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</row>
    <row r="327" spans="1:24" ht="31.5" customHeight="1" x14ac:dyDescent="0.15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</row>
    <row r="328" spans="1:24" ht="31.5" customHeight="1" x14ac:dyDescent="0.15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</row>
    <row r="329" spans="1:24" ht="31.5" customHeight="1" x14ac:dyDescent="0.15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</row>
    <row r="330" spans="1:24" ht="31.5" customHeight="1" x14ac:dyDescent="0.15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</row>
    <row r="331" spans="1:24" ht="31.5" customHeight="1" x14ac:dyDescent="0.15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</row>
    <row r="332" spans="1:24" ht="31.5" customHeight="1" x14ac:dyDescent="0.15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</row>
    <row r="333" spans="1:24" ht="31.5" customHeight="1" x14ac:dyDescent="0.15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</row>
    <row r="334" spans="1:24" ht="31.5" customHeight="1" x14ac:dyDescent="0.15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</row>
    <row r="335" spans="1:24" ht="31.5" customHeight="1" x14ac:dyDescent="0.15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</row>
    <row r="336" spans="1:24" ht="31.5" customHeight="1" x14ac:dyDescent="0.15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</row>
    <row r="337" spans="1:24" ht="31.5" customHeight="1" x14ac:dyDescent="0.15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</row>
    <row r="338" spans="1:24" ht="31.5" customHeight="1" x14ac:dyDescent="0.15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</row>
    <row r="339" spans="1:24" ht="31.5" customHeight="1" x14ac:dyDescent="0.15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</row>
    <row r="340" spans="1:24" ht="31.5" customHeight="1" x14ac:dyDescent="0.15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</row>
    <row r="341" spans="1:24" ht="31.5" customHeight="1" x14ac:dyDescent="0.15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</row>
    <row r="342" spans="1:24" ht="31.5" customHeight="1" x14ac:dyDescent="0.15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</row>
    <row r="343" spans="1:24" ht="31.5" customHeight="1" x14ac:dyDescent="0.15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</row>
    <row r="344" spans="1:24" ht="31.5" customHeight="1" x14ac:dyDescent="0.15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</row>
    <row r="345" spans="1:24" ht="31.5" customHeight="1" x14ac:dyDescent="0.15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</row>
    <row r="346" spans="1:24" ht="31.5" customHeight="1" x14ac:dyDescent="0.15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</row>
    <row r="347" spans="1:24" ht="31.5" customHeight="1" x14ac:dyDescent="0.15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</row>
    <row r="348" spans="1:24" ht="31.5" customHeight="1" x14ac:dyDescent="0.15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</row>
    <row r="349" spans="1:24" ht="31.5" customHeight="1" x14ac:dyDescent="0.15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</row>
    <row r="350" spans="1:24" ht="31.5" customHeight="1" x14ac:dyDescent="0.15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</row>
    <row r="351" spans="1:24" ht="31.5" customHeight="1" x14ac:dyDescent="0.15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</row>
    <row r="352" spans="1:24" ht="31.5" customHeight="1" x14ac:dyDescent="0.15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</row>
    <row r="353" spans="1:24" ht="31.5" customHeight="1" x14ac:dyDescent="0.15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</row>
    <row r="354" spans="1:24" ht="31.5" customHeight="1" x14ac:dyDescent="0.15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</row>
    <row r="355" spans="1:24" ht="31.5" customHeight="1" x14ac:dyDescent="0.15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</row>
    <row r="356" spans="1:24" ht="31.5" customHeight="1" x14ac:dyDescent="0.15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</row>
    <row r="357" spans="1:24" ht="31.5" customHeight="1" x14ac:dyDescent="0.15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</row>
    <row r="358" spans="1:24" ht="31.5" customHeight="1" x14ac:dyDescent="0.15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</row>
    <row r="359" spans="1:24" ht="31.5" customHeight="1" x14ac:dyDescent="0.15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</row>
    <row r="360" spans="1:24" ht="31.5" customHeight="1" x14ac:dyDescent="0.15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</row>
    <row r="361" spans="1:24" ht="31.5" customHeight="1" x14ac:dyDescent="0.15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</row>
    <row r="362" spans="1:24" ht="31.5" customHeight="1" x14ac:dyDescent="0.15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</row>
    <row r="363" spans="1:24" ht="31.5" customHeight="1" x14ac:dyDescent="0.15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</row>
    <row r="364" spans="1:24" ht="31.5" customHeight="1" x14ac:dyDescent="0.15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</row>
    <row r="365" spans="1:24" ht="31.5" customHeight="1" x14ac:dyDescent="0.15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</row>
    <row r="366" spans="1:24" ht="31.5" customHeight="1" x14ac:dyDescent="0.15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</row>
    <row r="367" spans="1:24" ht="31.5" customHeight="1" x14ac:dyDescent="0.15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</row>
    <row r="368" spans="1:24" ht="31.5" customHeight="1" x14ac:dyDescent="0.15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</row>
    <row r="369" spans="1:24" ht="31.5" customHeight="1" x14ac:dyDescent="0.15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</row>
    <row r="370" spans="1:24" ht="31.5" customHeight="1" x14ac:dyDescent="0.15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</row>
    <row r="371" spans="1:24" ht="31.5" customHeight="1" x14ac:dyDescent="0.15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</row>
    <row r="372" spans="1:24" ht="31.5" customHeight="1" x14ac:dyDescent="0.15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</row>
    <row r="373" spans="1:24" ht="31.5" customHeight="1" x14ac:dyDescent="0.15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</row>
    <row r="374" spans="1:24" ht="31.5" customHeight="1" x14ac:dyDescent="0.15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</row>
    <row r="375" spans="1:24" ht="31.5" customHeight="1" x14ac:dyDescent="0.15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</row>
    <row r="376" spans="1:24" ht="31.5" customHeight="1" x14ac:dyDescent="0.15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</row>
    <row r="377" spans="1:24" ht="31.5" customHeight="1" x14ac:dyDescent="0.15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</row>
    <row r="378" spans="1:24" ht="31.5" customHeight="1" x14ac:dyDescent="0.15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</row>
    <row r="379" spans="1:24" ht="31.5" customHeight="1" x14ac:dyDescent="0.15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</row>
    <row r="380" spans="1:24" ht="31.5" customHeight="1" x14ac:dyDescent="0.15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</row>
    <row r="381" spans="1:24" ht="31.5" customHeight="1" x14ac:dyDescent="0.15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</row>
    <row r="382" spans="1:24" ht="31.5" customHeight="1" x14ac:dyDescent="0.15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</row>
    <row r="383" spans="1:24" ht="31.5" customHeight="1" x14ac:dyDescent="0.15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</row>
    <row r="384" spans="1:24" ht="31.5" customHeight="1" x14ac:dyDescent="0.15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</row>
    <row r="385" spans="1:24" ht="31.5" customHeight="1" x14ac:dyDescent="0.15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</row>
    <row r="386" spans="1:24" ht="31.5" customHeight="1" x14ac:dyDescent="0.15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</row>
    <row r="387" spans="1:24" ht="31.5" customHeight="1" x14ac:dyDescent="0.15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</row>
    <row r="388" spans="1:24" ht="31.5" customHeight="1" x14ac:dyDescent="0.15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</row>
    <row r="389" spans="1:24" ht="31.5" customHeight="1" x14ac:dyDescent="0.15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</row>
    <row r="390" spans="1:24" ht="31.5" customHeight="1" x14ac:dyDescent="0.15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</row>
    <row r="391" spans="1:24" ht="31.5" customHeight="1" x14ac:dyDescent="0.15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</row>
    <row r="392" spans="1:24" ht="31.5" customHeight="1" x14ac:dyDescent="0.15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  <c r="X392" s="59"/>
    </row>
    <row r="393" spans="1:24" ht="31.5" customHeight="1" x14ac:dyDescent="0.15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  <c r="X393" s="59"/>
    </row>
    <row r="394" spans="1:24" ht="31.5" customHeight="1" x14ac:dyDescent="0.15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  <c r="X394" s="59"/>
    </row>
    <row r="395" spans="1:24" ht="31.5" customHeight="1" x14ac:dyDescent="0.15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  <c r="X395" s="59"/>
    </row>
    <row r="396" spans="1:24" ht="31.5" customHeight="1" x14ac:dyDescent="0.15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  <c r="X396" s="59"/>
    </row>
    <row r="397" spans="1:24" ht="31.5" customHeight="1" x14ac:dyDescent="0.15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  <c r="X397" s="59"/>
    </row>
    <row r="398" spans="1:24" ht="31.5" customHeight="1" x14ac:dyDescent="0.15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  <c r="X398" s="59"/>
    </row>
    <row r="399" spans="1:24" ht="31.5" customHeight="1" x14ac:dyDescent="0.15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  <c r="X399" s="59"/>
    </row>
    <row r="400" spans="1:24" ht="31.5" customHeight="1" x14ac:dyDescent="0.15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  <c r="X400" s="59"/>
    </row>
    <row r="401" spans="1:24" ht="31.5" customHeight="1" x14ac:dyDescent="0.15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  <c r="X401" s="59"/>
    </row>
    <row r="402" spans="1:24" ht="31.5" customHeight="1" x14ac:dyDescent="0.15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  <c r="X402" s="59"/>
    </row>
    <row r="403" spans="1:24" ht="31.5" customHeight="1" x14ac:dyDescent="0.15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  <c r="X403" s="59"/>
    </row>
    <row r="404" spans="1:24" ht="31.5" customHeight="1" x14ac:dyDescent="0.15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  <c r="X404" s="59"/>
    </row>
    <row r="405" spans="1:24" ht="31.5" customHeight="1" x14ac:dyDescent="0.15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  <c r="X405" s="59"/>
    </row>
    <row r="406" spans="1:24" ht="31.5" customHeight="1" x14ac:dyDescent="0.15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  <c r="X406" s="59"/>
    </row>
    <row r="407" spans="1:24" ht="31.5" customHeight="1" x14ac:dyDescent="0.15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</row>
    <row r="408" spans="1:24" ht="31.5" customHeight="1" x14ac:dyDescent="0.15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  <c r="X408" s="59"/>
    </row>
    <row r="409" spans="1:24" ht="31.5" customHeight="1" x14ac:dyDescent="0.15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  <c r="X409" s="59"/>
    </row>
    <row r="410" spans="1:24" ht="31.5" customHeight="1" x14ac:dyDescent="0.15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  <c r="X410" s="59"/>
    </row>
    <row r="411" spans="1:24" ht="31.5" customHeight="1" x14ac:dyDescent="0.15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  <c r="X411" s="59"/>
    </row>
    <row r="412" spans="1:24" ht="31.5" customHeight="1" x14ac:dyDescent="0.15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  <c r="X412" s="59"/>
    </row>
    <row r="413" spans="1:24" ht="31.5" customHeight="1" x14ac:dyDescent="0.15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  <c r="X413" s="59"/>
    </row>
    <row r="414" spans="1:24" ht="31.5" customHeight="1" x14ac:dyDescent="0.15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  <c r="X414" s="59"/>
    </row>
    <row r="415" spans="1:24" ht="31.5" customHeight="1" x14ac:dyDescent="0.15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  <c r="X415" s="59"/>
    </row>
    <row r="416" spans="1:24" ht="31.5" customHeight="1" x14ac:dyDescent="0.15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  <c r="X416" s="59"/>
    </row>
    <row r="417" spans="1:24" ht="31.5" customHeight="1" x14ac:dyDescent="0.15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  <c r="X417" s="59"/>
    </row>
    <row r="418" spans="1:24" ht="31.5" customHeight="1" x14ac:dyDescent="0.15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  <c r="X418" s="59"/>
    </row>
    <row r="419" spans="1:24" ht="31.5" customHeight="1" x14ac:dyDescent="0.15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  <c r="X419" s="59"/>
    </row>
    <row r="420" spans="1:24" ht="31.5" customHeight="1" x14ac:dyDescent="0.15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  <c r="X420" s="59"/>
    </row>
    <row r="421" spans="1:24" ht="31.5" customHeight="1" x14ac:dyDescent="0.15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  <c r="X421" s="59"/>
    </row>
    <row r="422" spans="1:24" ht="31.5" customHeight="1" x14ac:dyDescent="0.15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  <c r="X422" s="59"/>
    </row>
    <row r="423" spans="1:24" ht="31.5" customHeight="1" x14ac:dyDescent="0.15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  <c r="X423" s="59"/>
    </row>
    <row r="424" spans="1:24" ht="31.5" customHeight="1" x14ac:dyDescent="0.15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  <c r="X424" s="59"/>
    </row>
    <row r="425" spans="1:24" ht="31.5" customHeight="1" x14ac:dyDescent="0.15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  <c r="X425" s="59"/>
    </row>
    <row r="426" spans="1:24" ht="31.5" customHeight="1" x14ac:dyDescent="0.15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  <c r="X426" s="59"/>
    </row>
    <row r="427" spans="1:24" ht="31.5" customHeight="1" x14ac:dyDescent="0.15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  <c r="X427" s="59"/>
    </row>
    <row r="428" spans="1:24" ht="31.5" customHeight="1" x14ac:dyDescent="0.15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  <c r="X428" s="59"/>
    </row>
    <row r="429" spans="1:24" ht="31.5" customHeight="1" x14ac:dyDescent="0.15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  <c r="X429" s="59"/>
    </row>
    <row r="430" spans="1:24" ht="31.5" customHeight="1" x14ac:dyDescent="0.15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  <c r="X430" s="59"/>
    </row>
    <row r="431" spans="1:24" ht="31.5" customHeight="1" x14ac:dyDescent="0.15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  <c r="X431" s="59"/>
    </row>
    <row r="432" spans="1:24" ht="31.5" customHeight="1" x14ac:dyDescent="0.15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  <c r="X432" s="59"/>
    </row>
    <row r="433" spans="1:24" ht="31.5" customHeight="1" x14ac:dyDescent="0.15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  <c r="X433" s="59"/>
    </row>
    <row r="434" spans="1:24" ht="31.5" customHeight="1" x14ac:dyDescent="0.15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  <c r="X434" s="59"/>
    </row>
    <row r="435" spans="1:24" ht="31.5" customHeight="1" x14ac:dyDescent="0.15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  <c r="X435" s="59"/>
    </row>
    <row r="436" spans="1:24" ht="31.5" customHeight="1" x14ac:dyDescent="0.15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  <c r="X436" s="59"/>
    </row>
    <row r="437" spans="1:24" ht="31.5" customHeight="1" x14ac:dyDescent="0.15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</row>
    <row r="438" spans="1:24" ht="31.5" customHeight="1" x14ac:dyDescent="0.15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  <c r="X438" s="59"/>
    </row>
    <row r="439" spans="1:24" ht="31.5" customHeight="1" x14ac:dyDescent="0.15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  <c r="X439" s="59"/>
    </row>
    <row r="440" spans="1:24" ht="31.5" customHeight="1" x14ac:dyDescent="0.15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  <c r="X440" s="59"/>
    </row>
    <row r="441" spans="1:24" ht="31.5" customHeight="1" x14ac:dyDescent="0.15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  <c r="X441" s="59"/>
    </row>
    <row r="442" spans="1:24" ht="31.5" customHeight="1" x14ac:dyDescent="0.15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  <c r="X442" s="59"/>
    </row>
    <row r="443" spans="1:24" ht="31.5" customHeight="1" x14ac:dyDescent="0.15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  <c r="X443" s="59"/>
    </row>
    <row r="444" spans="1:24" ht="31.5" customHeight="1" x14ac:dyDescent="0.15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  <c r="X444" s="59"/>
    </row>
    <row r="445" spans="1:24" ht="31.5" customHeight="1" x14ac:dyDescent="0.15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  <c r="X445" s="59"/>
    </row>
    <row r="446" spans="1:24" ht="31.5" customHeight="1" x14ac:dyDescent="0.15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/>
    </row>
    <row r="447" spans="1:24" ht="31.5" customHeight="1" x14ac:dyDescent="0.15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  <c r="X447" s="59"/>
    </row>
    <row r="448" spans="1:24" ht="31.5" customHeight="1" x14ac:dyDescent="0.15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  <c r="X448" s="59"/>
    </row>
    <row r="449" spans="1:24" ht="31.5" customHeight="1" x14ac:dyDescent="0.15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  <c r="X449" s="59"/>
    </row>
    <row r="450" spans="1:24" ht="31.5" customHeight="1" x14ac:dyDescent="0.15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  <c r="X450" s="59"/>
    </row>
    <row r="451" spans="1:24" ht="31.5" customHeight="1" x14ac:dyDescent="0.15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</row>
    <row r="452" spans="1:24" ht="31.5" customHeight="1" x14ac:dyDescent="0.15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</row>
    <row r="453" spans="1:24" ht="31.5" customHeight="1" x14ac:dyDescent="0.15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</row>
    <row r="454" spans="1:24" ht="31.5" customHeight="1" x14ac:dyDescent="0.15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  <c r="X454" s="59"/>
    </row>
    <row r="455" spans="1:24" ht="31.5" customHeight="1" x14ac:dyDescent="0.15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  <c r="X455" s="59"/>
    </row>
    <row r="456" spans="1:24" ht="31.5" customHeight="1" x14ac:dyDescent="0.15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  <c r="X456" s="59"/>
    </row>
    <row r="457" spans="1:24" ht="31.5" customHeight="1" x14ac:dyDescent="0.15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  <c r="X457" s="59"/>
    </row>
    <row r="458" spans="1:24" ht="31.5" customHeight="1" x14ac:dyDescent="0.15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</row>
    <row r="459" spans="1:24" ht="31.5" customHeight="1" x14ac:dyDescent="0.15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  <c r="X459" s="59"/>
    </row>
    <row r="460" spans="1:24" ht="31.5" customHeight="1" x14ac:dyDescent="0.15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</row>
    <row r="461" spans="1:24" ht="31.5" customHeight="1" x14ac:dyDescent="0.15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  <c r="X461" s="59"/>
    </row>
    <row r="462" spans="1:24" ht="31.5" customHeight="1" x14ac:dyDescent="0.15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</row>
    <row r="463" spans="1:24" ht="31.5" customHeight="1" x14ac:dyDescent="0.15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  <c r="X463" s="59"/>
    </row>
    <row r="464" spans="1:24" ht="31.5" customHeight="1" x14ac:dyDescent="0.15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</row>
    <row r="465" spans="1:24" ht="31.5" customHeight="1" x14ac:dyDescent="0.15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  <c r="X465" s="59"/>
    </row>
    <row r="466" spans="1:24" ht="31.5" customHeight="1" x14ac:dyDescent="0.15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</row>
    <row r="467" spans="1:24" ht="31.5" customHeight="1" x14ac:dyDescent="0.15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  <c r="X467" s="59"/>
    </row>
    <row r="468" spans="1:24" ht="31.5" customHeight="1" x14ac:dyDescent="0.15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</row>
    <row r="469" spans="1:24" ht="31.5" customHeight="1" x14ac:dyDescent="0.15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  <c r="X469" s="59"/>
    </row>
    <row r="470" spans="1:24" ht="31.5" customHeight="1" x14ac:dyDescent="0.15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</row>
    <row r="471" spans="1:24" ht="31.5" customHeight="1" x14ac:dyDescent="0.15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  <c r="X471" s="59"/>
    </row>
    <row r="472" spans="1:24" ht="31.5" customHeight="1" x14ac:dyDescent="0.15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</row>
    <row r="473" spans="1:24" ht="31.5" customHeight="1" x14ac:dyDescent="0.15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  <c r="X473" s="59"/>
    </row>
    <row r="474" spans="1:24" ht="31.5" customHeight="1" x14ac:dyDescent="0.15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</row>
    <row r="475" spans="1:24" ht="31.5" customHeight="1" x14ac:dyDescent="0.15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  <c r="X475" s="59"/>
    </row>
    <row r="476" spans="1:24" ht="31.5" customHeight="1" x14ac:dyDescent="0.15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</row>
    <row r="477" spans="1:24" ht="31.5" customHeight="1" x14ac:dyDescent="0.15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  <c r="X477" s="59"/>
    </row>
    <row r="478" spans="1:24" ht="31.5" customHeight="1" x14ac:dyDescent="0.15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</row>
    <row r="479" spans="1:24" ht="31.5" customHeight="1" x14ac:dyDescent="0.15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  <c r="X479" s="59"/>
    </row>
    <row r="480" spans="1:24" ht="31.5" customHeight="1" x14ac:dyDescent="0.15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</row>
    <row r="481" spans="1:24" ht="31.5" customHeight="1" x14ac:dyDescent="0.15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  <c r="X481" s="59"/>
    </row>
    <row r="482" spans="1:24" ht="31.5" customHeight="1" x14ac:dyDescent="0.15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</row>
    <row r="483" spans="1:24" ht="31.5" customHeight="1" x14ac:dyDescent="0.15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  <c r="X483" s="59"/>
    </row>
    <row r="484" spans="1:24" ht="31.5" customHeight="1" x14ac:dyDescent="0.15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</row>
    <row r="485" spans="1:24" ht="31.5" customHeight="1" x14ac:dyDescent="0.15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  <c r="X485" s="59"/>
    </row>
    <row r="486" spans="1:24" ht="31.5" customHeight="1" x14ac:dyDescent="0.15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</row>
    <row r="487" spans="1:24" ht="31.5" customHeight="1" x14ac:dyDescent="0.15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  <c r="X487" s="59"/>
    </row>
    <row r="488" spans="1:24" ht="31.5" customHeight="1" x14ac:dyDescent="0.15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</row>
    <row r="489" spans="1:24" ht="31.5" customHeight="1" x14ac:dyDescent="0.15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  <c r="X489" s="59"/>
    </row>
    <row r="490" spans="1:24" ht="31.5" customHeight="1" x14ac:dyDescent="0.15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</row>
    <row r="491" spans="1:24" ht="31.5" customHeight="1" x14ac:dyDescent="0.15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  <c r="X491" s="59"/>
    </row>
    <row r="492" spans="1:24" ht="31.5" customHeight="1" x14ac:dyDescent="0.15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</row>
    <row r="493" spans="1:24" ht="31.5" customHeight="1" x14ac:dyDescent="0.15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  <c r="X493" s="59"/>
    </row>
    <row r="494" spans="1:24" ht="31.5" customHeight="1" x14ac:dyDescent="0.15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</row>
    <row r="495" spans="1:24" ht="31.5" customHeight="1" x14ac:dyDescent="0.15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  <c r="X495" s="59"/>
    </row>
    <row r="496" spans="1:24" ht="31.5" customHeight="1" x14ac:dyDescent="0.15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</row>
    <row r="497" spans="1:24" ht="31.5" customHeight="1" x14ac:dyDescent="0.15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</row>
    <row r="498" spans="1:24" ht="31.5" customHeight="1" x14ac:dyDescent="0.15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</row>
    <row r="499" spans="1:24" ht="31.5" customHeight="1" x14ac:dyDescent="0.15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  <c r="X499" s="59"/>
    </row>
    <row r="500" spans="1:24" ht="31.5" customHeight="1" x14ac:dyDescent="0.15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</row>
    <row r="501" spans="1:24" ht="31.5" customHeight="1" x14ac:dyDescent="0.15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  <c r="X501" s="59"/>
    </row>
    <row r="502" spans="1:24" ht="31.5" customHeight="1" x14ac:dyDescent="0.15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</row>
    <row r="503" spans="1:24" ht="31.5" customHeight="1" x14ac:dyDescent="0.15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  <c r="X503" s="59"/>
    </row>
    <row r="504" spans="1:24" ht="31.5" customHeight="1" x14ac:dyDescent="0.15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</row>
    <row r="505" spans="1:24" ht="31.5" customHeight="1" x14ac:dyDescent="0.15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  <c r="X505" s="59"/>
    </row>
    <row r="506" spans="1:24" ht="31.5" customHeight="1" x14ac:dyDescent="0.15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</row>
    <row r="507" spans="1:24" ht="31.5" customHeight="1" x14ac:dyDescent="0.15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  <c r="X507" s="59"/>
    </row>
    <row r="508" spans="1:24" ht="31.5" customHeight="1" x14ac:dyDescent="0.15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</row>
    <row r="509" spans="1:24" ht="31.5" customHeight="1" x14ac:dyDescent="0.15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  <c r="X509" s="59"/>
    </row>
    <row r="510" spans="1:24" ht="31.5" customHeight="1" x14ac:dyDescent="0.15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</row>
    <row r="511" spans="1:24" ht="31.5" customHeight="1" x14ac:dyDescent="0.15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  <c r="X511" s="59"/>
    </row>
    <row r="512" spans="1:24" ht="31.5" customHeight="1" x14ac:dyDescent="0.15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</row>
    <row r="513" spans="1:24" ht="31.5" customHeight="1" x14ac:dyDescent="0.15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  <c r="X513" s="59"/>
    </row>
    <row r="514" spans="1:24" ht="31.5" customHeight="1" x14ac:dyDescent="0.15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</row>
    <row r="515" spans="1:24" ht="31.5" customHeight="1" x14ac:dyDescent="0.15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  <c r="X515" s="59"/>
    </row>
    <row r="516" spans="1:24" ht="31.5" customHeight="1" x14ac:dyDescent="0.15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</row>
    <row r="517" spans="1:24" ht="31.5" customHeight="1" x14ac:dyDescent="0.15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  <c r="X517" s="59"/>
    </row>
    <row r="518" spans="1:24" ht="31.5" customHeight="1" x14ac:dyDescent="0.15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</row>
    <row r="519" spans="1:24" ht="31.5" customHeight="1" x14ac:dyDescent="0.15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  <c r="X519" s="59"/>
    </row>
    <row r="520" spans="1:24" ht="31.5" customHeight="1" x14ac:dyDescent="0.15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</row>
    <row r="521" spans="1:24" ht="31.5" customHeight="1" x14ac:dyDescent="0.15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</row>
    <row r="522" spans="1:24" ht="31.5" customHeight="1" x14ac:dyDescent="0.15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</row>
    <row r="523" spans="1:24" ht="31.5" customHeight="1" x14ac:dyDescent="0.15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  <c r="X523" s="59"/>
    </row>
    <row r="524" spans="1:24" ht="31.5" customHeight="1" x14ac:dyDescent="0.15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</row>
    <row r="525" spans="1:24" ht="31.5" customHeight="1" x14ac:dyDescent="0.15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  <c r="X525" s="59"/>
    </row>
    <row r="526" spans="1:24" ht="31.5" customHeight="1" x14ac:dyDescent="0.15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</row>
    <row r="527" spans="1:24" ht="31.5" customHeight="1" x14ac:dyDescent="0.15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  <c r="X527" s="59"/>
    </row>
    <row r="528" spans="1:24" ht="31.5" customHeight="1" x14ac:dyDescent="0.15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</row>
    <row r="529" spans="1:24" ht="31.5" customHeight="1" x14ac:dyDescent="0.15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  <c r="X529" s="59"/>
    </row>
    <row r="530" spans="1:24" ht="31.5" customHeight="1" x14ac:dyDescent="0.15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</row>
    <row r="531" spans="1:24" ht="31.5" customHeight="1" x14ac:dyDescent="0.15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  <c r="X531" s="59"/>
    </row>
    <row r="532" spans="1:24" ht="31.5" customHeight="1" x14ac:dyDescent="0.15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</row>
    <row r="533" spans="1:24" ht="31.5" customHeight="1" x14ac:dyDescent="0.15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  <c r="X533" s="59"/>
    </row>
    <row r="534" spans="1:24" ht="31.5" customHeight="1" x14ac:dyDescent="0.15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</row>
    <row r="535" spans="1:24" ht="31.5" customHeight="1" x14ac:dyDescent="0.15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  <c r="X535" s="59"/>
    </row>
    <row r="536" spans="1:24" ht="31.5" customHeight="1" x14ac:dyDescent="0.15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</row>
    <row r="537" spans="1:24" ht="31.5" customHeight="1" x14ac:dyDescent="0.15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  <c r="X537" s="59"/>
    </row>
    <row r="538" spans="1:24" ht="31.5" customHeight="1" x14ac:dyDescent="0.15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</row>
    <row r="539" spans="1:24" ht="31.5" customHeight="1" x14ac:dyDescent="0.15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  <c r="X539" s="59"/>
    </row>
    <row r="540" spans="1:24" ht="31.5" customHeight="1" x14ac:dyDescent="0.15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</row>
    <row r="541" spans="1:24" ht="31.5" customHeight="1" x14ac:dyDescent="0.15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  <c r="X541" s="59"/>
    </row>
    <row r="542" spans="1:24" ht="31.5" customHeight="1" x14ac:dyDescent="0.15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</row>
    <row r="543" spans="1:24" ht="31.5" customHeight="1" x14ac:dyDescent="0.15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  <c r="X543" s="59"/>
    </row>
    <row r="544" spans="1:24" ht="31.5" customHeight="1" x14ac:dyDescent="0.15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</row>
    <row r="545" spans="1:24" ht="31.5" customHeight="1" x14ac:dyDescent="0.15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  <c r="X545" s="59"/>
    </row>
    <row r="546" spans="1:24" ht="31.5" customHeight="1" x14ac:dyDescent="0.15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</row>
    <row r="547" spans="1:24" ht="31.5" customHeight="1" x14ac:dyDescent="0.15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  <c r="X547" s="59"/>
    </row>
    <row r="548" spans="1:24" ht="31.5" customHeight="1" x14ac:dyDescent="0.15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</row>
    <row r="549" spans="1:24" ht="31.5" customHeight="1" x14ac:dyDescent="0.15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  <c r="X549" s="59"/>
    </row>
    <row r="550" spans="1:24" ht="31.5" customHeight="1" x14ac:dyDescent="0.15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</row>
    <row r="551" spans="1:24" ht="31.5" customHeight="1" x14ac:dyDescent="0.15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</row>
    <row r="552" spans="1:24" ht="31.5" customHeight="1" x14ac:dyDescent="0.15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</row>
    <row r="553" spans="1:24" ht="31.5" customHeight="1" x14ac:dyDescent="0.15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</row>
    <row r="554" spans="1:24" ht="31.5" customHeight="1" x14ac:dyDescent="0.15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</row>
    <row r="555" spans="1:24" ht="31.5" customHeight="1" x14ac:dyDescent="0.15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  <c r="X555" s="59"/>
    </row>
    <row r="556" spans="1:24" ht="31.5" customHeight="1" x14ac:dyDescent="0.15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</row>
    <row r="557" spans="1:24" ht="31.5" customHeight="1" x14ac:dyDescent="0.15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  <c r="X557" s="59"/>
    </row>
    <row r="558" spans="1:24" ht="31.5" customHeight="1" x14ac:dyDescent="0.15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</row>
    <row r="559" spans="1:24" ht="31.5" customHeight="1" x14ac:dyDescent="0.15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  <c r="X559" s="59"/>
    </row>
    <row r="560" spans="1:24" ht="31.5" customHeight="1" x14ac:dyDescent="0.15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</row>
    <row r="561" spans="1:24" ht="31.5" customHeight="1" x14ac:dyDescent="0.15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  <c r="X561" s="59"/>
    </row>
    <row r="562" spans="1:24" ht="31.5" customHeight="1" x14ac:dyDescent="0.15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</row>
    <row r="563" spans="1:24" ht="31.5" customHeight="1" x14ac:dyDescent="0.15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  <c r="X563" s="59"/>
    </row>
    <row r="564" spans="1:24" ht="31.5" customHeight="1" x14ac:dyDescent="0.15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</row>
    <row r="565" spans="1:24" ht="31.5" customHeight="1" x14ac:dyDescent="0.15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  <c r="X565" s="59"/>
    </row>
    <row r="566" spans="1:24" ht="31.5" customHeight="1" x14ac:dyDescent="0.15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</row>
    <row r="567" spans="1:24" ht="31.5" customHeight="1" x14ac:dyDescent="0.15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  <c r="X567" s="59"/>
    </row>
    <row r="568" spans="1:24" ht="31.5" customHeight="1" x14ac:dyDescent="0.15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</row>
    <row r="569" spans="1:24" ht="31.5" customHeight="1" x14ac:dyDescent="0.15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  <c r="X569" s="59"/>
    </row>
    <row r="570" spans="1:24" ht="31.5" customHeight="1" x14ac:dyDescent="0.15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</row>
    <row r="571" spans="1:24" ht="31.5" customHeight="1" x14ac:dyDescent="0.15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  <c r="X571" s="59"/>
    </row>
    <row r="572" spans="1:24" ht="31.5" customHeight="1" x14ac:dyDescent="0.15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</row>
    <row r="573" spans="1:24" ht="31.5" customHeight="1" x14ac:dyDescent="0.15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  <c r="X573" s="59"/>
    </row>
    <row r="574" spans="1:24" ht="31.5" customHeight="1" x14ac:dyDescent="0.15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</row>
    <row r="575" spans="1:24" ht="31.5" customHeight="1" x14ac:dyDescent="0.15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  <c r="X575" s="59"/>
    </row>
    <row r="576" spans="1:24" ht="31.5" customHeight="1" x14ac:dyDescent="0.15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</row>
    <row r="577" spans="1:24" ht="31.5" customHeight="1" x14ac:dyDescent="0.15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  <c r="X577" s="59"/>
    </row>
    <row r="578" spans="1:24" ht="31.5" customHeight="1" x14ac:dyDescent="0.15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</row>
    <row r="579" spans="1:24" ht="31.5" customHeight="1" x14ac:dyDescent="0.15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  <c r="X579" s="59"/>
    </row>
    <row r="580" spans="1:24" ht="31.5" customHeight="1" x14ac:dyDescent="0.15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</row>
    <row r="581" spans="1:24" ht="31.5" customHeight="1" x14ac:dyDescent="0.15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</row>
    <row r="582" spans="1:24" ht="31.5" customHeight="1" x14ac:dyDescent="0.15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</row>
    <row r="583" spans="1:24" ht="31.5" customHeight="1" x14ac:dyDescent="0.15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  <c r="X583" s="59"/>
    </row>
    <row r="584" spans="1:24" ht="31.5" customHeight="1" x14ac:dyDescent="0.15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</row>
    <row r="585" spans="1:24" ht="31.5" customHeight="1" x14ac:dyDescent="0.15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  <c r="X585" s="59"/>
    </row>
    <row r="586" spans="1:24" ht="31.5" customHeight="1" x14ac:dyDescent="0.15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</row>
    <row r="587" spans="1:24" ht="31.5" customHeight="1" x14ac:dyDescent="0.15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  <c r="X587" s="59"/>
    </row>
    <row r="588" spans="1:24" ht="31.5" customHeight="1" x14ac:dyDescent="0.15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</row>
    <row r="589" spans="1:24" ht="31.5" customHeight="1" x14ac:dyDescent="0.15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  <c r="X589" s="59"/>
    </row>
    <row r="590" spans="1:24" ht="31.5" customHeight="1" x14ac:dyDescent="0.15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</row>
    <row r="591" spans="1:24" ht="31.5" customHeight="1" x14ac:dyDescent="0.15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  <c r="X591" s="59"/>
    </row>
    <row r="592" spans="1:24" ht="31.5" customHeight="1" x14ac:dyDescent="0.15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</row>
    <row r="593" spans="1:24" ht="31.5" customHeight="1" x14ac:dyDescent="0.15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  <c r="X593" s="59"/>
    </row>
    <row r="594" spans="1:24" ht="31.5" customHeight="1" x14ac:dyDescent="0.15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</row>
    <row r="595" spans="1:24" ht="31.5" customHeight="1" x14ac:dyDescent="0.15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  <c r="X595" s="59"/>
    </row>
    <row r="596" spans="1:24" ht="31.5" customHeight="1" x14ac:dyDescent="0.15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</row>
    <row r="597" spans="1:24" ht="31.5" customHeight="1" x14ac:dyDescent="0.15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  <c r="X597" s="59"/>
    </row>
    <row r="598" spans="1:24" ht="31.5" customHeight="1" x14ac:dyDescent="0.15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</row>
    <row r="599" spans="1:24" ht="31.5" customHeight="1" x14ac:dyDescent="0.15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  <c r="X599" s="59"/>
    </row>
    <row r="600" spans="1:24" ht="31.5" customHeight="1" x14ac:dyDescent="0.15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</row>
    <row r="601" spans="1:24" ht="31.5" customHeight="1" x14ac:dyDescent="0.15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</row>
    <row r="602" spans="1:24" ht="31.5" customHeight="1" x14ac:dyDescent="0.15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</row>
    <row r="603" spans="1:24" ht="31.5" customHeight="1" x14ac:dyDescent="0.15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  <c r="X603" s="59"/>
    </row>
    <row r="604" spans="1:24" ht="31.5" customHeight="1" x14ac:dyDescent="0.15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</row>
    <row r="605" spans="1:24" ht="31.5" customHeight="1" x14ac:dyDescent="0.15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  <c r="X605" s="59"/>
    </row>
    <row r="606" spans="1:24" ht="31.5" customHeight="1" x14ac:dyDescent="0.15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</row>
    <row r="607" spans="1:24" ht="31.5" customHeight="1" x14ac:dyDescent="0.15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  <c r="X607" s="59"/>
    </row>
    <row r="608" spans="1:24" ht="31.5" customHeight="1" x14ac:dyDescent="0.15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</row>
    <row r="609" spans="1:24" ht="31.5" customHeight="1" x14ac:dyDescent="0.15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  <c r="X609" s="59"/>
    </row>
    <row r="610" spans="1:24" ht="31.5" customHeight="1" x14ac:dyDescent="0.15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</row>
    <row r="611" spans="1:24" ht="31.5" customHeight="1" x14ac:dyDescent="0.15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</row>
    <row r="612" spans="1:24" ht="31.5" customHeight="1" x14ac:dyDescent="0.15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</row>
    <row r="613" spans="1:24" ht="31.5" customHeight="1" x14ac:dyDescent="0.15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  <c r="X613" s="59"/>
    </row>
    <row r="614" spans="1:24" ht="31.5" customHeight="1" x14ac:dyDescent="0.15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</row>
    <row r="615" spans="1:24" ht="31.5" customHeight="1" x14ac:dyDescent="0.15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  <c r="X615" s="59"/>
    </row>
    <row r="616" spans="1:24" ht="31.5" customHeight="1" x14ac:dyDescent="0.15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</row>
    <row r="617" spans="1:24" ht="31.5" customHeight="1" x14ac:dyDescent="0.15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  <c r="X617" s="59"/>
    </row>
    <row r="618" spans="1:24" ht="31.5" customHeight="1" x14ac:dyDescent="0.15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</row>
    <row r="619" spans="1:24" ht="31.5" customHeight="1" x14ac:dyDescent="0.15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  <c r="X619" s="59"/>
    </row>
    <row r="620" spans="1:24" ht="31.5" customHeight="1" x14ac:dyDescent="0.15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</row>
    <row r="621" spans="1:24" ht="31.5" customHeight="1" x14ac:dyDescent="0.15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  <c r="X621" s="59"/>
    </row>
    <row r="622" spans="1:24" ht="31.5" customHeight="1" x14ac:dyDescent="0.15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</row>
    <row r="623" spans="1:24" ht="31.5" customHeight="1" x14ac:dyDescent="0.15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  <c r="X623" s="59"/>
    </row>
    <row r="624" spans="1:24" ht="31.5" customHeight="1" x14ac:dyDescent="0.15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</row>
    <row r="625" spans="1:24" ht="31.5" customHeight="1" x14ac:dyDescent="0.15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  <c r="X625" s="59"/>
    </row>
    <row r="626" spans="1:24" ht="31.5" customHeight="1" x14ac:dyDescent="0.15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</row>
    <row r="627" spans="1:24" ht="31.5" customHeight="1" x14ac:dyDescent="0.15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  <c r="X627" s="59"/>
    </row>
    <row r="628" spans="1:24" ht="31.5" customHeight="1" x14ac:dyDescent="0.15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</row>
    <row r="629" spans="1:24" ht="31.5" customHeight="1" x14ac:dyDescent="0.15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  <c r="X629" s="59"/>
    </row>
    <row r="630" spans="1:24" ht="31.5" customHeight="1" x14ac:dyDescent="0.15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</row>
    <row r="631" spans="1:24" ht="31.5" customHeight="1" x14ac:dyDescent="0.15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</row>
    <row r="632" spans="1:24" ht="31.5" customHeight="1" x14ac:dyDescent="0.15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</row>
    <row r="633" spans="1:24" ht="31.5" customHeight="1" x14ac:dyDescent="0.15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</row>
    <row r="634" spans="1:24" ht="31.5" customHeight="1" x14ac:dyDescent="0.15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</row>
    <row r="635" spans="1:24" ht="31.5" customHeight="1" x14ac:dyDescent="0.15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  <c r="X635" s="59"/>
    </row>
    <row r="636" spans="1:24" ht="31.5" customHeight="1" x14ac:dyDescent="0.15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</row>
    <row r="637" spans="1:24" ht="31.5" customHeight="1" x14ac:dyDescent="0.15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  <c r="X637" s="59"/>
    </row>
    <row r="638" spans="1:24" ht="31.5" customHeight="1" x14ac:dyDescent="0.15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</row>
    <row r="639" spans="1:24" ht="31.5" customHeight="1" x14ac:dyDescent="0.15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</row>
    <row r="640" spans="1:24" ht="31.5" customHeight="1" x14ac:dyDescent="0.15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</row>
    <row r="641" spans="1:24" ht="31.5" customHeight="1" x14ac:dyDescent="0.15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</row>
    <row r="642" spans="1:24" ht="31.5" customHeight="1" x14ac:dyDescent="0.15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</row>
    <row r="643" spans="1:24" ht="31.5" customHeight="1" x14ac:dyDescent="0.15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</row>
    <row r="644" spans="1:24" ht="31.5" customHeight="1" x14ac:dyDescent="0.15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</row>
    <row r="645" spans="1:24" ht="31.5" customHeight="1" x14ac:dyDescent="0.15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  <c r="X645" s="59"/>
    </row>
    <row r="646" spans="1:24" ht="31.5" customHeight="1" x14ac:dyDescent="0.15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</row>
    <row r="647" spans="1:24" ht="31.5" customHeight="1" x14ac:dyDescent="0.15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  <c r="X647" s="59"/>
    </row>
    <row r="648" spans="1:24" ht="31.5" customHeight="1" x14ac:dyDescent="0.15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</row>
    <row r="649" spans="1:24" ht="31.5" customHeight="1" x14ac:dyDescent="0.15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  <c r="X649" s="59"/>
    </row>
    <row r="650" spans="1:24" ht="31.5" customHeight="1" x14ac:dyDescent="0.15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</row>
    <row r="651" spans="1:24" ht="31.5" customHeight="1" x14ac:dyDescent="0.15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  <c r="X651" s="59"/>
    </row>
    <row r="652" spans="1:24" ht="31.5" customHeight="1" x14ac:dyDescent="0.15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</row>
    <row r="653" spans="1:24" ht="31.5" customHeight="1" x14ac:dyDescent="0.15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  <c r="X653" s="59"/>
    </row>
    <row r="654" spans="1:24" ht="31.5" customHeight="1" x14ac:dyDescent="0.15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</row>
    <row r="655" spans="1:24" ht="31.5" customHeight="1" x14ac:dyDescent="0.15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  <c r="X655" s="59"/>
    </row>
    <row r="656" spans="1:24" ht="31.5" customHeight="1" x14ac:dyDescent="0.15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</row>
    <row r="657" spans="1:24" ht="31.5" customHeight="1" x14ac:dyDescent="0.15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  <c r="X657" s="59"/>
    </row>
    <row r="658" spans="1:24" ht="31.5" customHeight="1" x14ac:dyDescent="0.15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</row>
    <row r="659" spans="1:24" ht="31.5" customHeight="1" x14ac:dyDescent="0.15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  <c r="X659" s="59"/>
    </row>
    <row r="660" spans="1:24" ht="31.5" customHeight="1" x14ac:dyDescent="0.15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</row>
    <row r="661" spans="1:24" ht="31.5" customHeight="1" x14ac:dyDescent="0.15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  <c r="X661" s="59"/>
    </row>
    <row r="662" spans="1:24" ht="31.5" customHeight="1" x14ac:dyDescent="0.15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</row>
    <row r="663" spans="1:24" ht="31.5" customHeight="1" x14ac:dyDescent="0.15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  <c r="X663" s="59"/>
    </row>
    <row r="664" spans="1:24" ht="31.5" customHeight="1" x14ac:dyDescent="0.15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</row>
    <row r="665" spans="1:24" ht="31.5" customHeight="1" x14ac:dyDescent="0.15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  <c r="X665" s="59"/>
    </row>
    <row r="666" spans="1:24" ht="31.5" customHeight="1" x14ac:dyDescent="0.15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</row>
    <row r="667" spans="1:24" ht="31.5" customHeight="1" x14ac:dyDescent="0.15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  <c r="X667" s="59"/>
    </row>
    <row r="668" spans="1:24" ht="31.5" customHeight="1" x14ac:dyDescent="0.15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</row>
    <row r="669" spans="1:24" ht="31.5" customHeight="1" x14ac:dyDescent="0.15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</row>
    <row r="670" spans="1:24" ht="31.5" customHeight="1" x14ac:dyDescent="0.15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</row>
    <row r="671" spans="1:24" ht="31.5" customHeight="1" x14ac:dyDescent="0.15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</row>
    <row r="672" spans="1:24" ht="31.5" customHeight="1" x14ac:dyDescent="0.15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</row>
    <row r="673" spans="1:24" ht="31.5" customHeight="1" x14ac:dyDescent="0.15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  <c r="X673" s="59"/>
    </row>
    <row r="674" spans="1:24" ht="31.5" customHeight="1" x14ac:dyDescent="0.15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</row>
    <row r="675" spans="1:24" ht="31.5" customHeight="1" x14ac:dyDescent="0.15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  <c r="X675" s="59"/>
    </row>
    <row r="676" spans="1:24" ht="31.5" customHeight="1" x14ac:dyDescent="0.15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</row>
    <row r="677" spans="1:24" ht="31.5" customHeight="1" x14ac:dyDescent="0.15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  <c r="X677" s="59"/>
    </row>
    <row r="678" spans="1:24" ht="31.5" customHeight="1" x14ac:dyDescent="0.15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</row>
    <row r="679" spans="1:24" ht="31.5" customHeight="1" x14ac:dyDescent="0.15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  <c r="X679" s="59"/>
    </row>
    <row r="680" spans="1:24" ht="31.5" customHeight="1" x14ac:dyDescent="0.15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</row>
    <row r="681" spans="1:24" ht="31.5" customHeight="1" x14ac:dyDescent="0.15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  <c r="X681" s="59"/>
    </row>
    <row r="682" spans="1:24" ht="31.5" customHeight="1" x14ac:dyDescent="0.15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</row>
    <row r="683" spans="1:24" ht="31.5" customHeight="1" x14ac:dyDescent="0.15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  <c r="X683" s="59"/>
    </row>
    <row r="684" spans="1:24" ht="31.5" customHeight="1" x14ac:dyDescent="0.15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</row>
    <row r="685" spans="1:24" ht="31.5" customHeight="1" x14ac:dyDescent="0.15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  <c r="X685" s="59"/>
    </row>
    <row r="686" spans="1:24" ht="31.5" customHeight="1" x14ac:dyDescent="0.15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</row>
    <row r="687" spans="1:24" ht="31.5" customHeight="1" x14ac:dyDescent="0.15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  <c r="X687" s="59"/>
    </row>
    <row r="688" spans="1:24" ht="31.5" customHeight="1" x14ac:dyDescent="0.15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</row>
    <row r="689" spans="1:24" ht="31.5" customHeight="1" x14ac:dyDescent="0.15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  <c r="X689" s="59"/>
    </row>
    <row r="690" spans="1:24" ht="31.5" customHeight="1" x14ac:dyDescent="0.15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</row>
    <row r="691" spans="1:24" ht="31.5" customHeight="1" x14ac:dyDescent="0.15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  <c r="X691" s="59"/>
    </row>
    <row r="692" spans="1:24" ht="31.5" customHeight="1" x14ac:dyDescent="0.15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</row>
    <row r="693" spans="1:24" ht="31.5" customHeight="1" x14ac:dyDescent="0.15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  <c r="X693" s="59"/>
    </row>
    <row r="694" spans="1:24" ht="31.5" customHeight="1" x14ac:dyDescent="0.15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</row>
    <row r="695" spans="1:24" ht="31.5" customHeight="1" x14ac:dyDescent="0.15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  <c r="X695" s="59"/>
    </row>
    <row r="696" spans="1:24" ht="31.5" customHeight="1" x14ac:dyDescent="0.15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</row>
    <row r="697" spans="1:24" ht="31.5" customHeight="1" x14ac:dyDescent="0.15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  <c r="X697" s="59"/>
    </row>
    <row r="698" spans="1:24" ht="31.5" customHeight="1" x14ac:dyDescent="0.15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</row>
    <row r="699" spans="1:24" ht="31.5" customHeight="1" x14ac:dyDescent="0.15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</row>
    <row r="700" spans="1:24" ht="31.5" customHeight="1" x14ac:dyDescent="0.15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</row>
    <row r="701" spans="1:24" ht="31.5" customHeight="1" x14ac:dyDescent="0.15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  <c r="X701" s="59"/>
    </row>
    <row r="702" spans="1:24" ht="31.5" customHeight="1" x14ac:dyDescent="0.15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</row>
    <row r="703" spans="1:24" ht="31.5" customHeight="1" x14ac:dyDescent="0.15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  <c r="X703" s="59"/>
    </row>
    <row r="704" spans="1:24" ht="31.5" customHeight="1" x14ac:dyDescent="0.15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</row>
    <row r="705" spans="1:24" ht="31.5" customHeight="1" x14ac:dyDescent="0.15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  <c r="X705" s="59"/>
    </row>
    <row r="706" spans="1:24" ht="31.5" customHeight="1" x14ac:dyDescent="0.15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</row>
    <row r="707" spans="1:24" ht="31.5" customHeight="1" x14ac:dyDescent="0.15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  <c r="X707" s="59"/>
    </row>
    <row r="708" spans="1:24" ht="31.5" customHeight="1" x14ac:dyDescent="0.15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</row>
    <row r="709" spans="1:24" ht="31.5" customHeight="1" x14ac:dyDescent="0.15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</row>
    <row r="710" spans="1:24" ht="31.5" customHeight="1" x14ac:dyDescent="0.15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</row>
    <row r="711" spans="1:24" ht="31.5" customHeight="1" x14ac:dyDescent="0.15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  <c r="X711" s="59"/>
    </row>
    <row r="712" spans="1:24" ht="31.5" customHeight="1" x14ac:dyDescent="0.15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</row>
    <row r="713" spans="1:24" ht="31.5" customHeight="1" x14ac:dyDescent="0.15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  <c r="X713" s="59"/>
    </row>
    <row r="714" spans="1:24" ht="31.5" customHeight="1" x14ac:dyDescent="0.15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</row>
    <row r="715" spans="1:24" ht="31.5" customHeight="1" x14ac:dyDescent="0.15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  <c r="X715" s="59"/>
    </row>
    <row r="716" spans="1:24" ht="31.5" customHeight="1" x14ac:dyDescent="0.15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</row>
    <row r="717" spans="1:24" ht="31.5" customHeight="1" x14ac:dyDescent="0.15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  <c r="X717" s="59"/>
    </row>
    <row r="718" spans="1:24" ht="31.5" customHeight="1" x14ac:dyDescent="0.15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</row>
    <row r="719" spans="1:24" ht="31.5" customHeight="1" x14ac:dyDescent="0.15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  <c r="X719" s="59"/>
    </row>
    <row r="720" spans="1:24" ht="31.5" customHeight="1" x14ac:dyDescent="0.15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</row>
    <row r="721" spans="1:24" ht="31.5" customHeight="1" x14ac:dyDescent="0.15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  <c r="X721" s="59"/>
    </row>
    <row r="722" spans="1:24" ht="31.5" customHeight="1" x14ac:dyDescent="0.15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</row>
    <row r="723" spans="1:24" ht="31.5" customHeight="1" x14ac:dyDescent="0.15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  <c r="X723" s="59"/>
    </row>
    <row r="724" spans="1:24" ht="31.5" customHeight="1" x14ac:dyDescent="0.15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</row>
    <row r="725" spans="1:24" ht="31.5" customHeight="1" x14ac:dyDescent="0.15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  <c r="X725" s="59"/>
    </row>
    <row r="726" spans="1:24" ht="31.5" customHeight="1" x14ac:dyDescent="0.15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</row>
    <row r="727" spans="1:24" ht="31.5" customHeight="1" x14ac:dyDescent="0.15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  <c r="X727" s="59"/>
    </row>
    <row r="728" spans="1:24" ht="31.5" customHeight="1" x14ac:dyDescent="0.15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</row>
    <row r="729" spans="1:24" ht="31.5" customHeight="1" x14ac:dyDescent="0.15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  <c r="X729" s="59"/>
    </row>
    <row r="730" spans="1:24" ht="31.5" customHeight="1" x14ac:dyDescent="0.15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</row>
    <row r="731" spans="1:24" ht="31.5" customHeight="1" x14ac:dyDescent="0.15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  <c r="X731" s="59"/>
    </row>
    <row r="732" spans="1:24" ht="31.5" customHeight="1" x14ac:dyDescent="0.15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</row>
    <row r="733" spans="1:24" ht="31.5" customHeight="1" x14ac:dyDescent="0.15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  <c r="X733" s="59"/>
    </row>
    <row r="734" spans="1:24" ht="31.5" customHeight="1" x14ac:dyDescent="0.15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</row>
    <row r="735" spans="1:24" ht="31.5" customHeight="1" x14ac:dyDescent="0.15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  <c r="X735" s="59"/>
    </row>
    <row r="736" spans="1:24" ht="31.5" customHeight="1" x14ac:dyDescent="0.15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</row>
    <row r="737" spans="1:24" ht="31.5" customHeight="1" x14ac:dyDescent="0.15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  <c r="X737" s="59"/>
    </row>
    <row r="738" spans="1:24" ht="31.5" customHeight="1" x14ac:dyDescent="0.15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</row>
    <row r="739" spans="1:24" ht="31.5" customHeight="1" x14ac:dyDescent="0.15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</row>
    <row r="740" spans="1:24" ht="31.5" customHeight="1" x14ac:dyDescent="0.15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</row>
    <row r="741" spans="1:24" ht="31.5" customHeight="1" x14ac:dyDescent="0.15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</row>
    <row r="742" spans="1:24" ht="31.5" customHeight="1" x14ac:dyDescent="0.15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</row>
    <row r="743" spans="1:24" ht="31.5" customHeight="1" x14ac:dyDescent="0.15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  <c r="X743" s="59"/>
    </row>
    <row r="744" spans="1:24" ht="31.5" customHeight="1" x14ac:dyDescent="0.15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</row>
    <row r="745" spans="1:24" ht="31.5" customHeight="1" x14ac:dyDescent="0.15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  <c r="X745" s="59"/>
    </row>
    <row r="746" spans="1:24" ht="31.5" customHeight="1" x14ac:dyDescent="0.15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</row>
    <row r="747" spans="1:24" ht="31.5" customHeight="1" x14ac:dyDescent="0.15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  <c r="X747" s="59"/>
    </row>
    <row r="748" spans="1:24" ht="31.5" customHeight="1" x14ac:dyDescent="0.15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</row>
    <row r="749" spans="1:24" ht="31.5" customHeight="1" x14ac:dyDescent="0.15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  <c r="X749" s="59"/>
    </row>
    <row r="750" spans="1:24" ht="31.5" customHeight="1" x14ac:dyDescent="0.15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</row>
    <row r="751" spans="1:24" ht="31.5" customHeight="1" x14ac:dyDescent="0.15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  <c r="X751" s="59"/>
    </row>
    <row r="752" spans="1:24" ht="31.5" customHeight="1" x14ac:dyDescent="0.15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</row>
    <row r="753" spans="1:24" ht="31.5" customHeight="1" x14ac:dyDescent="0.15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  <c r="X753" s="59"/>
    </row>
    <row r="754" spans="1:24" ht="31.5" customHeight="1" x14ac:dyDescent="0.15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</row>
    <row r="755" spans="1:24" ht="31.5" customHeight="1" x14ac:dyDescent="0.15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  <c r="X755" s="59"/>
    </row>
    <row r="756" spans="1:24" ht="31.5" customHeight="1" x14ac:dyDescent="0.15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</row>
    <row r="757" spans="1:24" ht="31.5" customHeight="1" x14ac:dyDescent="0.15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  <c r="X757" s="59"/>
    </row>
    <row r="758" spans="1:24" ht="31.5" customHeight="1" x14ac:dyDescent="0.15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</row>
    <row r="759" spans="1:24" ht="31.5" customHeight="1" x14ac:dyDescent="0.15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  <c r="X759" s="59"/>
    </row>
    <row r="760" spans="1:24" ht="31.5" customHeight="1" x14ac:dyDescent="0.15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</row>
    <row r="761" spans="1:24" ht="31.5" customHeight="1" x14ac:dyDescent="0.15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  <c r="X761" s="59"/>
    </row>
    <row r="762" spans="1:24" ht="31.5" customHeight="1" x14ac:dyDescent="0.15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</row>
    <row r="763" spans="1:24" ht="31.5" customHeight="1" x14ac:dyDescent="0.15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  <c r="X763" s="59"/>
    </row>
    <row r="764" spans="1:24" ht="31.5" customHeight="1" x14ac:dyDescent="0.15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</row>
    <row r="765" spans="1:24" ht="31.5" customHeight="1" x14ac:dyDescent="0.15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  <c r="X765" s="59"/>
    </row>
    <row r="766" spans="1:24" ht="31.5" customHeight="1" x14ac:dyDescent="0.15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</row>
    <row r="767" spans="1:24" ht="31.5" customHeight="1" x14ac:dyDescent="0.15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  <c r="X767" s="59"/>
    </row>
    <row r="768" spans="1:24" ht="31.5" customHeight="1" x14ac:dyDescent="0.15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</row>
    <row r="769" spans="1:24" ht="31.5" customHeight="1" x14ac:dyDescent="0.15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  <c r="X769" s="59"/>
    </row>
    <row r="770" spans="1:24" ht="31.5" customHeight="1" x14ac:dyDescent="0.15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</row>
    <row r="771" spans="1:24" ht="31.5" customHeight="1" x14ac:dyDescent="0.15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  <c r="X771" s="59"/>
    </row>
    <row r="772" spans="1:24" ht="31.5" customHeight="1" x14ac:dyDescent="0.15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</row>
    <row r="773" spans="1:24" ht="31.5" customHeight="1" x14ac:dyDescent="0.15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  <c r="X773" s="59"/>
    </row>
    <row r="774" spans="1:24" ht="31.5" customHeight="1" x14ac:dyDescent="0.15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</row>
    <row r="775" spans="1:24" ht="31.5" customHeight="1" x14ac:dyDescent="0.15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  <c r="X775" s="59"/>
    </row>
    <row r="776" spans="1:24" ht="31.5" customHeight="1" x14ac:dyDescent="0.15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</row>
    <row r="777" spans="1:24" ht="31.5" customHeight="1" x14ac:dyDescent="0.15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  <c r="X777" s="59"/>
    </row>
    <row r="778" spans="1:24" ht="31.5" customHeight="1" x14ac:dyDescent="0.15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</row>
    <row r="779" spans="1:24" ht="31.5" customHeight="1" x14ac:dyDescent="0.15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  <c r="X779" s="59"/>
    </row>
    <row r="780" spans="1:24" ht="31.5" customHeight="1" x14ac:dyDescent="0.15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</row>
    <row r="781" spans="1:24" ht="31.5" customHeight="1" x14ac:dyDescent="0.15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  <c r="X781" s="59"/>
    </row>
    <row r="782" spans="1:24" ht="31.5" customHeight="1" x14ac:dyDescent="0.15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</row>
    <row r="783" spans="1:24" ht="31.5" customHeight="1" x14ac:dyDescent="0.15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  <c r="X783" s="59"/>
    </row>
    <row r="784" spans="1:24" ht="31.5" customHeight="1" x14ac:dyDescent="0.15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</row>
    <row r="785" spans="1:24" ht="31.5" customHeight="1" x14ac:dyDescent="0.15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  <c r="X785" s="59"/>
    </row>
    <row r="786" spans="1:24" ht="31.5" customHeight="1" x14ac:dyDescent="0.15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</row>
    <row r="787" spans="1:24" ht="31.5" customHeight="1" x14ac:dyDescent="0.15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  <c r="X787" s="59"/>
    </row>
    <row r="788" spans="1:24" ht="31.5" customHeight="1" x14ac:dyDescent="0.15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</row>
    <row r="789" spans="1:24" ht="31.5" customHeight="1" x14ac:dyDescent="0.15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  <c r="X789" s="59"/>
    </row>
    <row r="790" spans="1:24" ht="31.5" customHeight="1" x14ac:dyDescent="0.15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</row>
    <row r="791" spans="1:24" ht="31.5" customHeight="1" x14ac:dyDescent="0.15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  <c r="X791" s="59"/>
    </row>
    <row r="792" spans="1:24" ht="31.5" customHeight="1" x14ac:dyDescent="0.15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</row>
    <row r="793" spans="1:24" ht="31.5" customHeight="1" x14ac:dyDescent="0.15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  <c r="X793" s="59"/>
    </row>
    <row r="794" spans="1:24" ht="31.5" customHeight="1" x14ac:dyDescent="0.15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</row>
    <row r="795" spans="1:24" ht="31.5" customHeight="1" x14ac:dyDescent="0.15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  <c r="X795" s="59"/>
    </row>
    <row r="796" spans="1:24" ht="31.5" customHeight="1" x14ac:dyDescent="0.15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</row>
    <row r="797" spans="1:24" ht="31.5" customHeight="1" x14ac:dyDescent="0.15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  <c r="X797" s="59"/>
    </row>
    <row r="798" spans="1:24" ht="31.5" customHeight="1" x14ac:dyDescent="0.15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</row>
    <row r="799" spans="1:24" ht="31.5" customHeight="1" x14ac:dyDescent="0.15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  <c r="X799" s="59"/>
    </row>
    <row r="800" spans="1:24" ht="31.5" customHeight="1" x14ac:dyDescent="0.15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</row>
    <row r="801" spans="1:24" ht="31.5" customHeight="1" x14ac:dyDescent="0.15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  <c r="X801" s="59"/>
    </row>
    <row r="802" spans="1:24" ht="31.5" customHeight="1" x14ac:dyDescent="0.15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</row>
    <row r="803" spans="1:24" ht="31.5" customHeight="1" x14ac:dyDescent="0.15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  <c r="X803" s="59"/>
    </row>
    <row r="804" spans="1:24" ht="31.5" customHeight="1" x14ac:dyDescent="0.15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</row>
    <row r="805" spans="1:24" ht="31.5" customHeight="1" x14ac:dyDescent="0.15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  <c r="X805" s="59"/>
    </row>
    <row r="806" spans="1:24" ht="31.5" customHeight="1" x14ac:dyDescent="0.15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</row>
    <row r="807" spans="1:24" ht="31.5" customHeight="1" x14ac:dyDescent="0.15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  <c r="X807" s="59"/>
    </row>
    <row r="808" spans="1:24" ht="31.5" customHeight="1" x14ac:dyDescent="0.15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</row>
    <row r="809" spans="1:24" ht="31.5" customHeight="1" x14ac:dyDescent="0.15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  <c r="X809" s="59"/>
    </row>
    <row r="810" spans="1:24" ht="31.5" customHeight="1" x14ac:dyDescent="0.15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</row>
    <row r="811" spans="1:24" ht="31.5" customHeight="1" x14ac:dyDescent="0.15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  <c r="X811" s="59"/>
    </row>
    <row r="812" spans="1:24" ht="31.5" customHeight="1" x14ac:dyDescent="0.15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</row>
    <row r="813" spans="1:24" ht="31.5" customHeight="1" x14ac:dyDescent="0.15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  <c r="X813" s="59"/>
    </row>
    <row r="814" spans="1:24" ht="31.5" customHeight="1" x14ac:dyDescent="0.15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</row>
    <row r="815" spans="1:24" ht="31.5" customHeight="1" x14ac:dyDescent="0.15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  <c r="X815" s="59"/>
    </row>
    <row r="816" spans="1:24" ht="31.5" customHeight="1" x14ac:dyDescent="0.15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</row>
    <row r="817" spans="1:24" ht="31.5" customHeight="1" x14ac:dyDescent="0.15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  <c r="X817" s="59"/>
    </row>
    <row r="818" spans="1:24" ht="31.5" customHeight="1" x14ac:dyDescent="0.15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</row>
    <row r="819" spans="1:24" ht="31.5" customHeight="1" x14ac:dyDescent="0.15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  <c r="X819" s="59"/>
    </row>
    <row r="820" spans="1:24" ht="31.5" customHeight="1" x14ac:dyDescent="0.15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  <c r="X820" s="59"/>
    </row>
    <row r="821" spans="1:24" ht="31.5" customHeight="1" x14ac:dyDescent="0.15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  <c r="X821" s="59"/>
    </row>
    <row r="822" spans="1:24" ht="31.5" customHeight="1" x14ac:dyDescent="0.15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</row>
    <row r="823" spans="1:24" ht="31.5" customHeight="1" x14ac:dyDescent="0.15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  <c r="X823" s="59"/>
    </row>
    <row r="824" spans="1:24" ht="31.5" customHeight="1" x14ac:dyDescent="0.15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</row>
    <row r="825" spans="1:24" ht="31.5" customHeight="1" x14ac:dyDescent="0.15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  <c r="X825" s="59"/>
    </row>
    <row r="826" spans="1:24" ht="31.5" customHeight="1" x14ac:dyDescent="0.15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</row>
    <row r="827" spans="1:24" ht="31.5" customHeight="1" x14ac:dyDescent="0.15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  <c r="X827" s="59"/>
    </row>
    <row r="828" spans="1:24" ht="31.5" customHeight="1" x14ac:dyDescent="0.15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</row>
    <row r="829" spans="1:24" ht="31.5" customHeight="1" x14ac:dyDescent="0.15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  <c r="X829" s="59"/>
    </row>
    <row r="830" spans="1:24" ht="31.5" customHeight="1" x14ac:dyDescent="0.15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</row>
    <row r="831" spans="1:24" ht="31.5" customHeight="1" x14ac:dyDescent="0.15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  <c r="X831" s="59"/>
    </row>
    <row r="832" spans="1:24" ht="31.5" customHeight="1" x14ac:dyDescent="0.15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</row>
    <row r="833" spans="1:24" ht="31.5" customHeight="1" x14ac:dyDescent="0.15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  <c r="X833" s="59"/>
    </row>
    <row r="834" spans="1:24" ht="31.5" customHeight="1" x14ac:dyDescent="0.15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  <c r="X834" s="59"/>
    </row>
    <row r="835" spans="1:24" ht="31.5" customHeight="1" x14ac:dyDescent="0.15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  <c r="X835" s="59"/>
    </row>
    <row r="836" spans="1:24" ht="31.5" customHeight="1" x14ac:dyDescent="0.15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  <c r="X836" s="59"/>
    </row>
    <row r="837" spans="1:24" ht="31.5" customHeight="1" x14ac:dyDescent="0.15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  <c r="X837" s="59"/>
    </row>
    <row r="838" spans="1:24" ht="31.5" customHeight="1" x14ac:dyDescent="0.15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  <c r="X838" s="59"/>
    </row>
    <row r="839" spans="1:24" ht="31.5" customHeight="1" x14ac:dyDescent="0.15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  <c r="X839" s="59"/>
    </row>
    <row r="840" spans="1:24" ht="31.5" customHeight="1" x14ac:dyDescent="0.15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  <c r="X840" s="59"/>
    </row>
    <row r="841" spans="1:24" ht="31.5" customHeight="1" x14ac:dyDescent="0.15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  <c r="X841" s="59"/>
    </row>
    <row r="842" spans="1:24" ht="31.5" customHeight="1" x14ac:dyDescent="0.15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  <c r="X842" s="59"/>
    </row>
    <row r="843" spans="1:24" ht="31.5" customHeight="1" x14ac:dyDescent="0.15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  <c r="X843" s="59"/>
    </row>
    <row r="844" spans="1:24" ht="31.5" customHeight="1" x14ac:dyDescent="0.15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</row>
    <row r="845" spans="1:24" ht="31.5" customHeight="1" x14ac:dyDescent="0.15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  <c r="X845" s="59"/>
    </row>
    <row r="846" spans="1:24" ht="31.5" customHeight="1" x14ac:dyDescent="0.15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</row>
    <row r="847" spans="1:24" ht="31.5" customHeight="1" x14ac:dyDescent="0.15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  <c r="X847" s="59"/>
    </row>
    <row r="848" spans="1:24" ht="31.5" customHeight="1" x14ac:dyDescent="0.15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  <c r="X848" s="59"/>
    </row>
    <row r="849" spans="1:24" ht="31.5" customHeight="1" x14ac:dyDescent="0.15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  <c r="X849" s="59"/>
    </row>
    <row r="850" spans="1:24" ht="31.5" customHeight="1" x14ac:dyDescent="0.15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</row>
    <row r="851" spans="1:24" ht="31.5" customHeight="1" x14ac:dyDescent="0.15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  <c r="X851" s="59"/>
    </row>
    <row r="852" spans="1:24" ht="31.5" customHeight="1" x14ac:dyDescent="0.15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  <c r="X852" s="59"/>
    </row>
    <row r="853" spans="1:24" ht="31.5" customHeight="1" x14ac:dyDescent="0.15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  <c r="X853" s="59"/>
    </row>
    <row r="854" spans="1:24" ht="31.5" customHeight="1" x14ac:dyDescent="0.15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  <c r="X854" s="59"/>
    </row>
    <row r="855" spans="1:24" ht="31.5" customHeight="1" x14ac:dyDescent="0.15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  <c r="X855" s="59"/>
    </row>
    <row r="856" spans="1:24" ht="31.5" customHeight="1" x14ac:dyDescent="0.15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  <c r="X856" s="59"/>
    </row>
    <row r="857" spans="1:24" ht="31.5" customHeight="1" x14ac:dyDescent="0.15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  <c r="X857" s="59"/>
    </row>
    <row r="858" spans="1:24" ht="31.5" customHeight="1" x14ac:dyDescent="0.15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  <c r="X858" s="59"/>
    </row>
    <row r="859" spans="1:24" ht="31.5" customHeight="1" x14ac:dyDescent="0.15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  <c r="X859" s="59"/>
    </row>
    <row r="860" spans="1:24" ht="31.5" customHeight="1" x14ac:dyDescent="0.15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  <c r="X860" s="59"/>
    </row>
    <row r="861" spans="1:24" ht="31.5" customHeight="1" x14ac:dyDescent="0.15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  <c r="X861" s="59"/>
    </row>
    <row r="862" spans="1:24" ht="31.5" customHeight="1" x14ac:dyDescent="0.15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  <c r="X862" s="59"/>
    </row>
    <row r="863" spans="1:24" ht="31.5" customHeight="1" x14ac:dyDescent="0.15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  <c r="X863" s="59"/>
    </row>
    <row r="864" spans="1:24" ht="31.5" customHeight="1" x14ac:dyDescent="0.15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  <c r="X864" s="59"/>
    </row>
    <row r="865" spans="1:24" ht="31.5" customHeight="1" x14ac:dyDescent="0.15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  <c r="X865" s="59"/>
    </row>
    <row r="866" spans="1:24" ht="31.5" customHeight="1" x14ac:dyDescent="0.15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</row>
    <row r="867" spans="1:24" ht="31.5" customHeight="1" x14ac:dyDescent="0.15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  <c r="X867" s="59"/>
    </row>
    <row r="868" spans="1:24" ht="31.5" customHeight="1" x14ac:dyDescent="0.15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</row>
    <row r="869" spans="1:24" ht="31.5" customHeight="1" x14ac:dyDescent="0.15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  <c r="X869" s="59"/>
    </row>
    <row r="870" spans="1:24" ht="31.5" customHeight="1" x14ac:dyDescent="0.15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</row>
    <row r="871" spans="1:24" ht="31.5" customHeight="1" x14ac:dyDescent="0.15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  <c r="X871" s="59"/>
    </row>
    <row r="872" spans="1:24" ht="31.5" customHeight="1" x14ac:dyDescent="0.15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  <c r="X872" s="59"/>
    </row>
    <row r="873" spans="1:24" ht="31.5" customHeight="1" x14ac:dyDescent="0.15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  <c r="X873" s="59"/>
    </row>
    <row r="874" spans="1:24" ht="31.5" customHeight="1" x14ac:dyDescent="0.15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</row>
    <row r="875" spans="1:24" ht="31.5" customHeight="1" x14ac:dyDescent="0.15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  <c r="X875" s="59"/>
    </row>
    <row r="876" spans="1:24" ht="31.5" customHeight="1" x14ac:dyDescent="0.15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</row>
    <row r="877" spans="1:24" ht="31.5" customHeight="1" x14ac:dyDescent="0.15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  <c r="X877" s="59"/>
    </row>
    <row r="878" spans="1:24" ht="31.5" customHeight="1" x14ac:dyDescent="0.15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</row>
    <row r="879" spans="1:24" ht="31.5" customHeight="1" x14ac:dyDescent="0.15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  <c r="X879" s="59"/>
    </row>
    <row r="880" spans="1:24" ht="31.5" customHeight="1" x14ac:dyDescent="0.15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</row>
    <row r="881" spans="1:24" ht="31.5" customHeight="1" x14ac:dyDescent="0.15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  <c r="X881" s="59"/>
    </row>
    <row r="882" spans="1:24" ht="31.5" customHeight="1" x14ac:dyDescent="0.15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  <c r="X882" s="59"/>
    </row>
    <row r="883" spans="1:24" ht="31.5" customHeight="1" x14ac:dyDescent="0.15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  <c r="X883" s="59"/>
    </row>
    <row r="884" spans="1:24" ht="31.5" customHeight="1" x14ac:dyDescent="0.15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  <c r="X884" s="59"/>
    </row>
    <row r="885" spans="1:24" ht="31.5" customHeight="1" x14ac:dyDescent="0.15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  <c r="X885" s="59"/>
    </row>
    <row r="886" spans="1:24" ht="31.5" customHeight="1" x14ac:dyDescent="0.15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  <c r="X886" s="59"/>
    </row>
    <row r="887" spans="1:24" ht="31.5" customHeight="1" x14ac:dyDescent="0.15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  <c r="X887" s="59"/>
    </row>
    <row r="888" spans="1:24" ht="31.5" customHeight="1" x14ac:dyDescent="0.15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  <c r="X888" s="59"/>
    </row>
    <row r="889" spans="1:24" ht="31.5" customHeight="1" x14ac:dyDescent="0.15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  <c r="X889" s="59"/>
    </row>
    <row r="890" spans="1:24" ht="31.5" customHeight="1" x14ac:dyDescent="0.15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  <c r="X890" s="59"/>
    </row>
    <row r="891" spans="1:24" ht="31.5" customHeight="1" x14ac:dyDescent="0.15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  <c r="X891" s="59"/>
    </row>
    <row r="892" spans="1:24" ht="31.5" customHeight="1" x14ac:dyDescent="0.15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  <c r="X892" s="59"/>
    </row>
    <row r="893" spans="1:24" ht="31.5" customHeight="1" x14ac:dyDescent="0.15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  <c r="X893" s="59"/>
    </row>
    <row r="894" spans="1:24" ht="31.5" customHeight="1" x14ac:dyDescent="0.15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</row>
    <row r="895" spans="1:24" ht="31.5" customHeight="1" x14ac:dyDescent="0.15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  <c r="X895" s="59"/>
    </row>
    <row r="896" spans="1:24" ht="31.5" customHeight="1" x14ac:dyDescent="0.15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</row>
    <row r="897" spans="1:24" ht="31.5" customHeight="1" x14ac:dyDescent="0.15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  <c r="X897" s="59"/>
    </row>
    <row r="898" spans="1:24" ht="31.5" customHeight="1" x14ac:dyDescent="0.15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</row>
    <row r="899" spans="1:24" ht="31.5" customHeight="1" x14ac:dyDescent="0.15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  <c r="X899" s="59"/>
    </row>
    <row r="900" spans="1:24" ht="31.5" customHeight="1" x14ac:dyDescent="0.15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</row>
    <row r="901" spans="1:24" ht="31.5" customHeight="1" x14ac:dyDescent="0.15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  <c r="X901" s="59"/>
    </row>
    <row r="902" spans="1:24" ht="31.5" customHeight="1" x14ac:dyDescent="0.15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</row>
    <row r="903" spans="1:24" ht="31.5" customHeight="1" x14ac:dyDescent="0.15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  <c r="X903" s="59"/>
    </row>
    <row r="904" spans="1:24" ht="31.5" customHeight="1" x14ac:dyDescent="0.15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</row>
    <row r="905" spans="1:24" ht="31.5" customHeight="1" x14ac:dyDescent="0.15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  <c r="X905" s="59"/>
    </row>
    <row r="906" spans="1:24" ht="31.5" customHeight="1" x14ac:dyDescent="0.15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</row>
    <row r="907" spans="1:24" ht="31.5" customHeight="1" x14ac:dyDescent="0.15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  <c r="X907" s="59"/>
    </row>
    <row r="908" spans="1:24" ht="31.5" customHeight="1" x14ac:dyDescent="0.15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</row>
    <row r="909" spans="1:24" ht="31.5" customHeight="1" x14ac:dyDescent="0.15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  <c r="X909" s="59"/>
    </row>
    <row r="910" spans="1:24" ht="31.5" customHeight="1" x14ac:dyDescent="0.15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</row>
    <row r="911" spans="1:24" ht="31.5" customHeight="1" x14ac:dyDescent="0.15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  <c r="X911" s="59"/>
    </row>
    <row r="912" spans="1:24" ht="31.5" customHeight="1" x14ac:dyDescent="0.15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</row>
    <row r="913" spans="1:24" ht="31.5" customHeight="1" x14ac:dyDescent="0.15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  <c r="X913" s="59"/>
    </row>
    <row r="914" spans="1:24" ht="31.5" customHeight="1" x14ac:dyDescent="0.15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</row>
    <row r="915" spans="1:24" ht="31.5" customHeight="1" x14ac:dyDescent="0.15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  <c r="X915" s="59"/>
    </row>
    <row r="916" spans="1:24" ht="31.5" customHeight="1" x14ac:dyDescent="0.15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</row>
    <row r="917" spans="1:24" ht="31.5" customHeight="1" x14ac:dyDescent="0.15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  <c r="X917" s="59"/>
    </row>
    <row r="918" spans="1:24" ht="31.5" customHeight="1" x14ac:dyDescent="0.15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</row>
    <row r="919" spans="1:24" ht="31.5" customHeight="1" x14ac:dyDescent="0.15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  <c r="X919" s="59"/>
    </row>
    <row r="920" spans="1:24" ht="31.5" customHeight="1" x14ac:dyDescent="0.15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</row>
    <row r="921" spans="1:24" ht="31.5" customHeight="1" x14ac:dyDescent="0.15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  <c r="X921" s="59"/>
    </row>
    <row r="922" spans="1:24" ht="31.5" customHeight="1" x14ac:dyDescent="0.15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</row>
    <row r="923" spans="1:24" ht="31.5" customHeight="1" x14ac:dyDescent="0.15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  <c r="X923" s="59"/>
    </row>
    <row r="924" spans="1:24" ht="31.5" customHeight="1" x14ac:dyDescent="0.15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</row>
    <row r="925" spans="1:24" ht="31.5" customHeight="1" x14ac:dyDescent="0.15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  <c r="X925" s="59"/>
    </row>
    <row r="926" spans="1:24" ht="31.5" customHeight="1" x14ac:dyDescent="0.15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</row>
    <row r="927" spans="1:24" ht="31.5" customHeight="1" x14ac:dyDescent="0.15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  <c r="X927" s="59"/>
    </row>
    <row r="928" spans="1:24" ht="31.5" customHeight="1" x14ac:dyDescent="0.15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</row>
    <row r="929" spans="1:24" ht="31.5" customHeight="1" x14ac:dyDescent="0.15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  <c r="X929" s="59"/>
    </row>
    <row r="930" spans="1:24" ht="31.5" customHeight="1" x14ac:dyDescent="0.15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</row>
    <row r="931" spans="1:24" ht="31.5" customHeight="1" x14ac:dyDescent="0.15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  <c r="X931" s="59"/>
    </row>
    <row r="932" spans="1:24" ht="31.5" customHeight="1" x14ac:dyDescent="0.15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</row>
    <row r="933" spans="1:24" ht="31.5" customHeight="1" x14ac:dyDescent="0.15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  <c r="X933" s="59"/>
    </row>
    <row r="934" spans="1:24" ht="31.5" customHeight="1" x14ac:dyDescent="0.15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</row>
    <row r="935" spans="1:24" ht="31.5" customHeight="1" x14ac:dyDescent="0.15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  <c r="X935" s="59"/>
    </row>
    <row r="936" spans="1:24" ht="31.5" customHeight="1" x14ac:dyDescent="0.15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</row>
    <row r="937" spans="1:24" ht="31.5" customHeight="1" x14ac:dyDescent="0.15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  <c r="X937" s="59"/>
    </row>
    <row r="938" spans="1:24" ht="31.5" customHeight="1" x14ac:dyDescent="0.15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</row>
    <row r="939" spans="1:24" ht="31.5" customHeight="1" x14ac:dyDescent="0.15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  <c r="X939" s="59"/>
    </row>
    <row r="940" spans="1:24" ht="31.5" customHeight="1" x14ac:dyDescent="0.15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</row>
    <row r="941" spans="1:24" ht="31.5" customHeight="1" x14ac:dyDescent="0.15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  <c r="X941" s="59"/>
    </row>
    <row r="942" spans="1:24" ht="31.5" customHeight="1" x14ac:dyDescent="0.15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  <c r="X942" s="59"/>
    </row>
    <row r="943" spans="1:24" ht="31.5" customHeight="1" x14ac:dyDescent="0.15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  <c r="X943" s="59"/>
    </row>
    <row r="944" spans="1:24" ht="31.5" customHeight="1" x14ac:dyDescent="0.15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  <c r="X944" s="59"/>
    </row>
    <row r="945" spans="1:24" ht="31.5" customHeight="1" x14ac:dyDescent="0.15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  <c r="X945" s="59"/>
    </row>
    <row r="946" spans="1:24" ht="31.5" customHeight="1" x14ac:dyDescent="0.15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  <c r="X946" s="59"/>
    </row>
    <row r="947" spans="1:24" ht="31.5" customHeight="1" x14ac:dyDescent="0.15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  <c r="X947" s="59"/>
    </row>
    <row r="948" spans="1:24" ht="31.5" customHeight="1" x14ac:dyDescent="0.15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  <c r="X948" s="59"/>
    </row>
    <row r="949" spans="1:24" ht="31.5" customHeight="1" x14ac:dyDescent="0.15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  <c r="X949" s="59"/>
    </row>
    <row r="950" spans="1:24" ht="31.5" customHeight="1" x14ac:dyDescent="0.15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  <c r="X950" s="59"/>
    </row>
    <row r="951" spans="1:24" ht="31.5" customHeight="1" x14ac:dyDescent="0.15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  <c r="X951" s="59"/>
    </row>
    <row r="952" spans="1:24" ht="31.5" customHeight="1" x14ac:dyDescent="0.15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</row>
    <row r="953" spans="1:24" ht="31.5" customHeight="1" x14ac:dyDescent="0.15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  <c r="X953" s="59"/>
    </row>
    <row r="954" spans="1:24" ht="31.5" customHeight="1" x14ac:dyDescent="0.15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</row>
    <row r="955" spans="1:24" ht="31.5" customHeight="1" x14ac:dyDescent="0.15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  <c r="X955" s="59"/>
    </row>
    <row r="956" spans="1:24" ht="31.5" customHeight="1" x14ac:dyDescent="0.15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</row>
    <row r="957" spans="1:24" ht="31.5" customHeight="1" x14ac:dyDescent="0.15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  <c r="X957" s="59"/>
    </row>
    <row r="958" spans="1:24" ht="31.5" customHeight="1" x14ac:dyDescent="0.15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</row>
    <row r="959" spans="1:24" ht="31.5" customHeight="1" x14ac:dyDescent="0.15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  <c r="X959" s="59"/>
    </row>
    <row r="960" spans="1:24" ht="31.5" customHeight="1" x14ac:dyDescent="0.15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</row>
    <row r="961" spans="1:24" ht="31.5" customHeight="1" x14ac:dyDescent="0.15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  <c r="X961" s="59"/>
    </row>
    <row r="962" spans="1:24" ht="31.5" customHeight="1" x14ac:dyDescent="0.15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</row>
    <row r="963" spans="1:24" ht="31.5" customHeight="1" x14ac:dyDescent="0.15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  <c r="X963" s="59"/>
    </row>
    <row r="964" spans="1:24" ht="31.5" customHeight="1" x14ac:dyDescent="0.15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</row>
    <row r="965" spans="1:24" ht="31.5" customHeight="1" x14ac:dyDescent="0.15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</row>
    <row r="966" spans="1:24" ht="31.5" customHeight="1" x14ac:dyDescent="0.15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</row>
    <row r="967" spans="1:24" ht="31.5" customHeight="1" x14ac:dyDescent="0.15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</row>
    <row r="968" spans="1:24" ht="31.5" customHeight="1" x14ac:dyDescent="0.15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</row>
    <row r="969" spans="1:24" ht="31.5" customHeight="1" x14ac:dyDescent="0.15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  <c r="X969" s="59"/>
    </row>
    <row r="970" spans="1:24" ht="31.5" customHeight="1" x14ac:dyDescent="0.15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</row>
    <row r="971" spans="1:24" ht="31.5" customHeight="1" x14ac:dyDescent="0.15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  <c r="X971" s="59"/>
    </row>
    <row r="972" spans="1:24" ht="31.5" customHeight="1" x14ac:dyDescent="0.15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</row>
    <row r="973" spans="1:24" ht="31.5" customHeight="1" x14ac:dyDescent="0.15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  <c r="X973" s="59"/>
    </row>
    <row r="974" spans="1:24" ht="31.5" customHeight="1" x14ac:dyDescent="0.15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</row>
    <row r="975" spans="1:24" ht="31.5" customHeight="1" x14ac:dyDescent="0.15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  <c r="X975" s="59"/>
    </row>
    <row r="976" spans="1:24" ht="31.5" customHeight="1" x14ac:dyDescent="0.15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</row>
    <row r="977" spans="1:24" ht="31.5" customHeight="1" x14ac:dyDescent="0.15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  <c r="X977" s="59"/>
    </row>
    <row r="978" spans="1:24" ht="31.5" customHeight="1" x14ac:dyDescent="0.15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</row>
    <row r="979" spans="1:24" ht="31.5" customHeight="1" x14ac:dyDescent="0.15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  <c r="X979" s="59"/>
    </row>
    <row r="980" spans="1:24" ht="31.5" customHeight="1" x14ac:dyDescent="0.15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</row>
    <row r="981" spans="1:24" ht="31.5" customHeight="1" x14ac:dyDescent="0.15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  <c r="X981" s="59"/>
    </row>
    <row r="982" spans="1:24" ht="31.5" customHeight="1" x14ac:dyDescent="0.15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</row>
    <row r="983" spans="1:24" ht="31.5" customHeight="1" x14ac:dyDescent="0.15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  <c r="X983" s="59"/>
    </row>
    <row r="984" spans="1:24" ht="31.5" customHeight="1" x14ac:dyDescent="0.15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</row>
    <row r="985" spans="1:24" ht="31.5" customHeight="1" x14ac:dyDescent="0.15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  <c r="X985" s="59"/>
    </row>
    <row r="986" spans="1:24" ht="31.5" customHeight="1" x14ac:dyDescent="0.15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</row>
    <row r="987" spans="1:24" ht="31.5" customHeight="1" x14ac:dyDescent="0.15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  <c r="X987" s="59"/>
    </row>
    <row r="988" spans="1:24" ht="31.5" customHeight="1" x14ac:dyDescent="0.15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</row>
    <row r="989" spans="1:24" ht="31.5" customHeight="1" x14ac:dyDescent="0.15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  <c r="X989" s="59"/>
    </row>
    <row r="990" spans="1:24" ht="31.5" customHeight="1" x14ac:dyDescent="0.15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</row>
    <row r="991" spans="1:24" ht="31.5" customHeight="1" x14ac:dyDescent="0.15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  <c r="X991" s="59"/>
    </row>
    <row r="992" spans="1:24" ht="31.5" customHeight="1" x14ac:dyDescent="0.15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</row>
    <row r="993" spans="1:24" ht="31.5" customHeight="1" x14ac:dyDescent="0.15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  <c r="X993" s="59"/>
    </row>
    <row r="994" spans="1:24" ht="31.5" customHeight="1" x14ac:dyDescent="0.15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</row>
    <row r="995" spans="1:24" ht="31.5" customHeight="1" x14ac:dyDescent="0.15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</row>
    <row r="996" spans="1:24" ht="31.5" customHeight="1" x14ac:dyDescent="0.15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Y996"/>
  <sheetViews>
    <sheetView workbookViewId="0"/>
  </sheetViews>
  <sheetFormatPr baseColWidth="10" defaultColWidth="12.6640625" defaultRowHeight="15.75" customHeight="1" x14ac:dyDescent="0.15"/>
  <cols>
    <col min="1" max="1" width="70.6640625" customWidth="1"/>
    <col min="2" max="2" width="8.1640625" customWidth="1"/>
    <col min="3" max="4" width="9.33203125" customWidth="1"/>
    <col min="5" max="5" width="28.1640625" customWidth="1"/>
    <col min="6" max="6" width="111.6640625" customWidth="1"/>
    <col min="7" max="7" width="33.6640625" customWidth="1"/>
    <col min="8" max="8" width="15.1640625" customWidth="1"/>
    <col min="9" max="9" width="16.33203125" customWidth="1"/>
    <col min="10" max="10" width="13.33203125" customWidth="1"/>
    <col min="11" max="11" width="62.5" customWidth="1"/>
    <col min="12" max="12" width="15.1640625" customWidth="1"/>
    <col min="13" max="13" width="24.6640625" customWidth="1"/>
    <col min="14" max="14" width="25" customWidth="1"/>
    <col min="15" max="15" width="10.1640625" customWidth="1"/>
  </cols>
  <sheetData>
    <row r="1" spans="1:25" ht="33" customHeight="1" x14ac:dyDescent="0.15">
      <c r="A1" s="87" t="s">
        <v>91</v>
      </c>
      <c r="B1" s="87" t="s">
        <v>63</v>
      </c>
      <c r="C1" s="87" t="s">
        <v>55</v>
      </c>
      <c r="D1" s="87" t="s">
        <v>56</v>
      </c>
      <c r="E1" s="87" t="s">
        <v>84</v>
      </c>
      <c r="F1" s="87" t="s">
        <v>85</v>
      </c>
      <c r="G1" s="87" t="s">
        <v>86</v>
      </c>
      <c r="H1" s="87" t="s">
        <v>87</v>
      </c>
      <c r="I1" s="87" t="s">
        <v>88</v>
      </c>
      <c r="J1" s="87" t="s">
        <v>89</v>
      </c>
      <c r="K1" s="87" t="s">
        <v>90</v>
      </c>
      <c r="L1" s="65" t="s">
        <v>24</v>
      </c>
      <c r="M1" s="56" t="s">
        <v>1</v>
      </c>
      <c r="N1" s="65" t="s">
        <v>113</v>
      </c>
      <c r="O1" s="65" t="s">
        <v>114</v>
      </c>
      <c r="P1" s="9"/>
      <c r="Q1" s="9"/>
      <c r="R1" s="9"/>
      <c r="S1" s="9"/>
      <c r="T1" s="9"/>
      <c r="U1" s="9"/>
      <c r="V1" s="9"/>
      <c r="W1" s="9"/>
      <c r="X1" s="9"/>
      <c r="Y1" s="9"/>
    </row>
    <row r="2" spans="1:25" ht="33" customHeight="1" x14ac:dyDescent="0.15">
      <c r="A2" s="66" t="str">
        <f ca="1">IFERROR(__xludf.DUMMYFUNCTION("QUERY(MasterData!A1:NK11244,""select CS,CT,CU,CV,CW,CX,CY,CZ,DA,DB,DC,B,C,FL,FM where C='S8: Student Events Organized'"",0)"),"AI and Applications")</f>
        <v>AI and Applications</v>
      </c>
      <c r="B2" s="66" t="str">
        <f ca="1">IFERROR(__xludf.DUMMYFUNCTION("""COMPUTED_VALUE"""),"2hrs")</f>
        <v>2hrs</v>
      </c>
      <c r="C2" s="67">
        <f ca="1">IFERROR(__xludf.DUMMYFUNCTION("""COMPUTED_VALUE"""),44121)</f>
        <v>44121</v>
      </c>
      <c r="D2" s="67">
        <f ca="1">IFERROR(__xludf.DUMMYFUNCTION("""COMPUTED_VALUE"""),44121)</f>
        <v>44121</v>
      </c>
      <c r="E2" s="66">
        <f ca="1">IFERROR(__xludf.DUMMYFUNCTION("""COMPUTED_VALUE"""),111)</f>
        <v>111</v>
      </c>
      <c r="F2" s="66" t="str">
        <f ca="1">IFERROR(__xludf.DUMMYFUNCTION("""COMPUTED_VALUE"""),"Dr KV Kadambari")</f>
        <v>Dr KV Kadambari</v>
      </c>
      <c r="G2" s="66" t="str">
        <f ca="1">IFERROR(__xludf.DUMMYFUNCTION("""COMPUTED_VALUE"""),"Dr P Satheesh")</f>
        <v>Dr P Satheesh</v>
      </c>
      <c r="H2" s="66">
        <f ca="1">IFERROR(__xludf.DUMMYFUNCTION("""COMPUTED_VALUE"""),0)</f>
        <v>0</v>
      </c>
      <c r="I2" s="66">
        <f ca="1">IFERROR(__xludf.DUMMYFUNCTION("""COMPUTED_VALUE"""),0)</f>
        <v>0</v>
      </c>
      <c r="J2" s="66">
        <f ca="1">IFERROR(__xludf.DUMMYFUNCTION("""COMPUTED_VALUE"""),0)</f>
        <v>0</v>
      </c>
      <c r="K2" s="68" t="str">
        <f ca="1">IFERROR(__xludf.DUMMYFUNCTION("""COMPUTED_VALUE"""),"https://drive.google.com/open?id=1FDgWJRLG-0YmUX-Ho8W9BzIF5VOe8920")</f>
        <v>https://drive.google.com/open?id=1FDgWJRLG-0YmUX-Ho8W9BzIF5VOe8920</v>
      </c>
      <c r="L2" s="66" t="str">
        <f ca="1">IFERROR(__xludf.DUMMYFUNCTION("""COMPUTED_VALUE"""),"3")</f>
        <v>3</v>
      </c>
      <c r="M2" s="66" t="str">
        <f ca="1">IFERROR(__xludf.DUMMYFUNCTION("""COMPUTED_VALUE"""),"S8: Student Events Organized")</f>
        <v>S8: Student Events Organized</v>
      </c>
      <c r="N2" s="66" t="str">
        <f ca="1">IFERROR(__xludf.DUMMYFUNCTION("""COMPUTED_VALUE"""),"satish@mvgrce.edu.in")</f>
        <v>satish@mvgrce.edu.in</v>
      </c>
      <c r="O2" s="66"/>
      <c r="P2" s="69"/>
      <c r="Q2" s="69"/>
      <c r="R2" s="69"/>
      <c r="S2" s="69"/>
      <c r="T2" s="69"/>
      <c r="U2" s="69"/>
      <c r="V2" s="69"/>
      <c r="W2" s="69"/>
      <c r="X2" s="69"/>
      <c r="Y2" s="69"/>
    </row>
    <row r="3" spans="1:25" ht="33" customHeight="1" x14ac:dyDescent="0.15">
      <c r="A3" s="66" t="str">
        <f ca="1">IFERROR(__xludf.DUMMYFUNCTION("""COMPUTED_VALUE"""),"Business Model innovation using digital platforms")</f>
        <v>Business Model innovation using digital platforms</v>
      </c>
      <c r="B3" s="66" t="str">
        <f ca="1">IFERROR(__xludf.DUMMYFUNCTION("""COMPUTED_VALUE"""),"2hrs")</f>
        <v>2hrs</v>
      </c>
      <c r="C3" s="67">
        <f ca="1">IFERROR(__xludf.DUMMYFUNCTION("""COMPUTED_VALUE"""),44093)</f>
        <v>44093</v>
      </c>
      <c r="D3" s="67">
        <f ca="1">IFERROR(__xludf.DUMMYFUNCTION("""COMPUTED_VALUE"""),44093)</f>
        <v>44093</v>
      </c>
      <c r="E3" s="66">
        <f ca="1">IFERROR(__xludf.DUMMYFUNCTION("""COMPUTED_VALUE"""),50)</f>
        <v>50</v>
      </c>
      <c r="F3" s="66" t="str">
        <f ca="1">IFERROR(__xludf.DUMMYFUNCTION("""COMPUTED_VALUE"""),"Mr P Ramesh, Microsoft")</f>
        <v>Mr P Ramesh, Microsoft</v>
      </c>
      <c r="G3" s="66" t="str">
        <f ca="1">IFERROR(__xludf.DUMMYFUNCTION("""COMPUTED_VALUE"""),"Dr P Satheesh and Dr P Ravi Kiran Varma")</f>
        <v>Dr P Satheesh and Dr P Ravi Kiran Varma</v>
      </c>
      <c r="H3" s="66">
        <f ca="1">IFERROR(__xludf.DUMMYFUNCTION("""COMPUTED_VALUE"""),0)</f>
        <v>0</v>
      </c>
      <c r="I3" s="66">
        <f ca="1">IFERROR(__xludf.DUMMYFUNCTION("""COMPUTED_VALUE"""),0)</f>
        <v>0</v>
      </c>
      <c r="J3" s="66">
        <f ca="1">IFERROR(__xludf.DUMMYFUNCTION("""COMPUTED_VALUE"""),0)</f>
        <v>0</v>
      </c>
      <c r="K3" s="68" t="str">
        <f ca="1">IFERROR(__xludf.DUMMYFUNCTION("""COMPUTED_VALUE"""),"https://drive.google.com/open?id=16hFTXxdc9QEZmhVAzu2w4tuF05DhDNfC")</f>
        <v>https://drive.google.com/open?id=16hFTXxdc9QEZmhVAzu2w4tuF05DhDNfC</v>
      </c>
      <c r="L3" s="66" t="str">
        <f ca="1">IFERROR(__xludf.DUMMYFUNCTION("""COMPUTED_VALUE"""),"7")</f>
        <v>7</v>
      </c>
      <c r="M3" s="66" t="str">
        <f ca="1">IFERROR(__xludf.DUMMYFUNCTION("""COMPUTED_VALUE"""),"S8: Student Events Organized")</f>
        <v>S8: Student Events Organized</v>
      </c>
      <c r="N3" s="66" t="str">
        <f ca="1">IFERROR(__xludf.DUMMYFUNCTION("""COMPUTED_VALUE"""),"satish@mvgrce.edu.in")</f>
        <v>satish@mvgrce.edu.in</v>
      </c>
      <c r="O3" s="66"/>
      <c r="P3" s="69"/>
      <c r="Q3" s="69"/>
      <c r="R3" s="69"/>
      <c r="S3" s="69"/>
      <c r="T3" s="69"/>
      <c r="U3" s="69"/>
      <c r="V3" s="69"/>
      <c r="W3" s="69"/>
      <c r="X3" s="69"/>
      <c r="Y3" s="69"/>
    </row>
    <row r="4" spans="1:25" ht="33" customHeight="1" x14ac:dyDescent="0.15">
      <c r="A4" s="66" t="str">
        <f ca="1">IFERROR(__xludf.DUMMYFUNCTION("""COMPUTED_VALUE"""),"International Womens Day")</f>
        <v>International Womens Day</v>
      </c>
      <c r="B4" s="66" t="str">
        <f ca="1">IFERROR(__xludf.DUMMYFUNCTION("""COMPUTED_VALUE"""),"1 day")</f>
        <v>1 day</v>
      </c>
      <c r="C4" s="67">
        <f ca="1">IFERROR(__xludf.DUMMYFUNCTION("""COMPUTED_VALUE"""),44263)</f>
        <v>44263</v>
      </c>
      <c r="D4" s="67">
        <f ca="1">IFERROR(__xludf.DUMMYFUNCTION("""COMPUTED_VALUE"""),44263)</f>
        <v>44263</v>
      </c>
      <c r="E4" s="66">
        <f ca="1">IFERROR(__xludf.DUMMYFUNCTION("""COMPUTED_VALUE"""),30)</f>
        <v>30</v>
      </c>
      <c r="F4" s="66" t="str">
        <f ca="1">IFERROR(__xludf.DUMMYFUNCTION("""COMPUTED_VALUE"""),"Dr.Nandini")</f>
        <v>Dr.Nandini</v>
      </c>
      <c r="G4" s="66" t="str">
        <f ca="1">IFERROR(__xludf.DUMMYFUNCTION("""COMPUTED_VALUE"""),"P.Parimala")</f>
        <v>P.Parimala</v>
      </c>
      <c r="H4" s="66">
        <f ca="1">IFERROR(__xludf.DUMMYFUNCTION("""COMPUTED_VALUE"""),0)</f>
        <v>0</v>
      </c>
      <c r="I4" s="66"/>
      <c r="J4" s="66"/>
      <c r="K4" s="68" t="str">
        <f ca="1">IFERROR(__xludf.DUMMYFUNCTION("""COMPUTED_VALUE"""),"https://drive.google.com/open?id=1-v8R8caNSpd9aQqqGDaTIf13ETG7x4f_")</f>
        <v>https://drive.google.com/open?id=1-v8R8caNSpd9aQqqGDaTIf13ETG7x4f_</v>
      </c>
      <c r="L4" s="66" t="str">
        <f ca="1">IFERROR(__xludf.DUMMYFUNCTION("""COMPUTED_VALUE"""),"1")</f>
        <v>1</v>
      </c>
      <c r="M4" s="66" t="str">
        <f ca="1">IFERROR(__xludf.DUMMYFUNCTION("""COMPUTED_VALUE"""),"S8: Student Events Organized")</f>
        <v>S8: Student Events Organized</v>
      </c>
      <c r="N4" s="66" t="str">
        <f ca="1">IFERROR(__xludf.DUMMYFUNCTION("""COMPUTED_VALUE"""),"parimala.palli@mvgrce.edu.in")</f>
        <v>parimala.palli@mvgrce.edu.in</v>
      </c>
      <c r="O4" s="66"/>
      <c r="P4" s="69"/>
      <c r="Q4" s="69"/>
      <c r="R4" s="69"/>
      <c r="S4" s="69"/>
      <c r="T4" s="69"/>
      <c r="U4" s="69"/>
      <c r="V4" s="69"/>
      <c r="W4" s="69"/>
      <c r="X4" s="69"/>
      <c r="Y4" s="69"/>
    </row>
    <row r="5" spans="1:25" ht="33" customHeight="1" x14ac:dyDescent="0.15">
      <c r="A5" s="66" t="str">
        <f ca="1">IFERROR(__xludf.DUMMYFUNCTION("""COMPUTED_VALUE"""),"Sprint 2021 ")</f>
        <v xml:space="preserve">Sprint 2021 </v>
      </c>
      <c r="B5" s="66" t="str">
        <f ca="1">IFERROR(__xludf.DUMMYFUNCTION("""COMPUTED_VALUE"""),"24 hours")</f>
        <v>24 hours</v>
      </c>
      <c r="C5" s="67">
        <f ca="1">IFERROR(__xludf.DUMMYFUNCTION("""COMPUTED_VALUE"""),44240)</f>
        <v>44240</v>
      </c>
      <c r="D5" s="67">
        <f ca="1">IFERROR(__xludf.DUMMYFUNCTION("""COMPUTED_VALUE"""),44241)</f>
        <v>44241</v>
      </c>
      <c r="E5" s="66">
        <f ca="1">IFERROR(__xludf.DUMMYFUNCTION("""COMPUTED_VALUE"""),58)</f>
        <v>58</v>
      </c>
      <c r="F5" s="66" t="str">
        <f ca="1">IFERROR(__xludf.DUMMYFUNCTION("""COMPUTED_VALUE"""),"Sripath roy(Gen. Secretary, Swecha AP) ")</f>
        <v xml:space="preserve">Sripath roy(Gen. Secretary, Swecha AP) </v>
      </c>
      <c r="G5" s="66" t="str">
        <f ca="1">IFERROR(__xludf.DUMMYFUNCTION("""COMPUTED_VALUE"""),"M. Vamsi Krishna")</f>
        <v>M. Vamsi Krishna</v>
      </c>
      <c r="H5" s="66">
        <f ca="1">IFERROR(__xludf.DUMMYFUNCTION("""COMPUTED_VALUE"""),0)</f>
        <v>0</v>
      </c>
      <c r="I5" s="66">
        <f ca="1">IFERROR(__xludf.DUMMYFUNCTION("""COMPUTED_VALUE"""),0)</f>
        <v>0</v>
      </c>
      <c r="J5" s="66">
        <f ca="1">IFERROR(__xludf.DUMMYFUNCTION("""COMPUTED_VALUE"""),0)</f>
        <v>0</v>
      </c>
      <c r="K5" s="68" t="str">
        <f ca="1">IFERROR(__xludf.DUMMYFUNCTION("""COMPUTED_VALUE"""),"https://drive.google.com/open?id=1LoHF43KbwnVo_okD5d4L7957XnqQvQmj")</f>
        <v>https://drive.google.com/open?id=1LoHF43KbwnVo_okD5d4L7957XnqQvQmj</v>
      </c>
      <c r="L5" s="66" t="str">
        <f ca="1">IFERROR(__xludf.DUMMYFUNCTION("""COMPUTED_VALUE"""),"3")</f>
        <v>3</v>
      </c>
      <c r="M5" s="66" t="str">
        <f ca="1">IFERROR(__xludf.DUMMYFUNCTION("""COMPUTED_VALUE"""),"S8: Student Events Organized")</f>
        <v>S8: Student Events Organized</v>
      </c>
      <c r="N5" s="66" t="str">
        <f ca="1">IFERROR(__xludf.DUMMYFUNCTION("""COMPUTED_VALUE"""),"mvamsi@mvgrce.edu.in")</f>
        <v>mvamsi@mvgrce.edu.in</v>
      </c>
      <c r="O5" s="66"/>
      <c r="P5" s="69"/>
      <c r="Q5" s="69"/>
      <c r="R5" s="69"/>
      <c r="S5" s="69"/>
      <c r="T5" s="69"/>
      <c r="U5" s="69"/>
      <c r="V5" s="69"/>
      <c r="W5" s="69"/>
      <c r="X5" s="69"/>
      <c r="Y5" s="69"/>
    </row>
    <row r="6" spans="1:25" ht="33" customHeight="1" x14ac:dyDescent="0.15">
      <c r="A6" s="66" t="str">
        <f ca="1">IFERROR(__xludf.DUMMYFUNCTION("""COMPUTED_VALUE"""),"Cisco Women Rock-IT ")</f>
        <v xml:space="preserve">Cisco Women Rock-IT </v>
      </c>
      <c r="B6" s="66" t="str">
        <f ca="1">IFERROR(__xludf.DUMMYFUNCTION("""COMPUTED_VALUE"""),"1 day")</f>
        <v>1 day</v>
      </c>
      <c r="C6" s="67">
        <f ca="1">IFERROR(__xludf.DUMMYFUNCTION("""COMPUTED_VALUE"""),44469)</f>
        <v>44469</v>
      </c>
      <c r="D6" s="67">
        <f ca="1">IFERROR(__xludf.DUMMYFUNCTION("""COMPUTED_VALUE"""),44469)</f>
        <v>44469</v>
      </c>
      <c r="E6" s="66">
        <f ca="1">IFERROR(__xludf.DUMMYFUNCTION("""COMPUTED_VALUE"""),60)</f>
        <v>60</v>
      </c>
      <c r="F6" s="66" t="str">
        <f ca="1">IFERROR(__xludf.DUMMYFUNCTION("""COMPUTED_VALUE"""),"Corien Vermaak, Swati Handa")</f>
        <v>Corien Vermaak, Swati Handa</v>
      </c>
      <c r="G6" s="66" t="str">
        <f ca="1">IFERROR(__xludf.DUMMYFUNCTION("""COMPUTED_VALUE"""),"Mrs B.Sujata")</f>
        <v>Mrs B.Sujata</v>
      </c>
      <c r="H6" s="66">
        <f ca="1">IFERROR(__xludf.DUMMYFUNCTION("""COMPUTED_VALUE"""),1400)</f>
        <v>1400</v>
      </c>
      <c r="I6" s="66">
        <f ca="1">IFERROR(__xludf.DUMMYFUNCTION("""COMPUTED_VALUE"""),1400)</f>
        <v>1400</v>
      </c>
      <c r="J6" s="66">
        <f ca="1">IFERROR(__xludf.DUMMYFUNCTION("""COMPUTED_VALUE"""),1400)</f>
        <v>1400</v>
      </c>
      <c r="K6" s="68" t="str">
        <f ca="1">IFERROR(__xludf.DUMMYFUNCTION("""COMPUTED_VALUE"""),"https://drive.google.com/open?id=1qg0PxyqcGhx6JTmOlDsBiPQ91aW-JAjo")</f>
        <v>https://drive.google.com/open?id=1qg0PxyqcGhx6JTmOlDsBiPQ91aW-JAjo</v>
      </c>
      <c r="L6" s="66" t="str">
        <f ca="1">IFERROR(__xludf.DUMMYFUNCTION("""COMPUTED_VALUE"""),"5")</f>
        <v>5</v>
      </c>
      <c r="M6" s="66" t="str">
        <f ca="1">IFERROR(__xludf.DUMMYFUNCTION("""COMPUTED_VALUE"""),"S8: Student Events Organized")</f>
        <v>S8: Student Events Organized</v>
      </c>
      <c r="N6" s="66" t="str">
        <f ca="1">IFERROR(__xludf.DUMMYFUNCTION("""COMPUTED_VALUE"""),"bsujata@mvgrce.edu.in")</f>
        <v>bsujata@mvgrce.edu.in</v>
      </c>
      <c r="O6" s="66"/>
      <c r="P6" s="69"/>
      <c r="Q6" s="69"/>
      <c r="R6" s="69"/>
      <c r="S6" s="69"/>
      <c r="T6" s="69"/>
      <c r="U6" s="69"/>
      <c r="V6" s="69"/>
      <c r="W6" s="69"/>
      <c r="X6" s="69"/>
      <c r="Y6" s="69"/>
    </row>
    <row r="7" spans="1:25" ht="33" customHeight="1" x14ac:dyDescent="0.15">
      <c r="A7" s="66" t="str">
        <f ca="1">IFERROR(__xludf.DUMMYFUNCTION("""COMPUTED_VALUE"""),"Registration and Orientation Program on Hacker Rank &amp; Hacker Earth Coding Platforms")</f>
        <v>Registration and Orientation Program on Hacker Rank &amp; Hacker Earth Coding Platforms</v>
      </c>
      <c r="B7" s="66" t="str">
        <f ca="1">IFERROR(__xludf.DUMMYFUNCTION("""COMPUTED_VALUE"""),"2hrs")</f>
        <v>2hrs</v>
      </c>
      <c r="C7" s="67">
        <f ca="1">IFERROR(__xludf.DUMMYFUNCTION("""COMPUTED_VALUE"""),44492)</f>
        <v>44492</v>
      </c>
      <c r="D7" s="67">
        <f ca="1">IFERROR(__xludf.DUMMYFUNCTION("""COMPUTED_VALUE"""),44492)</f>
        <v>44492</v>
      </c>
      <c r="E7" s="66">
        <f ca="1">IFERROR(__xludf.DUMMYFUNCTION("""COMPUTED_VALUE"""),114)</f>
        <v>114</v>
      </c>
      <c r="F7" s="66" t="str">
        <f ca="1">IFERROR(__xludf.DUMMYFUNCTION("""COMPUTED_VALUE"""),"Mr. K. Suraj Varma")</f>
        <v>Mr. K. Suraj Varma</v>
      </c>
      <c r="G7" s="66" t="str">
        <f ca="1">IFERROR(__xludf.DUMMYFUNCTION("""COMPUTED_VALUE"""),"Mr. K. Leela Prasad")</f>
        <v>Mr. K. Leela Prasad</v>
      </c>
      <c r="H7" s="66">
        <f ca="1">IFERROR(__xludf.DUMMYFUNCTION("""COMPUTED_VALUE"""),0)</f>
        <v>0</v>
      </c>
      <c r="I7" s="66"/>
      <c r="J7" s="66"/>
      <c r="K7" s="68" t="str">
        <f ca="1">IFERROR(__xludf.DUMMYFUNCTION("""COMPUTED_VALUE"""),"https://drive.google.com/open?id=14_kjEFWXuvWr-8EVjs6NZleSOjYppHsb")</f>
        <v>https://drive.google.com/open?id=14_kjEFWXuvWr-8EVjs6NZleSOjYppHsb</v>
      </c>
      <c r="L7" s="66" t="str">
        <f ca="1">IFERROR(__xludf.DUMMYFUNCTION("""COMPUTED_VALUE"""),"3")</f>
        <v>3</v>
      </c>
      <c r="M7" s="66" t="str">
        <f ca="1">IFERROR(__xludf.DUMMYFUNCTION("""COMPUTED_VALUE"""),"S8: Student Events Organized")</f>
        <v>S8: Student Events Organized</v>
      </c>
      <c r="N7" s="66" t="str">
        <f ca="1">IFERROR(__xludf.DUMMYFUNCTION("""COMPUTED_VALUE"""),"placementcse@mvgrce.edu.in")</f>
        <v>placementcse@mvgrce.edu.in</v>
      </c>
      <c r="O7" s="66"/>
      <c r="P7" s="69"/>
      <c r="Q7" s="69"/>
      <c r="R7" s="69"/>
      <c r="S7" s="69"/>
      <c r="T7" s="69"/>
      <c r="U7" s="69"/>
      <c r="V7" s="69"/>
      <c r="W7" s="69"/>
      <c r="X7" s="69"/>
      <c r="Y7" s="69"/>
    </row>
    <row r="8" spans="1:25" ht="33" customHeight="1" x14ac:dyDescent="0.15">
      <c r="A8" s="66" t="str">
        <f ca="1">IFERROR(__xludf.DUMMYFUNCTION("""COMPUTED_VALUE"""),"WOMEN'S DAY")</f>
        <v>WOMEN'S DAY</v>
      </c>
      <c r="B8" s="66" t="str">
        <f ca="1">IFERROR(__xludf.DUMMYFUNCTION("""COMPUTED_VALUE"""),"1")</f>
        <v>1</v>
      </c>
      <c r="C8" s="67">
        <f ca="1">IFERROR(__xludf.DUMMYFUNCTION("""COMPUTED_VALUE"""),44628)</f>
        <v>44628</v>
      </c>
      <c r="D8" s="67">
        <f ca="1">IFERROR(__xludf.DUMMYFUNCTION("""COMPUTED_VALUE"""),44628)</f>
        <v>44628</v>
      </c>
      <c r="E8" s="66">
        <f ca="1">IFERROR(__xludf.DUMMYFUNCTION("""COMPUTED_VALUE"""),14)</f>
        <v>14</v>
      </c>
      <c r="F8" s="66" t="str">
        <f ca="1">IFERROR(__xludf.DUMMYFUNCTION("""COMPUTED_VALUE"""),"MVGR Alumni ")</f>
        <v xml:space="preserve">MVGR Alumni </v>
      </c>
      <c r="G8" s="66" t="str">
        <f ca="1">IFERROR(__xludf.DUMMYFUNCTION("""COMPUTED_VALUE"""),"M.B.Rani")</f>
        <v>M.B.Rani</v>
      </c>
      <c r="H8" s="66">
        <f ca="1">IFERROR(__xludf.DUMMYFUNCTION("""COMPUTED_VALUE"""),0)</f>
        <v>0</v>
      </c>
      <c r="I8" s="66">
        <f ca="1">IFERROR(__xludf.DUMMYFUNCTION("""COMPUTED_VALUE"""),0)</f>
        <v>0</v>
      </c>
      <c r="J8" s="66">
        <f ca="1">IFERROR(__xludf.DUMMYFUNCTION("""COMPUTED_VALUE"""),0)</f>
        <v>0</v>
      </c>
      <c r="K8" s="68" t="str">
        <f ca="1">IFERROR(__xludf.DUMMYFUNCTION("""COMPUTED_VALUE"""),"https://drive.google.com/open?id=1JdfIuSWEbOy-mVPSaH9DMtIU1XBJuDkC")</f>
        <v>https://drive.google.com/open?id=1JdfIuSWEbOy-mVPSaH9DMtIU1XBJuDkC</v>
      </c>
      <c r="L8" s="66" t="str">
        <f ca="1">IFERROR(__xludf.DUMMYFUNCTION("""COMPUTED_VALUE"""),"2019-2023")</f>
        <v>2019-2023</v>
      </c>
      <c r="M8" s="66" t="str">
        <f ca="1">IFERROR(__xludf.DUMMYFUNCTION("""COMPUTED_VALUE"""),"S8: Student Events Organized")</f>
        <v>S8: Student Events Organized</v>
      </c>
      <c r="N8" s="66" t="str">
        <f ca="1">IFERROR(__xludf.DUMMYFUNCTION("""COMPUTED_VALUE"""),"mbrani@mvgrce.edu.in")</f>
        <v>mbrani@mvgrce.edu.in</v>
      </c>
      <c r="O8" s="66" t="str">
        <f ca="1">IFERROR(__xludf.DUMMYFUNCTION("""COMPUTED_VALUE"""),"SEM-6")</f>
        <v>SEM-6</v>
      </c>
      <c r="P8" s="69"/>
      <c r="Q8" s="69"/>
      <c r="R8" s="69"/>
      <c r="S8" s="69"/>
      <c r="T8" s="69"/>
      <c r="U8" s="69"/>
      <c r="V8" s="69"/>
      <c r="W8" s="69"/>
      <c r="X8" s="69"/>
      <c r="Y8" s="69"/>
    </row>
    <row r="9" spans="1:25" ht="33" customHeight="1" x14ac:dyDescent="0.15">
      <c r="A9" s="66" t="str">
        <f ca="1">IFERROR(__xludf.DUMMYFUNCTION("""COMPUTED_VALUE"""),"BOOT CAMP")</f>
        <v>BOOT CAMP</v>
      </c>
      <c r="B9" s="66" t="str">
        <f ca="1">IFERROR(__xludf.DUMMYFUNCTION("""COMPUTED_VALUE"""),"2 DAYS")</f>
        <v>2 DAYS</v>
      </c>
      <c r="C9" s="67">
        <f ca="1">IFERROR(__xludf.DUMMYFUNCTION("""COMPUTED_VALUE"""),44513)</f>
        <v>44513</v>
      </c>
      <c r="D9" s="67">
        <f ca="1">IFERROR(__xludf.DUMMYFUNCTION("""COMPUTED_VALUE"""),44514)</f>
        <v>44514</v>
      </c>
      <c r="E9" s="66">
        <f ca="1">IFERROR(__xludf.DUMMYFUNCTION("""COMPUTED_VALUE"""),27)</f>
        <v>27</v>
      </c>
      <c r="F9" s="66" t="str">
        <f ca="1">IFERROR(__xludf.DUMMYFUNCTION("""COMPUTED_VALUE"""),"Mr. K. Sai Kumar(TCS), Mr. K. Hemanth(Amazon), Ms. P. L. Prasanna(Amazon), Mr. Rama Reddy(Amazon), Mr. K. Rupeshwar and Mr. K. Suraj")</f>
        <v>Mr. K. Sai Kumar(TCS), Mr. K. Hemanth(Amazon), Ms. P. L. Prasanna(Amazon), Mr. Rama Reddy(Amazon), Mr. K. Rupeshwar and Mr. K. Suraj</v>
      </c>
      <c r="G9" s="66" t="str">
        <f ca="1">IFERROR(__xludf.DUMMYFUNCTION("""COMPUTED_VALUE"""),"M.Vamsi Krishna")</f>
        <v>M.Vamsi Krishna</v>
      </c>
      <c r="H9" s="66"/>
      <c r="I9" s="66"/>
      <c r="J9" s="66"/>
      <c r="K9" s="68" t="str">
        <f ca="1">IFERROR(__xludf.DUMMYFUNCTION("""COMPUTED_VALUE"""),"https://drive.google.com/open?id=1BEZt90cEEdzOA0qkKyqNAyG_fheG72hZ")</f>
        <v>https://drive.google.com/open?id=1BEZt90cEEdzOA0qkKyqNAyG_fheG72hZ</v>
      </c>
      <c r="L9" s="66" t="str">
        <f ca="1">IFERROR(__xludf.DUMMYFUNCTION("""COMPUTED_VALUE"""),"2019-2023")</f>
        <v>2019-2023</v>
      </c>
      <c r="M9" s="66" t="str">
        <f ca="1">IFERROR(__xludf.DUMMYFUNCTION("""COMPUTED_VALUE"""),"S8: Student Events Organized")</f>
        <v>S8: Student Events Organized</v>
      </c>
      <c r="N9" s="66" t="str">
        <f ca="1">IFERROR(__xludf.DUMMYFUNCTION("""COMPUTED_VALUE"""),"mvamsi@mvgrce.edu.in")</f>
        <v>mvamsi@mvgrce.edu.in</v>
      </c>
      <c r="O9" s="66" t="str">
        <f ca="1">IFERROR(__xludf.DUMMYFUNCTION("""COMPUTED_VALUE"""),"SEM-6")</f>
        <v>SEM-6</v>
      </c>
      <c r="P9" s="69"/>
      <c r="Q9" s="69"/>
      <c r="R9" s="69"/>
      <c r="S9" s="69"/>
      <c r="T9" s="69"/>
      <c r="U9" s="69"/>
      <c r="V9" s="69"/>
      <c r="W9" s="69"/>
      <c r="X9" s="69"/>
      <c r="Y9" s="69"/>
    </row>
    <row r="10" spans="1:25" ht="33" customHeight="1" x14ac:dyDescent="0.15">
      <c r="A10" s="66" t="str">
        <f ca="1">IFERROR(__xludf.DUMMYFUNCTION("""COMPUTED_VALUE"""),"Sathwick Sadanala ")</f>
        <v xml:space="preserve">Sathwick Sadanala </v>
      </c>
      <c r="B10" s="66" t="str">
        <f ca="1">IFERROR(__xludf.DUMMYFUNCTION("""COMPUTED_VALUE"""),"3days")</f>
        <v>3days</v>
      </c>
      <c r="C10" s="67">
        <f ca="1">IFERROR(__xludf.DUMMYFUNCTION("""COMPUTED_VALUE"""),43798)</f>
        <v>43798</v>
      </c>
      <c r="D10" s="67">
        <f ca="1">IFERROR(__xludf.DUMMYFUNCTION("""COMPUTED_VALUE"""),43800)</f>
        <v>43800</v>
      </c>
      <c r="E10" s="66">
        <f ca="1">IFERROR(__xludf.DUMMYFUNCTION("""COMPUTED_VALUE"""),100)</f>
        <v>100</v>
      </c>
      <c r="F10" s="66" t="str">
        <f ca="1">IFERROR(__xludf.DUMMYFUNCTION("""COMPUTED_VALUE"""),"Vamsi sir(swecha member)")</f>
        <v>Vamsi sir(swecha member)</v>
      </c>
      <c r="G10" s="66" t="str">
        <f ca="1">IFERROR(__xludf.DUMMYFUNCTION("""COMPUTED_VALUE"""),"M.Vamsi Krishna")</f>
        <v>M.Vamsi Krishna</v>
      </c>
      <c r="H10" s="66"/>
      <c r="I10" s="66"/>
      <c r="J10" s="66"/>
      <c r="K10" s="68" t="str">
        <f ca="1">IFERROR(__xludf.DUMMYFUNCTION("""COMPUTED_VALUE"""),"https://drive.google.com/open?id=1d3CJEwqnnG0DPf8lZ3jX3U-orHJ8_B2K")</f>
        <v>https://drive.google.com/open?id=1d3CJEwqnnG0DPf8lZ3jX3U-orHJ8_B2K</v>
      </c>
      <c r="L10" s="66" t="str">
        <f ca="1">IFERROR(__xludf.DUMMYFUNCTION("""COMPUTED_VALUE"""),"2018-2022")</f>
        <v>2018-2022</v>
      </c>
      <c r="M10" s="66" t="str">
        <f ca="1">IFERROR(__xludf.DUMMYFUNCTION("""COMPUTED_VALUE"""),"S8: Student Events Organized")</f>
        <v>S8: Student Events Organized</v>
      </c>
      <c r="N10" s="66" t="str">
        <f ca="1">IFERROR(__xludf.DUMMYFUNCTION("""COMPUTED_VALUE"""),"sadanalasathwick@gmail.com")</f>
        <v>sadanalasathwick@gmail.com</v>
      </c>
      <c r="O10" s="66" t="str">
        <f ca="1">IFERROR(__xludf.DUMMYFUNCTION("""COMPUTED_VALUE"""),"SEM-2")</f>
        <v>SEM-2</v>
      </c>
      <c r="P10" s="69"/>
      <c r="Q10" s="69"/>
      <c r="R10" s="69"/>
      <c r="S10" s="69"/>
      <c r="T10" s="69"/>
      <c r="U10" s="69"/>
      <c r="V10" s="69"/>
      <c r="W10" s="69"/>
      <c r="X10" s="69"/>
      <c r="Y10" s="69"/>
    </row>
    <row r="11" spans="1:25" ht="33" customHeight="1" x14ac:dyDescent="0.15">
      <c r="A11" s="66" t="str">
        <f ca="1">IFERROR(__xludf.DUMMYFUNCTION("""COMPUTED_VALUE"""),"Mallavarapu Tejaswi")</f>
        <v>Mallavarapu Tejaswi</v>
      </c>
      <c r="B11" s="66" t="str">
        <f ca="1">IFERROR(__xludf.DUMMYFUNCTION("""COMPUTED_VALUE"""),"1")</f>
        <v>1</v>
      </c>
      <c r="C11" s="67">
        <f ca="1">IFERROR(__xludf.DUMMYFUNCTION("""COMPUTED_VALUE"""),44469)</f>
        <v>44469</v>
      </c>
      <c r="D11" s="67">
        <f ca="1">IFERROR(__xludf.DUMMYFUNCTION("""COMPUTED_VALUE"""),44469)</f>
        <v>44469</v>
      </c>
      <c r="E11" s="66">
        <f ca="1">IFERROR(__xludf.DUMMYFUNCTION("""COMPUTED_VALUE"""),150)</f>
        <v>150</v>
      </c>
      <c r="F11" s="66" t="str">
        <f ca="1">IFERROR(__xludf.DUMMYFUNCTION("""COMPUTED_VALUE"""),"Mvgr Dean ")</f>
        <v xml:space="preserve">Mvgr Dean </v>
      </c>
      <c r="G11" s="66" t="str">
        <f ca="1">IFERROR(__xludf.DUMMYFUNCTION("""COMPUTED_VALUE"""),"B.Sujatha")</f>
        <v>B.Sujatha</v>
      </c>
      <c r="H11" s="66"/>
      <c r="I11" s="66"/>
      <c r="J11" s="66"/>
      <c r="K11" s="68" t="str">
        <f ca="1">IFERROR(__xludf.DUMMYFUNCTION("""COMPUTED_VALUE"""),"https://drive.google.com/open?id=1GbkxbsFGmye-z56y_xPiRNG9eToM2ch7")</f>
        <v>https://drive.google.com/open?id=1GbkxbsFGmye-z56y_xPiRNG9eToM2ch7</v>
      </c>
      <c r="L11" s="66" t="str">
        <f ca="1">IFERROR(__xludf.DUMMYFUNCTION("""COMPUTED_VALUE"""),"2018-2022")</f>
        <v>2018-2022</v>
      </c>
      <c r="M11" s="66" t="str">
        <f ca="1">IFERROR(__xludf.DUMMYFUNCTION("""COMPUTED_VALUE"""),"S8: Student Events Organized")</f>
        <v>S8: Student Events Organized</v>
      </c>
      <c r="N11" s="66" t="str">
        <f ca="1">IFERROR(__xludf.DUMMYFUNCTION("""COMPUTED_VALUE"""),"Mallavarapu.tejaswi@gmail.com")</f>
        <v>Mallavarapu.tejaswi@gmail.com</v>
      </c>
      <c r="O11" s="66" t="str">
        <f ca="1">IFERROR(__xludf.DUMMYFUNCTION("""COMPUTED_VALUE"""),"SEM-8")</f>
        <v>SEM-8</v>
      </c>
      <c r="P11" s="69"/>
      <c r="Q11" s="69"/>
      <c r="R11" s="69"/>
      <c r="S11" s="69"/>
      <c r="T11" s="69"/>
      <c r="U11" s="69"/>
      <c r="V11" s="69"/>
      <c r="W11" s="69"/>
      <c r="X11" s="69"/>
      <c r="Y11" s="69"/>
    </row>
    <row r="12" spans="1:25" ht="33" customHeight="1" x14ac:dyDescent="0.15">
      <c r="A12" s="66" t="str">
        <f ca="1">IFERROR(__xludf.DUMMYFUNCTION("""COMPUTED_VALUE"""),"Manas Trang")</f>
        <v>Manas Trang</v>
      </c>
      <c r="B12" s="66" t="str">
        <f ca="1">IFERROR(__xludf.DUMMYFUNCTION("""COMPUTED_VALUE"""),"3 weeks")</f>
        <v>3 weeks</v>
      </c>
      <c r="C12" s="67">
        <f ca="1">IFERROR(__xludf.DUMMYFUNCTION("""COMPUTED_VALUE"""),43513)</f>
        <v>43513</v>
      </c>
      <c r="D12" s="67">
        <f ca="1">IFERROR(__xludf.DUMMYFUNCTION("""COMPUTED_VALUE"""),43527)</f>
        <v>43527</v>
      </c>
      <c r="E12" s="66">
        <f ca="1">IFERROR(__xludf.DUMMYFUNCTION("""COMPUTED_VALUE"""),100)</f>
        <v>100</v>
      </c>
      <c r="F12" s="66" t="str">
        <f ca="1">IFERROR(__xludf.DUMMYFUNCTION("""COMPUTED_VALUE"""),"Y.M.C.Shekar")</f>
        <v>Y.M.C.Shekar</v>
      </c>
      <c r="G12" s="66" t="str">
        <f ca="1">IFERROR(__xludf.DUMMYFUNCTION("""COMPUTED_VALUE"""),"M. Vamsi Krishna")</f>
        <v>M. Vamsi Krishna</v>
      </c>
      <c r="H12" s="66"/>
      <c r="I12" s="66"/>
      <c r="J12" s="66"/>
      <c r="K12" s="68" t="str">
        <f ca="1">IFERROR(__xludf.DUMMYFUNCTION("""COMPUTED_VALUE"""),"https://drive.google.com/open?id=1PxUOyyuy2MDilQIZtpCG6-BGaxfslHXc")</f>
        <v>https://drive.google.com/open?id=1PxUOyyuy2MDilQIZtpCG6-BGaxfslHXc</v>
      </c>
      <c r="L12" s="66" t="str">
        <f ca="1">IFERROR(__xludf.DUMMYFUNCTION("""COMPUTED_VALUE"""),"2018-2022")</f>
        <v>2018-2022</v>
      </c>
      <c r="M12" s="66" t="str">
        <f ca="1">IFERROR(__xludf.DUMMYFUNCTION("""COMPUTED_VALUE"""),"S8: Student Events Organized")</f>
        <v>S8: Student Events Organized</v>
      </c>
      <c r="N12" s="66" t="str">
        <f ca="1">IFERROR(__xludf.DUMMYFUNCTION("""COMPUTED_VALUE"""),"jaswanth.vjp13@gmail.com")</f>
        <v>jaswanth.vjp13@gmail.com</v>
      </c>
      <c r="O12" s="66" t="str">
        <f ca="1">IFERROR(__xludf.DUMMYFUNCTION("""COMPUTED_VALUE"""),"SEM-2")</f>
        <v>SEM-2</v>
      </c>
      <c r="P12" s="69"/>
      <c r="Q12" s="69"/>
      <c r="R12" s="69"/>
      <c r="S12" s="69"/>
      <c r="T12" s="69"/>
      <c r="U12" s="69"/>
      <c r="V12" s="69"/>
      <c r="W12" s="69"/>
      <c r="X12" s="69"/>
      <c r="Y12" s="69"/>
    </row>
    <row r="13" spans="1:25" ht="33" customHeight="1" x14ac:dyDescent="0.15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9"/>
      <c r="Q13" s="9"/>
      <c r="R13" s="9"/>
      <c r="S13" s="9"/>
      <c r="T13" s="9"/>
      <c r="U13" s="9"/>
      <c r="V13" s="9"/>
      <c r="W13" s="9"/>
      <c r="X13" s="9"/>
      <c r="Y13" s="9"/>
    </row>
    <row r="14" spans="1:25" ht="33" customHeight="1" x14ac:dyDescent="0.15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</row>
    <row r="15" spans="1:25" ht="33" customHeight="1" x14ac:dyDescent="0.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</row>
    <row r="16" spans="1:25" ht="33" customHeight="1" x14ac:dyDescent="0.15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</row>
    <row r="17" spans="1:25" ht="33" customHeight="1" x14ac:dyDescent="0.15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</row>
    <row r="18" spans="1:25" ht="33" customHeight="1" x14ac:dyDescent="0.15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</row>
    <row r="19" spans="1:25" ht="33" customHeight="1" x14ac:dyDescent="0.15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</row>
    <row r="20" spans="1:25" ht="33" customHeight="1" x14ac:dyDescent="0.15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</row>
    <row r="21" spans="1:25" ht="33" customHeight="1" x14ac:dyDescent="0.15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</row>
    <row r="22" spans="1:25" ht="33" customHeight="1" x14ac:dyDescent="0.15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</row>
    <row r="23" spans="1:25" ht="33" customHeight="1" x14ac:dyDescent="0.15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</row>
    <row r="24" spans="1:25" ht="33" customHeight="1" x14ac:dyDescent="0.15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</row>
    <row r="25" spans="1:25" ht="33" customHeight="1" x14ac:dyDescent="0.1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</row>
    <row r="26" spans="1:25" ht="33" customHeight="1" x14ac:dyDescent="0.15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</row>
    <row r="27" spans="1:25" ht="33" customHeight="1" x14ac:dyDescent="0.15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</row>
    <row r="28" spans="1:25" ht="33" customHeight="1" x14ac:dyDescent="0.15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</row>
    <row r="29" spans="1:25" ht="33" customHeight="1" x14ac:dyDescent="0.15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</row>
    <row r="30" spans="1:25" ht="33" customHeight="1" x14ac:dyDescent="0.15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</row>
    <row r="31" spans="1:25" ht="33" customHeight="1" x14ac:dyDescent="0.1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</row>
    <row r="32" spans="1:25" ht="33" customHeight="1" x14ac:dyDescent="0.1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</row>
    <row r="33" spans="1:25" ht="33" customHeight="1" x14ac:dyDescent="0.1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</row>
    <row r="34" spans="1:25" ht="33" customHeight="1" x14ac:dyDescent="0.1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</row>
    <row r="35" spans="1:25" ht="33" customHeight="1" x14ac:dyDescent="0.1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</row>
    <row r="36" spans="1:25" ht="33" customHeight="1" x14ac:dyDescent="0.1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</row>
    <row r="37" spans="1:25" ht="33" customHeight="1" x14ac:dyDescent="0.1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</row>
    <row r="38" spans="1:25" ht="33" customHeight="1" x14ac:dyDescent="0.1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</row>
    <row r="39" spans="1:25" ht="33" customHeight="1" x14ac:dyDescent="0.1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</row>
    <row r="40" spans="1:25" ht="33" customHeight="1" x14ac:dyDescent="0.1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</row>
    <row r="41" spans="1:25" ht="33" customHeight="1" x14ac:dyDescent="0.1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</row>
    <row r="42" spans="1:25" ht="33" customHeight="1" x14ac:dyDescent="0.1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</row>
    <row r="43" spans="1:25" ht="33" customHeight="1" x14ac:dyDescent="0.1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</row>
    <row r="44" spans="1:25" ht="33" customHeight="1" x14ac:dyDescent="0.1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</row>
    <row r="45" spans="1:25" ht="33" customHeight="1" x14ac:dyDescent="0.1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</row>
    <row r="46" spans="1:25" ht="33" customHeight="1" x14ac:dyDescent="0.1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</row>
    <row r="47" spans="1:25" ht="33" customHeight="1" x14ac:dyDescent="0.1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</row>
    <row r="48" spans="1:25" ht="33" customHeight="1" x14ac:dyDescent="0.1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</row>
    <row r="49" spans="1:25" ht="33" customHeight="1" x14ac:dyDescent="0.1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</row>
    <row r="50" spans="1:25" ht="33" customHeight="1" x14ac:dyDescent="0.1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</row>
    <row r="51" spans="1:25" ht="33" customHeight="1" x14ac:dyDescent="0.1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</row>
    <row r="52" spans="1:25" ht="33" customHeight="1" x14ac:dyDescent="0.1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</row>
    <row r="53" spans="1:25" ht="33" customHeight="1" x14ac:dyDescent="0.1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</row>
    <row r="54" spans="1:25" ht="33" customHeight="1" x14ac:dyDescent="0.1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</row>
    <row r="55" spans="1:25" ht="33" customHeight="1" x14ac:dyDescent="0.1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</row>
    <row r="56" spans="1:25" ht="33" customHeight="1" x14ac:dyDescent="0.1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</row>
    <row r="57" spans="1:25" ht="33" customHeight="1" x14ac:dyDescent="0.1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</row>
    <row r="58" spans="1:25" ht="33" customHeight="1" x14ac:dyDescent="0.1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</row>
    <row r="59" spans="1:25" ht="33" customHeight="1" x14ac:dyDescent="0.1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</row>
    <row r="60" spans="1:25" ht="33" customHeight="1" x14ac:dyDescent="0.1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</row>
    <row r="61" spans="1:25" ht="33" customHeight="1" x14ac:dyDescent="0.1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</row>
    <row r="62" spans="1:25" ht="33" customHeight="1" x14ac:dyDescent="0.1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</row>
    <row r="63" spans="1:25" ht="33" customHeight="1" x14ac:dyDescent="0.1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</row>
    <row r="64" spans="1:25" ht="33" customHeight="1" x14ac:dyDescent="0.1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</row>
    <row r="65" spans="1:25" ht="33" customHeight="1" x14ac:dyDescent="0.1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</row>
    <row r="66" spans="1:25" ht="33" customHeight="1" x14ac:dyDescent="0.1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</row>
    <row r="67" spans="1:25" ht="33" customHeight="1" x14ac:dyDescent="0.1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</row>
    <row r="68" spans="1:25" ht="33" customHeight="1" x14ac:dyDescent="0.1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</row>
    <row r="69" spans="1:25" ht="33" customHeight="1" x14ac:dyDescent="0.1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</row>
    <row r="70" spans="1:25" ht="33" customHeight="1" x14ac:dyDescent="0.1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</row>
    <row r="71" spans="1:25" ht="33" customHeight="1" x14ac:dyDescent="0.1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</row>
    <row r="72" spans="1:25" ht="33" customHeight="1" x14ac:dyDescent="0.1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</row>
    <row r="73" spans="1:25" ht="33" customHeight="1" x14ac:dyDescent="0.1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</row>
    <row r="74" spans="1:25" ht="33" customHeight="1" x14ac:dyDescent="0.1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</row>
    <row r="75" spans="1:25" ht="33" customHeight="1" x14ac:dyDescent="0.1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</row>
    <row r="76" spans="1:25" ht="33" customHeight="1" x14ac:dyDescent="0.1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</row>
    <row r="77" spans="1:25" ht="33" customHeight="1" x14ac:dyDescent="0.1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</row>
    <row r="78" spans="1:25" ht="33" customHeight="1" x14ac:dyDescent="0.1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</row>
    <row r="79" spans="1:25" ht="33" customHeight="1" x14ac:dyDescent="0.1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</row>
    <row r="80" spans="1:25" ht="33" customHeight="1" x14ac:dyDescent="0.1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</row>
    <row r="81" spans="1:25" ht="33" customHeight="1" x14ac:dyDescent="0.1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</row>
    <row r="82" spans="1:25" ht="33" customHeight="1" x14ac:dyDescent="0.1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</row>
    <row r="83" spans="1:25" ht="33" customHeight="1" x14ac:dyDescent="0.1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</row>
    <row r="84" spans="1:25" ht="33" customHeight="1" x14ac:dyDescent="0.1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</row>
    <row r="85" spans="1:25" ht="33" customHeight="1" x14ac:dyDescent="0.1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</row>
    <row r="86" spans="1:25" ht="33" customHeight="1" x14ac:dyDescent="0.1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</row>
    <row r="87" spans="1:25" ht="33" customHeight="1" x14ac:dyDescent="0.1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</row>
    <row r="88" spans="1:25" ht="33" customHeight="1" x14ac:dyDescent="0.1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</row>
    <row r="89" spans="1:25" ht="33" customHeight="1" x14ac:dyDescent="0.1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</row>
    <row r="90" spans="1:25" ht="33" customHeight="1" x14ac:dyDescent="0.1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</row>
    <row r="91" spans="1:25" ht="33" customHeight="1" x14ac:dyDescent="0.1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</row>
    <row r="92" spans="1:25" ht="33" customHeight="1" x14ac:dyDescent="0.1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</row>
    <row r="93" spans="1:25" ht="33" customHeight="1" x14ac:dyDescent="0.1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</row>
    <row r="94" spans="1:25" ht="33" customHeight="1" x14ac:dyDescent="0.1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</row>
    <row r="95" spans="1:25" ht="33" customHeight="1" x14ac:dyDescent="0.1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</row>
    <row r="96" spans="1:25" ht="33" customHeight="1" x14ac:dyDescent="0.1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</row>
    <row r="97" spans="1:25" ht="33" customHeight="1" x14ac:dyDescent="0.1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</row>
    <row r="98" spans="1:25" ht="33" customHeight="1" x14ac:dyDescent="0.1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</row>
    <row r="99" spans="1:25" ht="33" customHeight="1" x14ac:dyDescent="0.1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</row>
    <row r="100" spans="1:25" ht="33" customHeight="1" x14ac:dyDescent="0.1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</row>
    <row r="101" spans="1:25" ht="33" customHeight="1" x14ac:dyDescent="0.1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</row>
    <row r="102" spans="1:25" ht="33" customHeight="1" x14ac:dyDescent="0.1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</row>
    <row r="103" spans="1:25" ht="33" customHeight="1" x14ac:dyDescent="0.1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</row>
    <row r="104" spans="1:25" ht="33" customHeight="1" x14ac:dyDescent="0.1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</row>
    <row r="105" spans="1:25" ht="33" customHeight="1" x14ac:dyDescent="0.1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</row>
    <row r="106" spans="1:25" ht="33" customHeight="1" x14ac:dyDescent="0.1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</row>
    <row r="107" spans="1:25" ht="33" customHeight="1" x14ac:dyDescent="0.1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</row>
    <row r="108" spans="1:25" ht="33" customHeight="1" x14ac:dyDescent="0.1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</row>
    <row r="109" spans="1:25" ht="33" customHeight="1" x14ac:dyDescent="0.1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</row>
    <row r="110" spans="1:25" ht="33" customHeight="1" x14ac:dyDescent="0.1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</row>
    <row r="111" spans="1:25" ht="33" customHeight="1" x14ac:dyDescent="0.1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</row>
    <row r="112" spans="1:25" ht="33" customHeight="1" x14ac:dyDescent="0.1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</row>
    <row r="113" spans="1:25" ht="33" customHeight="1" x14ac:dyDescent="0.1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</row>
    <row r="114" spans="1:25" ht="33" customHeight="1" x14ac:dyDescent="0.1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</row>
    <row r="115" spans="1:25" ht="33" customHeight="1" x14ac:dyDescent="0.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</row>
    <row r="116" spans="1:25" ht="33" customHeight="1" x14ac:dyDescent="0.1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</row>
    <row r="117" spans="1:25" ht="33" customHeight="1" x14ac:dyDescent="0.1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</row>
    <row r="118" spans="1:25" ht="33" customHeight="1" x14ac:dyDescent="0.1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</row>
    <row r="119" spans="1:25" ht="33" customHeight="1" x14ac:dyDescent="0.1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</row>
    <row r="120" spans="1:25" ht="33" customHeight="1" x14ac:dyDescent="0.1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</row>
    <row r="121" spans="1:25" ht="33" customHeight="1" x14ac:dyDescent="0.1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</row>
    <row r="122" spans="1:25" ht="33" customHeight="1" x14ac:dyDescent="0.1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</row>
    <row r="123" spans="1:25" ht="33" customHeight="1" x14ac:dyDescent="0.1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</row>
    <row r="124" spans="1:25" ht="33" customHeight="1" x14ac:dyDescent="0.1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</row>
    <row r="125" spans="1:25" ht="33" customHeight="1" x14ac:dyDescent="0.1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</row>
    <row r="126" spans="1:25" ht="33" customHeight="1" x14ac:dyDescent="0.1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</row>
    <row r="127" spans="1:25" ht="33" customHeight="1" x14ac:dyDescent="0.1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</row>
    <row r="128" spans="1:25" ht="33" customHeight="1" x14ac:dyDescent="0.1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</row>
    <row r="129" spans="1:25" ht="33" customHeight="1" x14ac:dyDescent="0.1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</row>
    <row r="130" spans="1:25" ht="33" customHeight="1" x14ac:dyDescent="0.1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</row>
    <row r="131" spans="1:25" ht="33" customHeight="1" x14ac:dyDescent="0.1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</row>
    <row r="132" spans="1:25" ht="33" customHeight="1" x14ac:dyDescent="0.1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</row>
    <row r="133" spans="1:25" ht="33" customHeight="1" x14ac:dyDescent="0.1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</row>
    <row r="134" spans="1:25" ht="33" customHeight="1" x14ac:dyDescent="0.1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</row>
    <row r="135" spans="1:25" ht="33" customHeight="1" x14ac:dyDescent="0.1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</row>
    <row r="136" spans="1:25" ht="33" customHeight="1" x14ac:dyDescent="0.1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</row>
    <row r="137" spans="1:25" ht="33" customHeight="1" x14ac:dyDescent="0.1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</row>
    <row r="138" spans="1:25" ht="33" customHeight="1" x14ac:dyDescent="0.1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</row>
    <row r="139" spans="1:25" ht="33" customHeight="1" x14ac:dyDescent="0.1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</row>
    <row r="140" spans="1:25" ht="33" customHeight="1" x14ac:dyDescent="0.1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</row>
    <row r="141" spans="1:25" ht="33" customHeight="1" x14ac:dyDescent="0.1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</row>
    <row r="142" spans="1:25" ht="33" customHeight="1" x14ac:dyDescent="0.1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</row>
    <row r="143" spans="1:25" ht="33" customHeight="1" x14ac:dyDescent="0.1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</row>
    <row r="144" spans="1:25" ht="33" customHeight="1" x14ac:dyDescent="0.1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</row>
    <row r="145" spans="1:25" ht="33" customHeight="1" x14ac:dyDescent="0.1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</row>
    <row r="146" spans="1:25" ht="33" customHeight="1" x14ac:dyDescent="0.1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</row>
    <row r="147" spans="1:25" ht="33" customHeight="1" x14ac:dyDescent="0.1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</row>
    <row r="148" spans="1:25" ht="33" customHeight="1" x14ac:dyDescent="0.1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</row>
    <row r="149" spans="1:25" ht="33" customHeight="1" x14ac:dyDescent="0.1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</row>
    <row r="150" spans="1:25" ht="33" customHeight="1" x14ac:dyDescent="0.1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</row>
    <row r="151" spans="1:25" ht="33" customHeight="1" x14ac:dyDescent="0.1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</row>
    <row r="152" spans="1:25" ht="33" customHeight="1" x14ac:dyDescent="0.1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</row>
    <row r="153" spans="1:25" ht="33" customHeight="1" x14ac:dyDescent="0.1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</row>
    <row r="154" spans="1:25" ht="33" customHeight="1" x14ac:dyDescent="0.1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</row>
    <row r="155" spans="1:25" ht="33" customHeight="1" x14ac:dyDescent="0.1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</row>
    <row r="156" spans="1:25" ht="33" customHeight="1" x14ac:dyDescent="0.1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</row>
    <row r="157" spans="1:25" ht="33" customHeight="1" x14ac:dyDescent="0.1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</row>
    <row r="158" spans="1:25" ht="33" customHeight="1" x14ac:dyDescent="0.1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</row>
    <row r="159" spans="1:25" ht="33" customHeight="1" x14ac:dyDescent="0.1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</row>
    <row r="160" spans="1:25" ht="33" customHeight="1" x14ac:dyDescent="0.1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</row>
    <row r="161" spans="1:25" ht="33" customHeight="1" x14ac:dyDescent="0.1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</row>
    <row r="162" spans="1:25" ht="33" customHeight="1" x14ac:dyDescent="0.1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</row>
    <row r="163" spans="1:25" ht="33" customHeight="1" x14ac:dyDescent="0.1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</row>
    <row r="164" spans="1:25" ht="33" customHeight="1" x14ac:dyDescent="0.1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</row>
    <row r="165" spans="1:25" ht="33" customHeight="1" x14ac:dyDescent="0.1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</row>
    <row r="166" spans="1:25" ht="33" customHeight="1" x14ac:dyDescent="0.1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</row>
    <row r="167" spans="1:25" ht="33" customHeight="1" x14ac:dyDescent="0.1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</row>
    <row r="168" spans="1:25" ht="33" customHeight="1" x14ac:dyDescent="0.1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</row>
    <row r="169" spans="1:25" ht="33" customHeight="1" x14ac:dyDescent="0.1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</row>
    <row r="170" spans="1:25" ht="33" customHeight="1" x14ac:dyDescent="0.1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</row>
    <row r="171" spans="1:25" ht="33" customHeight="1" x14ac:dyDescent="0.1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</row>
    <row r="172" spans="1:25" ht="33" customHeight="1" x14ac:dyDescent="0.1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</row>
    <row r="173" spans="1:25" ht="33" customHeight="1" x14ac:dyDescent="0.1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</row>
    <row r="174" spans="1:25" ht="33" customHeight="1" x14ac:dyDescent="0.1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</row>
    <row r="175" spans="1:25" ht="33" customHeight="1" x14ac:dyDescent="0.1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</row>
    <row r="176" spans="1:25" ht="33" customHeight="1" x14ac:dyDescent="0.1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</row>
    <row r="177" spans="1:25" ht="33" customHeight="1" x14ac:dyDescent="0.1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</row>
    <row r="178" spans="1:25" ht="33" customHeight="1" x14ac:dyDescent="0.1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</row>
    <row r="179" spans="1:25" ht="33" customHeight="1" x14ac:dyDescent="0.1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</row>
    <row r="180" spans="1:25" ht="33" customHeight="1" x14ac:dyDescent="0.1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</row>
    <row r="181" spans="1:25" ht="33" customHeight="1" x14ac:dyDescent="0.1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</row>
    <row r="182" spans="1:25" ht="33" customHeight="1" x14ac:dyDescent="0.1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</row>
    <row r="183" spans="1:25" ht="33" customHeight="1" x14ac:dyDescent="0.1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</row>
    <row r="184" spans="1:25" ht="33" customHeight="1" x14ac:dyDescent="0.1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</row>
    <row r="185" spans="1:25" ht="33" customHeight="1" x14ac:dyDescent="0.1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</row>
    <row r="186" spans="1:25" ht="33" customHeight="1" x14ac:dyDescent="0.1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</row>
    <row r="187" spans="1:25" ht="33" customHeight="1" x14ac:dyDescent="0.1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</row>
    <row r="188" spans="1:25" ht="33" customHeight="1" x14ac:dyDescent="0.1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</row>
    <row r="189" spans="1:25" ht="33" customHeight="1" x14ac:dyDescent="0.1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</row>
    <row r="190" spans="1:25" ht="33" customHeight="1" x14ac:dyDescent="0.1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</row>
    <row r="191" spans="1:25" ht="33" customHeight="1" x14ac:dyDescent="0.1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</row>
    <row r="192" spans="1:25" ht="33" customHeight="1" x14ac:dyDescent="0.1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</row>
    <row r="193" spans="1:25" ht="33" customHeight="1" x14ac:dyDescent="0.1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</row>
    <row r="194" spans="1:25" ht="33" customHeight="1" x14ac:dyDescent="0.1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</row>
    <row r="195" spans="1:25" ht="33" customHeight="1" x14ac:dyDescent="0.1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</row>
    <row r="196" spans="1:25" ht="33" customHeight="1" x14ac:dyDescent="0.1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</row>
    <row r="197" spans="1:25" ht="33" customHeight="1" x14ac:dyDescent="0.1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</row>
    <row r="198" spans="1:25" ht="33" customHeight="1" x14ac:dyDescent="0.1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</row>
    <row r="199" spans="1:25" ht="33" customHeight="1" x14ac:dyDescent="0.1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</row>
    <row r="200" spans="1:25" ht="33" customHeight="1" x14ac:dyDescent="0.1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</row>
    <row r="201" spans="1:25" ht="33" customHeight="1" x14ac:dyDescent="0.1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</row>
    <row r="202" spans="1:25" ht="33" customHeight="1" x14ac:dyDescent="0.1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</row>
    <row r="203" spans="1:25" ht="33" customHeight="1" x14ac:dyDescent="0.1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</row>
    <row r="204" spans="1:25" ht="33" customHeight="1" x14ac:dyDescent="0.1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</row>
    <row r="205" spans="1:25" ht="33" customHeight="1" x14ac:dyDescent="0.1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</row>
    <row r="206" spans="1:25" ht="33" customHeight="1" x14ac:dyDescent="0.1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</row>
    <row r="207" spans="1:25" ht="33" customHeight="1" x14ac:dyDescent="0.1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</row>
    <row r="208" spans="1:25" ht="33" customHeight="1" x14ac:dyDescent="0.1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</row>
    <row r="209" spans="1:25" ht="33" customHeight="1" x14ac:dyDescent="0.1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</row>
    <row r="210" spans="1:25" ht="33" customHeight="1" x14ac:dyDescent="0.1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</row>
    <row r="211" spans="1:25" ht="33" customHeight="1" x14ac:dyDescent="0.1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</row>
    <row r="212" spans="1:25" ht="33" customHeight="1" x14ac:dyDescent="0.1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</row>
    <row r="213" spans="1:25" ht="33" customHeight="1" x14ac:dyDescent="0.1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</row>
    <row r="214" spans="1:25" ht="33" customHeight="1" x14ac:dyDescent="0.1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</row>
    <row r="215" spans="1:25" ht="33" customHeight="1" x14ac:dyDescent="0.1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</row>
    <row r="216" spans="1:25" ht="33" customHeight="1" x14ac:dyDescent="0.1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</row>
    <row r="217" spans="1:25" ht="33" customHeight="1" x14ac:dyDescent="0.1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</row>
    <row r="218" spans="1:25" ht="33" customHeight="1" x14ac:dyDescent="0.1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</row>
    <row r="219" spans="1:25" ht="33" customHeight="1" x14ac:dyDescent="0.1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</row>
    <row r="220" spans="1:25" ht="33" customHeight="1" x14ac:dyDescent="0.1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</row>
    <row r="221" spans="1:25" ht="33" customHeight="1" x14ac:dyDescent="0.1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</row>
    <row r="222" spans="1:25" ht="33" customHeight="1" x14ac:dyDescent="0.1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</row>
    <row r="223" spans="1:25" ht="33" customHeight="1" x14ac:dyDescent="0.1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</row>
    <row r="224" spans="1:25" ht="33" customHeight="1" x14ac:dyDescent="0.1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</row>
    <row r="225" spans="1:25" ht="33" customHeight="1" x14ac:dyDescent="0.1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</row>
    <row r="226" spans="1:25" ht="33" customHeight="1" x14ac:dyDescent="0.1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</row>
    <row r="227" spans="1:25" ht="33" customHeight="1" x14ac:dyDescent="0.1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</row>
    <row r="228" spans="1:25" ht="33" customHeight="1" x14ac:dyDescent="0.1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</row>
    <row r="229" spans="1:25" ht="33" customHeight="1" x14ac:dyDescent="0.1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</row>
    <row r="230" spans="1:25" ht="33" customHeight="1" x14ac:dyDescent="0.1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</row>
    <row r="231" spans="1:25" ht="33" customHeight="1" x14ac:dyDescent="0.1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</row>
    <row r="232" spans="1:25" ht="33" customHeight="1" x14ac:dyDescent="0.1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</row>
    <row r="233" spans="1:25" ht="33" customHeight="1" x14ac:dyDescent="0.1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</row>
    <row r="234" spans="1:25" ht="33" customHeight="1" x14ac:dyDescent="0.1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</row>
    <row r="235" spans="1:25" ht="33" customHeight="1" x14ac:dyDescent="0.1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</row>
    <row r="236" spans="1:25" ht="33" customHeight="1" x14ac:dyDescent="0.1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</row>
    <row r="237" spans="1:25" ht="33" customHeight="1" x14ac:dyDescent="0.1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</row>
    <row r="238" spans="1:25" ht="33" customHeight="1" x14ac:dyDescent="0.1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</row>
    <row r="239" spans="1:25" ht="33" customHeight="1" x14ac:dyDescent="0.1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</row>
    <row r="240" spans="1:25" ht="33" customHeight="1" x14ac:dyDescent="0.1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</row>
    <row r="241" spans="1:25" ht="33" customHeight="1" x14ac:dyDescent="0.1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</row>
    <row r="242" spans="1:25" ht="33" customHeight="1" x14ac:dyDescent="0.1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</row>
    <row r="243" spans="1:25" ht="33" customHeight="1" x14ac:dyDescent="0.1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</row>
    <row r="244" spans="1:25" ht="33" customHeight="1" x14ac:dyDescent="0.1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</row>
    <row r="245" spans="1:25" ht="33" customHeight="1" x14ac:dyDescent="0.1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</row>
    <row r="246" spans="1:25" ht="33" customHeight="1" x14ac:dyDescent="0.1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</row>
    <row r="247" spans="1:25" ht="33" customHeight="1" x14ac:dyDescent="0.1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</row>
    <row r="248" spans="1:25" ht="33" customHeight="1" x14ac:dyDescent="0.1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</row>
    <row r="249" spans="1:25" ht="33" customHeight="1" x14ac:dyDescent="0.1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</row>
    <row r="250" spans="1:25" ht="33" customHeight="1" x14ac:dyDescent="0.1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</row>
    <row r="251" spans="1:25" ht="33" customHeight="1" x14ac:dyDescent="0.1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</row>
    <row r="252" spans="1:25" ht="33" customHeight="1" x14ac:dyDescent="0.1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</row>
    <row r="253" spans="1:25" ht="33" customHeight="1" x14ac:dyDescent="0.1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</row>
    <row r="254" spans="1:25" ht="33" customHeight="1" x14ac:dyDescent="0.1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</row>
    <row r="255" spans="1:25" ht="33" customHeight="1" x14ac:dyDescent="0.1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</row>
    <row r="256" spans="1:25" ht="33" customHeight="1" x14ac:dyDescent="0.1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</row>
    <row r="257" spans="1:25" ht="33" customHeight="1" x14ac:dyDescent="0.1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</row>
    <row r="258" spans="1:25" ht="33" customHeight="1" x14ac:dyDescent="0.1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</row>
    <row r="259" spans="1:25" ht="33" customHeight="1" x14ac:dyDescent="0.1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</row>
    <row r="260" spans="1:25" ht="33" customHeight="1" x14ac:dyDescent="0.1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</row>
    <row r="261" spans="1:25" ht="33" customHeight="1" x14ac:dyDescent="0.1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</row>
    <row r="262" spans="1:25" ht="33" customHeight="1" x14ac:dyDescent="0.1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</row>
    <row r="263" spans="1:25" ht="33" customHeight="1" x14ac:dyDescent="0.1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</row>
    <row r="264" spans="1:25" ht="33" customHeight="1" x14ac:dyDescent="0.1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</row>
    <row r="265" spans="1:25" ht="33" customHeight="1" x14ac:dyDescent="0.1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</row>
    <row r="266" spans="1:25" ht="33" customHeight="1" x14ac:dyDescent="0.1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</row>
    <row r="267" spans="1:25" ht="33" customHeight="1" x14ac:dyDescent="0.1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</row>
    <row r="268" spans="1:25" ht="33" customHeight="1" x14ac:dyDescent="0.1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</row>
    <row r="269" spans="1:25" ht="33" customHeight="1" x14ac:dyDescent="0.1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</row>
    <row r="270" spans="1:25" ht="33" customHeight="1" x14ac:dyDescent="0.1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</row>
    <row r="271" spans="1:25" ht="33" customHeight="1" x14ac:dyDescent="0.1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</row>
    <row r="272" spans="1:25" ht="33" customHeight="1" x14ac:dyDescent="0.1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</row>
    <row r="273" spans="1:25" ht="33" customHeight="1" x14ac:dyDescent="0.1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</row>
    <row r="274" spans="1:25" ht="33" customHeight="1" x14ac:dyDescent="0.1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</row>
    <row r="275" spans="1:25" ht="33" customHeight="1" x14ac:dyDescent="0.1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</row>
    <row r="276" spans="1:25" ht="33" customHeight="1" x14ac:dyDescent="0.1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</row>
    <row r="277" spans="1:25" ht="33" customHeight="1" x14ac:dyDescent="0.1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</row>
    <row r="278" spans="1:25" ht="33" customHeight="1" x14ac:dyDescent="0.1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</row>
    <row r="279" spans="1:25" ht="33" customHeight="1" x14ac:dyDescent="0.1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</row>
    <row r="280" spans="1:25" ht="33" customHeight="1" x14ac:dyDescent="0.1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</row>
    <row r="281" spans="1:25" ht="33" customHeight="1" x14ac:dyDescent="0.1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</row>
    <row r="282" spans="1:25" ht="33" customHeight="1" x14ac:dyDescent="0.1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</row>
    <row r="283" spans="1:25" ht="33" customHeight="1" x14ac:dyDescent="0.1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</row>
    <row r="284" spans="1:25" ht="33" customHeight="1" x14ac:dyDescent="0.1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</row>
    <row r="285" spans="1:25" ht="33" customHeight="1" x14ac:dyDescent="0.1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</row>
    <row r="286" spans="1:25" ht="33" customHeight="1" x14ac:dyDescent="0.1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</row>
    <row r="287" spans="1:25" ht="33" customHeight="1" x14ac:dyDescent="0.1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</row>
    <row r="288" spans="1:25" ht="33" customHeight="1" x14ac:dyDescent="0.1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</row>
    <row r="289" spans="1:25" ht="33" customHeight="1" x14ac:dyDescent="0.1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</row>
    <row r="290" spans="1:25" ht="33" customHeight="1" x14ac:dyDescent="0.1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</row>
    <row r="291" spans="1:25" ht="33" customHeight="1" x14ac:dyDescent="0.1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</row>
    <row r="292" spans="1:25" ht="33" customHeight="1" x14ac:dyDescent="0.1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</row>
    <row r="293" spans="1:25" ht="33" customHeight="1" x14ac:dyDescent="0.1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</row>
    <row r="294" spans="1:25" ht="33" customHeight="1" x14ac:dyDescent="0.1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</row>
    <row r="295" spans="1:25" ht="33" customHeight="1" x14ac:dyDescent="0.1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</row>
    <row r="296" spans="1:25" ht="33" customHeight="1" x14ac:dyDescent="0.1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</row>
    <row r="297" spans="1:25" ht="33" customHeight="1" x14ac:dyDescent="0.1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</row>
    <row r="298" spans="1:25" ht="33" customHeight="1" x14ac:dyDescent="0.1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</row>
    <row r="299" spans="1:25" ht="33" customHeight="1" x14ac:dyDescent="0.1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</row>
    <row r="300" spans="1:25" ht="33" customHeight="1" x14ac:dyDescent="0.1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</row>
    <row r="301" spans="1:25" ht="33" customHeight="1" x14ac:dyDescent="0.1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</row>
    <row r="302" spans="1:25" ht="33" customHeight="1" x14ac:dyDescent="0.1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</row>
    <row r="303" spans="1:25" ht="33" customHeight="1" x14ac:dyDescent="0.1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</row>
    <row r="304" spans="1:25" ht="33" customHeight="1" x14ac:dyDescent="0.1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</row>
    <row r="305" spans="1:25" ht="33" customHeight="1" x14ac:dyDescent="0.1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</row>
    <row r="306" spans="1:25" ht="33" customHeight="1" x14ac:dyDescent="0.1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</row>
    <row r="307" spans="1:25" ht="33" customHeight="1" x14ac:dyDescent="0.1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</row>
    <row r="308" spans="1:25" ht="33" customHeight="1" x14ac:dyDescent="0.1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</row>
    <row r="309" spans="1:25" ht="33" customHeight="1" x14ac:dyDescent="0.1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</row>
    <row r="310" spans="1:25" ht="33" customHeight="1" x14ac:dyDescent="0.1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</row>
    <row r="311" spans="1:25" ht="33" customHeight="1" x14ac:dyDescent="0.1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</row>
    <row r="312" spans="1:25" ht="33" customHeight="1" x14ac:dyDescent="0.1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</row>
    <row r="313" spans="1:25" ht="33" customHeight="1" x14ac:dyDescent="0.1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</row>
    <row r="314" spans="1:25" ht="33" customHeight="1" x14ac:dyDescent="0.1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</row>
    <row r="315" spans="1:25" ht="33" customHeight="1" x14ac:dyDescent="0.1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</row>
    <row r="316" spans="1:25" ht="33" customHeight="1" x14ac:dyDescent="0.1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</row>
    <row r="317" spans="1:25" ht="33" customHeight="1" x14ac:dyDescent="0.1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</row>
    <row r="318" spans="1:25" ht="33" customHeight="1" x14ac:dyDescent="0.1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</row>
    <row r="319" spans="1:25" ht="33" customHeight="1" x14ac:dyDescent="0.1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</row>
    <row r="320" spans="1:25" ht="33" customHeight="1" x14ac:dyDescent="0.1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</row>
    <row r="321" spans="1:25" ht="33" customHeight="1" x14ac:dyDescent="0.1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</row>
    <row r="322" spans="1:25" ht="33" customHeight="1" x14ac:dyDescent="0.1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</row>
    <row r="323" spans="1:25" ht="33" customHeight="1" x14ac:dyDescent="0.1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</row>
    <row r="324" spans="1:25" ht="33" customHeight="1" x14ac:dyDescent="0.1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</row>
    <row r="325" spans="1:25" ht="33" customHeight="1" x14ac:dyDescent="0.1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</row>
    <row r="326" spans="1:25" ht="33" customHeight="1" x14ac:dyDescent="0.1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</row>
    <row r="327" spans="1:25" ht="33" customHeight="1" x14ac:dyDescent="0.1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</row>
    <row r="328" spans="1:25" ht="33" customHeight="1" x14ac:dyDescent="0.1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</row>
    <row r="329" spans="1:25" ht="33" customHeight="1" x14ac:dyDescent="0.1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</row>
    <row r="330" spans="1:25" ht="33" customHeight="1" x14ac:dyDescent="0.1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</row>
    <row r="331" spans="1:25" ht="33" customHeight="1" x14ac:dyDescent="0.1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</row>
    <row r="332" spans="1:25" ht="33" customHeight="1" x14ac:dyDescent="0.1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</row>
    <row r="333" spans="1:25" ht="33" customHeight="1" x14ac:dyDescent="0.1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</row>
    <row r="334" spans="1:25" ht="33" customHeight="1" x14ac:dyDescent="0.1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</row>
    <row r="335" spans="1:25" ht="33" customHeight="1" x14ac:dyDescent="0.1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</row>
    <row r="336" spans="1:25" ht="33" customHeight="1" x14ac:dyDescent="0.1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</row>
    <row r="337" spans="1:25" ht="33" customHeight="1" x14ac:dyDescent="0.1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</row>
    <row r="338" spans="1:25" ht="33" customHeight="1" x14ac:dyDescent="0.1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</row>
    <row r="339" spans="1:25" ht="33" customHeight="1" x14ac:dyDescent="0.1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</row>
    <row r="340" spans="1:25" ht="33" customHeight="1" x14ac:dyDescent="0.1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</row>
    <row r="341" spans="1:25" ht="33" customHeight="1" x14ac:dyDescent="0.1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</row>
    <row r="342" spans="1:25" ht="33" customHeight="1" x14ac:dyDescent="0.1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</row>
    <row r="343" spans="1:25" ht="33" customHeight="1" x14ac:dyDescent="0.1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</row>
    <row r="344" spans="1:25" ht="33" customHeight="1" x14ac:dyDescent="0.1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</row>
    <row r="345" spans="1:25" ht="33" customHeight="1" x14ac:dyDescent="0.1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</row>
    <row r="346" spans="1:25" ht="33" customHeight="1" x14ac:dyDescent="0.1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</row>
    <row r="347" spans="1:25" ht="33" customHeight="1" x14ac:dyDescent="0.1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</row>
    <row r="348" spans="1:25" ht="33" customHeight="1" x14ac:dyDescent="0.1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</row>
    <row r="349" spans="1:25" ht="33" customHeight="1" x14ac:dyDescent="0.1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</row>
    <row r="350" spans="1:25" ht="33" customHeight="1" x14ac:dyDescent="0.1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</row>
    <row r="351" spans="1:25" ht="33" customHeight="1" x14ac:dyDescent="0.1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</row>
    <row r="352" spans="1:25" ht="33" customHeight="1" x14ac:dyDescent="0.1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</row>
    <row r="353" spans="1:25" ht="33" customHeight="1" x14ac:dyDescent="0.1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</row>
    <row r="354" spans="1:25" ht="33" customHeight="1" x14ac:dyDescent="0.1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</row>
    <row r="355" spans="1:25" ht="33" customHeight="1" x14ac:dyDescent="0.1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</row>
    <row r="356" spans="1:25" ht="33" customHeight="1" x14ac:dyDescent="0.1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</row>
    <row r="357" spans="1:25" ht="33" customHeight="1" x14ac:dyDescent="0.1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</row>
    <row r="358" spans="1:25" ht="33" customHeight="1" x14ac:dyDescent="0.1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</row>
    <row r="359" spans="1:25" ht="33" customHeight="1" x14ac:dyDescent="0.1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</row>
    <row r="360" spans="1:25" ht="33" customHeight="1" x14ac:dyDescent="0.1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</row>
    <row r="361" spans="1:25" ht="33" customHeight="1" x14ac:dyDescent="0.1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</row>
    <row r="362" spans="1:25" ht="33" customHeight="1" x14ac:dyDescent="0.1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</row>
    <row r="363" spans="1:25" ht="33" customHeight="1" x14ac:dyDescent="0.1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</row>
    <row r="364" spans="1:25" ht="33" customHeight="1" x14ac:dyDescent="0.1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</row>
    <row r="365" spans="1:25" ht="33" customHeight="1" x14ac:dyDescent="0.1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</row>
    <row r="366" spans="1:25" ht="33" customHeight="1" x14ac:dyDescent="0.1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</row>
    <row r="367" spans="1:25" ht="33" customHeight="1" x14ac:dyDescent="0.1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</row>
    <row r="368" spans="1:25" ht="33" customHeight="1" x14ac:dyDescent="0.1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</row>
    <row r="369" spans="1:25" ht="33" customHeight="1" x14ac:dyDescent="0.1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</row>
    <row r="370" spans="1:25" ht="33" customHeight="1" x14ac:dyDescent="0.1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</row>
    <row r="371" spans="1:25" ht="33" customHeight="1" x14ac:dyDescent="0.1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</row>
    <row r="372" spans="1:25" ht="33" customHeight="1" x14ac:dyDescent="0.1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</row>
    <row r="373" spans="1:25" ht="33" customHeight="1" x14ac:dyDescent="0.1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</row>
    <row r="374" spans="1:25" ht="33" customHeight="1" x14ac:dyDescent="0.1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</row>
    <row r="375" spans="1:25" ht="33" customHeight="1" x14ac:dyDescent="0.1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</row>
    <row r="376" spans="1:25" ht="33" customHeight="1" x14ac:dyDescent="0.1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</row>
    <row r="377" spans="1:25" ht="33" customHeight="1" x14ac:dyDescent="0.1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</row>
    <row r="378" spans="1:25" ht="33" customHeight="1" x14ac:dyDescent="0.1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</row>
    <row r="379" spans="1:25" ht="33" customHeight="1" x14ac:dyDescent="0.1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</row>
    <row r="380" spans="1:25" ht="33" customHeight="1" x14ac:dyDescent="0.1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</row>
    <row r="381" spans="1:25" ht="33" customHeight="1" x14ac:dyDescent="0.1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</row>
    <row r="382" spans="1:25" ht="33" customHeight="1" x14ac:dyDescent="0.1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</row>
    <row r="383" spans="1:25" ht="33" customHeight="1" x14ac:dyDescent="0.1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</row>
    <row r="384" spans="1:25" ht="33" customHeight="1" x14ac:dyDescent="0.1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</row>
    <row r="385" spans="1:25" ht="33" customHeight="1" x14ac:dyDescent="0.1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</row>
    <row r="386" spans="1:25" ht="33" customHeight="1" x14ac:dyDescent="0.1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</row>
    <row r="387" spans="1:25" ht="33" customHeight="1" x14ac:dyDescent="0.1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</row>
    <row r="388" spans="1:25" ht="33" customHeight="1" x14ac:dyDescent="0.1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</row>
    <row r="389" spans="1:25" ht="33" customHeight="1" x14ac:dyDescent="0.1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</row>
    <row r="390" spans="1:25" ht="33" customHeight="1" x14ac:dyDescent="0.1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</row>
    <row r="391" spans="1:25" ht="33" customHeight="1" x14ac:dyDescent="0.1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</row>
    <row r="392" spans="1:25" ht="33" customHeight="1" x14ac:dyDescent="0.1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</row>
    <row r="393" spans="1:25" ht="33" customHeight="1" x14ac:dyDescent="0.1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</row>
    <row r="394" spans="1:25" ht="33" customHeight="1" x14ac:dyDescent="0.1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</row>
    <row r="395" spans="1:25" ht="33" customHeight="1" x14ac:dyDescent="0.1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</row>
    <row r="396" spans="1:25" ht="33" customHeight="1" x14ac:dyDescent="0.1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</row>
    <row r="397" spans="1:25" ht="33" customHeight="1" x14ac:dyDescent="0.1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</row>
    <row r="398" spans="1:25" ht="33" customHeight="1" x14ac:dyDescent="0.1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</row>
    <row r="399" spans="1:25" ht="33" customHeight="1" x14ac:dyDescent="0.1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</row>
    <row r="400" spans="1:25" ht="33" customHeight="1" x14ac:dyDescent="0.1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</row>
    <row r="401" spans="1:25" ht="33" customHeight="1" x14ac:dyDescent="0.1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</row>
    <row r="402" spans="1:25" ht="33" customHeight="1" x14ac:dyDescent="0.1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</row>
    <row r="403" spans="1:25" ht="33" customHeight="1" x14ac:dyDescent="0.1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</row>
    <row r="404" spans="1:25" ht="33" customHeight="1" x14ac:dyDescent="0.1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</row>
    <row r="405" spans="1:25" ht="33" customHeight="1" x14ac:dyDescent="0.1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</row>
    <row r="406" spans="1:25" ht="33" customHeight="1" x14ac:dyDescent="0.1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</row>
    <row r="407" spans="1:25" ht="33" customHeight="1" x14ac:dyDescent="0.1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</row>
    <row r="408" spans="1:25" ht="33" customHeight="1" x14ac:dyDescent="0.1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</row>
    <row r="409" spans="1:25" ht="33" customHeight="1" x14ac:dyDescent="0.1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</row>
    <row r="410" spans="1:25" ht="33" customHeight="1" x14ac:dyDescent="0.1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</row>
    <row r="411" spans="1:25" ht="33" customHeight="1" x14ac:dyDescent="0.1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</row>
    <row r="412" spans="1:25" ht="33" customHeight="1" x14ac:dyDescent="0.1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</row>
    <row r="413" spans="1:25" ht="33" customHeight="1" x14ac:dyDescent="0.1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</row>
    <row r="414" spans="1:25" ht="33" customHeight="1" x14ac:dyDescent="0.1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</row>
    <row r="415" spans="1:25" ht="33" customHeight="1" x14ac:dyDescent="0.1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</row>
    <row r="416" spans="1:25" ht="33" customHeight="1" x14ac:dyDescent="0.1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</row>
    <row r="417" spans="1:25" ht="33" customHeight="1" x14ac:dyDescent="0.1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</row>
    <row r="418" spans="1:25" ht="33" customHeight="1" x14ac:dyDescent="0.1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</row>
    <row r="419" spans="1:25" ht="33" customHeight="1" x14ac:dyDescent="0.1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</row>
    <row r="420" spans="1:25" ht="33" customHeight="1" x14ac:dyDescent="0.1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</row>
    <row r="421" spans="1:25" ht="33" customHeight="1" x14ac:dyDescent="0.1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</row>
    <row r="422" spans="1:25" ht="33" customHeight="1" x14ac:dyDescent="0.1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</row>
    <row r="423" spans="1:25" ht="33" customHeight="1" x14ac:dyDescent="0.1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</row>
    <row r="424" spans="1:25" ht="33" customHeight="1" x14ac:dyDescent="0.1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</row>
    <row r="425" spans="1:25" ht="33" customHeight="1" x14ac:dyDescent="0.1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</row>
    <row r="426" spans="1:25" ht="33" customHeight="1" x14ac:dyDescent="0.1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</row>
    <row r="427" spans="1:25" ht="33" customHeight="1" x14ac:dyDescent="0.1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</row>
    <row r="428" spans="1:25" ht="33" customHeight="1" x14ac:dyDescent="0.1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</row>
    <row r="429" spans="1:25" ht="33" customHeight="1" x14ac:dyDescent="0.1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</row>
    <row r="430" spans="1:25" ht="33" customHeight="1" x14ac:dyDescent="0.1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</row>
    <row r="431" spans="1:25" ht="33" customHeight="1" x14ac:dyDescent="0.1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</row>
    <row r="432" spans="1:25" ht="33" customHeight="1" x14ac:dyDescent="0.1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</row>
    <row r="433" spans="1:25" ht="33" customHeight="1" x14ac:dyDescent="0.1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</row>
    <row r="434" spans="1:25" ht="33" customHeight="1" x14ac:dyDescent="0.1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</row>
    <row r="435" spans="1:25" ht="33" customHeight="1" x14ac:dyDescent="0.1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</row>
    <row r="436" spans="1:25" ht="33" customHeight="1" x14ac:dyDescent="0.1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</row>
    <row r="437" spans="1:25" ht="33" customHeight="1" x14ac:dyDescent="0.1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</row>
    <row r="438" spans="1:25" ht="33" customHeight="1" x14ac:dyDescent="0.1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</row>
    <row r="439" spans="1:25" ht="33" customHeight="1" x14ac:dyDescent="0.1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</row>
    <row r="440" spans="1:25" ht="33" customHeight="1" x14ac:dyDescent="0.1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</row>
    <row r="441" spans="1:25" ht="33" customHeight="1" x14ac:dyDescent="0.1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</row>
    <row r="442" spans="1:25" ht="33" customHeight="1" x14ac:dyDescent="0.1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</row>
    <row r="443" spans="1:25" ht="33" customHeight="1" x14ac:dyDescent="0.1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</row>
    <row r="444" spans="1:25" ht="33" customHeight="1" x14ac:dyDescent="0.1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</row>
    <row r="445" spans="1:25" ht="33" customHeight="1" x14ac:dyDescent="0.1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</row>
    <row r="446" spans="1:25" ht="33" customHeight="1" x14ac:dyDescent="0.1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</row>
    <row r="447" spans="1:25" ht="33" customHeight="1" x14ac:dyDescent="0.1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</row>
    <row r="448" spans="1:25" ht="33" customHeight="1" x14ac:dyDescent="0.1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</row>
    <row r="449" spans="1:25" ht="33" customHeight="1" x14ac:dyDescent="0.1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</row>
    <row r="450" spans="1:25" ht="33" customHeight="1" x14ac:dyDescent="0.1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</row>
    <row r="451" spans="1:25" ht="33" customHeight="1" x14ac:dyDescent="0.1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</row>
    <row r="452" spans="1:25" ht="33" customHeight="1" x14ac:dyDescent="0.1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</row>
    <row r="453" spans="1:25" ht="33" customHeight="1" x14ac:dyDescent="0.1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</row>
    <row r="454" spans="1:25" ht="33" customHeight="1" x14ac:dyDescent="0.1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</row>
    <row r="455" spans="1:25" ht="33" customHeight="1" x14ac:dyDescent="0.1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</row>
    <row r="456" spans="1:25" ht="33" customHeight="1" x14ac:dyDescent="0.1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</row>
    <row r="457" spans="1:25" ht="33" customHeight="1" x14ac:dyDescent="0.1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</row>
    <row r="458" spans="1:25" ht="33" customHeight="1" x14ac:dyDescent="0.1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</row>
    <row r="459" spans="1:25" ht="33" customHeight="1" x14ac:dyDescent="0.1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</row>
    <row r="460" spans="1:25" ht="33" customHeight="1" x14ac:dyDescent="0.1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</row>
    <row r="461" spans="1:25" ht="33" customHeight="1" x14ac:dyDescent="0.1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</row>
    <row r="462" spans="1:25" ht="33" customHeight="1" x14ac:dyDescent="0.1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</row>
    <row r="463" spans="1:25" ht="33" customHeight="1" x14ac:dyDescent="0.1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</row>
    <row r="464" spans="1:25" ht="33" customHeight="1" x14ac:dyDescent="0.1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</row>
    <row r="465" spans="1:25" ht="33" customHeight="1" x14ac:dyDescent="0.1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</row>
    <row r="466" spans="1:25" ht="33" customHeight="1" x14ac:dyDescent="0.1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</row>
    <row r="467" spans="1:25" ht="33" customHeight="1" x14ac:dyDescent="0.1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</row>
    <row r="468" spans="1:25" ht="33" customHeight="1" x14ac:dyDescent="0.1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</row>
    <row r="469" spans="1:25" ht="33" customHeight="1" x14ac:dyDescent="0.1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</row>
    <row r="470" spans="1:25" ht="33" customHeight="1" x14ac:dyDescent="0.1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</row>
    <row r="471" spans="1:25" ht="33" customHeight="1" x14ac:dyDescent="0.1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</row>
    <row r="472" spans="1:25" ht="33" customHeight="1" x14ac:dyDescent="0.1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</row>
    <row r="473" spans="1:25" ht="33" customHeight="1" x14ac:dyDescent="0.1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</row>
    <row r="474" spans="1:25" ht="33" customHeight="1" x14ac:dyDescent="0.1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</row>
    <row r="475" spans="1:25" ht="33" customHeight="1" x14ac:dyDescent="0.1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</row>
    <row r="476" spans="1:25" ht="33" customHeight="1" x14ac:dyDescent="0.1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</row>
    <row r="477" spans="1:25" ht="33" customHeight="1" x14ac:dyDescent="0.1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</row>
    <row r="478" spans="1:25" ht="33" customHeight="1" x14ac:dyDescent="0.1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</row>
    <row r="479" spans="1:25" ht="33" customHeight="1" x14ac:dyDescent="0.1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</row>
    <row r="480" spans="1:25" ht="33" customHeight="1" x14ac:dyDescent="0.1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</row>
    <row r="481" spans="1:25" ht="33" customHeight="1" x14ac:dyDescent="0.1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</row>
    <row r="482" spans="1:25" ht="33" customHeight="1" x14ac:dyDescent="0.1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</row>
    <row r="483" spans="1:25" ht="33" customHeight="1" x14ac:dyDescent="0.1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</row>
    <row r="484" spans="1:25" ht="33" customHeight="1" x14ac:dyDescent="0.1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</row>
    <row r="485" spans="1:25" ht="33" customHeight="1" x14ac:dyDescent="0.1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</row>
    <row r="486" spans="1:25" ht="33" customHeight="1" x14ac:dyDescent="0.1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</row>
    <row r="487" spans="1:25" ht="33" customHeight="1" x14ac:dyDescent="0.1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</row>
    <row r="488" spans="1:25" ht="33" customHeight="1" x14ac:dyDescent="0.1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</row>
    <row r="489" spans="1:25" ht="33" customHeight="1" x14ac:dyDescent="0.1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</row>
    <row r="490" spans="1:25" ht="33" customHeight="1" x14ac:dyDescent="0.1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</row>
    <row r="491" spans="1:25" ht="33" customHeight="1" x14ac:dyDescent="0.1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</row>
    <row r="492" spans="1:25" ht="33" customHeight="1" x14ac:dyDescent="0.1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</row>
    <row r="493" spans="1:25" ht="33" customHeight="1" x14ac:dyDescent="0.1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</row>
    <row r="494" spans="1:25" ht="33" customHeight="1" x14ac:dyDescent="0.1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</row>
    <row r="495" spans="1:25" ht="33" customHeight="1" x14ac:dyDescent="0.1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</row>
    <row r="496" spans="1:25" ht="33" customHeight="1" x14ac:dyDescent="0.1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</row>
    <row r="497" spans="1:25" ht="33" customHeight="1" x14ac:dyDescent="0.1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</row>
    <row r="498" spans="1:25" ht="33" customHeight="1" x14ac:dyDescent="0.1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</row>
    <row r="499" spans="1:25" ht="33" customHeight="1" x14ac:dyDescent="0.1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</row>
    <row r="500" spans="1:25" ht="33" customHeight="1" x14ac:dyDescent="0.1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</row>
    <row r="501" spans="1:25" ht="33" customHeight="1" x14ac:dyDescent="0.1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</row>
    <row r="502" spans="1:25" ht="33" customHeight="1" x14ac:dyDescent="0.1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</row>
    <row r="503" spans="1:25" ht="33" customHeight="1" x14ac:dyDescent="0.1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</row>
    <row r="504" spans="1:25" ht="33" customHeight="1" x14ac:dyDescent="0.1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</row>
    <row r="505" spans="1:25" ht="33" customHeight="1" x14ac:dyDescent="0.1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</row>
    <row r="506" spans="1:25" ht="33" customHeight="1" x14ac:dyDescent="0.1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</row>
    <row r="507" spans="1:25" ht="33" customHeight="1" x14ac:dyDescent="0.1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</row>
    <row r="508" spans="1:25" ht="33" customHeight="1" x14ac:dyDescent="0.1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</row>
    <row r="509" spans="1:25" ht="33" customHeight="1" x14ac:dyDescent="0.1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</row>
    <row r="510" spans="1:25" ht="33" customHeight="1" x14ac:dyDescent="0.1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</row>
    <row r="511" spans="1:25" ht="33" customHeight="1" x14ac:dyDescent="0.1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</row>
    <row r="512" spans="1:25" ht="33" customHeight="1" x14ac:dyDescent="0.1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</row>
    <row r="513" spans="1:25" ht="33" customHeight="1" x14ac:dyDescent="0.1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</row>
    <row r="514" spans="1:25" ht="33" customHeight="1" x14ac:dyDescent="0.1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</row>
    <row r="515" spans="1:25" ht="33" customHeight="1" x14ac:dyDescent="0.1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</row>
    <row r="516" spans="1:25" ht="33" customHeight="1" x14ac:dyDescent="0.1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</row>
    <row r="517" spans="1:25" ht="33" customHeight="1" x14ac:dyDescent="0.1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</row>
    <row r="518" spans="1:25" ht="33" customHeight="1" x14ac:dyDescent="0.1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</row>
    <row r="519" spans="1:25" ht="33" customHeight="1" x14ac:dyDescent="0.1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</row>
    <row r="520" spans="1:25" ht="33" customHeight="1" x14ac:dyDescent="0.1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</row>
    <row r="521" spans="1:25" ht="33" customHeight="1" x14ac:dyDescent="0.1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</row>
    <row r="522" spans="1:25" ht="33" customHeight="1" x14ac:dyDescent="0.1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</row>
    <row r="523" spans="1:25" ht="33" customHeight="1" x14ac:dyDescent="0.1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</row>
    <row r="524" spans="1:25" ht="33" customHeight="1" x14ac:dyDescent="0.1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</row>
    <row r="525" spans="1:25" ht="33" customHeight="1" x14ac:dyDescent="0.1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</row>
    <row r="526" spans="1:25" ht="33" customHeight="1" x14ac:dyDescent="0.1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</row>
    <row r="527" spans="1:25" ht="33" customHeight="1" x14ac:dyDescent="0.1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</row>
    <row r="528" spans="1:25" ht="33" customHeight="1" x14ac:dyDescent="0.1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</row>
    <row r="529" spans="1:25" ht="33" customHeight="1" x14ac:dyDescent="0.1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</row>
    <row r="530" spans="1:25" ht="33" customHeight="1" x14ac:dyDescent="0.1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</row>
    <row r="531" spans="1:25" ht="33" customHeight="1" x14ac:dyDescent="0.1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</row>
    <row r="532" spans="1:25" ht="33" customHeight="1" x14ac:dyDescent="0.1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</row>
    <row r="533" spans="1:25" ht="33" customHeight="1" x14ac:dyDescent="0.1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</row>
    <row r="534" spans="1:25" ht="33" customHeight="1" x14ac:dyDescent="0.1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</row>
    <row r="535" spans="1:25" ht="33" customHeight="1" x14ac:dyDescent="0.1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</row>
    <row r="536" spans="1:25" ht="33" customHeight="1" x14ac:dyDescent="0.1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</row>
    <row r="537" spans="1:25" ht="33" customHeight="1" x14ac:dyDescent="0.1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</row>
    <row r="538" spans="1:25" ht="33" customHeight="1" x14ac:dyDescent="0.1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</row>
    <row r="539" spans="1:25" ht="33" customHeight="1" x14ac:dyDescent="0.1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</row>
    <row r="540" spans="1:25" ht="33" customHeight="1" x14ac:dyDescent="0.1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</row>
    <row r="541" spans="1:25" ht="33" customHeight="1" x14ac:dyDescent="0.1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</row>
    <row r="542" spans="1:25" ht="33" customHeight="1" x14ac:dyDescent="0.1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</row>
    <row r="543" spans="1:25" ht="33" customHeight="1" x14ac:dyDescent="0.1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</row>
    <row r="544" spans="1:25" ht="33" customHeight="1" x14ac:dyDescent="0.1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</row>
    <row r="545" spans="1:25" ht="33" customHeight="1" x14ac:dyDescent="0.1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</row>
    <row r="546" spans="1:25" ht="33" customHeight="1" x14ac:dyDescent="0.1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</row>
    <row r="547" spans="1:25" ht="33" customHeight="1" x14ac:dyDescent="0.1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</row>
    <row r="548" spans="1:25" ht="33" customHeight="1" x14ac:dyDescent="0.1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</row>
    <row r="549" spans="1:25" ht="33" customHeight="1" x14ac:dyDescent="0.1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</row>
    <row r="550" spans="1:25" ht="33" customHeight="1" x14ac:dyDescent="0.1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</row>
    <row r="551" spans="1:25" ht="33" customHeight="1" x14ac:dyDescent="0.1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</row>
    <row r="552" spans="1:25" ht="33" customHeight="1" x14ac:dyDescent="0.1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</row>
    <row r="553" spans="1:25" ht="33" customHeight="1" x14ac:dyDescent="0.1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</row>
    <row r="554" spans="1:25" ht="33" customHeight="1" x14ac:dyDescent="0.1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</row>
    <row r="555" spans="1:25" ht="33" customHeight="1" x14ac:dyDescent="0.1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</row>
    <row r="556" spans="1:25" ht="33" customHeight="1" x14ac:dyDescent="0.1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</row>
    <row r="557" spans="1:25" ht="33" customHeight="1" x14ac:dyDescent="0.1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</row>
    <row r="558" spans="1:25" ht="33" customHeight="1" x14ac:dyDescent="0.1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</row>
    <row r="559" spans="1:25" ht="33" customHeight="1" x14ac:dyDescent="0.1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</row>
    <row r="560" spans="1:25" ht="33" customHeight="1" x14ac:dyDescent="0.1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</row>
    <row r="561" spans="1:25" ht="33" customHeight="1" x14ac:dyDescent="0.1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</row>
    <row r="562" spans="1:25" ht="33" customHeight="1" x14ac:dyDescent="0.1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</row>
    <row r="563" spans="1:25" ht="33" customHeight="1" x14ac:dyDescent="0.1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</row>
    <row r="564" spans="1:25" ht="33" customHeight="1" x14ac:dyDescent="0.1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</row>
    <row r="565" spans="1:25" ht="33" customHeight="1" x14ac:dyDescent="0.1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</row>
    <row r="566" spans="1:25" ht="33" customHeight="1" x14ac:dyDescent="0.1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</row>
    <row r="567" spans="1:25" ht="33" customHeight="1" x14ac:dyDescent="0.1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</row>
    <row r="568" spans="1:25" ht="33" customHeight="1" x14ac:dyDescent="0.1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</row>
    <row r="569" spans="1:25" ht="33" customHeight="1" x14ac:dyDescent="0.1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</row>
    <row r="570" spans="1:25" ht="33" customHeight="1" x14ac:dyDescent="0.1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</row>
    <row r="571" spans="1:25" ht="33" customHeight="1" x14ac:dyDescent="0.1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</row>
    <row r="572" spans="1:25" ht="33" customHeight="1" x14ac:dyDescent="0.1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</row>
    <row r="573" spans="1:25" ht="33" customHeight="1" x14ac:dyDescent="0.1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</row>
    <row r="574" spans="1:25" ht="33" customHeight="1" x14ac:dyDescent="0.1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</row>
    <row r="575" spans="1:25" ht="33" customHeight="1" x14ac:dyDescent="0.1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</row>
    <row r="576" spans="1:25" ht="33" customHeight="1" x14ac:dyDescent="0.1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</row>
    <row r="577" spans="1:25" ht="33" customHeight="1" x14ac:dyDescent="0.1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</row>
    <row r="578" spans="1:25" ht="33" customHeight="1" x14ac:dyDescent="0.1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</row>
    <row r="579" spans="1:25" ht="33" customHeight="1" x14ac:dyDescent="0.1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</row>
    <row r="580" spans="1:25" ht="33" customHeight="1" x14ac:dyDescent="0.1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</row>
    <row r="581" spans="1:25" ht="33" customHeight="1" x14ac:dyDescent="0.1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</row>
    <row r="582" spans="1:25" ht="33" customHeight="1" x14ac:dyDescent="0.1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</row>
    <row r="583" spans="1:25" ht="33" customHeight="1" x14ac:dyDescent="0.1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</row>
    <row r="584" spans="1:25" ht="33" customHeight="1" x14ac:dyDescent="0.1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</row>
    <row r="585" spans="1:25" ht="33" customHeight="1" x14ac:dyDescent="0.1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</row>
    <row r="586" spans="1:25" ht="33" customHeight="1" x14ac:dyDescent="0.1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</row>
    <row r="587" spans="1:25" ht="33" customHeight="1" x14ac:dyDescent="0.1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</row>
    <row r="588" spans="1:25" ht="33" customHeight="1" x14ac:dyDescent="0.1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</row>
    <row r="589" spans="1:25" ht="33" customHeight="1" x14ac:dyDescent="0.1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</row>
    <row r="590" spans="1:25" ht="33" customHeight="1" x14ac:dyDescent="0.1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</row>
    <row r="591" spans="1:25" ht="33" customHeight="1" x14ac:dyDescent="0.1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</row>
    <row r="592" spans="1:25" ht="33" customHeight="1" x14ac:dyDescent="0.1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</row>
    <row r="593" spans="1:25" ht="33" customHeight="1" x14ac:dyDescent="0.1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</row>
    <row r="594" spans="1:25" ht="33" customHeight="1" x14ac:dyDescent="0.1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</row>
    <row r="595" spans="1:25" ht="33" customHeight="1" x14ac:dyDescent="0.1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</row>
    <row r="596" spans="1:25" ht="33" customHeight="1" x14ac:dyDescent="0.1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</row>
    <row r="597" spans="1:25" ht="33" customHeight="1" x14ac:dyDescent="0.1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</row>
    <row r="598" spans="1:25" ht="33" customHeight="1" x14ac:dyDescent="0.1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</row>
    <row r="599" spans="1:25" ht="33" customHeight="1" x14ac:dyDescent="0.1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</row>
    <row r="600" spans="1:25" ht="33" customHeight="1" x14ac:dyDescent="0.1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</row>
    <row r="601" spans="1:25" ht="33" customHeight="1" x14ac:dyDescent="0.1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</row>
    <row r="602" spans="1:25" ht="33" customHeight="1" x14ac:dyDescent="0.1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</row>
    <row r="603" spans="1:25" ht="33" customHeight="1" x14ac:dyDescent="0.1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</row>
    <row r="604" spans="1:25" ht="33" customHeight="1" x14ac:dyDescent="0.1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</row>
    <row r="605" spans="1:25" ht="33" customHeight="1" x14ac:dyDescent="0.1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</row>
    <row r="606" spans="1:25" ht="33" customHeight="1" x14ac:dyDescent="0.1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</row>
    <row r="607" spans="1:25" ht="33" customHeight="1" x14ac:dyDescent="0.1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</row>
    <row r="608" spans="1:25" ht="33" customHeight="1" x14ac:dyDescent="0.1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</row>
    <row r="609" spans="1:25" ht="33" customHeight="1" x14ac:dyDescent="0.1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</row>
    <row r="610" spans="1:25" ht="33" customHeight="1" x14ac:dyDescent="0.1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</row>
    <row r="611" spans="1:25" ht="33" customHeight="1" x14ac:dyDescent="0.1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</row>
    <row r="612" spans="1:25" ht="33" customHeight="1" x14ac:dyDescent="0.1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</row>
    <row r="613" spans="1:25" ht="33" customHeight="1" x14ac:dyDescent="0.1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</row>
    <row r="614" spans="1:25" ht="33" customHeight="1" x14ac:dyDescent="0.1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</row>
    <row r="615" spans="1:25" ht="33" customHeight="1" x14ac:dyDescent="0.1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</row>
    <row r="616" spans="1:25" ht="33" customHeight="1" x14ac:dyDescent="0.1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</row>
    <row r="617" spans="1:25" ht="33" customHeight="1" x14ac:dyDescent="0.1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</row>
    <row r="618" spans="1:25" ht="33" customHeight="1" x14ac:dyDescent="0.1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</row>
    <row r="619" spans="1:25" ht="33" customHeight="1" x14ac:dyDescent="0.1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</row>
    <row r="620" spans="1:25" ht="33" customHeight="1" x14ac:dyDescent="0.1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</row>
    <row r="621" spans="1:25" ht="33" customHeight="1" x14ac:dyDescent="0.1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</row>
    <row r="622" spans="1:25" ht="33" customHeight="1" x14ac:dyDescent="0.1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</row>
    <row r="623" spans="1:25" ht="33" customHeight="1" x14ac:dyDescent="0.1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</row>
    <row r="624" spans="1:25" ht="33" customHeight="1" x14ac:dyDescent="0.1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</row>
    <row r="625" spans="1:25" ht="33" customHeight="1" x14ac:dyDescent="0.1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</row>
    <row r="626" spans="1:25" ht="33" customHeight="1" x14ac:dyDescent="0.1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</row>
    <row r="627" spans="1:25" ht="33" customHeight="1" x14ac:dyDescent="0.1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</row>
    <row r="628" spans="1:25" ht="33" customHeight="1" x14ac:dyDescent="0.1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</row>
    <row r="629" spans="1:25" ht="33" customHeight="1" x14ac:dyDescent="0.1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</row>
    <row r="630" spans="1:25" ht="33" customHeight="1" x14ac:dyDescent="0.1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</row>
    <row r="631" spans="1:25" ht="33" customHeight="1" x14ac:dyDescent="0.1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</row>
    <row r="632" spans="1:25" ht="33" customHeight="1" x14ac:dyDescent="0.1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</row>
    <row r="633" spans="1:25" ht="33" customHeight="1" x14ac:dyDescent="0.1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</row>
    <row r="634" spans="1:25" ht="33" customHeight="1" x14ac:dyDescent="0.1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</row>
    <row r="635" spans="1:25" ht="33" customHeight="1" x14ac:dyDescent="0.1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</row>
    <row r="636" spans="1:25" ht="33" customHeight="1" x14ac:dyDescent="0.1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</row>
    <row r="637" spans="1:25" ht="33" customHeight="1" x14ac:dyDescent="0.1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</row>
    <row r="638" spans="1:25" ht="33" customHeight="1" x14ac:dyDescent="0.1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</row>
    <row r="639" spans="1:25" ht="33" customHeight="1" x14ac:dyDescent="0.1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</row>
    <row r="640" spans="1:25" ht="33" customHeight="1" x14ac:dyDescent="0.1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</row>
    <row r="641" spans="1:25" ht="33" customHeight="1" x14ac:dyDescent="0.1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</row>
    <row r="642" spans="1:25" ht="33" customHeight="1" x14ac:dyDescent="0.1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</row>
    <row r="643" spans="1:25" ht="33" customHeight="1" x14ac:dyDescent="0.1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</row>
    <row r="644" spans="1:25" ht="33" customHeight="1" x14ac:dyDescent="0.1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</row>
    <row r="645" spans="1:25" ht="33" customHeight="1" x14ac:dyDescent="0.1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</row>
    <row r="646" spans="1:25" ht="33" customHeight="1" x14ac:dyDescent="0.1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</row>
    <row r="647" spans="1:25" ht="33" customHeight="1" x14ac:dyDescent="0.1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</row>
    <row r="648" spans="1:25" ht="33" customHeight="1" x14ac:dyDescent="0.1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</row>
    <row r="649" spans="1:25" ht="33" customHeight="1" x14ac:dyDescent="0.1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</row>
    <row r="650" spans="1:25" ht="33" customHeight="1" x14ac:dyDescent="0.1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</row>
    <row r="651" spans="1:25" ht="33" customHeight="1" x14ac:dyDescent="0.1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</row>
    <row r="652" spans="1:25" ht="33" customHeight="1" x14ac:dyDescent="0.1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</row>
    <row r="653" spans="1:25" ht="33" customHeight="1" x14ac:dyDescent="0.1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</row>
    <row r="654" spans="1:25" ht="33" customHeight="1" x14ac:dyDescent="0.1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</row>
    <row r="655" spans="1:25" ht="33" customHeight="1" x14ac:dyDescent="0.1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</row>
    <row r="656" spans="1:25" ht="33" customHeight="1" x14ac:dyDescent="0.1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</row>
    <row r="657" spans="1:25" ht="33" customHeight="1" x14ac:dyDescent="0.1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</row>
    <row r="658" spans="1:25" ht="33" customHeight="1" x14ac:dyDescent="0.1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</row>
    <row r="659" spans="1:25" ht="33" customHeight="1" x14ac:dyDescent="0.1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</row>
    <row r="660" spans="1:25" ht="33" customHeight="1" x14ac:dyDescent="0.1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</row>
    <row r="661" spans="1:25" ht="33" customHeight="1" x14ac:dyDescent="0.1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</row>
    <row r="662" spans="1:25" ht="33" customHeight="1" x14ac:dyDescent="0.1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</row>
    <row r="663" spans="1:25" ht="33" customHeight="1" x14ac:dyDescent="0.1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</row>
    <row r="664" spans="1:25" ht="33" customHeight="1" x14ac:dyDescent="0.1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</row>
    <row r="665" spans="1:25" ht="33" customHeight="1" x14ac:dyDescent="0.1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</row>
    <row r="666" spans="1:25" ht="33" customHeight="1" x14ac:dyDescent="0.1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</row>
    <row r="667" spans="1:25" ht="33" customHeight="1" x14ac:dyDescent="0.1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</row>
    <row r="668" spans="1:25" ht="33" customHeight="1" x14ac:dyDescent="0.1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</row>
    <row r="669" spans="1:25" ht="33" customHeight="1" x14ac:dyDescent="0.1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</row>
    <row r="670" spans="1:25" ht="33" customHeight="1" x14ac:dyDescent="0.1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</row>
    <row r="671" spans="1:25" ht="33" customHeight="1" x14ac:dyDescent="0.1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</row>
    <row r="672" spans="1:25" ht="33" customHeight="1" x14ac:dyDescent="0.1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</row>
    <row r="673" spans="1:25" ht="33" customHeight="1" x14ac:dyDescent="0.1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</row>
    <row r="674" spans="1:25" ht="33" customHeight="1" x14ac:dyDescent="0.1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</row>
    <row r="675" spans="1:25" ht="33" customHeight="1" x14ac:dyDescent="0.1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</row>
    <row r="676" spans="1:25" ht="33" customHeight="1" x14ac:dyDescent="0.1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</row>
    <row r="677" spans="1:25" ht="33" customHeight="1" x14ac:dyDescent="0.1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</row>
    <row r="678" spans="1:25" ht="33" customHeight="1" x14ac:dyDescent="0.1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</row>
    <row r="679" spans="1:25" ht="33" customHeight="1" x14ac:dyDescent="0.1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</row>
    <row r="680" spans="1:25" ht="33" customHeight="1" x14ac:dyDescent="0.1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</row>
    <row r="681" spans="1:25" ht="33" customHeight="1" x14ac:dyDescent="0.1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</row>
    <row r="682" spans="1:25" ht="33" customHeight="1" x14ac:dyDescent="0.1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</row>
    <row r="683" spans="1:25" ht="33" customHeight="1" x14ac:dyDescent="0.1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</row>
    <row r="684" spans="1:25" ht="33" customHeight="1" x14ac:dyDescent="0.1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</row>
    <row r="685" spans="1:25" ht="33" customHeight="1" x14ac:dyDescent="0.1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</row>
    <row r="686" spans="1:25" ht="33" customHeight="1" x14ac:dyDescent="0.1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</row>
    <row r="687" spans="1:25" ht="33" customHeight="1" x14ac:dyDescent="0.1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</row>
    <row r="688" spans="1:25" ht="33" customHeight="1" x14ac:dyDescent="0.1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</row>
    <row r="689" spans="1:25" ht="33" customHeight="1" x14ac:dyDescent="0.1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</row>
    <row r="690" spans="1:25" ht="33" customHeight="1" x14ac:dyDescent="0.1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</row>
    <row r="691" spans="1:25" ht="33" customHeight="1" x14ac:dyDescent="0.1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</row>
    <row r="692" spans="1:25" ht="33" customHeight="1" x14ac:dyDescent="0.1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</row>
    <row r="693" spans="1:25" ht="33" customHeight="1" x14ac:dyDescent="0.1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</row>
    <row r="694" spans="1:25" ht="33" customHeight="1" x14ac:dyDescent="0.1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</row>
    <row r="695" spans="1:25" ht="33" customHeight="1" x14ac:dyDescent="0.1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</row>
    <row r="696" spans="1:25" ht="33" customHeight="1" x14ac:dyDescent="0.1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</row>
    <row r="697" spans="1:25" ht="33" customHeight="1" x14ac:dyDescent="0.1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</row>
    <row r="698" spans="1:25" ht="33" customHeight="1" x14ac:dyDescent="0.1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</row>
    <row r="699" spans="1:25" ht="33" customHeight="1" x14ac:dyDescent="0.1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</row>
    <row r="700" spans="1:25" ht="33" customHeight="1" x14ac:dyDescent="0.1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</row>
    <row r="701" spans="1:25" ht="33" customHeight="1" x14ac:dyDescent="0.1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</row>
    <row r="702" spans="1:25" ht="33" customHeight="1" x14ac:dyDescent="0.1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</row>
    <row r="703" spans="1:25" ht="33" customHeight="1" x14ac:dyDescent="0.1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</row>
    <row r="704" spans="1:25" ht="33" customHeight="1" x14ac:dyDescent="0.1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</row>
    <row r="705" spans="1:25" ht="33" customHeight="1" x14ac:dyDescent="0.1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</row>
    <row r="706" spans="1:25" ht="33" customHeight="1" x14ac:dyDescent="0.1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</row>
    <row r="707" spans="1:25" ht="33" customHeight="1" x14ac:dyDescent="0.1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</row>
    <row r="708" spans="1:25" ht="33" customHeight="1" x14ac:dyDescent="0.1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</row>
    <row r="709" spans="1:25" ht="33" customHeight="1" x14ac:dyDescent="0.1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</row>
    <row r="710" spans="1:25" ht="33" customHeight="1" x14ac:dyDescent="0.1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</row>
    <row r="711" spans="1:25" ht="33" customHeight="1" x14ac:dyDescent="0.1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</row>
    <row r="712" spans="1:25" ht="33" customHeight="1" x14ac:dyDescent="0.1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</row>
    <row r="713" spans="1:25" ht="33" customHeight="1" x14ac:dyDescent="0.1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</row>
    <row r="714" spans="1:25" ht="33" customHeight="1" x14ac:dyDescent="0.1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</row>
    <row r="715" spans="1:25" ht="33" customHeight="1" x14ac:dyDescent="0.1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</row>
    <row r="716" spans="1:25" ht="33" customHeight="1" x14ac:dyDescent="0.1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</row>
    <row r="717" spans="1:25" ht="33" customHeight="1" x14ac:dyDescent="0.1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</row>
    <row r="718" spans="1:25" ht="33" customHeight="1" x14ac:dyDescent="0.1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</row>
    <row r="719" spans="1:25" ht="33" customHeight="1" x14ac:dyDescent="0.1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</row>
    <row r="720" spans="1:25" ht="33" customHeight="1" x14ac:dyDescent="0.1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</row>
    <row r="721" spans="1:25" ht="33" customHeight="1" x14ac:dyDescent="0.1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</row>
    <row r="722" spans="1:25" ht="33" customHeight="1" x14ac:dyDescent="0.1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</row>
    <row r="723" spans="1:25" ht="33" customHeight="1" x14ac:dyDescent="0.1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</row>
    <row r="724" spans="1:25" ht="33" customHeight="1" x14ac:dyDescent="0.1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</row>
    <row r="725" spans="1:25" ht="33" customHeight="1" x14ac:dyDescent="0.1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</row>
    <row r="726" spans="1:25" ht="33" customHeight="1" x14ac:dyDescent="0.1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</row>
    <row r="727" spans="1:25" ht="33" customHeight="1" x14ac:dyDescent="0.1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</row>
    <row r="728" spans="1:25" ht="33" customHeight="1" x14ac:dyDescent="0.1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</row>
    <row r="729" spans="1:25" ht="33" customHeight="1" x14ac:dyDescent="0.1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</row>
    <row r="730" spans="1:25" ht="33" customHeight="1" x14ac:dyDescent="0.1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</row>
    <row r="731" spans="1:25" ht="33" customHeight="1" x14ac:dyDescent="0.1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</row>
    <row r="732" spans="1:25" ht="33" customHeight="1" x14ac:dyDescent="0.1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</row>
    <row r="733" spans="1:25" ht="33" customHeight="1" x14ac:dyDescent="0.1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</row>
    <row r="734" spans="1:25" ht="33" customHeight="1" x14ac:dyDescent="0.1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</row>
    <row r="735" spans="1:25" ht="33" customHeight="1" x14ac:dyDescent="0.1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</row>
    <row r="736" spans="1:25" ht="33" customHeight="1" x14ac:dyDescent="0.1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</row>
    <row r="737" spans="1:25" ht="33" customHeight="1" x14ac:dyDescent="0.1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</row>
    <row r="738" spans="1:25" ht="33" customHeight="1" x14ac:dyDescent="0.1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</row>
    <row r="739" spans="1:25" ht="33" customHeight="1" x14ac:dyDescent="0.1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</row>
    <row r="740" spans="1:25" ht="33" customHeight="1" x14ac:dyDescent="0.1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</row>
    <row r="741" spans="1:25" ht="33" customHeight="1" x14ac:dyDescent="0.1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</row>
    <row r="742" spans="1:25" ht="33" customHeight="1" x14ac:dyDescent="0.1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</row>
    <row r="743" spans="1:25" ht="33" customHeight="1" x14ac:dyDescent="0.1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</row>
    <row r="744" spans="1:25" ht="33" customHeight="1" x14ac:dyDescent="0.1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</row>
    <row r="745" spans="1:25" ht="33" customHeight="1" x14ac:dyDescent="0.1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</row>
    <row r="746" spans="1:25" ht="33" customHeight="1" x14ac:dyDescent="0.1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</row>
    <row r="747" spans="1:25" ht="33" customHeight="1" x14ac:dyDescent="0.1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</row>
    <row r="748" spans="1:25" ht="33" customHeight="1" x14ac:dyDescent="0.1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</row>
    <row r="749" spans="1:25" ht="33" customHeight="1" x14ac:dyDescent="0.1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</row>
    <row r="750" spans="1:25" ht="33" customHeight="1" x14ac:dyDescent="0.1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</row>
    <row r="751" spans="1:25" ht="33" customHeight="1" x14ac:dyDescent="0.1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</row>
    <row r="752" spans="1:25" ht="33" customHeight="1" x14ac:dyDescent="0.1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</row>
    <row r="753" spans="1:25" ht="33" customHeight="1" x14ac:dyDescent="0.1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</row>
    <row r="754" spans="1:25" ht="33" customHeight="1" x14ac:dyDescent="0.1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</row>
    <row r="755" spans="1:25" ht="33" customHeight="1" x14ac:dyDescent="0.1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</row>
    <row r="756" spans="1:25" ht="33" customHeight="1" x14ac:dyDescent="0.1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</row>
    <row r="757" spans="1:25" ht="33" customHeight="1" x14ac:dyDescent="0.1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</row>
    <row r="758" spans="1:25" ht="33" customHeight="1" x14ac:dyDescent="0.1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</row>
    <row r="759" spans="1:25" ht="33" customHeight="1" x14ac:dyDescent="0.1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</row>
    <row r="760" spans="1:25" ht="33" customHeight="1" x14ac:dyDescent="0.1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</row>
    <row r="761" spans="1:25" ht="33" customHeight="1" x14ac:dyDescent="0.1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</row>
    <row r="762" spans="1:25" ht="33" customHeight="1" x14ac:dyDescent="0.1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</row>
    <row r="763" spans="1:25" ht="33" customHeight="1" x14ac:dyDescent="0.1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</row>
    <row r="764" spans="1:25" ht="33" customHeight="1" x14ac:dyDescent="0.1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</row>
    <row r="765" spans="1:25" ht="33" customHeight="1" x14ac:dyDescent="0.1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</row>
    <row r="766" spans="1:25" ht="33" customHeight="1" x14ac:dyDescent="0.1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</row>
    <row r="767" spans="1:25" ht="33" customHeight="1" x14ac:dyDescent="0.1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</row>
    <row r="768" spans="1:25" ht="33" customHeight="1" x14ac:dyDescent="0.1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</row>
    <row r="769" spans="1:25" ht="33" customHeight="1" x14ac:dyDescent="0.1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</row>
    <row r="770" spans="1:25" ht="33" customHeight="1" x14ac:dyDescent="0.1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</row>
    <row r="771" spans="1:25" ht="33" customHeight="1" x14ac:dyDescent="0.1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</row>
    <row r="772" spans="1:25" ht="33" customHeight="1" x14ac:dyDescent="0.1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</row>
    <row r="773" spans="1:25" ht="33" customHeight="1" x14ac:dyDescent="0.1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</row>
    <row r="774" spans="1:25" ht="33" customHeight="1" x14ac:dyDescent="0.1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</row>
    <row r="775" spans="1:25" ht="33" customHeight="1" x14ac:dyDescent="0.1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</row>
    <row r="776" spans="1:25" ht="33" customHeight="1" x14ac:dyDescent="0.1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</row>
    <row r="777" spans="1:25" ht="33" customHeight="1" x14ac:dyDescent="0.1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</row>
    <row r="778" spans="1:25" ht="33" customHeight="1" x14ac:dyDescent="0.1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</row>
    <row r="779" spans="1:25" ht="33" customHeight="1" x14ac:dyDescent="0.1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</row>
    <row r="780" spans="1:25" ht="33" customHeight="1" x14ac:dyDescent="0.1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</row>
    <row r="781" spans="1:25" ht="33" customHeight="1" x14ac:dyDescent="0.1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</row>
    <row r="782" spans="1:25" ht="33" customHeight="1" x14ac:dyDescent="0.1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</row>
    <row r="783" spans="1:25" ht="33" customHeight="1" x14ac:dyDescent="0.1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</row>
    <row r="784" spans="1:25" ht="33" customHeight="1" x14ac:dyDescent="0.1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</row>
    <row r="785" spans="1:25" ht="33" customHeight="1" x14ac:dyDescent="0.1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</row>
    <row r="786" spans="1:25" ht="33" customHeight="1" x14ac:dyDescent="0.1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</row>
    <row r="787" spans="1:25" ht="33" customHeight="1" x14ac:dyDescent="0.1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</row>
    <row r="788" spans="1:25" ht="33" customHeight="1" x14ac:dyDescent="0.1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</row>
    <row r="789" spans="1:25" ht="33" customHeight="1" x14ac:dyDescent="0.1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</row>
    <row r="790" spans="1:25" ht="33" customHeight="1" x14ac:dyDescent="0.1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</row>
    <row r="791" spans="1:25" ht="33" customHeight="1" x14ac:dyDescent="0.1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</row>
    <row r="792" spans="1:25" ht="33" customHeight="1" x14ac:dyDescent="0.1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</row>
    <row r="793" spans="1:25" ht="33" customHeight="1" x14ac:dyDescent="0.1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</row>
    <row r="794" spans="1:25" ht="33" customHeight="1" x14ac:dyDescent="0.1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</row>
    <row r="795" spans="1:25" ht="33" customHeight="1" x14ac:dyDescent="0.1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</row>
    <row r="796" spans="1:25" ht="33" customHeight="1" x14ac:dyDescent="0.1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</row>
    <row r="797" spans="1:25" ht="33" customHeight="1" x14ac:dyDescent="0.1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</row>
    <row r="798" spans="1:25" ht="33" customHeight="1" x14ac:dyDescent="0.1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</row>
    <row r="799" spans="1:25" ht="33" customHeight="1" x14ac:dyDescent="0.1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</row>
    <row r="800" spans="1:25" ht="33" customHeight="1" x14ac:dyDescent="0.1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</row>
    <row r="801" spans="1:25" ht="33" customHeight="1" x14ac:dyDescent="0.1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</row>
    <row r="802" spans="1:25" ht="33" customHeight="1" x14ac:dyDescent="0.1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</row>
    <row r="803" spans="1:25" ht="33" customHeight="1" x14ac:dyDescent="0.1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</row>
    <row r="804" spans="1:25" ht="33" customHeight="1" x14ac:dyDescent="0.1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</row>
    <row r="805" spans="1:25" ht="33" customHeight="1" x14ac:dyDescent="0.1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</row>
    <row r="806" spans="1:25" ht="33" customHeight="1" x14ac:dyDescent="0.1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</row>
    <row r="807" spans="1:25" ht="33" customHeight="1" x14ac:dyDescent="0.1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</row>
    <row r="808" spans="1:25" ht="33" customHeight="1" x14ac:dyDescent="0.1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</row>
    <row r="809" spans="1:25" ht="33" customHeight="1" x14ac:dyDescent="0.1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</row>
    <row r="810" spans="1:25" ht="33" customHeight="1" x14ac:dyDescent="0.1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</row>
    <row r="811" spans="1:25" ht="33" customHeight="1" x14ac:dyDescent="0.1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</row>
    <row r="812" spans="1:25" ht="33" customHeight="1" x14ac:dyDescent="0.1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</row>
    <row r="813" spans="1:25" ht="33" customHeight="1" x14ac:dyDescent="0.1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</row>
    <row r="814" spans="1:25" ht="33" customHeight="1" x14ac:dyDescent="0.1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</row>
    <row r="815" spans="1:25" ht="33" customHeight="1" x14ac:dyDescent="0.1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</row>
    <row r="816" spans="1:25" ht="33" customHeight="1" x14ac:dyDescent="0.1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</row>
    <row r="817" spans="1:25" ht="33" customHeight="1" x14ac:dyDescent="0.1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</row>
    <row r="818" spans="1:25" ht="33" customHeight="1" x14ac:dyDescent="0.1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</row>
    <row r="819" spans="1:25" ht="33" customHeight="1" x14ac:dyDescent="0.1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</row>
    <row r="820" spans="1:25" ht="33" customHeight="1" x14ac:dyDescent="0.1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</row>
    <row r="821" spans="1:25" ht="33" customHeight="1" x14ac:dyDescent="0.1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</row>
    <row r="822" spans="1:25" ht="33" customHeight="1" x14ac:dyDescent="0.1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</row>
    <row r="823" spans="1:25" ht="33" customHeight="1" x14ac:dyDescent="0.1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</row>
    <row r="824" spans="1:25" ht="33" customHeight="1" x14ac:dyDescent="0.1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</row>
    <row r="825" spans="1:25" ht="33" customHeight="1" x14ac:dyDescent="0.1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</row>
    <row r="826" spans="1:25" ht="33" customHeight="1" x14ac:dyDescent="0.1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</row>
    <row r="827" spans="1:25" ht="33" customHeight="1" x14ac:dyDescent="0.1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</row>
    <row r="828" spans="1:25" ht="33" customHeight="1" x14ac:dyDescent="0.1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</row>
    <row r="829" spans="1:25" ht="33" customHeight="1" x14ac:dyDescent="0.1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</row>
    <row r="830" spans="1:25" ht="33" customHeight="1" x14ac:dyDescent="0.1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</row>
    <row r="831" spans="1:25" ht="33" customHeight="1" x14ac:dyDescent="0.1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</row>
    <row r="832" spans="1:25" ht="33" customHeight="1" x14ac:dyDescent="0.1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</row>
    <row r="833" spans="1:25" ht="33" customHeight="1" x14ac:dyDescent="0.1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</row>
    <row r="834" spans="1:25" ht="33" customHeight="1" x14ac:dyDescent="0.1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</row>
    <row r="835" spans="1:25" ht="33" customHeight="1" x14ac:dyDescent="0.1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</row>
    <row r="836" spans="1:25" ht="33" customHeight="1" x14ac:dyDescent="0.1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</row>
    <row r="837" spans="1:25" ht="33" customHeight="1" x14ac:dyDescent="0.1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</row>
    <row r="838" spans="1:25" ht="33" customHeight="1" x14ac:dyDescent="0.1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</row>
    <row r="839" spans="1:25" ht="33" customHeight="1" x14ac:dyDescent="0.1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</row>
    <row r="840" spans="1:25" ht="33" customHeight="1" x14ac:dyDescent="0.1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</row>
    <row r="841" spans="1:25" ht="33" customHeight="1" x14ac:dyDescent="0.1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</row>
    <row r="842" spans="1:25" ht="33" customHeight="1" x14ac:dyDescent="0.1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</row>
    <row r="843" spans="1:25" ht="33" customHeight="1" x14ac:dyDescent="0.1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</row>
    <row r="844" spans="1:25" ht="33" customHeight="1" x14ac:dyDescent="0.1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</row>
    <row r="845" spans="1:25" ht="33" customHeight="1" x14ac:dyDescent="0.1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</row>
    <row r="846" spans="1:25" ht="33" customHeight="1" x14ac:dyDescent="0.1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</row>
    <row r="847" spans="1:25" ht="33" customHeight="1" x14ac:dyDescent="0.1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</row>
    <row r="848" spans="1:25" ht="33" customHeight="1" x14ac:dyDescent="0.1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</row>
    <row r="849" spans="1:25" ht="33" customHeight="1" x14ac:dyDescent="0.1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</row>
    <row r="850" spans="1:25" ht="33" customHeight="1" x14ac:dyDescent="0.1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</row>
    <row r="851" spans="1:25" ht="33" customHeight="1" x14ac:dyDescent="0.1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</row>
    <row r="852" spans="1:25" ht="33" customHeight="1" x14ac:dyDescent="0.1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</row>
    <row r="853" spans="1:25" ht="33" customHeight="1" x14ac:dyDescent="0.1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</row>
    <row r="854" spans="1:25" ht="33" customHeight="1" x14ac:dyDescent="0.1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</row>
    <row r="855" spans="1:25" ht="33" customHeight="1" x14ac:dyDescent="0.1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</row>
    <row r="856" spans="1:25" ht="33" customHeight="1" x14ac:dyDescent="0.1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</row>
    <row r="857" spans="1:25" ht="33" customHeight="1" x14ac:dyDescent="0.1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</row>
    <row r="858" spans="1:25" ht="33" customHeight="1" x14ac:dyDescent="0.1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</row>
    <row r="859" spans="1:25" ht="33" customHeight="1" x14ac:dyDescent="0.1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</row>
    <row r="860" spans="1:25" ht="33" customHeight="1" x14ac:dyDescent="0.1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</row>
    <row r="861" spans="1:25" ht="33" customHeight="1" x14ac:dyDescent="0.1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</row>
    <row r="862" spans="1:25" ht="33" customHeight="1" x14ac:dyDescent="0.1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</row>
    <row r="863" spans="1:25" ht="33" customHeight="1" x14ac:dyDescent="0.1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</row>
    <row r="864" spans="1:25" ht="33" customHeight="1" x14ac:dyDescent="0.1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</row>
    <row r="865" spans="1:25" ht="33" customHeight="1" x14ac:dyDescent="0.1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</row>
    <row r="866" spans="1:25" ht="33" customHeight="1" x14ac:dyDescent="0.1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</row>
    <row r="867" spans="1:25" ht="33" customHeight="1" x14ac:dyDescent="0.1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</row>
    <row r="868" spans="1:25" ht="33" customHeight="1" x14ac:dyDescent="0.1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</row>
    <row r="869" spans="1:25" ht="33" customHeight="1" x14ac:dyDescent="0.1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</row>
    <row r="870" spans="1:25" ht="33" customHeight="1" x14ac:dyDescent="0.1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</row>
    <row r="871" spans="1:25" ht="33" customHeight="1" x14ac:dyDescent="0.1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</row>
    <row r="872" spans="1:25" ht="33" customHeight="1" x14ac:dyDescent="0.1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</row>
    <row r="873" spans="1:25" ht="33" customHeight="1" x14ac:dyDescent="0.1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</row>
    <row r="874" spans="1:25" ht="33" customHeight="1" x14ac:dyDescent="0.1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</row>
    <row r="875" spans="1:25" ht="33" customHeight="1" x14ac:dyDescent="0.1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</row>
    <row r="876" spans="1:25" ht="33" customHeight="1" x14ac:dyDescent="0.1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</row>
    <row r="877" spans="1:25" ht="33" customHeight="1" x14ac:dyDescent="0.1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</row>
    <row r="878" spans="1:25" ht="33" customHeight="1" x14ac:dyDescent="0.1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</row>
    <row r="879" spans="1:25" ht="33" customHeight="1" x14ac:dyDescent="0.1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</row>
    <row r="880" spans="1:25" ht="33" customHeight="1" x14ac:dyDescent="0.1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</row>
    <row r="881" spans="1:25" ht="33" customHeight="1" x14ac:dyDescent="0.1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</row>
    <row r="882" spans="1:25" ht="33" customHeight="1" x14ac:dyDescent="0.1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</row>
    <row r="883" spans="1:25" ht="33" customHeight="1" x14ac:dyDescent="0.1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</row>
    <row r="884" spans="1:25" ht="33" customHeight="1" x14ac:dyDescent="0.1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</row>
    <row r="885" spans="1:25" ht="33" customHeight="1" x14ac:dyDescent="0.1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</row>
    <row r="886" spans="1:25" ht="33" customHeight="1" x14ac:dyDescent="0.1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</row>
    <row r="887" spans="1:25" ht="33" customHeight="1" x14ac:dyDescent="0.1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</row>
    <row r="888" spans="1:25" ht="33" customHeight="1" x14ac:dyDescent="0.1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</row>
    <row r="889" spans="1:25" ht="33" customHeight="1" x14ac:dyDescent="0.1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</row>
    <row r="890" spans="1:25" ht="33" customHeight="1" x14ac:dyDescent="0.1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</row>
    <row r="891" spans="1:25" ht="33" customHeight="1" x14ac:dyDescent="0.1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</row>
    <row r="892" spans="1:25" ht="33" customHeight="1" x14ac:dyDescent="0.1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</row>
    <row r="893" spans="1:25" ht="33" customHeight="1" x14ac:dyDescent="0.1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</row>
    <row r="894" spans="1:25" ht="33" customHeight="1" x14ac:dyDescent="0.1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</row>
    <row r="895" spans="1:25" ht="33" customHeight="1" x14ac:dyDescent="0.1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</row>
    <row r="896" spans="1:25" ht="33" customHeight="1" x14ac:dyDescent="0.1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</row>
    <row r="897" spans="1:25" ht="33" customHeight="1" x14ac:dyDescent="0.1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</row>
    <row r="898" spans="1:25" ht="33" customHeight="1" x14ac:dyDescent="0.1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</row>
    <row r="899" spans="1:25" ht="33" customHeight="1" x14ac:dyDescent="0.1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</row>
    <row r="900" spans="1:25" ht="33" customHeight="1" x14ac:dyDescent="0.1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</row>
    <row r="901" spans="1:25" ht="33" customHeight="1" x14ac:dyDescent="0.1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</row>
    <row r="902" spans="1:25" ht="33" customHeight="1" x14ac:dyDescent="0.1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</row>
    <row r="903" spans="1:25" ht="33" customHeight="1" x14ac:dyDescent="0.1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</row>
    <row r="904" spans="1:25" ht="33" customHeight="1" x14ac:dyDescent="0.1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</row>
    <row r="905" spans="1:25" ht="33" customHeight="1" x14ac:dyDescent="0.1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</row>
    <row r="906" spans="1:25" ht="33" customHeight="1" x14ac:dyDescent="0.1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</row>
    <row r="907" spans="1:25" ht="33" customHeight="1" x14ac:dyDescent="0.1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</row>
    <row r="908" spans="1:25" ht="33" customHeight="1" x14ac:dyDescent="0.1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</row>
    <row r="909" spans="1:25" ht="33" customHeight="1" x14ac:dyDescent="0.1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</row>
    <row r="910" spans="1:25" ht="33" customHeight="1" x14ac:dyDescent="0.1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</row>
    <row r="911" spans="1:25" ht="33" customHeight="1" x14ac:dyDescent="0.1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</row>
    <row r="912" spans="1:25" ht="33" customHeight="1" x14ac:dyDescent="0.1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</row>
    <row r="913" spans="1:25" ht="33" customHeight="1" x14ac:dyDescent="0.1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</row>
    <row r="914" spans="1:25" ht="33" customHeight="1" x14ac:dyDescent="0.1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</row>
    <row r="915" spans="1:25" ht="33" customHeight="1" x14ac:dyDescent="0.1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</row>
    <row r="916" spans="1:25" ht="33" customHeight="1" x14ac:dyDescent="0.1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</row>
    <row r="917" spans="1:25" ht="33" customHeight="1" x14ac:dyDescent="0.1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</row>
    <row r="918" spans="1:25" ht="33" customHeight="1" x14ac:dyDescent="0.1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</row>
    <row r="919" spans="1:25" ht="33" customHeight="1" x14ac:dyDescent="0.1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</row>
    <row r="920" spans="1:25" ht="33" customHeight="1" x14ac:dyDescent="0.1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</row>
    <row r="921" spans="1:25" ht="33" customHeight="1" x14ac:dyDescent="0.1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</row>
    <row r="922" spans="1:25" ht="33" customHeight="1" x14ac:dyDescent="0.1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</row>
    <row r="923" spans="1:25" ht="33" customHeight="1" x14ac:dyDescent="0.1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</row>
    <row r="924" spans="1:25" ht="33" customHeight="1" x14ac:dyDescent="0.1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</row>
    <row r="925" spans="1:25" ht="33" customHeight="1" x14ac:dyDescent="0.1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</row>
    <row r="926" spans="1:25" ht="33" customHeight="1" x14ac:dyDescent="0.1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</row>
    <row r="927" spans="1:25" ht="33" customHeight="1" x14ac:dyDescent="0.1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</row>
    <row r="928" spans="1:25" ht="33" customHeight="1" x14ac:dyDescent="0.1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</row>
    <row r="929" spans="1:25" ht="33" customHeight="1" x14ac:dyDescent="0.1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</row>
    <row r="930" spans="1:25" ht="33" customHeight="1" x14ac:dyDescent="0.1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</row>
    <row r="931" spans="1:25" ht="33" customHeight="1" x14ac:dyDescent="0.1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</row>
    <row r="932" spans="1:25" ht="33" customHeight="1" x14ac:dyDescent="0.1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</row>
    <row r="933" spans="1:25" ht="33" customHeight="1" x14ac:dyDescent="0.1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</row>
    <row r="934" spans="1:25" ht="33" customHeight="1" x14ac:dyDescent="0.1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</row>
    <row r="935" spans="1:25" ht="33" customHeight="1" x14ac:dyDescent="0.1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</row>
    <row r="936" spans="1:25" ht="33" customHeight="1" x14ac:dyDescent="0.1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</row>
    <row r="937" spans="1:25" ht="33" customHeight="1" x14ac:dyDescent="0.1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</row>
    <row r="938" spans="1:25" ht="33" customHeight="1" x14ac:dyDescent="0.1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</row>
    <row r="939" spans="1:25" ht="33" customHeight="1" x14ac:dyDescent="0.1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</row>
    <row r="940" spans="1:25" ht="33" customHeight="1" x14ac:dyDescent="0.1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</row>
    <row r="941" spans="1:25" ht="33" customHeight="1" x14ac:dyDescent="0.1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</row>
    <row r="942" spans="1:25" ht="33" customHeight="1" x14ac:dyDescent="0.1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</row>
    <row r="943" spans="1:25" ht="33" customHeight="1" x14ac:dyDescent="0.1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</row>
    <row r="944" spans="1:25" ht="33" customHeight="1" x14ac:dyDescent="0.1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</row>
    <row r="945" spans="1:25" ht="33" customHeight="1" x14ac:dyDescent="0.1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</row>
    <row r="946" spans="1:25" ht="33" customHeight="1" x14ac:dyDescent="0.1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</row>
    <row r="947" spans="1:25" ht="33" customHeight="1" x14ac:dyDescent="0.1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</row>
    <row r="948" spans="1:25" ht="33" customHeight="1" x14ac:dyDescent="0.1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</row>
    <row r="949" spans="1:25" ht="33" customHeight="1" x14ac:dyDescent="0.1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</row>
    <row r="950" spans="1:25" ht="33" customHeight="1" x14ac:dyDescent="0.1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</row>
    <row r="951" spans="1:25" ht="33" customHeight="1" x14ac:dyDescent="0.1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</row>
    <row r="952" spans="1:25" ht="33" customHeight="1" x14ac:dyDescent="0.1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</row>
    <row r="953" spans="1:25" ht="33" customHeight="1" x14ac:dyDescent="0.1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</row>
    <row r="954" spans="1:25" ht="33" customHeight="1" x14ac:dyDescent="0.1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</row>
    <row r="955" spans="1:25" ht="33" customHeight="1" x14ac:dyDescent="0.1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</row>
    <row r="956" spans="1:25" ht="33" customHeight="1" x14ac:dyDescent="0.1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</row>
    <row r="957" spans="1:25" ht="33" customHeight="1" x14ac:dyDescent="0.1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</row>
    <row r="958" spans="1:25" ht="33" customHeight="1" x14ac:dyDescent="0.1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</row>
    <row r="959" spans="1:25" ht="33" customHeight="1" x14ac:dyDescent="0.1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</row>
    <row r="960" spans="1:25" ht="33" customHeight="1" x14ac:dyDescent="0.1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</row>
    <row r="961" spans="1:25" ht="33" customHeight="1" x14ac:dyDescent="0.1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</row>
    <row r="962" spans="1:25" ht="33" customHeight="1" x14ac:dyDescent="0.1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</row>
    <row r="963" spans="1:25" ht="33" customHeight="1" x14ac:dyDescent="0.1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</row>
    <row r="964" spans="1:25" ht="33" customHeight="1" x14ac:dyDescent="0.1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</row>
    <row r="965" spans="1:25" ht="33" customHeight="1" x14ac:dyDescent="0.1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</row>
    <row r="966" spans="1:25" ht="33" customHeight="1" x14ac:dyDescent="0.1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</row>
    <row r="967" spans="1:25" ht="33" customHeight="1" x14ac:dyDescent="0.1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</row>
    <row r="968" spans="1:25" ht="33" customHeight="1" x14ac:dyDescent="0.1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</row>
    <row r="969" spans="1:25" ht="33" customHeight="1" x14ac:dyDescent="0.1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</row>
    <row r="970" spans="1:25" ht="33" customHeight="1" x14ac:dyDescent="0.1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</row>
    <row r="971" spans="1:25" ht="33" customHeight="1" x14ac:dyDescent="0.1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</row>
    <row r="972" spans="1:25" ht="33" customHeight="1" x14ac:dyDescent="0.1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</row>
    <row r="973" spans="1:25" ht="33" customHeight="1" x14ac:dyDescent="0.1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</row>
    <row r="974" spans="1:25" ht="33" customHeight="1" x14ac:dyDescent="0.1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</row>
    <row r="975" spans="1:25" ht="33" customHeight="1" x14ac:dyDescent="0.1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</row>
    <row r="976" spans="1:25" ht="33" customHeight="1" x14ac:dyDescent="0.1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</row>
    <row r="977" spans="1:25" ht="33" customHeight="1" x14ac:dyDescent="0.1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</row>
    <row r="978" spans="1:25" ht="33" customHeight="1" x14ac:dyDescent="0.1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</row>
    <row r="979" spans="1:25" ht="33" customHeight="1" x14ac:dyDescent="0.1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</row>
    <row r="980" spans="1:25" ht="33" customHeight="1" x14ac:dyDescent="0.1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</row>
    <row r="981" spans="1:25" ht="33" customHeight="1" x14ac:dyDescent="0.1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</row>
    <row r="982" spans="1:25" ht="33" customHeight="1" x14ac:dyDescent="0.1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</row>
    <row r="983" spans="1:25" ht="33" customHeight="1" x14ac:dyDescent="0.1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</row>
    <row r="984" spans="1:25" ht="33" customHeight="1" x14ac:dyDescent="0.1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</row>
    <row r="985" spans="1:25" ht="33" customHeight="1" x14ac:dyDescent="0.1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</row>
    <row r="986" spans="1:25" ht="33" customHeight="1" x14ac:dyDescent="0.1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</row>
    <row r="987" spans="1:25" ht="33" customHeight="1" x14ac:dyDescent="0.1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</row>
    <row r="988" spans="1:25" ht="33" customHeight="1" x14ac:dyDescent="0.1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</row>
    <row r="989" spans="1:25" ht="33" customHeight="1" x14ac:dyDescent="0.1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</row>
    <row r="990" spans="1:25" ht="33" customHeight="1" x14ac:dyDescent="0.1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</row>
    <row r="991" spans="1:25" ht="33" customHeight="1" x14ac:dyDescent="0.1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</row>
    <row r="992" spans="1:25" ht="33" customHeight="1" x14ac:dyDescent="0.1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</row>
    <row r="993" spans="1:25" ht="33" customHeight="1" x14ac:dyDescent="0.1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</row>
    <row r="994" spans="1:25" ht="33" customHeight="1" x14ac:dyDescent="0.1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</row>
    <row r="995" spans="1:25" ht="33" customHeight="1" x14ac:dyDescent="0.1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</row>
    <row r="996" spans="1:25" ht="33" customHeight="1" x14ac:dyDescent="0.1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</row>
  </sheetData>
  <hyperlinks>
    <hyperlink ref="K2" r:id="rId1" display="https://drive.google.com/open?id=1FDgWJRLG-0YmUX-Ho8W9BzIF5VOe8920" xr:uid="{00000000-0004-0000-0900-000000000000}"/>
    <hyperlink ref="K3" r:id="rId2" display="https://drive.google.com/open?id=16hFTXxdc9QEZmhVAzu2w4tuF05DhDNfC" xr:uid="{00000000-0004-0000-0900-000001000000}"/>
    <hyperlink ref="K4" r:id="rId3" display="https://drive.google.com/open?id=1-v8R8caNSpd9aQqqGDaTIf13ETG7x4f_" xr:uid="{00000000-0004-0000-0900-000002000000}"/>
    <hyperlink ref="K5" r:id="rId4" display="https://drive.google.com/open?id=1LoHF43KbwnVo_okD5d4L7957XnqQvQmj" xr:uid="{00000000-0004-0000-0900-000003000000}"/>
    <hyperlink ref="K6" r:id="rId5" display="https://drive.google.com/open?id=1qg0PxyqcGhx6JTmOlDsBiPQ91aW-JAjo" xr:uid="{00000000-0004-0000-0900-000004000000}"/>
    <hyperlink ref="K7" r:id="rId6" display="https://drive.google.com/open?id=14_kjEFWXuvWr-8EVjs6NZleSOjYppHsb" xr:uid="{00000000-0004-0000-0900-000005000000}"/>
    <hyperlink ref="K8" r:id="rId7" display="https://drive.google.com/open?id=1JdfIuSWEbOy-mVPSaH9DMtIU1XBJuDkC" xr:uid="{00000000-0004-0000-0900-000006000000}"/>
    <hyperlink ref="K9" r:id="rId8" display="https://drive.google.com/open?id=1BEZt90cEEdzOA0qkKyqNAyG_fheG72hZ" xr:uid="{00000000-0004-0000-0900-000007000000}"/>
    <hyperlink ref="K10" r:id="rId9" display="https://drive.google.com/open?id=1d3CJEwqnnG0DPf8lZ3jX3U-orHJ8_B2K" xr:uid="{00000000-0004-0000-0900-000008000000}"/>
    <hyperlink ref="K11" r:id="rId10" display="https://drive.google.com/open?id=1GbkxbsFGmye-z56y_xPiRNG9eToM2ch7" xr:uid="{00000000-0004-0000-0900-000009000000}"/>
    <hyperlink ref="K12" r:id="rId11" display="https://drive.google.com/open?id=1PxUOyyuy2MDilQIZtpCG6-BGaxfslHXc" xr:uid="{00000000-0004-0000-0900-00000A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X996"/>
  <sheetViews>
    <sheetView workbookViewId="0"/>
  </sheetViews>
  <sheetFormatPr baseColWidth="10" defaultColWidth="12.6640625" defaultRowHeight="15.75" customHeight="1" x14ac:dyDescent="0.15"/>
  <cols>
    <col min="1" max="1" width="35.33203125" customWidth="1"/>
    <col min="2" max="2" width="8.1640625" customWidth="1"/>
    <col min="3" max="4" width="9.1640625" customWidth="1"/>
    <col min="5" max="5" width="28.1640625" customWidth="1"/>
    <col min="6" max="6" width="27.6640625" customWidth="1"/>
    <col min="7" max="7" width="19" customWidth="1"/>
    <col min="8" max="8" width="15.1640625" customWidth="1"/>
    <col min="9" max="9" width="16.33203125" customWidth="1"/>
    <col min="10" max="10" width="59" customWidth="1"/>
    <col min="11" max="11" width="15.1640625" customWidth="1"/>
    <col min="12" max="12" width="31.5" customWidth="1"/>
    <col min="13" max="13" width="26.6640625" customWidth="1"/>
    <col min="14" max="14" width="10.1640625" customWidth="1"/>
    <col min="15" max="24" width="32.1640625" customWidth="1"/>
  </cols>
  <sheetData>
    <row r="1" spans="1:24" ht="36" customHeight="1" x14ac:dyDescent="0.15">
      <c r="A1" s="88" t="s">
        <v>91</v>
      </c>
      <c r="B1" s="88" t="s">
        <v>63</v>
      </c>
      <c r="C1" s="88" t="s">
        <v>55</v>
      </c>
      <c r="D1" s="88" t="s">
        <v>56</v>
      </c>
      <c r="E1" s="88" t="s">
        <v>84</v>
      </c>
      <c r="F1" s="88" t="s">
        <v>85</v>
      </c>
      <c r="G1" s="88" t="s">
        <v>86</v>
      </c>
      <c r="H1" s="88" t="s">
        <v>87</v>
      </c>
      <c r="I1" s="88" t="s">
        <v>88</v>
      </c>
      <c r="J1" s="88" t="s">
        <v>90</v>
      </c>
      <c r="K1" s="15" t="s">
        <v>24</v>
      </c>
      <c r="L1" s="14" t="s">
        <v>1</v>
      </c>
      <c r="M1" s="15" t="s">
        <v>113</v>
      </c>
      <c r="N1" s="15" t="s">
        <v>114</v>
      </c>
      <c r="O1" s="11"/>
      <c r="P1" s="11"/>
      <c r="Q1" s="11"/>
      <c r="R1" s="11"/>
      <c r="S1" s="11"/>
      <c r="T1" s="11"/>
      <c r="U1" s="11"/>
      <c r="V1" s="11"/>
      <c r="W1" s="11"/>
      <c r="X1" s="11"/>
    </row>
    <row r="2" spans="1:24" ht="36" customHeight="1" x14ac:dyDescent="0.15">
      <c r="A2" s="89" t="str">
        <f ca="1">IFERROR(__xludf.DUMMYFUNCTION("QUERY(MasterData!A1:NK11244,""select DD,DE,DF,DG,DH,DI,DJ,DK,DL,DM,B,C,FL,FM where C='S9: Student Guest Lecutres Organized'"",0)"),"Guest Lecture on ""Futuristic IoT Solutions""")</f>
        <v>Guest Lecture on "Futuristic IoT Solutions"</v>
      </c>
      <c r="B2" s="89" t="str">
        <f ca="1">IFERROR(__xludf.DUMMYFUNCTION("""COMPUTED_VALUE"""),"1 Hour")</f>
        <v>1 Hour</v>
      </c>
      <c r="C2" s="90">
        <f ca="1">IFERROR(__xludf.DUMMYFUNCTION("""COMPUTED_VALUE"""),44151)</f>
        <v>44151</v>
      </c>
      <c r="D2" s="90">
        <f ca="1">IFERROR(__xludf.DUMMYFUNCTION("""COMPUTED_VALUE"""),44151)</f>
        <v>44151</v>
      </c>
      <c r="E2" s="89">
        <f ca="1">IFERROR(__xludf.DUMMYFUNCTION("""COMPUTED_VALUE"""),100)</f>
        <v>100</v>
      </c>
      <c r="F2" s="89" t="str">
        <f ca="1">IFERROR(__xludf.DUMMYFUNCTION("""COMPUTED_VALUE"""),"Dr. Ajay Pratap, IIT BHU, Varanasi")</f>
        <v>Dr. Ajay Pratap, IIT BHU, Varanasi</v>
      </c>
      <c r="G2" s="89" t="str">
        <f ca="1">IFERROR(__xludf.DUMMYFUNCTION("""COMPUTED_VALUE"""),"Dr. Ravi Kiran Varma P")</f>
        <v>Dr. Ravi Kiran Varma P</v>
      </c>
      <c r="H2" s="89">
        <f ca="1">IFERROR(__xludf.DUMMYFUNCTION("""COMPUTED_VALUE"""),0)</f>
        <v>0</v>
      </c>
      <c r="I2" s="89">
        <f ca="1">IFERROR(__xludf.DUMMYFUNCTION("""COMPUTED_VALUE"""),0)</f>
        <v>0</v>
      </c>
      <c r="J2" s="91" t="str">
        <f ca="1">IFERROR(__xludf.DUMMYFUNCTION("""COMPUTED_VALUE"""),"https://drive.google.com/open?id=1ifa6yjOXG4TtdUNUSfZBrITLDK4L2_f0")</f>
        <v>https://drive.google.com/open?id=1ifa6yjOXG4TtdUNUSfZBrITLDK4L2_f0</v>
      </c>
      <c r="K2" s="89" t="str">
        <f ca="1">IFERROR(__xludf.DUMMYFUNCTION("""COMPUTED_VALUE"""),"3")</f>
        <v>3</v>
      </c>
      <c r="L2" s="89" t="str">
        <f ca="1">IFERROR(__xludf.DUMMYFUNCTION("""COMPUTED_VALUE"""),"S9: Student Guest Lecutres Organized")</f>
        <v>S9: Student Guest Lecutres Organized</v>
      </c>
      <c r="M2" s="89" t="str">
        <f ca="1">IFERROR(__xludf.DUMMYFUNCTION("""COMPUTED_VALUE"""),"ravikiranvarmap@mvgrce.edu.in")</f>
        <v>ravikiranvarmap@mvgrce.edu.in</v>
      </c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</row>
    <row r="3" spans="1:24" ht="36" customHeight="1" x14ac:dyDescent="0.1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</row>
    <row r="4" spans="1:24" ht="36" customHeight="1" x14ac:dyDescent="0.15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</row>
    <row r="5" spans="1:24" ht="36" customHeight="1" x14ac:dyDescent="0.1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</row>
    <row r="6" spans="1:24" ht="36" customHeight="1" x14ac:dyDescent="0.15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</row>
    <row r="7" spans="1:24" ht="36" customHeight="1" x14ac:dyDescent="0.15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</row>
    <row r="8" spans="1:24" ht="36" customHeight="1" x14ac:dyDescent="0.15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</row>
    <row r="9" spans="1:24" ht="36" customHeight="1" x14ac:dyDescent="0.15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</row>
    <row r="10" spans="1:24" ht="36" customHeight="1" x14ac:dyDescent="0.15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</row>
    <row r="11" spans="1:24" ht="36" customHeight="1" x14ac:dyDescent="0.15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</row>
    <row r="12" spans="1:24" ht="36" customHeight="1" x14ac:dyDescent="0.15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</row>
    <row r="13" spans="1:24" ht="36" customHeight="1" x14ac:dyDescent="0.15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</row>
    <row r="14" spans="1:24" ht="36" customHeight="1" x14ac:dyDescent="0.15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</row>
    <row r="15" spans="1:24" ht="36" customHeight="1" x14ac:dyDescent="0.15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</row>
    <row r="16" spans="1:24" ht="36" customHeight="1" x14ac:dyDescent="0.15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</row>
    <row r="17" spans="1:24" ht="36" customHeight="1" x14ac:dyDescent="0.15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</row>
    <row r="18" spans="1:24" ht="36" customHeight="1" x14ac:dyDescent="0.15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</row>
    <row r="19" spans="1:24" ht="36" customHeight="1" x14ac:dyDescent="0.15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</row>
    <row r="20" spans="1:24" ht="36" customHeight="1" x14ac:dyDescent="0.1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</row>
    <row r="21" spans="1:24" ht="36" customHeight="1" x14ac:dyDescent="0.15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</row>
    <row r="22" spans="1:24" ht="36" customHeight="1" x14ac:dyDescent="0.15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</row>
    <row r="23" spans="1:24" ht="36" customHeight="1" x14ac:dyDescent="0.15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</row>
    <row r="24" spans="1:24" ht="36" customHeight="1" x14ac:dyDescent="0.15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</row>
    <row r="25" spans="1:24" ht="36" customHeight="1" x14ac:dyDescent="0.15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</row>
    <row r="26" spans="1:24" ht="36" customHeight="1" x14ac:dyDescent="0.15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</row>
    <row r="27" spans="1:24" ht="36" customHeight="1" x14ac:dyDescent="0.15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</row>
    <row r="28" spans="1:24" ht="36" customHeight="1" x14ac:dyDescent="0.15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</row>
    <row r="29" spans="1:24" ht="36" customHeight="1" x14ac:dyDescent="0.15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</row>
    <row r="30" spans="1:24" ht="36" customHeight="1" x14ac:dyDescent="0.15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</row>
    <row r="31" spans="1:24" ht="36" customHeight="1" x14ac:dyDescent="0.15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</row>
    <row r="32" spans="1:24" ht="36" customHeight="1" x14ac:dyDescent="0.15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</row>
    <row r="33" spans="1:24" ht="36" customHeight="1" x14ac:dyDescent="0.15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</row>
    <row r="34" spans="1:24" ht="36" customHeight="1" x14ac:dyDescent="0.15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</row>
    <row r="35" spans="1:24" ht="36" customHeight="1" x14ac:dyDescent="0.15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</row>
    <row r="36" spans="1:24" ht="36" customHeight="1" x14ac:dyDescent="0.15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</row>
    <row r="37" spans="1:24" ht="36" customHeight="1" x14ac:dyDescent="0.15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</row>
    <row r="38" spans="1:24" ht="36" customHeight="1" x14ac:dyDescent="0.15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</row>
    <row r="39" spans="1:24" ht="36" customHeight="1" x14ac:dyDescent="0.15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</row>
    <row r="40" spans="1:24" ht="36" customHeight="1" x14ac:dyDescent="0.15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</row>
    <row r="41" spans="1:24" ht="36" customHeight="1" x14ac:dyDescent="0.15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</row>
    <row r="42" spans="1:24" ht="36" customHeight="1" x14ac:dyDescent="0.15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</row>
    <row r="43" spans="1:24" ht="36" customHeight="1" x14ac:dyDescent="0.15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</row>
    <row r="44" spans="1:24" ht="36" customHeight="1" x14ac:dyDescent="0.15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</row>
    <row r="45" spans="1:24" ht="36" customHeight="1" x14ac:dyDescent="0.15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</row>
    <row r="46" spans="1:24" ht="36" customHeight="1" x14ac:dyDescent="0.15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</row>
    <row r="47" spans="1:24" ht="36" customHeight="1" x14ac:dyDescent="0.15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</row>
    <row r="48" spans="1:24" ht="36" customHeight="1" x14ac:dyDescent="0.15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</row>
    <row r="49" spans="1:24" ht="36" customHeight="1" x14ac:dyDescent="0.15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</row>
    <row r="50" spans="1:24" ht="36" customHeight="1" x14ac:dyDescent="0.15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</row>
    <row r="51" spans="1:24" ht="36" customHeight="1" x14ac:dyDescent="0.15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</row>
    <row r="52" spans="1:24" ht="36" customHeight="1" x14ac:dyDescent="0.15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</row>
    <row r="53" spans="1:24" ht="36" customHeight="1" x14ac:dyDescent="0.15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</row>
    <row r="54" spans="1:24" ht="36" customHeight="1" x14ac:dyDescent="0.15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</row>
    <row r="55" spans="1:24" ht="36" customHeight="1" x14ac:dyDescent="0.15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</row>
    <row r="56" spans="1:24" ht="36" customHeight="1" x14ac:dyDescent="0.15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</row>
    <row r="57" spans="1:24" ht="36" customHeight="1" x14ac:dyDescent="0.15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</row>
    <row r="58" spans="1:24" ht="36" customHeight="1" x14ac:dyDescent="0.15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</row>
    <row r="59" spans="1:24" ht="36" customHeight="1" x14ac:dyDescent="0.15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</row>
    <row r="60" spans="1:24" ht="36" customHeight="1" x14ac:dyDescent="0.15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</row>
    <row r="61" spans="1:24" ht="36" customHeight="1" x14ac:dyDescent="0.15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</row>
    <row r="62" spans="1:24" ht="36" customHeight="1" x14ac:dyDescent="0.15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</row>
    <row r="63" spans="1:24" ht="36" customHeight="1" x14ac:dyDescent="0.15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</row>
    <row r="64" spans="1:24" ht="36" customHeight="1" x14ac:dyDescent="0.15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</row>
    <row r="65" spans="1:24" ht="36" customHeight="1" x14ac:dyDescent="0.15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</row>
    <row r="66" spans="1:24" ht="36" customHeight="1" x14ac:dyDescent="0.15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</row>
    <row r="67" spans="1:24" ht="36" customHeight="1" x14ac:dyDescent="0.15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</row>
    <row r="68" spans="1:24" ht="36" customHeight="1" x14ac:dyDescent="0.15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</row>
    <row r="69" spans="1:24" ht="36" customHeight="1" x14ac:dyDescent="0.15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</row>
    <row r="70" spans="1:24" ht="36" customHeight="1" x14ac:dyDescent="0.15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</row>
    <row r="71" spans="1:24" ht="36" customHeight="1" x14ac:dyDescent="0.15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</row>
    <row r="72" spans="1:24" ht="36" customHeight="1" x14ac:dyDescent="0.15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</row>
    <row r="73" spans="1:24" ht="36" customHeight="1" x14ac:dyDescent="0.15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</row>
    <row r="74" spans="1:24" ht="36" customHeight="1" x14ac:dyDescent="0.15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</row>
    <row r="75" spans="1:24" ht="36" customHeight="1" x14ac:dyDescent="0.15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</row>
    <row r="76" spans="1:24" ht="36" customHeight="1" x14ac:dyDescent="0.15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</row>
    <row r="77" spans="1:24" ht="36" customHeight="1" x14ac:dyDescent="0.15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</row>
    <row r="78" spans="1:24" ht="36" customHeight="1" x14ac:dyDescent="0.15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</row>
    <row r="79" spans="1:24" ht="36" customHeight="1" x14ac:dyDescent="0.15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</row>
    <row r="80" spans="1:24" ht="36" customHeight="1" x14ac:dyDescent="0.15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</row>
    <row r="81" spans="1:24" ht="36" customHeight="1" x14ac:dyDescent="0.15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</row>
    <row r="82" spans="1:24" ht="36" customHeight="1" x14ac:dyDescent="0.15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</row>
    <row r="83" spans="1:24" ht="36" customHeight="1" x14ac:dyDescent="0.15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</row>
    <row r="84" spans="1:24" ht="36" customHeight="1" x14ac:dyDescent="0.15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</row>
    <row r="85" spans="1:24" ht="36" customHeight="1" x14ac:dyDescent="0.15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</row>
    <row r="86" spans="1:24" ht="36" customHeight="1" x14ac:dyDescent="0.15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</row>
    <row r="87" spans="1:24" ht="36" customHeight="1" x14ac:dyDescent="0.15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</row>
    <row r="88" spans="1:24" ht="36" customHeight="1" x14ac:dyDescent="0.15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</row>
    <row r="89" spans="1:24" ht="36" customHeight="1" x14ac:dyDescent="0.15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</row>
    <row r="90" spans="1:24" ht="36" customHeight="1" x14ac:dyDescent="0.15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</row>
    <row r="91" spans="1:24" ht="36" customHeight="1" x14ac:dyDescent="0.15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</row>
    <row r="92" spans="1:24" ht="36" customHeight="1" x14ac:dyDescent="0.15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</row>
    <row r="93" spans="1:24" ht="36" customHeight="1" x14ac:dyDescent="0.15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</row>
    <row r="94" spans="1:24" ht="36" customHeight="1" x14ac:dyDescent="0.15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</row>
    <row r="95" spans="1:24" ht="36" customHeight="1" x14ac:dyDescent="0.15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</row>
    <row r="96" spans="1:24" ht="36" customHeight="1" x14ac:dyDescent="0.15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</row>
    <row r="97" spans="1:24" ht="36" customHeight="1" x14ac:dyDescent="0.15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</row>
    <row r="98" spans="1:24" ht="36" customHeight="1" x14ac:dyDescent="0.15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</row>
    <row r="99" spans="1:24" ht="36" customHeight="1" x14ac:dyDescent="0.15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</row>
    <row r="100" spans="1:24" ht="36" customHeight="1" x14ac:dyDescent="0.15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</row>
    <row r="101" spans="1:24" ht="36" customHeight="1" x14ac:dyDescent="0.15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</row>
    <row r="102" spans="1:24" ht="36" customHeight="1" x14ac:dyDescent="0.15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</row>
    <row r="103" spans="1:24" ht="36" customHeight="1" x14ac:dyDescent="0.15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</row>
    <row r="104" spans="1:24" ht="36" customHeight="1" x14ac:dyDescent="0.15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</row>
    <row r="105" spans="1:24" ht="36" customHeight="1" x14ac:dyDescent="0.15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</row>
    <row r="106" spans="1:24" ht="36" customHeight="1" x14ac:dyDescent="0.15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</row>
    <row r="107" spans="1:24" ht="36" customHeight="1" x14ac:dyDescent="0.15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</row>
    <row r="108" spans="1:24" ht="36" customHeight="1" x14ac:dyDescent="0.15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</row>
    <row r="109" spans="1:24" ht="36" customHeight="1" x14ac:dyDescent="0.15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</row>
    <row r="110" spans="1:24" ht="36" customHeight="1" x14ac:dyDescent="0.15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</row>
    <row r="111" spans="1:24" ht="36" customHeight="1" x14ac:dyDescent="0.15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</row>
    <row r="112" spans="1:24" ht="36" customHeight="1" x14ac:dyDescent="0.15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</row>
    <row r="113" spans="1:24" ht="36" customHeight="1" x14ac:dyDescent="0.15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</row>
    <row r="114" spans="1:24" ht="36" customHeight="1" x14ac:dyDescent="0.15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</row>
    <row r="115" spans="1:24" ht="36" customHeight="1" x14ac:dyDescent="0.15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</row>
    <row r="116" spans="1:24" ht="36" customHeight="1" x14ac:dyDescent="0.15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</row>
    <row r="117" spans="1:24" ht="36" customHeight="1" x14ac:dyDescent="0.15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</row>
    <row r="118" spans="1:24" ht="36" customHeight="1" x14ac:dyDescent="0.15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</row>
    <row r="119" spans="1:24" ht="36" customHeight="1" x14ac:dyDescent="0.15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</row>
    <row r="120" spans="1:24" ht="36" customHeight="1" x14ac:dyDescent="0.15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</row>
    <row r="121" spans="1:24" ht="36" customHeight="1" x14ac:dyDescent="0.15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</row>
    <row r="122" spans="1:24" ht="36" customHeight="1" x14ac:dyDescent="0.15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</row>
    <row r="123" spans="1:24" ht="36" customHeight="1" x14ac:dyDescent="0.15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</row>
    <row r="124" spans="1:24" ht="36" customHeight="1" x14ac:dyDescent="0.15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</row>
    <row r="125" spans="1:24" ht="36" customHeight="1" x14ac:dyDescent="0.15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</row>
    <row r="126" spans="1:24" ht="36" customHeight="1" x14ac:dyDescent="0.15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</row>
    <row r="127" spans="1:24" ht="36" customHeight="1" x14ac:dyDescent="0.15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</row>
    <row r="128" spans="1:24" ht="36" customHeight="1" x14ac:dyDescent="0.15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</row>
    <row r="129" spans="1:24" ht="36" customHeight="1" x14ac:dyDescent="0.15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</row>
    <row r="130" spans="1:24" ht="36" customHeight="1" x14ac:dyDescent="0.15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</row>
    <row r="131" spans="1:24" ht="36" customHeight="1" x14ac:dyDescent="0.15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</row>
    <row r="132" spans="1:24" ht="36" customHeight="1" x14ac:dyDescent="0.15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</row>
    <row r="133" spans="1:24" ht="36" customHeight="1" x14ac:dyDescent="0.15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</row>
    <row r="134" spans="1:24" ht="36" customHeight="1" x14ac:dyDescent="0.15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</row>
    <row r="135" spans="1:24" ht="36" customHeight="1" x14ac:dyDescent="0.15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</row>
    <row r="136" spans="1:24" ht="36" customHeight="1" x14ac:dyDescent="0.15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</row>
    <row r="137" spans="1:24" ht="36" customHeight="1" x14ac:dyDescent="0.15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</row>
    <row r="138" spans="1:24" ht="36" customHeight="1" x14ac:dyDescent="0.15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</row>
    <row r="139" spans="1:24" ht="36" customHeight="1" x14ac:dyDescent="0.15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</row>
    <row r="140" spans="1:24" ht="36" customHeight="1" x14ac:dyDescent="0.15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</row>
    <row r="141" spans="1:24" ht="36" customHeight="1" x14ac:dyDescent="0.15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</row>
    <row r="142" spans="1:24" ht="36" customHeight="1" x14ac:dyDescent="0.15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</row>
    <row r="143" spans="1:24" ht="36" customHeight="1" x14ac:dyDescent="0.15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</row>
    <row r="144" spans="1:24" ht="36" customHeight="1" x14ac:dyDescent="0.15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</row>
    <row r="145" spans="1:24" ht="36" customHeight="1" x14ac:dyDescent="0.15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</row>
    <row r="146" spans="1:24" ht="36" customHeight="1" x14ac:dyDescent="0.15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</row>
    <row r="147" spans="1:24" ht="36" customHeight="1" x14ac:dyDescent="0.15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</row>
    <row r="148" spans="1:24" ht="36" customHeight="1" x14ac:dyDescent="0.15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</row>
    <row r="149" spans="1:24" ht="36" customHeight="1" x14ac:dyDescent="0.15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</row>
    <row r="150" spans="1:24" ht="36" customHeight="1" x14ac:dyDescent="0.15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</row>
    <row r="151" spans="1:24" ht="36" customHeight="1" x14ac:dyDescent="0.15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</row>
    <row r="152" spans="1:24" ht="36" customHeight="1" x14ac:dyDescent="0.15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</row>
    <row r="153" spans="1:24" ht="36" customHeight="1" x14ac:dyDescent="0.15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</row>
    <row r="154" spans="1:24" ht="36" customHeight="1" x14ac:dyDescent="0.15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</row>
    <row r="155" spans="1:24" ht="36" customHeight="1" x14ac:dyDescent="0.15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</row>
    <row r="156" spans="1:24" ht="36" customHeight="1" x14ac:dyDescent="0.15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</row>
    <row r="157" spans="1:24" ht="36" customHeight="1" x14ac:dyDescent="0.15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</row>
    <row r="158" spans="1:24" ht="36" customHeight="1" x14ac:dyDescent="0.15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</row>
    <row r="159" spans="1:24" ht="36" customHeight="1" x14ac:dyDescent="0.15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</row>
    <row r="160" spans="1:24" ht="36" customHeight="1" x14ac:dyDescent="0.15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</row>
    <row r="161" spans="1:24" ht="36" customHeight="1" x14ac:dyDescent="0.15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</row>
    <row r="162" spans="1:24" ht="36" customHeight="1" x14ac:dyDescent="0.15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</row>
    <row r="163" spans="1:24" ht="36" customHeight="1" x14ac:dyDescent="0.15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</row>
    <row r="164" spans="1:24" ht="36" customHeight="1" x14ac:dyDescent="0.15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</row>
    <row r="165" spans="1:24" ht="36" customHeight="1" x14ac:dyDescent="0.15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</row>
    <row r="166" spans="1:24" ht="36" customHeight="1" x14ac:dyDescent="0.15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</row>
    <row r="167" spans="1:24" ht="36" customHeight="1" x14ac:dyDescent="0.15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</row>
    <row r="168" spans="1:24" ht="36" customHeight="1" x14ac:dyDescent="0.15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</row>
    <row r="169" spans="1:24" ht="36" customHeight="1" x14ac:dyDescent="0.15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</row>
    <row r="170" spans="1:24" ht="36" customHeight="1" x14ac:dyDescent="0.15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</row>
    <row r="171" spans="1:24" ht="36" customHeight="1" x14ac:dyDescent="0.15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</row>
    <row r="172" spans="1:24" ht="36" customHeight="1" x14ac:dyDescent="0.15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</row>
    <row r="173" spans="1:24" ht="36" customHeight="1" x14ac:dyDescent="0.15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</row>
    <row r="174" spans="1:24" ht="36" customHeight="1" x14ac:dyDescent="0.15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</row>
    <row r="175" spans="1:24" ht="36" customHeight="1" x14ac:dyDescent="0.15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</row>
    <row r="176" spans="1:24" ht="36" customHeight="1" x14ac:dyDescent="0.15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</row>
    <row r="177" spans="1:24" ht="36" customHeight="1" x14ac:dyDescent="0.15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</row>
    <row r="178" spans="1:24" ht="36" customHeight="1" x14ac:dyDescent="0.15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</row>
    <row r="179" spans="1:24" ht="36" customHeight="1" x14ac:dyDescent="0.15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</row>
    <row r="180" spans="1:24" ht="36" customHeight="1" x14ac:dyDescent="0.15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</row>
    <row r="181" spans="1:24" ht="36" customHeight="1" x14ac:dyDescent="0.15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</row>
    <row r="182" spans="1:24" ht="36" customHeight="1" x14ac:dyDescent="0.15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</row>
    <row r="183" spans="1:24" ht="36" customHeight="1" x14ac:dyDescent="0.15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</row>
    <row r="184" spans="1:24" ht="36" customHeight="1" x14ac:dyDescent="0.15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</row>
    <row r="185" spans="1:24" ht="36" customHeight="1" x14ac:dyDescent="0.15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</row>
    <row r="186" spans="1:24" ht="36" customHeight="1" x14ac:dyDescent="0.15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</row>
    <row r="187" spans="1:24" ht="36" customHeight="1" x14ac:dyDescent="0.15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</row>
    <row r="188" spans="1:24" ht="36" customHeight="1" x14ac:dyDescent="0.15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</row>
    <row r="189" spans="1:24" ht="36" customHeight="1" x14ac:dyDescent="0.15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</row>
    <row r="190" spans="1:24" ht="36" customHeight="1" x14ac:dyDescent="0.15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</row>
    <row r="191" spans="1:24" ht="36" customHeight="1" x14ac:dyDescent="0.15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</row>
    <row r="192" spans="1:24" ht="36" customHeight="1" x14ac:dyDescent="0.15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</row>
    <row r="193" spans="1:24" ht="36" customHeight="1" x14ac:dyDescent="0.15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</row>
    <row r="194" spans="1:24" ht="36" customHeight="1" x14ac:dyDescent="0.15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</row>
    <row r="195" spans="1:24" ht="36" customHeight="1" x14ac:dyDescent="0.15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</row>
    <row r="196" spans="1:24" ht="36" customHeight="1" x14ac:dyDescent="0.15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</row>
    <row r="197" spans="1:24" ht="36" customHeight="1" x14ac:dyDescent="0.15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</row>
    <row r="198" spans="1:24" ht="36" customHeight="1" x14ac:dyDescent="0.15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</row>
    <row r="199" spans="1:24" ht="36" customHeight="1" x14ac:dyDescent="0.15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</row>
    <row r="200" spans="1:24" ht="36" customHeight="1" x14ac:dyDescent="0.15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</row>
    <row r="201" spans="1:24" ht="36" customHeight="1" x14ac:dyDescent="0.15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</row>
    <row r="202" spans="1:24" ht="36" customHeight="1" x14ac:dyDescent="0.15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</row>
    <row r="203" spans="1:24" ht="36" customHeight="1" x14ac:dyDescent="0.15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</row>
    <row r="204" spans="1:24" ht="36" customHeight="1" x14ac:dyDescent="0.15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</row>
    <row r="205" spans="1:24" ht="36" customHeight="1" x14ac:dyDescent="0.15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</row>
    <row r="206" spans="1:24" ht="36" customHeight="1" x14ac:dyDescent="0.15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</row>
    <row r="207" spans="1:24" ht="36" customHeight="1" x14ac:dyDescent="0.15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</row>
    <row r="208" spans="1:24" ht="36" customHeight="1" x14ac:dyDescent="0.15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</row>
    <row r="209" spans="1:24" ht="36" customHeight="1" x14ac:dyDescent="0.15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</row>
    <row r="210" spans="1:24" ht="36" customHeight="1" x14ac:dyDescent="0.15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</row>
    <row r="211" spans="1:24" ht="36" customHeight="1" x14ac:dyDescent="0.15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</row>
    <row r="212" spans="1:24" ht="36" customHeight="1" x14ac:dyDescent="0.15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</row>
    <row r="213" spans="1:24" ht="36" customHeight="1" x14ac:dyDescent="0.15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</row>
    <row r="214" spans="1:24" ht="36" customHeight="1" x14ac:dyDescent="0.15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</row>
    <row r="215" spans="1:24" ht="36" customHeight="1" x14ac:dyDescent="0.15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</row>
    <row r="216" spans="1:24" ht="36" customHeight="1" x14ac:dyDescent="0.15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</row>
    <row r="217" spans="1:24" ht="36" customHeight="1" x14ac:dyDescent="0.15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</row>
    <row r="218" spans="1:24" ht="36" customHeight="1" x14ac:dyDescent="0.15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</row>
    <row r="219" spans="1:24" ht="36" customHeight="1" x14ac:dyDescent="0.15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</row>
    <row r="220" spans="1:24" ht="36" customHeight="1" x14ac:dyDescent="0.15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</row>
    <row r="221" spans="1:24" ht="36" customHeight="1" x14ac:dyDescent="0.15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</row>
    <row r="222" spans="1:24" ht="36" customHeight="1" x14ac:dyDescent="0.15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</row>
    <row r="223" spans="1:24" ht="36" customHeight="1" x14ac:dyDescent="0.15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</row>
    <row r="224" spans="1:24" ht="36" customHeight="1" x14ac:dyDescent="0.15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</row>
    <row r="225" spans="1:24" ht="36" customHeight="1" x14ac:dyDescent="0.15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</row>
    <row r="226" spans="1:24" ht="36" customHeight="1" x14ac:dyDescent="0.15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</row>
    <row r="227" spans="1:24" ht="36" customHeight="1" x14ac:dyDescent="0.15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</row>
    <row r="228" spans="1:24" ht="36" customHeight="1" x14ac:dyDescent="0.15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</row>
    <row r="229" spans="1:24" ht="36" customHeight="1" x14ac:dyDescent="0.15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</row>
    <row r="230" spans="1:24" ht="36" customHeight="1" x14ac:dyDescent="0.15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</row>
    <row r="231" spans="1:24" ht="36" customHeight="1" x14ac:dyDescent="0.15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</row>
    <row r="232" spans="1:24" ht="36" customHeight="1" x14ac:dyDescent="0.15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</row>
    <row r="233" spans="1:24" ht="36" customHeight="1" x14ac:dyDescent="0.15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</row>
    <row r="234" spans="1:24" ht="36" customHeight="1" x14ac:dyDescent="0.15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</row>
    <row r="235" spans="1:24" ht="36" customHeight="1" x14ac:dyDescent="0.15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</row>
    <row r="236" spans="1:24" ht="36" customHeight="1" x14ac:dyDescent="0.15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</row>
    <row r="237" spans="1:24" ht="36" customHeight="1" x14ac:dyDescent="0.15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</row>
    <row r="238" spans="1:24" ht="36" customHeight="1" x14ac:dyDescent="0.15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</row>
    <row r="239" spans="1:24" ht="36" customHeight="1" x14ac:dyDescent="0.15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</row>
    <row r="240" spans="1:24" ht="36" customHeight="1" x14ac:dyDescent="0.15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</row>
    <row r="241" spans="1:24" ht="36" customHeight="1" x14ac:dyDescent="0.15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</row>
    <row r="242" spans="1:24" ht="36" customHeight="1" x14ac:dyDescent="0.15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</row>
    <row r="243" spans="1:24" ht="36" customHeight="1" x14ac:dyDescent="0.15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</row>
    <row r="244" spans="1:24" ht="36" customHeight="1" x14ac:dyDescent="0.15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</row>
    <row r="245" spans="1:24" ht="36" customHeight="1" x14ac:dyDescent="0.15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</row>
    <row r="246" spans="1:24" ht="36" customHeight="1" x14ac:dyDescent="0.15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</row>
    <row r="247" spans="1:24" ht="36" customHeight="1" x14ac:dyDescent="0.15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</row>
    <row r="248" spans="1:24" ht="36" customHeight="1" x14ac:dyDescent="0.15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</row>
    <row r="249" spans="1:24" ht="36" customHeight="1" x14ac:dyDescent="0.15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</row>
    <row r="250" spans="1:24" ht="36" customHeight="1" x14ac:dyDescent="0.15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</row>
    <row r="251" spans="1:24" ht="36" customHeight="1" x14ac:dyDescent="0.15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</row>
    <row r="252" spans="1:24" ht="36" customHeight="1" x14ac:dyDescent="0.15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</row>
    <row r="253" spans="1:24" ht="36" customHeight="1" x14ac:dyDescent="0.15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</row>
    <row r="254" spans="1:24" ht="36" customHeight="1" x14ac:dyDescent="0.15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</row>
    <row r="255" spans="1:24" ht="36" customHeight="1" x14ac:dyDescent="0.15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</row>
    <row r="256" spans="1:24" ht="36" customHeight="1" x14ac:dyDescent="0.15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</row>
    <row r="257" spans="1:24" ht="36" customHeight="1" x14ac:dyDescent="0.15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</row>
    <row r="258" spans="1:24" ht="36" customHeight="1" x14ac:dyDescent="0.15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</row>
    <row r="259" spans="1:24" ht="36" customHeight="1" x14ac:dyDescent="0.15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</row>
    <row r="260" spans="1:24" ht="36" customHeight="1" x14ac:dyDescent="0.15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</row>
    <row r="261" spans="1:24" ht="36" customHeight="1" x14ac:dyDescent="0.15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</row>
    <row r="262" spans="1:24" ht="36" customHeight="1" x14ac:dyDescent="0.15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</row>
    <row r="263" spans="1:24" ht="36" customHeight="1" x14ac:dyDescent="0.15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</row>
    <row r="264" spans="1:24" ht="36" customHeight="1" x14ac:dyDescent="0.15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</row>
    <row r="265" spans="1:24" ht="36" customHeight="1" x14ac:dyDescent="0.15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</row>
    <row r="266" spans="1:24" ht="36" customHeight="1" x14ac:dyDescent="0.15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</row>
    <row r="267" spans="1:24" ht="36" customHeight="1" x14ac:dyDescent="0.15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</row>
    <row r="268" spans="1:24" ht="36" customHeight="1" x14ac:dyDescent="0.15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</row>
    <row r="269" spans="1:24" ht="36" customHeight="1" x14ac:dyDescent="0.15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</row>
    <row r="270" spans="1:24" ht="36" customHeight="1" x14ac:dyDescent="0.15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</row>
    <row r="271" spans="1:24" ht="36" customHeight="1" x14ac:dyDescent="0.15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</row>
    <row r="272" spans="1:24" ht="36" customHeight="1" x14ac:dyDescent="0.15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</row>
    <row r="273" spans="1:24" ht="36" customHeight="1" x14ac:dyDescent="0.15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</row>
    <row r="274" spans="1:24" ht="36" customHeight="1" x14ac:dyDescent="0.15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</row>
    <row r="275" spans="1:24" ht="36" customHeight="1" x14ac:dyDescent="0.15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</row>
    <row r="276" spans="1:24" ht="36" customHeight="1" x14ac:dyDescent="0.15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</row>
    <row r="277" spans="1:24" ht="36" customHeight="1" x14ac:dyDescent="0.15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</row>
    <row r="278" spans="1:24" ht="36" customHeight="1" x14ac:dyDescent="0.15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</row>
    <row r="279" spans="1:24" ht="36" customHeight="1" x14ac:dyDescent="0.15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</row>
    <row r="280" spans="1:24" ht="36" customHeight="1" x14ac:dyDescent="0.15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</row>
    <row r="281" spans="1:24" ht="36" customHeight="1" x14ac:dyDescent="0.15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</row>
    <row r="282" spans="1:24" ht="36" customHeight="1" x14ac:dyDescent="0.15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</row>
    <row r="283" spans="1:24" ht="36" customHeight="1" x14ac:dyDescent="0.15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</row>
    <row r="284" spans="1:24" ht="36" customHeight="1" x14ac:dyDescent="0.15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</row>
    <row r="285" spans="1:24" ht="36" customHeight="1" x14ac:dyDescent="0.15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</row>
    <row r="286" spans="1:24" ht="36" customHeight="1" x14ac:dyDescent="0.15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</row>
    <row r="287" spans="1:24" ht="36" customHeight="1" x14ac:dyDescent="0.15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</row>
    <row r="288" spans="1:24" ht="36" customHeight="1" x14ac:dyDescent="0.15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</row>
    <row r="289" spans="1:24" ht="36" customHeight="1" x14ac:dyDescent="0.15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</row>
    <row r="290" spans="1:24" ht="36" customHeight="1" x14ac:dyDescent="0.15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</row>
    <row r="291" spans="1:24" ht="36" customHeight="1" x14ac:dyDescent="0.15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</row>
    <row r="292" spans="1:24" ht="36" customHeight="1" x14ac:dyDescent="0.15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</row>
    <row r="293" spans="1:24" ht="36" customHeight="1" x14ac:dyDescent="0.15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</row>
    <row r="294" spans="1:24" ht="36" customHeight="1" x14ac:dyDescent="0.15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</row>
    <row r="295" spans="1:24" ht="36" customHeight="1" x14ac:dyDescent="0.15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</row>
    <row r="296" spans="1:24" ht="36" customHeight="1" x14ac:dyDescent="0.15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</row>
    <row r="297" spans="1:24" ht="36" customHeight="1" x14ac:dyDescent="0.15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</row>
    <row r="298" spans="1:24" ht="36" customHeight="1" x14ac:dyDescent="0.15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</row>
    <row r="299" spans="1:24" ht="36" customHeight="1" x14ac:dyDescent="0.15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</row>
    <row r="300" spans="1:24" ht="36" customHeight="1" x14ac:dyDescent="0.15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</row>
    <row r="301" spans="1:24" ht="36" customHeight="1" x14ac:dyDescent="0.15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</row>
    <row r="302" spans="1:24" ht="36" customHeight="1" x14ac:dyDescent="0.15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</row>
    <row r="303" spans="1:24" ht="36" customHeight="1" x14ac:dyDescent="0.15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</row>
    <row r="304" spans="1:24" ht="36" customHeight="1" x14ac:dyDescent="0.15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</row>
    <row r="305" spans="1:24" ht="36" customHeight="1" x14ac:dyDescent="0.15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</row>
    <row r="306" spans="1:24" ht="36" customHeight="1" x14ac:dyDescent="0.15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</row>
    <row r="307" spans="1:24" ht="36" customHeight="1" x14ac:dyDescent="0.15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</row>
    <row r="308" spans="1:24" ht="36" customHeight="1" x14ac:dyDescent="0.15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</row>
    <row r="309" spans="1:24" ht="36" customHeight="1" x14ac:dyDescent="0.15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</row>
    <row r="310" spans="1:24" ht="36" customHeight="1" x14ac:dyDescent="0.15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</row>
    <row r="311" spans="1:24" ht="36" customHeight="1" x14ac:dyDescent="0.15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</row>
    <row r="312" spans="1:24" ht="36" customHeight="1" x14ac:dyDescent="0.15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</row>
    <row r="313" spans="1:24" ht="36" customHeight="1" x14ac:dyDescent="0.15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</row>
    <row r="314" spans="1:24" ht="36" customHeight="1" x14ac:dyDescent="0.15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</row>
    <row r="315" spans="1:24" ht="36" customHeight="1" x14ac:dyDescent="0.15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</row>
    <row r="316" spans="1:24" ht="36" customHeight="1" x14ac:dyDescent="0.15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</row>
    <row r="317" spans="1:24" ht="36" customHeight="1" x14ac:dyDescent="0.15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</row>
    <row r="318" spans="1:24" ht="36" customHeight="1" x14ac:dyDescent="0.15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</row>
    <row r="319" spans="1:24" ht="36" customHeight="1" x14ac:dyDescent="0.15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</row>
    <row r="320" spans="1:24" ht="36" customHeight="1" x14ac:dyDescent="0.15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</row>
    <row r="321" spans="1:24" ht="36" customHeight="1" x14ac:dyDescent="0.15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</row>
    <row r="322" spans="1:24" ht="36" customHeight="1" x14ac:dyDescent="0.15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</row>
    <row r="323" spans="1:24" ht="36" customHeight="1" x14ac:dyDescent="0.15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</row>
    <row r="324" spans="1:24" ht="36" customHeight="1" x14ac:dyDescent="0.15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</row>
    <row r="325" spans="1:24" ht="36" customHeight="1" x14ac:dyDescent="0.15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</row>
    <row r="326" spans="1:24" ht="36" customHeight="1" x14ac:dyDescent="0.15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</row>
    <row r="327" spans="1:24" ht="36" customHeight="1" x14ac:dyDescent="0.15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</row>
    <row r="328" spans="1:24" ht="36" customHeight="1" x14ac:dyDescent="0.15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</row>
    <row r="329" spans="1:24" ht="36" customHeight="1" x14ac:dyDescent="0.15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</row>
    <row r="330" spans="1:24" ht="36" customHeight="1" x14ac:dyDescent="0.15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</row>
    <row r="331" spans="1:24" ht="36" customHeight="1" x14ac:dyDescent="0.15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</row>
    <row r="332" spans="1:24" ht="36" customHeight="1" x14ac:dyDescent="0.15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</row>
    <row r="333" spans="1:24" ht="36" customHeight="1" x14ac:dyDescent="0.15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</row>
    <row r="334" spans="1:24" ht="36" customHeight="1" x14ac:dyDescent="0.15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</row>
    <row r="335" spans="1:24" ht="36" customHeight="1" x14ac:dyDescent="0.15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</row>
    <row r="336" spans="1:24" ht="36" customHeight="1" x14ac:dyDescent="0.15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</row>
    <row r="337" spans="1:24" ht="36" customHeight="1" x14ac:dyDescent="0.15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</row>
    <row r="338" spans="1:24" ht="36" customHeight="1" x14ac:dyDescent="0.15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</row>
    <row r="339" spans="1:24" ht="36" customHeight="1" x14ac:dyDescent="0.15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</row>
    <row r="340" spans="1:24" ht="36" customHeight="1" x14ac:dyDescent="0.15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</row>
    <row r="341" spans="1:24" ht="36" customHeight="1" x14ac:dyDescent="0.15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</row>
    <row r="342" spans="1:24" ht="36" customHeight="1" x14ac:dyDescent="0.15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</row>
    <row r="343" spans="1:24" ht="36" customHeight="1" x14ac:dyDescent="0.15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</row>
    <row r="344" spans="1:24" ht="36" customHeight="1" x14ac:dyDescent="0.15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</row>
    <row r="345" spans="1:24" ht="36" customHeight="1" x14ac:dyDescent="0.15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</row>
    <row r="346" spans="1:24" ht="36" customHeight="1" x14ac:dyDescent="0.15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</row>
    <row r="347" spans="1:24" ht="36" customHeight="1" x14ac:dyDescent="0.15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</row>
    <row r="348" spans="1:24" ht="36" customHeight="1" x14ac:dyDescent="0.15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</row>
    <row r="349" spans="1:24" ht="36" customHeight="1" x14ac:dyDescent="0.15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</row>
    <row r="350" spans="1:24" ht="36" customHeight="1" x14ac:dyDescent="0.15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</row>
    <row r="351" spans="1:24" ht="36" customHeight="1" x14ac:dyDescent="0.15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</row>
    <row r="352" spans="1:24" ht="36" customHeight="1" x14ac:dyDescent="0.15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</row>
    <row r="353" spans="1:24" ht="36" customHeight="1" x14ac:dyDescent="0.15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</row>
    <row r="354" spans="1:24" ht="36" customHeight="1" x14ac:dyDescent="0.15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</row>
    <row r="355" spans="1:24" ht="36" customHeight="1" x14ac:dyDescent="0.15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</row>
    <row r="356" spans="1:24" ht="36" customHeight="1" x14ac:dyDescent="0.15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</row>
    <row r="357" spans="1:24" ht="36" customHeight="1" x14ac:dyDescent="0.15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</row>
    <row r="358" spans="1:24" ht="36" customHeight="1" x14ac:dyDescent="0.15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</row>
    <row r="359" spans="1:24" ht="36" customHeight="1" x14ac:dyDescent="0.15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</row>
    <row r="360" spans="1:24" ht="36" customHeight="1" x14ac:dyDescent="0.15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</row>
    <row r="361" spans="1:24" ht="36" customHeight="1" x14ac:dyDescent="0.15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</row>
    <row r="362" spans="1:24" ht="36" customHeight="1" x14ac:dyDescent="0.15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</row>
    <row r="363" spans="1:24" ht="36" customHeight="1" x14ac:dyDescent="0.15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</row>
    <row r="364" spans="1:24" ht="36" customHeight="1" x14ac:dyDescent="0.15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</row>
    <row r="365" spans="1:24" ht="36" customHeight="1" x14ac:dyDescent="0.15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</row>
    <row r="366" spans="1:24" ht="36" customHeight="1" x14ac:dyDescent="0.15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</row>
    <row r="367" spans="1:24" ht="36" customHeight="1" x14ac:dyDescent="0.15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</row>
    <row r="368" spans="1:24" ht="36" customHeight="1" x14ac:dyDescent="0.15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</row>
    <row r="369" spans="1:24" ht="36" customHeight="1" x14ac:dyDescent="0.15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</row>
    <row r="370" spans="1:24" ht="36" customHeight="1" x14ac:dyDescent="0.15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</row>
    <row r="371" spans="1:24" ht="36" customHeight="1" x14ac:dyDescent="0.15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</row>
    <row r="372" spans="1:24" ht="36" customHeight="1" x14ac:dyDescent="0.15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</row>
    <row r="373" spans="1:24" ht="36" customHeight="1" x14ac:dyDescent="0.15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</row>
    <row r="374" spans="1:24" ht="36" customHeight="1" x14ac:dyDescent="0.15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</row>
    <row r="375" spans="1:24" ht="36" customHeight="1" x14ac:dyDescent="0.15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</row>
    <row r="376" spans="1:24" ht="36" customHeight="1" x14ac:dyDescent="0.15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</row>
    <row r="377" spans="1:24" ht="36" customHeight="1" x14ac:dyDescent="0.15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</row>
    <row r="378" spans="1:24" ht="36" customHeight="1" x14ac:dyDescent="0.15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</row>
    <row r="379" spans="1:24" ht="36" customHeight="1" x14ac:dyDescent="0.15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</row>
    <row r="380" spans="1:24" ht="36" customHeight="1" x14ac:dyDescent="0.15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</row>
    <row r="381" spans="1:24" ht="36" customHeight="1" x14ac:dyDescent="0.15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</row>
    <row r="382" spans="1:24" ht="36" customHeight="1" x14ac:dyDescent="0.15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</row>
    <row r="383" spans="1:24" ht="36" customHeight="1" x14ac:dyDescent="0.15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</row>
    <row r="384" spans="1:24" ht="36" customHeight="1" x14ac:dyDescent="0.15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</row>
    <row r="385" spans="1:24" ht="36" customHeight="1" x14ac:dyDescent="0.15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</row>
    <row r="386" spans="1:24" ht="36" customHeight="1" x14ac:dyDescent="0.15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</row>
    <row r="387" spans="1:24" ht="36" customHeight="1" x14ac:dyDescent="0.15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</row>
    <row r="388" spans="1:24" ht="36" customHeight="1" x14ac:dyDescent="0.15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</row>
    <row r="389" spans="1:24" ht="36" customHeight="1" x14ac:dyDescent="0.15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</row>
    <row r="390" spans="1:24" ht="36" customHeight="1" x14ac:dyDescent="0.15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</row>
    <row r="391" spans="1:24" ht="36" customHeight="1" x14ac:dyDescent="0.15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</row>
    <row r="392" spans="1:24" ht="36" customHeight="1" x14ac:dyDescent="0.15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</row>
    <row r="393" spans="1:24" ht="36" customHeight="1" x14ac:dyDescent="0.15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</row>
    <row r="394" spans="1:24" ht="36" customHeight="1" x14ac:dyDescent="0.15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</row>
    <row r="395" spans="1:24" ht="36" customHeight="1" x14ac:dyDescent="0.15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</row>
    <row r="396" spans="1:24" ht="36" customHeight="1" x14ac:dyDescent="0.15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</row>
    <row r="397" spans="1:24" ht="36" customHeight="1" x14ac:dyDescent="0.15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</row>
    <row r="398" spans="1:24" ht="36" customHeight="1" x14ac:dyDescent="0.15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</row>
    <row r="399" spans="1:24" ht="36" customHeight="1" x14ac:dyDescent="0.15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</row>
    <row r="400" spans="1:24" ht="36" customHeight="1" x14ac:dyDescent="0.15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</row>
    <row r="401" spans="1:24" ht="36" customHeight="1" x14ac:dyDescent="0.15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</row>
    <row r="402" spans="1:24" ht="36" customHeight="1" x14ac:dyDescent="0.15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</row>
    <row r="403" spans="1:24" ht="36" customHeight="1" x14ac:dyDescent="0.15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</row>
    <row r="404" spans="1:24" ht="36" customHeight="1" x14ac:dyDescent="0.15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</row>
    <row r="405" spans="1:24" ht="36" customHeight="1" x14ac:dyDescent="0.15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</row>
    <row r="406" spans="1:24" ht="36" customHeight="1" x14ac:dyDescent="0.15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</row>
    <row r="407" spans="1:24" ht="36" customHeight="1" x14ac:dyDescent="0.15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</row>
    <row r="408" spans="1:24" ht="36" customHeight="1" x14ac:dyDescent="0.15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</row>
    <row r="409" spans="1:24" ht="36" customHeight="1" x14ac:dyDescent="0.15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</row>
    <row r="410" spans="1:24" ht="36" customHeight="1" x14ac:dyDescent="0.15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</row>
    <row r="411" spans="1:24" ht="36" customHeight="1" x14ac:dyDescent="0.15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</row>
    <row r="412" spans="1:24" ht="36" customHeight="1" x14ac:dyDescent="0.15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</row>
    <row r="413" spans="1:24" ht="36" customHeight="1" x14ac:dyDescent="0.15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</row>
    <row r="414" spans="1:24" ht="36" customHeight="1" x14ac:dyDescent="0.15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</row>
    <row r="415" spans="1:24" ht="36" customHeight="1" x14ac:dyDescent="0.15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</row>
    <row r="416" spans="1:24" ht="36" customHeight="1" x14ac:dyDescent="0.15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</row>
    <row r="417" spans="1:24" ht="36" customHeight="1" x14ac:dyDescent="0.15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</row>
    <row r="418" spans="1:24" ht="36" customHeight="1" x14ac:dyDescent="0.15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</row>
    <row r="419" spans="1:24" ht="36" customHeight="1" x14ac:dyDescent="0.15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</row>
    <row r="420" spans="1:24" ht="36" customHeight="1" x14ac:dyDescent="0.15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</row>
    <row r="421" spans="1:24" ht="36" customHeight="1" x14ac:dyDescent="0.15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</row>
    <row r="422" spans="1:24" ht="36" customHeight="1" x14ac:dyDescent="0.15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</row>
    <row r="423" spans="1:24" ht="36" customHeight="1" x14ac:dyDescent="0.15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</row>
    <row r="424" spans="1:24" ht="36" customHeight="1" x14ac:dyDescent="0.15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</row>
    <row r="425" spans="1:24" ht="36" customHeight="1" x14ac:dyDescent="0.15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</row>
    <row r="426" spans="1:24" ht="36" customHeight="1" x14ac:dyDescent="0.15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</row>
    <row r="427" spans="1:24" ht="36" customHeight="1" x14ac:dyDescent="0.15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</row>
    <row r="428" spans="1:24" ht="36" customHeight="1" x14ac:dyDescent="0.15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</row>
    <row r="429" spans="1:24" ht="36" customHeight="1" x14ac:dyDescent="0.15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</row>
    <row r="430" spans="1:24" ht="36" customHeight="1" x14ac:dyDescent="0.15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</row>
    <row r="431" spans="1:24" ht="36" customHeight="1" x14ac:dyDescent="0.15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</row>
    <row r="432" spans="1:24" ht="36" customHeight="1" x14ac:dyDescent="0.15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</row>
    <row r="433" spans="1:24" ht="36" customHeight="1" x14ac:dyDescent="0.15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</row>
    <row r="434" spans="1:24" ht="36" customHeight="1" x14ac:dyDescent="0.15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</row>
    <row r="435" spans="1:24" ht="36" customHeight="1" x14ac:dyDescent="0.15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</row>
    <row r="436" spans="1:24" ht="36" customHeight="1" x14ac:dyDescent="0.15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</row>
    <row r="437" spans="1:24" ht="36" customHeight="1" x14ac:dyDescent="0.15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</row>
    <row r="438" spans="1:24" ht="36" customHeight="1" x14ac:dyDescent="0.15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</row>
    <row r="439" spans="1:24" ht="36" customHeight="1" x14ac:dyDescent="0.15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</row>
    <row r="440" spans="1:24" ht="36" customHeight="1" x14ac:dyDescent="0.15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</row>
    <row r="441" spans="1:24" ht="36" customHeight="1" x14ac:dyDescent="0.15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</row>
    <row r="442" spans="1:24" ht="36" customHeight="1" x14ac:dyDescent="0.15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</row>
    <row r="443" spans="1:24" ht="36" customHeight="1" x14ac:dyDescent="0.15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</row>
    <row r="444" spans="1:24" ht="36" customHeight="1" x14ac:dyDescent="0.15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</row>
    <row r="445" spans="1:24" ht="36" customHeight="1" x14ac:dyDescent="0.15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</row>
    <row r="446" spans="1:24" ht="36" customHeight="1" x14ac:dyDescent="0.15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</row>
    <row r="447" spans="1:24" ht="36" customHeight="1" x14ac:dyDescent="0.15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</row>
    <row r="448" spans="1:24" ht="36" customHeight="1" x14ac:dyDescent="0.15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</row>
    <row r="449" spans="1:24" ht="36" customHeight="1" x14ac:dyDescent="0.15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</row>
    <row r="450" spans="1:24" ht="36" customHeight="1" x14ac:dyDescent="0.15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</row>
    <row r="451" spans="1:24" ht="36" customHeight="1" x14ac:dyDescent="0.15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</row>
    <row r="452" spans="1:24" ht="36" customHeight="1" x14ac:dyDescent="0.15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</row>
    <row r="453" spans="1:24" ht="36" customHeight="1" x14ac:dyDescent="0.15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</row>
    <row r="454" spans="1:24" ht="36" customHeight="1" x14ac:dyDescent="0.15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</row>
    <row r="455" spans="1:24" ht="36" customHeight="1" x14ac:dyDescent="0.15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</row>
    <row r="456" spans="1:24" ht="36" customHeight="1" x14ac:dyDescent="0.15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</row>
    <row r="457" spans="1:24" ht="36" customHeight="1" x14ac:dyDescent="0.15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</row>
    <row r="458" spans="1:24" ht="36" customHeight="1" x14ac:dyDescent="0.15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</row>
    <row r="459" spans="1:24" ht="36" customHeight="1" x14ac:dyDescent="0.15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</row>
    <row r="460" spans="1:24" ht="36" customHeight="1" x14ac:dyDescent="0.15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</row>
    <row r="461" spans="1:24" ht="36" customHeight="1" x14ac:dyDescent="0.15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</row>
    <row r="462" spans="1:24" ht="36" customHeight="1" x14ac:dyDescent="0.15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</row>
    <row r="463" spans="1:24" ht="36" customHeight="1" x14ac:dyDescent="0.15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</row>
    <row r="464" spans="1:24" ht="36" customHeight="1" x14ac:dyDescent="0.15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</row>
    <row r="465" spans="1:24" ht="36" customHeight="1" x14ac:dyDescent="0.15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</row>
    <row r="466" spans="1:24" ht="36" customHeight="1" x14ac:dyDescent="0.15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</row>
    <row r="467" spans="1:24" ht="36" customHeight="1" x14ac:dyDescent="0.15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</row>
    <row r="468" spans="1:24" ht="36" customHeight="1" x14ac:dyDescent="0.15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</row>
    <row r="469" spans="1:24" ht="36" customHeight="1" x14ac:dyDescent="0.15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</row>
    <row r="470" spans="1:24" ht="36" customHeight="1" x14ac:dyDescent="0.15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</row>
    <row r="471" spans="1:24" ht="36" customHeight="1" x14ac:dyDescent="0.15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</row>
    <row r="472" spans="1:24" ht="36" customHeight="1" x14ac:dyDescent="0.15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</row>
    <row r="473" spans="1:24" ht="36" customHeight="1" x14ac:dyDescent="0.15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</row>
    <row r="474" spans="1:24" ht="36" customHeight="1" x14ac:dyDescent="0.15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</row>
    <row r="475" spans="1:24" ht="36" customHeight="1" x14ac:dyDescent="0.15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</row>
    <row r="476" spans="1:24" ht="36" customHeight="1" x14ac:dyDescent="0.15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</row>
    <row r="477" spans="1:24" ht="36" customHeight="1" x14ac:dyDescent="0.15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</row>
    <row r="478" spans="1:24" ht="36" customHeight="1" x14ac:dyDescent="0.15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</row>
    <row r="479" spans="1:24" ht="36" customHeight="1" x14ac:dyDescent="0.15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</row>
    <row r="480" spans="1:24" ht="36" customHeight="1" x14ac:dyDescent="0.15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</row>
    <row r="481" spans="1:24" ht="36" customHeight="1" x14ac:dyDescent="0.15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</row>
    <row r="482" spans="1:24" ht="36" customHeight="1" x14ac:dyDescent="0.15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</row>
    <row r="483" spans="1:24" ht="36" customHeight="1" x14ac:dyDescent="0.15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</row>
    <row r="484" spans="1:24" ht="36" customHeight="1" x14ac:dyDescent="0.15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</row>
    <row r="485" spans="1:24" ht="36" customHeight="1" x14ac:dyDescent="0.15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</row>
    <row r="486" spans="1:24" ht="36" customHeight="1" x14ac:dyDescent="0.15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</row>
    <row r="487" spans="1:24" ht="36" customHeight="1" x14ac:dyDescent="0.15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</row>
    <row r="488" spans="1:24" ht="36" customHeight="1" x14ac:dyDescent="0.15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</row>
    <row r="489" spans="1:24" ht="36" customHeight="1" x14ac:dyDescent="0.15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</row>
    <row r="490" spans="1:24" ht="36" customHeight="1" x14ac:dyDescent="0.15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</row>
    <row r="491" spans="1:24" ht="36" customHeight="1" x14ac:dyDescent="0.15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</row>
    <row r="492" spans="1:24" ht="36" customHeight="1" x14ac:dyDescent="0.15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</row>
    <row r="493" spans="1:24" ht="36" customHeight="1" x14ac:dyDescent="0.15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</row>
    <row r="494" spans="1:24" ht="36" customHeight="1" x14ac:dyDescent="0.15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</row>
    <row r="495" spans="1:24" ht="36" customHeight="1" x14ac:dyDescent="0.15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</row>
    <row r="496" spans="1:24" ht="36" customHeight="1" x14ac:dyDescent="0.15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</row>
    <row r="497" spans="1:24" ht="36" customHeight="1" x14ac:dyDescent="0.15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</row>
    <row r="498" spans="1:24" ht="36" customHeight="1" x14ac:dyDescent="0.15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</row>
    <row r="499" spans="1:24" ht="36" customHeight="1" x14ac:dyDescent="0.15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</row>
    <row r="500" spans="1:24" ht="36" customHeight="1" x14ac:dyDescent="0.15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</row>
    <row r="501" spans="1:24" ht="36" customHeight="1" x14ac:dyDescent="0.15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</row>
    <row r="502" spans="1:24" ht="36" customHeight="1" x14ac:dyDescent="0.15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</row>
    <row r="503" spans="1:24" ht="36" customHeight="1" x14ac:dyDescent="0.15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</row>
    <row r="504" spans="1:24" ht="36" customHeight="1" x14ac:dyDescent="0.15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</row>
    <row r="505" spans="1:24" ht="36" customHeight="1" x14ac:dyDescent="0.15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</row>
    <row r="506" spans="1:24" ht="36" customHeight="1" x14ac:dyDescent="0.15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</row>
    <row r="507" spans="1:24" ht="36" customHeight="1" x14ac:dyDescent="0.15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</row>
    <row r="508" spans="1:24" ht="36" customHeight="1" x14ac:dyDescent="0.15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</row>
    <row r="509" spans="1:24" ht="36" customHeight="1" x14ac:dyDescent="0.15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</row>
    <row r="510" spans="1:24" ht="36" customHeight="1" x14ac:dyDescent="0.15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</row>
    <row r="511" spans="1:24" ht="36" customHeight="1" x14ac:dyDescent="0.15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</row>
    <row r="512" spans="1:24" ht="36" customHeight="1" x14ac:dyDescent="0.15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</row>
    <row r="513" spans="1:24" ht="36" customHeight="1" x14ac:dyDescent="0.15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</row>
    <row r="514" spans="1:24" ht="36" customHeight="1" x14ac:dyDescent="0.15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</row>
    <row r="515" spans="1:24" ht="36" customHeight="1" x14ac:dyDescent="0.15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</row>
    <row r="516" spans="1:24" ht="36" customHeight="1" x14ac:dyDescent="0.15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</row>
    <row r="517" spans="1:24" ht="36" customHeight="1" x14ac:dyDescent="0.15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</row>
    <row r="518" spans="1:24" ht="36" customHeight="1" x14ac:dyDescent="0.15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</row>
    <row r="519" spans="1:24" ht="36" customHeight="1" x14ac:dyDescent="0.15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</row>
    <row r="520" spans="1:24" ht="36" customHeight="1" x14ac:dyDescent="0.15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</row>
    <row r="521" spans="1:24" ht="36" customHeight="1" x14ac:dyDescent="0.15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</row>
    <row r="522" spans="1:24" ht="36" customHeight="1" x14ac:dyDescent="0.15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</row>
    <row r="523" spans="1:24" ht="36" customHeight="1" x14ac:dyDescent="0.15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</row>
    <row r="524" spans="1:24" ht="36" customHeight="1" x14ac:dyDescent="0.15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</row>
    <row r="525" spans="1:24" ht="36" customHeight="1" x14ac:dyDescent="0.15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</row>
    <row r="526" spans="1:24" ht="36" customHeight="1" x14ac:dyDescent="0.15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</row>
    <row r="527" spans="1:24" ht="36" customHeight="1" x14ac:dyDescent="0.15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</row>
    <row r="528" spans="1:24" ht="36" customHeight="1" x14ac:dyDescent="0.15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</row>
    <row r="529" spans="1:24" ht="36" customHeight="1" x14ac:dyDescent="0.15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</row>
    <row r="530" spans="1:24" ht="36" customHeight="1" x14ac:dyDescent="0.15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</row>
    <row r="531" spans="1:24" ht="36" customHeight="1" x14ac:dyDescent="0.15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</row>
    <row r="532" spans="1:24" ht="36" customHeight="1" x14ac:dyDescent="0.15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</row>
    <row r="533" spans="1:24" ht="36" customHeight="1" x14ac:dyDescent="0.15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</row>
    <row r="534" spans="1:24" ht="36" customHeight="1" x14ac:dyDescent="0.15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</row>
    <row r="535" spans="1:24" ht="36" customHeight="1" x14ac:dyDescent="0.15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</row>
    <row r="536" spans="1:24" ht="36" customHeight="1" x14ac:dyDescent="0.15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</row>
    <row r="537" spans="1:24" ht="36" customHeight="1" x14ac:dyDescent="0.15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</row>
    <row r="538" spans="1:24" ht="36" customHeight="1" x14ac:dyDescent="0.15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</row>
    <row r="539" spans="1:24" ht="36" customHeight="1" x14ac:dyDescent="0.15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</row>
    <row r="540" spans="1:24" ht="36" customHeight="1" x14ac:dyDescent="0.15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</row>
    <row r="541" spans="1:24" ht="36" customHeight="1" x14ac:dyDescent="0.15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</row>
    <row r="542" spans="1:24" ht="36" customHeight="1" x14ac:dyDescent="0.15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</row>
    <row r="543" spans="1:24" ht="36" customHeight="1" x14ac:dyDescent="0.15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</row>
    <row r="544" spans="1:24" ht="36" customHeight="1" x14ac:dyDescent="0.15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</row>
    <row r="545" spans="1:24" ht="36" customHeight="1" x14ac:dyDescent="0.15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</row>
    <row r="546" spans="1:24" ht="36" customHeight="1" x14ac:dyDescent="0.15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</row>
    <row r="547" spans="1:24" ht="36" customHeight="1" x14ac:dyDescent="0.15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</row>
    <row r="548" spans="1:24" ht="36" customHeight="1" x14ac:dyDescent="0.15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</row>
    <row r="549" spans="1:24" ht="36" customHeight="1" x14ac:dyDescent="0.15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</row>
    <row r="550" spans="1:24" ht="36" customHeight="1" x14ac:dyDescent="0.15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</row>
    <row r="551" spans="1:24" ht="36" customHeight="1" x14ac:dyDescent="0.15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</row>
    <row r="552" spans="1:24" ht="36" customHeight="1" x14ac:dyDescent="0.15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</row>
    <row r="553" spans="1:24" ht="36" customHeight="1" x14ac:dyDescent="0.15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</row>
    <row r="554" spans="1:24" ht="36" customHeight="1" x14ac:dyDescent="0.15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</row>
    <row r="555" spans="1:24" ht="36" customHeight="1" x14ac:dyDescent="0.15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</row>
    <row r="556" spans="1:24" ht="36" customHeight="1" x14ac:dyDescent="0.15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</row>
    <row r="557" spans="1:24" ht="36" customHeight="1" x14ac:dyDescent="0.15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</row>
    <row r="558" spans="1:24" ht="36" customHeight="1" x14ac:dyDescent="0.15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</row>
    <row r="559" spans="1:24" ht="36" customHeight="1" x14ac:dyDescent="0.15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</row>
    <row r="560" spans="1:24" ht="36" customHeight="1" x14ac:dyDescent="0.15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</row>
    <row r="561" spans="1:24" ht="36" customHeight="1" x14ac:dyDescent="0.15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</row>
    <row r="562" spans="1:24" ht="36" customHeight="1" x14ac:dyDescent="0.15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</row>
    <row r="563" spans="1:24" ht="36" customHeight="1" x14ac:dyDescent="0.15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</row>
    <row r="564" spans="1:24" ht="36" customHeight="1" x14ac:dyDescent="0.15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</row>
    <row r="565" spans="1:24" ht="36" customHeight="1" x14ac:dyDescent="0.15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</row>
    <row r="566" spans="1:24" ht="36" customHeight="1" x14ac:dyDescent="0.15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</row>
    <row r="567" spans="1:24" ht="36" customHeight="1" x14ac:dyDescent="0.15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</row>
    <row r="568" spans="1:24" ht="36" customHeight="1" x14ac:dyDescent="0.15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</row>
    <row r="569" spans="1:24" ht="36" customHeight="1" x14ac:dyDescent="0.15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</row>
    <row r="570" spans="1:24" ht="36" customHeight="1" x14ac:dyDescent="0.15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</row>
    <row r="571" spans="1:24" ht="36" customHeight="1" x14ac:dyDescent="0.15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</row>
    <row r="572" spans="1:24" ht="36" customHeight="1" x14ac:dyDescent="0.15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</row>
    <row r="573" spans="1:24" ht="36" customHeight="1" x14ac:dyDescent="0.15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</row>
    <row r="574" spans="1:24" ht="36" customHeight="1" x14ac:dyDescent="0.15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</row>
    <row r="575" spans="1:24" ht="36" customHeight="1" x14ac:dyDescent="0.15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</row>
    <row r="576" spans="1:24" ht="36" customHeight="1" x14ac:dyDescent="0.15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</row>
    <row r="577" spans="1:24" ht="36" customHeight="1" x14ac:dyDescent="0.15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</row>
    <row r="578" spans="1:24" ht="36" customHeight="1" x14ac:dyDescent="0.15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</row>
    <row r="579" spans="1:24" ht="36" customHeight="1" x14ac:dyDescent="0.15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</row>
    <row r="580" spans="1:24" ht="36" customHeight="1" x14ac:dyDescent="0.15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</row>
    <row r="581" spans="1:24" ht="36" customHeight="1" x14ac:dyDescent="0.15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</row>
    <row r="582" spans="1:24" ht="36" customHeight="1" x14ac:dyDescent="0.15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</row>
    <row r="583" spans="1:24" ht="36" customHeight="1" x14ac:dyDescent="0.15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</row>
    <row r="584" spans="1:24" ht="36" customHeight="1" x14ac:dyDescent="0.15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</row>
    <row r="585" spans="1:24" ht="36" customHeight="1" x14ac:dyDescent="0.15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</row>
    <row r="586" spans="1:24" ht="36" customHeight="1" x14ac:dyDescent="0.15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</row>
    <row r="587" spans="1:24" ht="36" customHeight="1" x14ac:dyDescent="0.15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</row>
    <row r="588" spans="1:24" ht="36" customHeight="1" x14ac:dyDescent="0.15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</row>
    <row r="589" spans="1:24" ht="36" customHeight="1" x14ac:dyDescent="0.15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</row>
    <row r="590" spans="1:24" ht="36" customHeight="1" x14ac:dyDescent="0.15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</row>
    <row r="591" spans="1:24" ht="36" customHeight="1" x14ac:dyDescent="0.15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</row>
    <row r="592" spans="1:24" ht="36" customHeight="1" x14ac:dyDescent="0.15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</row>
    <row r="593" spans="1:24" ht="36" customHeight="1" x14ac:dyDescent="0.15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</row>
    <row r="594" spans="1:24" ht="36" customHeight="1" x14ac:dyDescent="0.15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</row>
    <row r="595" spans="1:24" ht="36" customHeight="1" x14ac:dyDescent="0.15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</row>
    <row r="596" spans="1:24" ht="36" customHeight="1" x14ac:dyDescent="0.15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</row>
    <row r="597" spans="1:24" ht="36" customHeight="1" x14ac:dyDescent="0.15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</row>
    <row r="598" spans="1:24" ht="36" customHeight="1" x14ac:dyDescent="0.15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</row>
    <row r="599" spans="1:24" ht="36" customHeight="1" x14ac:dyDescent="0.15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</row>
    <row r="600" spans="1:24" ht="36" customHeight="1" x14ac:dyDescent="0.15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</row>
    <row r="601" spans="1:24" ht="36" customHeight="1" x14ac:dyDescent="0.15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</row>
    <row r="602" spans="1:24" ht="36" customHeight="1" x14ac:dyDescent="0.15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</row>
    <row r="603" spans="1:24" ht="36" customHeight="1" x14ac:dyDescent="0.15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</row>
    <row r="604" spans="1:24" ht="36" customHeight="1" x14ac:dyDescent="0.15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</row>
    <row r="605" spans="1:24" ht="36" customHeight="1" x14ac:dyDescent="0.15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</row>
    <row r="606" spans="1:24" ht="36" customHeight="1" x14ac:dyDescent="0.15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</row>
    <row r="607" spans="1:24" ht="36" customHeight="1" x14ac:dyDescent="0.15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</row>
    <row r="608" spans="1:24" ht="36" customHeight="1" x14ac:dyDescent="0.15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</row>
    <row r="609" spans="1:24" ht="36" customHeight="1" x14ac:dyDescent="0.15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</row>
    <row r="610" spans="1:24" ht="36" customHeight="1" x14ac:dyDescent="0.15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</row>
    <row r="611" spans="1:24" ht="36" customHeight="1" x14ac:dyDescent="0.15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</row>
    <row r="612" spans="1:24" ht="36" customHeight="1" x14ac:dyDescent="0.15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</row>
    <row r="613" spans="1:24" ht="36" customHeight="1" x14ac:dyDescent="0.15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</row>
    <row r="614" spans="1:24" ht="36" customHeight="1" x14ac:dyDescent="0.15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</row>
    <row r="615" spans="1:24" ht="36" customHeight="1" x14ac:dyDescent="0.15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</row>
    <row r="616" spans="1:24" ht="36" customHeight="1" x14ac:dyDescent="0.15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</row>
    <row r="617" spans="1:24" ht="36" customHeight="1" x14ac:dyDescent="0.15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</row>
    <row r="618" spans="1:24" ht="36" customHeight="1" x14ac:dyDescent="0.15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</row>
    <row r="619" spans="1:24" ht="36" customHeight="1" x14ac:dyDescent="0.15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</row>
    <row r="620" spans="1:24" ht="36" customHeight="1" x14ac:dyDescent="0.15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</row>
    <row r="621" spans="1:24" ht="36" customHeight="1" x14ac:dyDescent="0.15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</row>
    <row r="622" spans="1:24" ht="36" customHeight="1" x14ac:dyDescent="0.15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</row>
    <row r="623" spans="1:24" ht="36" customHeight="1" x14ac:dyDescent="0.15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</row>
    <row r="624" spans="1:24" ht="36" customHeight="1" x14ac:dyDescent="0.15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</row>
    <row r="625" spans="1:24" ht="36" customHeight="1" x14ac:dyDescent="0.15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</row>
    <row r="626" spans="1:24" ht="36" customHeight="1" x14ac:dyDescent="0.15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</row>
    <row r="627" spans="1:24" ht="36" customHeight="1" x14ac:dyDescent="0.15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</row>
    <row r="628" spans="1:24" ht="36" customHeight="1" x14ac:dyDescent="0.15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</row>
    <row r="629" spans="1:24" ht="36" customHeight="1" x14ac:dyDescent="0.15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</row>
    <row r="630" spans="1:24" ht="36" customHeight="1" x14ac:dyDescent="0.15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</row>
    <row r="631" spans="1:24" ht="36" customHeight="1" x14ac:dyDescent="0.15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</row>
    <row r="632" spans="1:24" ht="36" customHeight="1" x14ac:dyDescent="0.15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</row>
    <row r="633" spans="1:24" ht="36" customHeight="1" x14ac:dyDescent="0.15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</row>
    <row r="634" spans="1:24" ht="36" customHeight="1" x14ac:dyDescent="0.15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</row>
    <row r="635" spans="1:24" ht="36" customHeight="1" x14ac:dyDescent="0.15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</row>
    <row r="636" spans="1:24" ht="36" customHeight="1" x14ac:dyDescent="0.15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</row>
    <row r="637" spans="1:24" ht="36" customHeight="1" x14ac:dyDescent="0.15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</row>
    <row r="638" spans="1:24" ht="36" customHeight="1" x14ac:dyDescent="0.15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</row>
    <row r="639" spans="1:24" ht="36" customHeight="1" x14ac:dyDescent="0.15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</row>
    <row r="640" spans="1:24" ht="36" customHeight="1" x14ac:dyDescent="0.15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</row>
    <row r="641" spans="1:24" ht="36" customHeight="1" x14ac:dyDescent="0.15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</row>
    <row r="642" spans="1:24" ht="36" customHeight="1" x14ac:dyDescent="0.15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</row>
    <row r="643" spans="1:24" ht="36" customHeight="1" x14ac:dyDescent="0.15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</row>
    <row r="644" spans="1:24" ht="36" customHeight="1" x14ac:dyDescent="0.15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</row>
    <row r="645" spans="1:24" ht="36" customHeight="1" x14ac:dyDescent="0.15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</row>
    <row r="646" spans="1:24" ht="36" customHeight="1" x14ac:dyDescent="0.15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</row>
    <row r="647" spans="1:24" ht="36" customHeight="1" x14ac:dyDescent="0.15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</row>
    <row r="648" spans="1:24" ht="36" customHeight="1" x14ac:dyDescent="0.15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</row>
    <row r="649" spans="1:24" ht="36" customHeight="1" x14ac:dyDescent="0.15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</row>
    <row r="650" spans="1:24" ht="36" customHeight="1" x14ac:dyDescent="0.15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</row>
    <row r="651" spans="1:24" ht="36" customHeight="1" x14ac:dyDescent="0.15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</row>
    <row r="652" spans="1:24" ht="36" customHeight="1" x14ac:dyDescent="0.15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</row>
    <row r="653" spans="1:24" ht="36" customHeight="1" x14ac:dyDescent="0.15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</row>
    <row r="654" spans="1:24" ht="36" customHeight="1" x14ac:dyDescent="0.15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</row>
    <row r="655" spans="1:24" ht="36" customHeight="1" x14ac:dyDescent="0.15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</row>
    <row r="656" spans="1:24" ht="36" customHeight="1" x14ac:dyDescent="0.15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</row>
    <row r="657" spans="1:24" ht="36" customHeight="1" x14ac:dyDescent="0.15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</row>
    <row r="658" spans="1:24" ht="36" customHeight="1" x14ac:dyDescent="0.15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</row>
    <row r="659" spans="1:24" ht="36" customHeight="1" x14ac:dyDescent="0.15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</row>
    <row r="660" spans="1:24" ht="36" customHeight="1" x14ac:dyDescent="0.15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</row>
    <row r="661" spans="1:24" ht="36" customHeight="1" x14ac:dyDescent="0.15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</row>
    <row r="662" spans="1:24" ht="36" customHeight="1" x14ac:dyDescent="0.15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</row>
    <row r="663" spans="1:24" ht="36" customHeight="1" x14ac:dyDescent="0.15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</row>
    <row r="664" spans="1:24" ht="36" customHeight="1" x14ac:dyDescent="0.15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</row>
    <row r="665" spans="1:24" ht="36" customHeight="1" x14ac:dyDescent="0.15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</row>
    <row r="666" spans="1:24" ht="36" customHeight="1" x14ac:dyDescent="0.15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</row>
    <row r="667" spans="1:24" ht="36" customHeight="1" x14ac:dyDescent="0.15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</row>
    <row r="668" spans="1:24" ht="36" customHeight="1" x14ac:dyDescent="0.15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</row>
    <row r="669" spans="1:24" ht="36" customHeight="1" x14ac:dyDescent="0.15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</row>
    <row r="670" spans="1:24" ht="36" customHeight="1" x14ac:dyDescent="0.15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</row>
    <row r="671" spans="1:24" ht="36" customHeight="1" x14ac:dyDescent="0.15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</row>
    <row r="672" spans="1:24" ht="36" customHeight="1" x14ac:dyDescent="0.15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</row>
    <row r="673" spans="1:24" ht="36" customHeight="1" x14ac:dyDescent="0.15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</row>
    <row r="674" spans="1:24" ht="36" customHeight="1" x14ac:dyDescent="0.15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</row>
    <row r="675" spans="1:24" ht="36" customHeight="1" x14ac:dyDescent="0.15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</row>
    <row r="676" spans="1:24" ht="36" customHeight="1" x14ac:dyDescent="0.15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</row>
    <row r="677" spans="1:24" ht="36" customHeight="1" x14ac:dyDescent="0.15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</row>
    <row r="678" spans="1:24" ht="36" customHeight="1" x14ac:dyDescent="0.15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</row>
    <row r="679" spans="1:24" ht="36" customHeight="1" x14ac:dyDescent="0.15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</row>
    <row r="680" spans="1:24" ht="36" customHeight="1" x14ac:dyDescent="0.15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</row>
    <row r="681" spans="1:24" ht="36" customHeight="1" x14ac:dyDescent="0.15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</row>
    <row r="682" spans="1:24" ht="36" customHeight="1" x14ac:dyDescent="0.15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</row>
    <row r="683" spans="1:24" ht="36" customHeight="1" x14ac:dyDescent="0.15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</row>
    <row r="684" spans="1:24" ht="36" customHeight="1" x14ac:dyDescent="0.15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</row>
    <row r="685" spans="1:24" ht="36" customHeight="1" x14ac:dyDescent="0.15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</row>
    <row r="686" spans="1:24" ht="36" customHeight="1" x14ac:dyDescent="0.15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</row>
    <row r="687" spans="1:24" ht="36" customHeight="1" x14ac:dyDescent="0.15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</row>
    <row r="688" spans="1:24" ht="36" customHeight="1" x14ac:dyDescent="0.15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</row>
    <row r="689" spans="1:24" ht="36" customHeight="1" x14ac:dyDescent="0.15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</row>
    <row r="690" spans="1:24" ht="36" customHeight="1" x14ac:dyDescent="0.15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</row>
    <row r="691" spans="1:24" ht="36" customHeight="1" x14ac:dyDescent="0.15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</row>
    <row r="692" spans="1:24" ht="36" customHeight="1" x14ac:dyDescent="0.15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</row>
    <row r="693" spans="1:24" ht="36" customHeight="1" x14ac:dyDescent="0.15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</row>
    <row r="694" spans="1:24" ht="36" customHeight="1" x14ac:dyDescent="0.15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</row>
    <row r="695" spans="1:24" ht="36" customHeight="1" x14ac:dyDescent="0.15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</row>
    <row r="696" spans="1:24" ht="36" customHeight="1" x14ac:dyDescent="0.15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</row>
    <row r="697" spans="1:24" ht="36" customHeight="1" x14ac:dyDescent="0.15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</row>
    <row r="698" spans="1:24" ht="36" customHeight="1" x14ac:dyDescent="0.15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</row>
    <row r="699" spans="1:24" ht="36" customHeight="1" x14ac:dyDescent="0.15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</row>
    <row r="700" spans="1:24" ht="36" customHeight="1" x14ac:dyDescent="0.15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</row>
    <row r="701" spans="1:24" ht="36" customHeight="1" x14ac:dyDescent="0.15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</row>
    <row r="702" spans="1:24" ht="36" customHeight="1" x14ac:dyDescent="0.15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</row>
    <row r="703" spans="1:24" ht="36" customHeight="1" x14ac:dyDescent="0.15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</row>
    <row r="704" spans="1:24" ht="36" customHeight="1" x14ac:dyDescent="0.15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</row>
    <row r="705" spans="1:24" ht="36" customHeight="1" x14ac:dyDescent="0.15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</row>
    <row r="706" spans="1:24" ht="36" customHeight="1" x14ac:dyDescent="0.15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</row>
    <row r="707" spans="1:24" ht="36" customHeight="1" x14ac:dyDescent="0.15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</row>
    <row r="708" spans="1:24" ht="36" customHeight="1" x14ac:dyDescent="0.15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</row>
    <row r="709" spans="1:24" ht="36" customHeight="1" x14ac:dyDescent="0.15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</row>
    <row r="710" spans="1:24" ht="36" customHeight="1" x14ac:dyDescent="0.15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</row>
    <row r="711" spans="1:24" ht="36" customHeight="1" x14ac:dyDescent="0.15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</row>
    <row r="712" spans="1:24" ht="36" customHeight="1" x14ac:dyDescent="0.15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</row>
    <row r="713" spans="1:24" ht="36" customHeight="1" x14ac:dyDescent="0.15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</row>
    <row r="714" spans="1:24" ht="36" customHeight="1" x14ac:dyDescent="0.15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</row>
    <row r="715" spans="1:24" ht="36" customHeight="1" x14ac:dyDescent="0.15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</row>
    <row r="716" spans="1:24" ht="36" customHeight="1" x14ac:dyDescent="0.15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</row>
    <row r="717" spans="1:24" ht="36" customHeight="1" x14ac:dyDescent="0.15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</row>
    <row r="718" spans="1:24" ht="36" customHeight="1" x14ac:dyDescent="0.15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</row>
    <row r="719" spans="1:24" ht="36" customHeight="1" x14ac:dyDescent="0.15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</row>
    <row r="720" spans="1:24" ht="36" customHeight="1" x14ac:dyDescent="0.15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</row>
    <row r="721" spans="1:24" ht="36" customHeight="1" x14ac:dyDescent="0.15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</row>
    <row r="722" spans="1:24" ht="36" customHeight="1" x14ac:dyDescent="0.15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</row>
    <row r="723" spans="1:24" ht="36" customHeight="1" x14ac:dyDescent="0.15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</row>
    <row r="724" spans="1:24" ht="36" customHeight="1" x14ac:dyDescent="0.15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</row>
    <row r="725" spans="1:24" ht="36" customHeight="1" x14ac:dyDescent="0.15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</row>
    <row r="726" spans="1:24" ht="36" customHeight="1" x14ac:dyDescent="0.15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</row>
    <row r="727" spans="1:24" ht="36" customHeight="1" x14ac:dyDescent="0.15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</row>
    <row r="728" spans="1:24" ht="36" customHeight="1" x14ac:dyDescent="0.15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</row>
    <row r="729" spans="1:24" ht="36" customHeight="1" x14ac:dyDescent="0.15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</row>
    <row r="730" spans="1:24" ht="36" customHeight="1" x14ac:dyDescent="0.15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</row>
    <row r="731" spans="1:24" ht="36" customHeight="1" x14ac:dyDescent="0.15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</row>
    <row r="732" spans="1:24" ht="36" customHeight="1" x14ac:dyDescent="0.15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</row>
    <row r="733" spans="1:24" ht="36" customHeight="1" x14ac:dyDescent="0.15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</row>
    <row r="734" spans="1:24" ht="36" customHeight="1" x14ac:dyDescent="0.15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</row>
    <row r="735" spans="1:24" ht="36" customHeight="1" x14ac:dyDescent="0.15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</row>
    <row r="736" spans="1:24" ht="36" customHeight="1" x14ac:dyDescent="0.15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</row>
    <row r="737" spans="1:24" ht="36" customHeight="1" x14ac:dyDescent="0.15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</row>
    <row r="738" spans="1:24" ht="36" customHeight="1" x14ac:dyDescent="0.15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</row>
    <row r="739" spans="1:24" ht="36" customHeight="1" x14ac:dyDescent="0.15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</row>
    <row r="740" spans="1:24" ht="36" customHeight="1" x14ac:dyDescent="0.15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</row>
    <row r="741" spans="1:24" ht="36" customHeight="1" x14ac:dyDescent="0.15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</row>
    <row r="742" spans="1:24" ht="36" customHeight="1" x14ac:dyDescent="0.15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</row>
    <row r="743" spans="1:24" ht="36" customHeight="1" x14ac:dyDescent="0.15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</row>
    <row r="744" spans="1:24" ht="36" customHeight="1" x14ac:dyDescent="0.15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</row>
    <row r="745" spans="1:24" ht="36" customHeight="1" x14ac:dyDescent="0.15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</row>
    <row r="746" spans="1:24" ht="36" customHeight="1" x14ac:dyDescent="0.15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</row>
    <row r="747" spans="1:24" ht="36" customHeight="1" x14ac:dyDescent="0.15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</row>
    <row r="748" spans="1:24" ht="36" customHeight="1" x14ac:dyDescent="0.15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</row>
    <row r="749" spans="1:24" ht="36" customHeight="1" x14ac:dyDescent="0.15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</row>
    <row r="750" spans="1:24" ht="36" customHeight="1" x14ac:dyDescent="0.15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</row>
    <row r="751" spans="1:24" ht="36" customHeight="1" x14ac:dyDescent="0.15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</row>
    <row r="752" spans="1:24" ht="36" customHeight="1" x14ac:dyDescent="0.15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</row>
    <row r="753" spans="1:24" ht="36" customHeight="1" x14ac:dyDescent="0.15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</row>
    <row r="754" spans="1:24" ht="36" customHeight="1" x14ac:dyDescent="0.15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</row>
    <row r="755" spans="1:24" ht="36" customHeight="1" x14ac:dyDescent="0.15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</row>
    <row r="756" spans="1:24" ht="36" customHeight="1" x14ac:dyDescent="0.15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</row>
    <row r="757" spans="1:24" ht="36" customHeight="1" x14ac:dyDescent="0.15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</row>
    <row r="758" spans="1:24" ht="36" customHeight="1" x14ac:dyDescent="0.15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</row>
    <row r="759" spans="1:24" ht="36" customHeight="1" x14ac:dyDescent="0.15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</row>
    <row r="760" spans="1:24" ht="36" customHeight="1" x14ac:dyDescent="0.15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</row>
    <row r="761" spans="1:24" ht="36" customHeight="1" x14ac:dyDescent="0.15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</row>
    <row r="762" spans="1:24" ht="36" customHeight="1" x14ac:dyDescent="0.15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</row>
    <row r="763" spans="1:24" ht="36" customHeight="1" x14ac:dyDescent="0.15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</row>
    <row r="764" spans="1:24" ht="36" customHeight="1" x14ac:dyDescent="0.15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</row>
    <row r="765" spans="1:24" ht="36" customHeight="1" x14ac:dyDescent="0.15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</row>
    <row r="766" spans="1:24" ht="36" customHeight="1" x14ac:dyDescent="0.15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</row>
    <row r="767" spans="1:24" ht="36" customHeight="1" x14ac:dyDescent="0.15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</row>
    <row r="768" spans="1:24" ht="36" customHeight="1" x14ac:dyDescent="0.15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</row>
    <row r="769" spans="1:24" ht="36" customHeight="1" x14ac:dyDescent="0.15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</row>
    <row r="770" spans="1:24" ht="36" customHeight="1" x14ac:dyDescent="0.15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</row>
    <row r="771" spans="1:24" ht="36" customHeight="1" x14ac:dyDescent="0.15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</row>
    <row r="772" spans="1:24" ht="36" customHeight="1" x14ac:dyDescent="0.15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</row>
    <row r="773" spans="1:24" ht="36" customHeight="1" x14ac:dyDescent="0.15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</row>
    <row r="774" spans="1:24" ht="36" customHeight="1" x14ac:dyDescent="0.15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</row>
    <row r="775" spans="1:24" ht="36" customHeight="1" x14ac:dyDescent="0.15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</row>
    <row r="776" spans="1:24" ht="36" customHeight="1" x14ac:dyDescent="0.15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</row>
    <row r="777" spans="1:24" ht="36" customHeight="1" x14ac:dyDescent="0.15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</row>
    <row r="778" spans="1:24" ht="36" customHeight="1" x14ac:dyDescent="0.15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</row>
    <row r="779" spans="1:24" ht="36" customHeight="1" x14ac:dyDescent="0.15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</row>
    <row r="780" spans="1:24" ht="36" customHeight="1" x14ac:dyDescent="0.15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</row>
    <row r="781" spans="1:24" ht="36" customHeight="1" x14ac:dyDescent="0.15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</row>
    <row r="782" spans="1:24" ht="36" customHeight="1" x14ac:dyDescent="0.15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</row>
    <row r="783" spans="1:24" ht="36" customHeight="1" x14ac:dyDescent="0.15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</row>
    <row r="784" spans="1:24" ht="36" customHeight="1" x14ac:dyDescent="0.15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</row>
    <row r="785" spans="1:24" ht="36" customHeight="1" x14ac:dyDescent="0.15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</row>
    <row r="786" spans="1:24" ht="36" customHeight="1" x14ac:dyDescent="0.15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</row>
    <row r="787" spans="1:24" ht="36" customHeight="1" x14ac:dyDescent="0.15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</row>
    <row r="788" spans="1:24" ht="36" customHeight="1" x14ac:dyDescent="0.15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</row>
    <row r="789" spans="1:24" ht="36" customHeight="1" x14ac:dyDescent="0.15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</row>
    <row r="790" spans="1:24" ht="36" customHeight="1" x14ac:dyDescent="0.15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</row>
    <row r="791" spans="1:24" ht="36" customHeight="1" x14ac:dyDescent="0.15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</row>
    <row r="792" spans="1:24" ht="36" customHeight="1" x14ac:dyDescent="0.15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</row>
    <row r="793" spans="1:24" ht="36" customHeight="1" x14ac:dyDescent="0.15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</row>
    <row r="794" spans="1:24" ht="36" customHeight="1" x14ac:dyDescent="0.15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</row>
    <row r="795" spans="1:24" ht="36" customHeight="1" x14ac:dyDescent="0.15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</row>
    <row r="796" spans="1:24" ht="36" customHeight="1" x14ac:dyDescent="0.15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</row>
    <row r="797" spans="1:24" ht="36" customHeight="1" x14ac:dyDescent="0.15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</row>
    <row r="798" spans="1:24" ht="36" customHeight="1" x14ac:dyDescent="0.15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</row>
    <row r="799" spans="1:24" ht="36" customHeight="1" x14ac:dyDescent="0.15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</row>
    <row r="800" spans="1:24" ht="36" customHeight="1" x14ac:dyDescent="0.15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</row>
    <row r="801" spans="1:24" ht="36" customHeight="1" x14ac:dyDescent="0.15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</row>
    <row r="802" spans="1:24" ht="36" customHeight="1" x14ac:dyDescent="0.15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</row>
    <row r="803" spans="1:24" ht="36" customHeight="1" x14ac:dyDescent="0.15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</row>
    <row r="804" spans="1:24" ht="36" customHeight="1" x14ac:dyDescent="0.15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</row>
    <row r="805" spans="1:24" ht="36" customHeight="1" x14ac:dyDescent="0.15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</row>
    <row r="806" spans="1:24" ht="36" customHeight="1" x14ac:dyDescent="0.15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</row>
    <row r="807" spans="1:24" ht="36" customHeight="1" x14ac:dyDescent="0.15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</row>
    <row r="808" spans="1:24" ht="36" customHeight="1" x14ac:dyDescent="0.15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</row>
    <row r="809" spans="1:24" ht="36" customHeight="1" x14ac:dyDescent="0.15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</row>
    <row r="810" spans="1:24" ht="36" customHeight="1" x14ac:dyDescent="0.15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</row>
    <row r="811" spans="1:24" ht="36" customHeight="1" x14ac:dyDescent="0.15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</row>
    <row r="812" spans="1:24" ht="36" customHeight="1" x14ac:dyDescent="0.15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</row>
    <row r="813" spans="1:24" ht="36" customHeight="1" x14ac:dyDescent="0.15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</row>
    <row r="814" spans="1:24" ht="36" customHeight="1" x14ac:dyDescent="0.15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</row>
    <row r="815" spans="1:24" ht="36" customHeight="1" x14ac:dyDescent="0.15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</row>
    <row r="816" spans="1:24" ht="36" customHeight="1" x14ac:dyDescent="0.15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</row>
    <row r="817" spans="1:24" ht="36" customHeight="1" x14ac:dyDescent="0.15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</row>
    <row r="818" spans="1:24" ht="36" customHeight="1" x14ac:dyDescent="0.15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</row>
    <row r="819" spans="1:24" ht="36" customHeight="1" x14ac:dyDescent="0.15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</row>
    <row r="820" spans="1:24" ht="36" customHeight="1" x14ac:dyDescent="0.15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</row>
    <row r="821" spans="1:24" ht="36" customHeight="1" x14ac:dyDescent="0.15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</row>
    <row r="822" spans="1:24" ht="36" customHeight="1" x14ac:dyDescent="0.15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</row>
    <row r="823" spans="1:24" ht="36" customHeight="1" x14ac:dyDescent="0.15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</row>
    <row r="824" spans="1:24" ht="36" customHeight="1" x14ac:dyDescent="0.15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</row>
    <row r="825" spans="1:24" ht="36" customHeight="1" x14ac:dyDescent="0.15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</row>
    <row r="826" spans="1:24" ht="36" customHeight="1" x14ac:dyDescent="0.15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</row>
    <row r="827" spans="1:24" ht="36" customHeight="1" x14ac:dyDescent="0.15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</row>
    <row r="828" spans="1:24" ht="36" customHeight="1" x14ac:dyDescent="0.15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</row>
    <row r="829" spans="1:24" ht="36" customHeight="1" x14ac:dyDescent="0.15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</row>
    <row r="830" spans="1:24" ht="36" customHeight="1" x14ac:dyDescent="0.15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</row>
    <row r="831" spans="1:24" ht="36" customHeight="1" x14ac:dyDescent="0.15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</row>
    <row r="832" spans="1:24" ht="36" customHeight="1" x14ac:dyDescent="0.15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</row>
    <row r="833" spans="1:24" ht="36" customHeight="1" x14ac:dyDescent="0.15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</row>
    <row r="834" spans="1:24" ht="36" customHeight="1" x14ac:dyDescent="0.15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</row>
    <row r="835" spans="1:24" ht="36" customHeight="1" x14ac:dyDescent="0.15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</row>
    <row r="836" spans="1:24" ht="36" customHeight="1" x14ac:dyDescent="0.15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</row>
    <row r="837" spans="1:24" ht="36" customHeight="1" x14ac:dyDescent="0.15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</row>
    <row r="838" spans="1:24" ht="36" customHeight="1" x14ac:dyDescent="0.15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</row>
    <row r="839" spans="1:24" ht="36" customHeight="1" x14ac:dyDescent="0.15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</row>
    <row r="840" spans="1:24" ht="36" customHeight="1" x14ac:dyDescent="0.15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</row>
    <row r="841" spans="1:24" ht="36" customHeight="1" x14ac:dyDescent="0.15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</row>
    <row r="842" spans="1:24" ht="36" customHeight="1" x14ac:dyDescent="0.15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</row>
    <row r="843" spans="1:24" ht="36" customHeight="1" x14ac:dyDescent="0.15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</row>
    <row r="844" spans="1:24" ht="36" customHeight="1" x14ac:dyDescent="0.15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</row>
    <row r="845" spans="1:24" ht="36" customHeight="1" x14ac:dyDescent="0.15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</row>
    <row r="846" spans="1:24" ht="36" customHeight="1" x14ac:dyDescent="0.15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</row>
    <row r="847" spans="1:24" ht="36" customHeight="1" x14ac:dyDescent="0.15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</row>
    <row r="848" spans="1:24" ht="36" customHeight="1" x14ac:dyDescent="0.15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</row>
    <row r="849" spans="1:24" ht="36" customHeight="1" x14ac:dyDescent="0.15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</row>
    <row r="850" spans="1:24" ht="36" customHeight="1" x14ac:dyDescent="0.15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</row>
    <row r="851" spans="1:24" ht="36" customHeight="1" x14ac:dyDescent="0.15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</row>
    <row r="852" spans="1:24" ht="36" customHeight="1" x14ac:dyDescent="0.15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</row>
    <row r="853" spans="1:24" ht="36" customHeight="1" x14ac:dyDescent="0.15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</row>
    <row r="854" spans="1:24" ht="36" customHeight="1" x14ac:dyDescent="0.15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</row>
    <row r="855" spans="1:24" ht="36" customHeight="1" x14ac:dyDescent="0.15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</row>
    <row r="856" spans="1:24" ht="36" customHeight="1" x14ac:dyDescent="0.15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</row>
    <row r="857" spans="1:24" ht="36" customHeight="1" x14ac:dyDescent="0.15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</row>
    <row r="858" spans="1:24" ht="36" customHeight="1" x14ac:dyDescent="0.15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</row>
    <row r="859" spans="1:24" ht="36" customHeight="1" x14ac:dyDescent="0.15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</row>
    <row r="860" spans="1:24" ht="36" customHeight="1" x14ac:dyDescent="0.15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</row>
    <row r="861" spans="1:24" ht="36" customHeight="1" x14ac:dyDescent="0.15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</row>
    <row r="862" spans="1:24" ht="36" customHeight="1" x14ac:dyDescent="0.15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</row>
    <row r="863" spans="1:24" ht="36" customHeight="1" x14ac:dyDescent="0.15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</row>
    <row r="864" spans="1:24" ht="36" customHeight="1" x14ac:dyDescent="0.15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</row>
    <row r="865" spans="1:24" ht="36" customHeight="1" x14ac:dyDescent="0.15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</row>
    <row r="866" spans="1:24" ht="36" customHeight="1" x14ac:dyDescent="0.15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</row>
    <row r="867" spans="1:24" ht="36" customHeight="1" x14ac:dyDescent="0.15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</row>
    <row r="868" spans="1:24" ht="36" customHeight="1" x14ac:dyDescent="0.15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</row>
    <row r="869" spans="1:24" ht="36" customHeight="1" x14ac:dyDescent="0.15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</row>
    <row r="870" spans="1:24" ht="36" customHeight="1" x14ac:dyDescent="0.15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</row>
    <row r="871" spans="1:24" ht="36" customHeight="1" x14ac:dyDescent="0.15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</row>
    <row r="872" spans="1:24" ht="36" customHeight="1" x14ac:dyDescent="0.15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</row>
    <row r="873" spans="1:24" ht="36" customHeight="1" x14ac:dyDescent="0.15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</row>
    <row r="874" spans="1:24" ht="36" customHeight="1" x14ac:dyDescent="0.15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</row>
    <row r="875" spans="1:24" ht="36" customHeight="1" x14ac:dyDescent="0.15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</row>
    <row r="876" spans="1:24" ht="36" customHeight="1" x14ac:dyDescent="0.15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</row>
    <row r="877" spans="1:24" ht="36" customHeight="1" x14ac:dyDescent="0.15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</row>
    <row r="878" spans="1:24" ht="36" customHeight="1" x14ac:dyDescent="0.15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</row>
    <row r="879" spans="1:24" ht="36" customHeight="1" x14ac:dyDescent="0.15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</row>
    <row r="880" spans="1:24" ht="36" customHeight="1" x14ac:dyDescent="0.15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</row>
    <row r="881" spans="1:24" ht="36" customHeight="1" x14ac:dyDescent="0.15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</row>
    <row r="882" spans="1:24" ht="36" customHeight="1" x14ac:dyDescent="0.15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</row>
    <row r="883" spans="1:24" ht="36" customHeight="1" x14ac:dyDescent="0.15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</row>
    <row r="884" spans="1:24" ht="36" customHeight="1" x14ac:dyDescent="0.15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</row>
    <row r="885" spans="1:24" ht="36" customHeight="1" x14ac:dyDescent="0.15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</row>
    <row r="886" spans="1:24" ht="36" customHeight="1" x14ac:dyDescent="0.15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</row>
    <row r="887" spans="1:24" ht="36" customHeight="1" x14ac:dyDescent="0.15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</row>
    <row r="888" spans="1:24" ht="36" customHeight="1" x14ac:dyDescent="0.15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</row>
    <row r="889" spans="1:24" ht="36" customHeight="1" x14ac:dyDescent="0.15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</row>
    <row r="890" spans="1:24" ht="36" customHeight="1" x14ac:dyDescent="0.15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</row>
    <row r="891" spans="1:24" ht="36" customHeight="1" x14ac:dyDescent="0.15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</row>
    <row r="892" spans="1:24" ht="36" customHeight="1" x14ac:dyDescent="0.15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</row>
    <row r="893" spans="1:24" ht="36" customHeight="1" x14ac:dyDescent="0.15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</row>
    <row r="894" spans="1:24" ht="36" customHeight="1" x14ac:dyDescent="0.15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</row>
    <row r="895" spans="1:24" ht="36" customHeight="1" x14ac:dyDescent="0.15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</row>
    <row r="896" spans="1:24" ht="36" customHeight="1" x14ac:dyDescent="0.15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</row>
    <row r="897" spans="1:24" ht="36" customHeight="1" x14ac:dyDescent="0.15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</row>
    <row r="898" spans="1:24" ht="36" customHeight="1" x14ac:dyDescent="0.15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</row>
    <row r="899" spans="1:24" ht="36" customHeight="1" x14ac:dyDescent="0.15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</row>
    <row r="900" spans="1:24" ht="36" customHeight="1" x14ac:dyDescent="0.15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</row>
    <row r="901" spans="1:24" ht="36" customHeight="1" x14ac:dyDescent="0.15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</row>
    <row r="902" spans="1:24" ht="36" customHeight="1" x14ac:dyDescent="0.15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</row>
    <row r="903" spans="1:24" ht="36" customHeight="1" x14ac:dyDescent="0.15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</row>
    <row r="904" spans="1:24" ht="36" customHeight="1" x14ac:dyDescent="0.15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</row>
    <row r="905" spans="1:24" ht="36" customHeight="1" x14ac:dyDescent="0.15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</row>
    <row r="906" spans="1:24" ht="36" customHeight="1" x14ac:dyDescent="0.15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</row>
    <row r="907" spans="1:24" ht="36" customHeight="1" x14ac:dyDescent="0.15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</row>
    <row r="908" spans="1:24" ht="36" customHeight="1" x14ac:dyDescent="0.15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</row>
    <row r="909" spans="1:24" ht="36" customHeight="1" x14ac:dyDescent="0.15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</row>
    <row r="910" spans="1:24" ht="36" customHeight="1" x14ac:dyDescent="0.15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</row>
    <row r="911" spans="1:24" ht="36" customHeight="1" x14ac:dyDescent="0.15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</row>
    <row r="912" spans="1:24" ht="36" customHeight="1" x14ac:dyDescent="0.15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</row>
    <row r="913" spans="1:24" ht="36" customHeight="1" x14ac:dyDescent="0.15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</row>
    <row r="914" spans="1:24" ht="36" customHeight="1" x14ac:dyDescent="0.15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</row>
    <row r="915" spans="1:24" ht="36" customHeight="1" x14ac:dyDescent="0.15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</row>
    <row r="916" spans="1:24" ht="36" customHeight="1" x14ac:dyDescent="0.15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</row>
    <row r="917" spans="1:24" ht="36" customHeight="1" x14ac:dyDescent="0.15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</row>
    <row r="918" spans="1:24" ht="36" customHeight="1" x14ac:dyDescent="0.15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</row>
    <row r="919" spans="1:24" ht="36" customHeight="1" x14ac:dyDescent="0.15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</row>
    <row r="920" spans="1:24" ht="36" customHeight="1" x14ac:dyDescent="0.15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</row>
    <row r="921" spans="1:24" ht="36" customHeight="1" x14ac:dyDescent="0.15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</row>
    <row r="922" spans="1:24" ht="36" customHeight="1" x14ac:dyDescent="0.15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</row>
    <row r="923" spans="1:24" ht="36" customHeight="1" x14ac:dyDescent="0.15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</row>
    <row r="924" spans="1:24" ht="36" customHeight="1" x14ac:dyDescent="0.15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</row>
    <row r="925" spans="1:24" ht="36" customHeight="1" x14ac:dyDescent="0.15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</row>
    <row r="926" spans="1:24" ht="36" customHeight="1" x14ac:dyDescent="0.15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</row>
    <row r="927" spans="1:24" ht="36" customHeight="1" x14ac:dyDescent="0.15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</row>
    <row r="928" spans="1:24" ht="36" customHeight="1" x14ac:dyDescent="0.15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</row>
    <row r="929" spans="1:24" ht="36" customHeight="1" x14ac:dyDescent="0.15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</row>
    <row r="930" spans="1:24" ht="36" customHeight="1" x14ac:dyDescent="0.15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</row>
    <row r="931" spans="1:24" ht="36" customHeight="1" x14ac:dyDescent="0.15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</row>
    <row r="932" spans="1:24" ht="36" customHeight="1" x14ac:dyDescent="0.15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</row>
    <row r="933" spans="1:24" ht="36" customHeight="1" x14ac:dyDescent="0.15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</row>
    <row r="934" spans="1:24" ht="36" customHeight="1" x14ac:dyDescent="0.15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</row>
    <row r="935" spans="1:24" ht="36" customHeight="1" x14ac:dyDescent="0.15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</row>
    <row r="936" spans="1:24" ht="36" customHeight="1" x14ac:dyDescent="0.15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</row>
    <row r="937" spans="1:24" ht="36" customHeight="1" x14ac:dyDescent="0.15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</row>
    <row r="938" spans="1:24" ht="36" customHeight="1" x14ac:dyDescent="0.15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</row>
    <row r="939" spans="1:24" ht="36" customHeight="1" x14ac:dyDescent="0.15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</row>
    <row r="940" spans="1:24" ht="36" customHeight="1" x14ac:dyDescent="0.15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</row>
    <row r="941" spans="1:24" ht="36" customHeight="1" x14ac:dyDescent="0.15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</row>
    <row r="942" spans="1:24" ht="36" customHeight="1" x14ac:dyDescent="0.15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</row>
    <row r="943" spans="1:24" ht="36" customHeight="1" x14ac:dyDescent="0.15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</row>
    <row r="944" spans="1:24" ht="36" customHeight="1" x14ac:dyDescent="0.15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</row>
    <row r="945" spans="1:24" ht="36" customHeight="1" x14ac:dyDescent="0.15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</row>
    <row r="946" spans="1:24" ht="36" customHeight="1" x14ac:dyDescent="0.15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</row>
    <row r="947" spans="1:24" ht="36" customHeight="1" x14ac:dyDescent="0.15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</row>
    <row r="948" spans="1:24" ht="36" customHeight="1" x14ac:dyDescent="0.15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</row>
    <row r="949" spans="1:24" ht="36" customHeight="1" x14ac:dyDescent="0.15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</row>
    <row r="950" spans="1:24" ht="36" customHeight="1" x14ac:dyDescent="0.15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</row>
    <row r="951" spans="1:24" ht="36" customHeight="1" x14ac:dyDescent="0.15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</row>
    <row r="952" spans="1:24" ht="36" customHeight="1" x14ac:dyDescent="0.15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</row>
    <row r="953" spans="1:24" ht="36" customHeight="1" x14ac:dyDescent="0.15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</row>
    <row r="954" spans="1:24" ht="36" customHeight="1" x14ac:dyDescent="0.15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</row>
    <row r="955" spans="1:24" ht="36" customHeight="1" x14ac:dyDescent="0.15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</row>
    <row r="956" spans="1:24" ht="36" customHeight="1" x14ac:dyDescent="0.15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</row>
    <row r="957" spans="1:24" ht="36" customHeight="1" x14ac:dyDescent="0.15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</row>
    <row r="958" spans="1:24" ht="36" customHeight="1" x14ac:dyDescent="0.15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</row>
    <row r="959" spans="1:24" ht="36" customHeight="1" x14ac:dyDescent="0.15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</row>
    <row r="960" spans="1:24" ht="36" customHeight="1" x14ac:dyDescent="0.15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</row>
    <row r="961" spans="1:24" ht="36" customHeight="1" x14ac:dyDescent="0.15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</row>
    <row r="962" spans="1:24" ht="36" customHeight="1" x14ac:dyDescent="0.15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</row>
    <row r="963" spans="1:24" ht="36" customHeight="1" x14ac:dyDescent="0.15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</row>
    <row r="964" spans="1:24" ht="36" customHeight="1" x14ac:dyDescent="0.15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</row>
    <row r="965" spans="1:24" ht="36" customHeight="1" x14ac:dyDescent="0.15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</row>
    <row r="966" spans="1:24" ht="36" customHeight="1" x14ac:dyDescent="0.15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</row>
    <row r="967" spans="1:24" ht="36" customHeight="1" x14ac:dyDescent="0.15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</row>
    <row r="968" spans="1:24" ht="36" customHeight="1" x14ac:dyDescent="0.15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</row>
    <row r="969" spans="1:24" ht="36" customHeight="1" x14ac:dyDescent="0.15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</row>
    <row r="970" spans="1:24" ht="36" customHeight="1" x14ac:dyDescent="0.15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</row>
    <row r="971" spans="1:24" ht="36" customHeight="1" x14ac:dyDescent="0.15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</row>
    <row r="972" spans="1:24" ht="36" customHeight="1" x14ac:dyDescent="0.15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</row>
    <row r="973" spans="1:24" ht="36" customHeight="1" x14ac:dyDescent="0.15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</row>
    <row r="974" spans="1:24" ht="36" customHeight="1" x14ac:dyDescent="0.15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</row>
    <row r="975" spans="1:24" ht="36" customHeight="1" x14ac:dyDescent="0.15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</row>
    <row r="976" spans="1:24" ht="36" customHeight="1" x14ac:dyDescent="0.15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</row>
    <row r="977" spans="1:24" ht="36" customHeight="1" x14ac:dyDescent="0.15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</row>
    <row r="978" spans="1:24" ht="36" customHeight="1" x14ac:dyDescent="0.15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</row>
    <row r="979" spans="1:24" ht="36" customHeight="1" x14ac:dyDescent="0.15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</row>
    <row r="980" spans="1:24" ht="36" customHeight="1" x14ac:dyDescent="0.15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</row>
    <row r="981" spans="1:24" ht="36" customHeight="1" x14ac:dyDescent="0.15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</row>
    <row r="982" spans="1:24" ht="36" customHeight="1" x14ac:dyDescent="0.15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</row>
    <row r="983" spans="1:24" ht="36" customHeight="1" x14ac:dyDescent="0.15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</row>
    <row r="984" spans="1:24" ht="36" customHeight="1" x14ac:dyDescent="0.15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</row>
    <row r="985" spans="1:24" ht="36" customHeight="1" x14ac:dyDescent="0.15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</row>
    <row r="986" spans="1:24" ht="36" customHeight="1" x14ac:dyDescent="0.15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</row>
    <row r="987" spans="1:24" ht="36" customHeight="1" x14ac:dyDescent="0.15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</row>
    <row r="988" spans="1:24" ht="36" customHeight="1" x14ac:dyDescent="0.15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</row>
    <row r="989" spans="1:24" ht="36" customHeight="1" x14ac:dyDescent="0.15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</row>
    <row r="990" spans="1:24" ht="36" customHeight="1" x14ac:dyDescent="0.15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</row>
    <row r="991" spans="1:24" ht="36" customHeight="1" x14ac:dyDescent="0.15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</row>
    <row r="992" spans="1:24" ht="36" customHeight="1" x14ac:dyDescent="0.15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</row>
    <row r="993" spans="1:24" ht="36" customHeight="1" x14ac:dyDescent="0.15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</row>
    <row r="994" spans="1:24" ht="36" customHeight="1" x14ac:dyDescent="0.15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</row>
    <row r="995" spans="1:24" ht="36" customHeight="1" x14ac:dyDescent="0.15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</row>
    <row r="996" spans="1:24" ht="36" customHeight="1" x14ac:dyDescent="0.15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</row>
  </sheetData>
  <hyperlinks>
    <hyperlink ref="J2" r:id="rId1" display="https://drive.google.com/open?id=1ifa6yjOXG4TtdUNUSfZBrITLDK4L2_f0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X996"/>
  <sheetViews>
    <sheetView workbookViewId="0"/>
  </sheetViews>
  <sheetFormatPr baseColWidth="10" defaultColWidth="12.6640625" defaultRowHeight="15.75" customHeight="1" x14ac:dyDescent="0.15"/>
  <cols>
    <col min="1" max="1" width="17.5" customWidth="1"/>
    <col min="2" max="2" width="8.1640625" customWidth="1"/>
    <col min="3" max="3" width="9.1640625" customWidth="1"/>
    <col min="4" max="4" width="8.33203125" customWidth="1"/>
    <col min="5" max="5" width="28.1640625" customWidth="1"/>
    <col min="6" max="6" width="24" customWidth="1"/>
    <col min="7" max="7" width="17.1640625" customWidth="1"/>
    <col min="8" max="8" width="15.1640625" customWidth="1"/>
    <col min="9" max="9" width="16.33203125" customWidth="1"/>
    <col min="10" max="10" width="60.1640625" customWidth="1"/>
    <col min="11" max="11" width="15.1640625" customWidth="1"/>
    <col min="12" max="13" width="20.1640625" customWidth="1"/>
    <col min="14" max="14" width="10.1640625" customWidth="1"/>
  </cols>
  <sheetData>
    <row r="1" spans="1:24" ht="33.75" customHeight="1" x14ac:dyDescent="0.15">
      <c r="A1" s="64" t="s">
        <v>91</v>
      </c>
      <c r="B1" s="64" t="s">
        <v>63</v>
      </c>
      <c r="C1" s="64" t="s">
        <v>55</v>
      </c>
      <c r="D1" s="64" t="s">
        <v>56</v>
      </c>
      <c r="E1" s="64" t="s">
        <v>84</v>
      </c>
      <c r="F1" s="64" t="s">
        <v>85</v>
      </c>
      <c r="G1" s="64" t="s">
        <v>86</v>
      </c>
      <c r="H1" s="64" t="s">
        <v>87</v>
      </c>
      <c r="I1" s="64" t="s">
        <v>88</v>
      </c>
      <c r="J1" s="64" t="s">
        <v>90</v>
      </c>
      <c r="K1" s="65" t="s">
        <v>24</v>
      </c>
      <c r="L1" s="56" t="s">
        <v>1</v>
      </c>
      <c r="M1" s="65" t="s">
        <v>113</v>
      </c>
      <c r="N1" s="65" t="s">
        <v>114</v>
      </c>
      <c r="O1" s="9"/>
      <c r="P1" s="9"/>
      <c r="Q1" s="9"/>
      <c r="R1" s="9"/>
      <c r="S1" s="9"/>
      <c r="T1" s="9"/>
      <c r="U1" s="9"/>
      <c r="V1" s="9"/>
      <c r="W1" s="9"/>
      <c r="X1" s="9"/>
    </row>
    <row r="2" spans="1:24" ht="33.75" customHeight="1" x14ac:dyDescent="0.15">
      <c r="A2" s="66" t="str">
        <f ca="1">IFERROR(__xludf.DUMMYFUNCTION("QUERY(MasterData!A1:NK11244,""select DN,DO,DP,DQ,DR,DS,DT,DU,DV,DW,B,C,FL,FM where C='S10: Student Prof. Body'"",0)"),"Savitribai Phule Day ")</f>
        <v xml:space="preserve">Savitribai Phule Day </v>
      </c>
      <c r="B2" s="66" t="str">
        <f ca="1">IFERROR(__xludf.DUMMYFUNCTION("""COMPUTED_VALUE"""),"1 day")</f>
        <v>1 day</v>
      </c>
      <c r="C2" s="67">
        <f ca="1">IFERROR(__xludf.DUMMYFUNCTION("""COMPUTED_VALUE"""),44564)</f>
        <v>44564</v>
      </c>
      <c r="D2" s="67">
        <f ca="1">IFERROR(__xludf.DUMMYFUNCTION("""COMPUTED_VALUE"""),44564)</f>
        <v>44564</v>
      </c>
      <c r="E2" s="66">
        <f ca="1">IFERROR(__xludf.DUMMYFUNCTION("""COMPUTED_VALUE"""),13)</f>
        <v>13</v>
      </c>
      <c r="F2" s="66" t="str">
        <f ca="1">IFERROR(__xludf.DUMMYFUNCTION("""COMPUTED_VALUE"""),"Faculty In-charge &amp; Students")</f>
        <v>Faculty In-charge &amp; Students</v>
      </c>
      <c r="G2" s="66" t="str">
        <f ca="1">IFERROR(__xludf.DUMMYFUNCTION("""COMPUTED_VALUE"""),"M.Vamsi Krishna")</f>
        <v>M.Vamsi Krishna</v>
      </c>
      <c r="H2" s="66">
        <f ca="1">IFERROR(__xludf.DUMMYFUNCTION("""COMPUTED_VALUE"""),0)</f>
        <v>0</v>
      </c>
      <c r="I2" s="66">
        <f ca="1">IFERROR(__xludf.DUMMYFUNCTION("""COMPUTED_VALUE"""),0)</f>
        <v>0</v>
      </c>
      <c r="J2" s="68" t="str">
        <f ca="1">IFERROR(__xludf.DUMMYFUNCTION("""COMPUTED_VALUE"""),"https://drive.google.com/open?id=1pFZMSg0U5JTeBIAvD-st02kTb3uFM-8Z")</f>
        <v>https://drive.google.com/open?id=1pFZMSg0U5JTeBIAvD-st02kTb3uFM-8Z</v>
      </c>
      <c r="K2" s="66" t="str">
        <f ca="1">IFERROR(__xludf.DUMMYFUNCTION("""COMPUTED_VALUE"""),"2019-2023")</f>
        <v>2019-2023</v>
      </c>
      <c r="L2" s="66" t="str">
        <f ca="1">IFERROR(__xludf.DUMMYFUNCTION("""COMPUTED_VALUE"""),"S10: Student Prof. Body")</f>
        <v>S10: Student Prof. Body</v>
      </c>
      <c r="M2" s="66" t="str">
        <f ca="1">IFERROR(__xludf.DUMMYFUNCTION("""COMPUTED_VALUE"""),"mvamsi@mvgrce.edu.in")</f>
        <v>mvamsi@mvgrce.edu.in</v>
      </c>
      <c r="N2" s="66" t="str">
        <f ca="1">IFERROR(__xludf.DUMMYFUNCTION("""COMPUTED_VALUE"""),"SEM-6")</f>
        <v>SEM-6</v>
      </c>
      <c r="O2" s="69"/>
      <c r="P2" s="69"/>
      <c r="Q2" s="69"/>
      <c r="R2" s="69"/>
      <c r="S2" s="69"/>
      <c r="T2" s="69"/>
      <c r="U2" s="69"/>
      <c r="V2" s="69"/>
      <c r="W2" s="69"/>
      <c r="X2" s="69"/>
    </row>
    <row r="3" spans="1:24" ht="33.75" customHeight="1" x14ac:dyDescent="0.15">
      <c r="A3" s="66" t="str">
        <f ca="1">IFERROR(__xludf.DUMMYFUNCTION("""COMPUTED_VALUE"""),"Republic Day")</f>
        <v>Republic Day</v>
      </c>
      <c r="B3" s="66" t="str">
        <f ca="1">IFERROR(__xludf.DUMMYFUNCTION("""COMPUTED_VALUE"""),"1 day")</f>
        <v>1 day</v>
      </c>
      <c r="C3" s="67">
        <f ca="1">IFERROR(__xludf.DUMMYFUNCTION("""COMPUTED_VALUE"""),44587)</f>
        <v>44587</v>
      </c>
      <c r="D3" s="67">
        <f ca="1">IFERROR(__xludf.DUMMYFUNCTION("""COMPUTED_VALUE"""),44587)</f>
        <v>44587</v>
      </c>
      <c r="E3" s="66">
        <f ca="1">IFERROR(__xludf.DUMMYFUNCTION("""COMPUTED_VALUE"""),9)</f>
        <v>9</v>
      </c>
      <c r="F3" s="66" t="str">
        <f ca="1">IFERROR(__xludf.DUMMYFUNCTION("""COMPUTED_VALUE"""),"Students &amp; Faculty")</f>
        <v>Students &amp; Faculty</v>
      </c>
      <c r="G3" s="66" t="str">
        <f ca="1">IFERROR(__xludf.DUMMYFUNCTION("""COMPUTED_VALUE"""),"M.Vamsi Krishna")</f>
        <v>M.Vamsi Krishna</v>
      </c>
      <c r="H3" s="66">
        <f ca="1">IFERROR(__xludf.DUMMYFUNCTION("""COMPUTED_VALUE"""),0)</f>
        <v>0</v>
      </c>
      <c r="I3" s="66">
        <f ca="1">IFERROR(__xludf.DUMMYFUNCTION("""COMPUTED_VALUE"""),0)</f>
        <v>0</v>
      </c>
      <c r="J3" s="68" t="str">
        <f ca="1">IFERROR(__xludf.DUMMYFUNCTION("""COMPUTED_VALUE"""),"https://drive.google.com/open?id=1A27DXNoiss-Gco3r7lf4BKFY1X0B1UjN")</f>
        <v>https://drive.google.com/open?id=1A27DXNoiss-Gco3r7lf4BKFY1X0B1UjN</v>
      </c>
      <c r="K3" s="66" t="str">
        <f ca="1">IFERROR(__xludf.DUMMYFUNCTION("""COMPUTED_VALUE"""),"2019-2023")</f>
        <v>2019-2023</v>
      </c>
      <c r="L3" s="66" t="str">
        <f ca="1">IFERROR(__xludf.DUMMYFUNCTION("""COMPUTED_VALUE"""),"S10: Student Prof. Body")</f>
        <v>S10: Student Prof. Body</v>
      </c>
      <c r="M3" s="66" t="str">
        <f ca="1">IFERROR(__xludf.DUMMYFUNCTION("""COMPUTED_VALUE"""),"mvamsi@mvgrce.edu.in")</f>
        <v>mvamsi@mvgrce.edu.in</v>
      </c>
      <c r="N3" s="66" t="str">
        <f ca="1">IFERROR(__xludf.DUMMYFUNCTION("""COMPUTED_VALUE"""),"SEM-6")</f>
        <v>SEM-6</v>
      </c>
      <c r="O3" s="69"/>
      <c r="P3" s="69"/>
      <c r="Q3" s="69"/>
      <c r="R3" s="69"/>
      <c r="S3" s="69"/>
      <c r="T3" s="69"/>
      <c r="U3" s="69"/>
      <c r="V3" s="69"/>
      <c r="W3" s="69"/>
      <c r="X3" s="69"/>
    </row>
    <row r="4" spans="1:24" ht="33.75" customHeight="1" x14ac:dyDescent="0.15">
      <c r="A4" s="66" t="str">
        <f ca="1">IFERROR(__xludf.DUMMYFUNCTION("""COMPUTED_VALUE"""),"Aaron Day ")</f>
        <v xml:space="preserve">Aaron Day </v>
      </c>
      <c r="B4" s="66" t="str">
        <f ca="1">IFERROR(__xludf.DUMMYFUNCTION("""COMPUTED_VALUE"""),"1 day")</f>
        <v>1 day</v>
      </c>
      <c r="C4" s="67">
        <f ca="1">IFERROR(__xludf.DUMMYFUNCTION("""COMPUTED_VALUE"""),44508)</f>
        <v>44508</v>
      </c>
      <c r="D4" s="67">
        <f ca="1">IFERROR(__xludf.DUMMYFUNCTION("""COMPUTED_VALUE"""),44508)</f>
        <v>44508</v>
      </c>
      <c r="E4" s="66">
        <f ca="1">IFERROR(__xludf.DUMMYFUNCTION("""COMPUTED_VALUE"""),6)</f>
        <v>6</v>
      </c>
      <c r="F4" s="66" t="str">
        <f ca="1">IFERROR(__xludf.DUMMYFUNCTION("""COMPUTED_VALUE"""),"Mr. M.Vamsi Krishna")</f>
        <v>Mr. M.Vamsi Krishna</v>
      </c>
      <c r="G4" s="66" t="str">
        <f ca="1">IFERROR(__xludf.DUMMYFUNCTION("""COMPUTED_VALUE"""),"Mr. M.Vamsi Krishna")</f>
        <v>Mr. M.Vamsi Krishna</v>
      </c>
      <c r="H4" s="66">
        <f ca="1">IFERROR(__xludf.DUMMYFUNCTION("""COMPUTED_VALUE"""),0)</f>
        <v>0</v>
      </c>
      <c r="I4" s="66">
        <f ca="1">IFERROR(__xludf.DUMMYFUNCTION("""COMPUTED_VALUE"""),0)</f>
        <v>0</v>
      </c>
      <c r="J4" s="68" t="str">
        <f ca="1">IFERROR(__xludf.DUMMYFUNCTION("""COMPUTED_VALUE"""),"https://drive.google.com/open?id=1Kwci2O8yMxhrJdcfh3GEfc9JIKNlizun")</f>
        <v>https://drive.google.com/open?id=1Kwci2O8yMxhrJdcfh3GEfc9JIKNlizun</v>
      </c>
      <c r="K4" s="66" t="str">
        <f ca="1">IFERROR(__xludf.DUMMYFUNCTION("""COMPUTED_VALUE"""),"2019-2023")</f>
        <v>2019-2023</v>
      </c>
      <c r="L4" s="66" t="str">
        <f ca="1">IFERROR(__xludf.DUMMYFUNCTION("""COMPUTED_VALUE"""),"S10: Student Prof. Body")</f>
        <v>S10: Student Prof. Body</v>
      </c>
      <c r="M4" s="66" t="str">
        <f ca="1">IFERROR(__xludf.DUMMYFUNCTION("""COMPUTED_VALUE"""),"mvamsi@mvgrce.edu.in")</f>
        <v>mvamsi@mvgrce.edu.in</v>
      </c>
      <c r="N4" s="66" t="str">
        <f ca="1">IFERROR(__xludf.DUMMYFUNCTION("""COMPUTED_VALUE"""),"SEM-6")</f>
        <v>SEM-6</v>
      </c>
      <c r="O4" s="69"/>
      <c r="P4" s="69"/>
      <c r="Q4" s="69"/>
      <c r="R4" s="69"/>
      <c r="S4" s="69"/>
      <c r="T4" s="69"/>
      <c r="U4" s="69"/>
      <c r="V4" s="69"/>
      <c r="W4" s="69"/>
      <c r="X4" s="69"/>
    </row>
    <row r="5" spans="1:24" ht="33.75" customHeight="1" x14ac:dyDescent="0.1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</row>
    <row r="6" spans="1:24" ht="33.75" customHeight="1" x14ac:dyDescent="0.15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</row>
    <row r="7" spans="1:24" ht="33.75" customHeight="1" x14ac:dyDescent="0.15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</row>
    <row r="8" spans="1:24" ht="33.75" customHeight="1" x14ac:dyDescent="0.15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</row>
    <row r="9" spans="1:24" ht="33.75" customHeight="1" x14ac:dyDescent="0.15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</row>
    <row r="10" spans="1:24" ht="33.75" customHeight="1" x14ac:dyDescent="0.15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</row>
    <row r="11" spans="1:24" ht="33.75" customHeight="1" x14ac:dyDescent="0.15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</row>
    <row r="12" spans="1:24" ht="33.75" customHeight="1" x14ac:dyDescent="0.15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</row>
    <row r="13" spans="1:24" ht="33.75" customHeight="1" x14ac:dyDescent="0.15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</row>
    <row r="14" spans="1:24" ht="33.75" customHeight="1" x14ac:dyDescent="0.15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</row>
    <row r="15" spans="1:24" ht="33.75" customHeight="1" x14ac:dyDescent="0.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</row>
    <row r="16" spans="1:24" ht="33.75" customHeight="1" x14ac:dyDescent="0.15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</row>
    <row r="17" spans="1:24" ht="33.75" customHeight="1" x14ac:dyDescent="0.15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</row>
    <row r="18" spans="1:24" ht="33.75" customHeight="1" x14ac:dyDescent="0.15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</row>
    <row r="19" spans="1:24" ht="33.75" customHeight="1" x14ac:dyDescent="0.15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</row>
    <row r="20" spans="1:24" ht="33.75" customHeight="1" x14ac:dyDescent="0.15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</row>
    <row r="21" spans="1:24" ht="33.75" customHeight="1" x14ac:dyDescent="0.15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</row>
    <row r="22" spans="1:24" ht="33.75" customHeight="1" x14ac:dyDescent="0.15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</row>
    <row r="23" spans="1:24" ht="33.75" customHeight="1" x14ac:dyDescent="0.15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</row>
    <row r="24" spans="1:24" ht="33.75" customHeight="1" x14ac:dyDescent="0.15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</row>
    <row r="25" spans="1:24" ht="33.75" customHeight="1" x14ac:dyDescent="0.1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</row>
    <row r="26" spans="1:24" ht="33.75" customHeight="1" x14ac:dyDescent="0.15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</row>
    <row r="27" spans="1:24" ht="33.75" customHeight="1" x14ac:dyDescent="0.15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</row>
    <row r="28" spans="1:24" ht="33.75" customHeight="1" x14ac:dyDescent="0.15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</row>
    <row r="29" spans="1:24" ht="33.75" customHeight="1" x14ac:dyDescent="0.15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</row>
    <row r="30" spans="1:24" ht="33.75" customHeight="1" x14ac:dyDescent="0.15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</row>
    <row r="31" spans="1:24" ht="33.75" customHeight="1" x14ac:dyDescent="0.1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</row>
    <row r="32" spans="1:24" ht="33.75" customHeight="1" x14ac:dyDescent="0.1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</row>
    <row r="33" spans="1:24" ht="33.75" customHeight="1" x14ac:dyDescent="0.1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</row>
    <row r="34" spans="1:24" ht="33.75" customHeight="1" x14ac:dyDescent="0.1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</row>
    <row r="35" spans="1:24" ht="33.75" customHeight="1" x14ac:dyDescent="0.1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</row>
    <row r="36" spans="1:24" ht="33.75" customHeight="1" x14ac:dyDescent="0.1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</row>
    <row r="37" spans="1:24" ht="33.75" customHeight="1" x14ac:dyDescent="0.1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</row>
    <row r="38" spans="1:24" ht="33.75" customHeight="1" x14ac:dyDescent="0.1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</row>
    <row r="39" spans="1:24" ht="33.75" customHeight="1" x14ac:dyDescent="0.1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</row>
    <row r="40" spans="1:24" ht="33.75" customHeight="1" x14ac:dyDescent="0.1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</row>
    <row r="41" spans="1:24" ht="33.75" customHeight="1" x14ac:dyDescent="0.1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</row>
    <row r="42" spans="1:24" ht="33.75" customHeight="1" x14ac:dyDescent="0.1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</row>
    <row r="43" spans="1:24" ht="33.75" customHeight="1" x14ac:dyDescent="0.1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</row>
    <row r="44" spans="1:24" ht="33.75" customHeight="1" x14ac:dyDescent="0.1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</row>
    <row r="45" spans="1:24" ht="33.75" customHeight="1" x14ac:dyDescent="0.1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</row>
    <row r="46" spans="1:24" ht="33.75" customHeight="1" x14ac:dyDescent="0.1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</row>
    <row r="47" spans="1:24" ht="33.75" customHeight="1" x14ac:dyDescent="0.1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</row>
    <row r="48" spans="1:24" ht="33.75" customHeight="1" x14ac:dyDescent="0.1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</row>
    <row r="49" spans="1:24" ht="33.75" customHeight="1" x14ac:dyDescent="0.1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</row>
    <row r="50" spans="1:24" ht="33.75" customHeight="1" x14ac:dyDescent="0.1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</row>
    <row r="51" spans="1:24" ht="33.75" customHeight="1" x14ac:dyDescent="0.1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</row>
    <row r="52" spans="1:24" ht="33.75" customHeight="1" x14ac:dyDescent="0.1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</row>
    <row r="53" spans="1:24" ht="33.75" customHeight="1" x14ac:dyDescent="0.1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</row>
    <row r="54" spans="1:24" ht="33.75" customHeight="1" x14ac:dyDescent="0.1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</row>
    <row r="55" spans="1:24" ht="33.75" customHeight="1" x14ac:dyDescent="0.1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</row>
    <row r="56" spans="1:24" ht="33.75" customHeight="1" x14ac:dyDescent="0.1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</row>
    <row r="57" spans="1:24" ht="33.75" customHeight="1" x14ac:dyDescent="0.1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</row>
    <row r="58" spans="1:24" ht="33.75" customHeight="1" x14ac:dyDescent="0.1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</row>
    <row r="59" spans="1:24" ht="33.75" customHeight="1" x14ac:dyDescent="0.1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</row>
    <row r="60" spans="1:24" ht="33.75" customHeight="1" x14ac:dyDescent="0.1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</row>
    <row r="61" spans="1:24" ht="33.75" customHeight="1" x14ac:dyDescent="0.1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</row>
    <row r="62" spans="1:24" ht="33.75" customHeight="1" x14ac:dyDescent="0.1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</row>
    <row r="63" spans="1:24" ht="33.75" customHeight="1" x14ac:dyDescent="0.1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</row>
    <row r="64" spans="1:24" ht="33.75" customHeight="1" x14ac:dyDescent="0.1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</row>
    <row r="65" spans="1:24" ht="33.75" customHeight="1" x14ac:dyDescent="0.1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</row>
    <row r="66" spans="1:24" ht="33.75" customHeight="1" x14ac:dyDescent="0.1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</row>
    <row r="67" spans="1:24" ht="33.75" customHeight="1" x14ac:dyDescent="0.1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</row>
    <row r="68" spans="1:24" ht="33.75" customHeight="1" x14ac:dyDescent="0.1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</row>
    <row r="69" spans="1:24" ht="33.75" customHeight="1" x14ac:dyDescent="0.1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</row>
    <row r="70" spans="1:24" ht="33.75" customHeight="1" x14ac:dyDescent="0.1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</row>
    <row r="71" spans="1:24" ht="33.75" customHeight="1" x14ac:dyDescent="0.1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</row>
    <row r="72" spans="1:24" ht="33.75" customHeight="1" x14ac:dyDescent="0.1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</row>
    <row r="73" spans="1:24" ht="33.75" customHeight="1" x14ac:dyDescent="0.1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</row>
    <row r="74" spans="1:24" ht="33.75" customHeight="1" x14ac:dyDescent="0.1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</row>
    <row r="75" spans="1:24" ht="33.75" customHeight="1" x14ac:dyDescent="0.1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</row>
    <row r="76" spans="1:24" ht="33.75" customHeight="1" x14ac:dyDescent="0.1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</row>
    <row r="77" spans="1:24" ht="33.75" customHeight="1" x14ac:dyDescent="0.1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</row>
    <row r="78" spans="1:24" ht="33.75" customHeight="1" x14ac:dyDescent="0.1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</row>
    <row r="79" spans="1:24" ht="33.75" customHeight="1" x14ac:dyDescent="0.1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</row>
    <row r="80" spans="1:24" ht="33.75" customHeight="1" x14ac:dyDescent="0.1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</row>
    <row r="81" spans="1:24" ht="33.75" customHeight="1" x14ac:dyDescent="0.1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</row>
    <row r="82" spans="1:24" ht="33.75" customHeight="1" x14ac:dyDescent="0.1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</row>
    <row r="83" spans="1:24" ht="33.75" customHeight="1" x14ac:dyDescent="0.1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</row>
    <row r="84" spans="1:24" ht="33.75" customHeight="1" x14ac:dyDescent="0.1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</row>
    <row r="85" spans="1:24" ht="33.75" customHeight="1" x14ac:dyDescent="0.1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</row>
    <row r="86" spans="1:24" ht="33.75" customHeight="1" x14ac:dyDescent="0.1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</row>
    <row r="87" spans="1:24" ht="33.75" customHeight="1" x14ac:dyDescent="0.1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</row>
    <row r="88" spans="1:24" ht="33.75" customHeight="1" x14ac:dyDescent="0.1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</row>
    <row r="89" spans="1:24" ht="33.75" customHeight="1" x14ac:dyDescent="0.1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</row>
    <row r="90" spans="1:24" ht="33.75" customHeight="1" x14ac:dyDescent="0.1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</row>
    <row r="91" spans="1:24" ht="33.75" customHeight="1" x14ac:dyDescent="0.1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</row>
    <row r="92" spans="1:24" ht="33.75" customHeight="1" x14ac:dyDescent="0.1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</row>
    <row r="93" spans="1:24" ht="33.75" customHeight="1" x14ac:dyDescent="0.1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</row>
    <row r="94" spans="1:24" ht="33.75" customHeight="1" x14ac:dyDescent="0.1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</row>
    <row r="95" spans="1:24" ht="33.75" customHeight="1" x14ac:dyDescent="0.1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</row>
    <row r="96" spans="1:24" ht="33.75" customHeight="1" x14ac:dyDescent="0.1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</row>
    <row r="97" spans="1:24" ht="33.75" customHeight="1" x14ac:dyDescent="0.1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</row>
    <row r="98" spans="1:24" ht="33.75" customHeight="1" x14ac:dyDescent="0.1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</row>
    <row r="99" spans="1:24" ht="33.75" customHeight="1" x14ac:dyDescent="0.1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</row>
    <row r="100" spans="1:24" ht="33.75" customHeight="1" x14ac:dyDescent="0.1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</row>
    <row r="101" spans="1:24" ht="33.75" customHeight="1" x14ac:dyDescent="0.1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</row>
    <row r="102" spans="1:24" ht="33.75" customHeight="1" x14ac:dyDescent="0.1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</row>
    <row r="103" spans="1:24" ht="33.75" customHeight="1" x14ac:dyDescent="0.1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</row>
    <row r="104" spans="1:24" ht="33.75" customHeight="1" x14ac:dyDescent="0.1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</row>
    <row r="105" spans="1:24" ht="33.75" customHeight="1" x14ac:dyDescent="0.1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</row>
    <row r="106" spans="1:24" ht="33.75" customHeight="1" x14ac:dyDescent="0.1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</row>
    <row r="107" spans="1:24" ht="33.75" customHeight="1" x14ac:dyDescent="0.1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</row>
    <row r="108" spans="1:24" ht="33.75" customHeight="1" x14ac:dyDescent="0.1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</row>
    <row r="109" spans="1:24" ht="33.75" customHeight="1" x14ac:dyDescent="0.1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</row>
    <row r="110" spans="1:24" ht="33.75" customHeight="1" x14ac:dyDescent="0.1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</row>
    <row r="111" spans="1:24" ht="33.75" customHeight="1" x14ac:dyDescent="0.1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</row>
    <row r="112" spans="1:24" ht="33.75" customHeight="1" x14ac:dyDescent="0.1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</row>
    <row r="113" spans="1:24" ht="33.75" customHeight="1" x14ac:dyDescent="0.1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</row>
    <row r="114" spans="1:24" ht="33.75" customHeight="1" x14ac:dyDescent="0.1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</row>
    <row r="115" spans="1:24" ht="33.75" customHeight="1" x14ac:dyDescent="0.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</row>
    <row r="116" spans="1:24" ht="33.75" customHeight="1" x14ac:dyDescent="0.1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</row>
    <row r="117" spans="1:24" ht="33.75" customHeight="1" x14ac:dyDescent="0.1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</row>
    <row r="118" spans="1:24" ht="33.75" customHeight="1" x14ac:dyDescent="0.1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</row>
    <row r="119" spans="1:24" ht="33.75" customHeight="1" x14ac:dyDescent="0.1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</row>
    <row r="120" spans="1:24" ht="33.75" customHeight="1" x14ac:dyDescent="0.1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</row>
    <row r="121" spans="1:24" ht="33.75" customHeight="1" x14ac:dyDescent="0.1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</row>
    <row r="122" spans="1:24" ht="33.75" customHeight="1" x14ac:dyDescent="0.1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</row>
    <row r="123" spans="1:24" ht="33.75" customHeight="1" x14ac:dyDescent="0.1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</row>
    <row r="124" spans="1:24" ht="33.75" customHeight="1" x14ac:dyDescent="0.1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</row>
    <row r="125" spans="1:24" ht="33.75" customHeight="1" x14ac:dyDescent="0.1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</row>
    <row r="126" spans="1:24" ht="33.75" customHeight="1" x14ac:dyDescent="0.1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</row>
    <row r="127" spans="1:24" ht="33.75" customHeight="1" x14ac:dyDescent="0.1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</row>
    <row r="128" spans="1:24" ht="33.75" customHeight="1" x14ac:dyDescent="0.1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</row>
    <row r="129" spans="1:24" ht="33.75" customHeight="1" x14ac:dyDescent="0.1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</row>
    <row r="130" spans="1:24" ht="33.75" customHeight="1" x14ac:dyDescent="0.1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</row>
    <row r="131" spans="1:24" ht="33.75" customHeight="1" x14ac:dyDescent="0.1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</row>
    <row r="132" spans="1:24" ht="33.75" customHeight="1" x14ac:dyDescent="0.1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</row>
    <row r="133" spans="1:24" ht="33.75" customHeight="1" x14ac:dyDescent="0.1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</row>
    <row r="134" spans="1:24" ht="33.75" customHeight="1" x14ac:dyDescent="0.1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</row>
    <row r="135" spans="1:24" ht="33.75" customHeight="1" x14ac:dyDescent="0.1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</row>
    <row r="136" spans="1:24" ht="33.75" customHeight="1" x14ac:dyDescent="0.1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</row>
    <row r="137" spans="1:24" ht="33.75" customHeight="1" x14ac:dyDescent="0.1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</row>
    <row r="138" spans="1:24" ht="33.75" customHeight="1" x14ac:dyDescent="0.1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</row>
    <row r="139" spans="1:24" ht="33.75" customHeight="1" x14ac:dyDescent="0.1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</row>
    <row r="140" spans="1:24" ht="33.75" customHeight="1" x14ac:dyDescent="0.1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</row>
    <row r="141" spans="1:24" ht="33.75" customHeight="1" x14ac:dyDescent="0.1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</row>
    <row r="142" spans="1:24" ht="33.75" customHeight="1" x14ac:dyDescent="0.1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</row>
    <row r="143" spans="1:24" ht="33.75" customHeight="1" x14ac:dyDescent="0.1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</row>
    <row r="144" spans="1:24" ht="33.75" customHeight="1" x14ac:dyDescent="0.1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</row>
    <row r="145" spans="1:24" ht="33.75" customHeight="1" x14ac:dyDescent="0.1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</row>
    <row r="146" spans="1:24" ht="33.75" customHeight="1" x14ac:dyDescent="0.1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</row>
    <row r="147" spans="1:24" ht="33.75" customHeight="1" x14ac:dyDescent="0.1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</row>
    <row r="148" spans="1:24" ht="33.75" customHeight="1" x14ac:dyDescent="0.1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</row>
    <row r="149" spans="1:24" ht="33.75" customHeight="1" x14ac:dyDescent="0.1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</row>
    <row r="150" spans="1:24" ht="33.75" customHeight="1" x14ac:dyDescent="0.1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</row>
    <row r="151" spans="1:24" ht="33.75" customHeight="1" x14ac:dyDescent="0.1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</row>
    <row r="152" spans="1:24" ht="33.75" customHeight="1" x14ac:dyDescent="0.1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</row>
    <row r="153" spans="1:24" ht="33.75" customHeight="1" x14ac:dyDescent="0.1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</row>
    <row r="154" spans="1:24" ht="33.75" customHeight="1" x14ac:dyDescent="0.1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</row>
    <row r="155" spans="1:24" ht="33.75" customHeight="1" x14ac:dyDescent="0.1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</row>
    <row r="156" spans="1:24" ht="33.75" customHeight="1" x14ac:dyDescent="0.1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</row>
    <row r="157" spans="1:24" ht="33.75" customHeight="1" x14ac:dyDescent="0.1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</row>
    <row r="158" spans="1:24" ht="33.75" customHeight="1" x14ac:dyDescent="0.1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</row>
    <row r="159" spans="1:24" ht="33.75" customHeight="1" x14ac:dyDescent="0.1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</row>
    <row r="160" spans="1:24" ht="33.75" customHeight="1" x14ac:dyDescent="0.1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</row>
    <row r="161" spans="1:24" ht="33.75" customHeight="1" x14ac:dyDescent="0.1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</row>
    <row r="162" spans="1:24" ht="33.75" customHeight="1" x14ac:dyDescent="0.1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</row>
    <row r="163" spans="1:24" ht="33.75" customHeight="1" x14ac:dyDescent="0.1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</row>
    <row r="164" spans="1:24" ht="33.75" customHeight="1" x14ac:dyDescent="0.1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</row>
    <row r="165" spans="1:24" ht="33.75" customHeight="1" x14ac:dyDescent="0.1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</row>
    <row r="166" spans="1:24" ht="33.75" customHeight="1" x14ac:dyDescent="0.1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</row>
    <row r="167" spans="1:24" ht="33.75" customHeight="1" x14ac:dyDescent="0.1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</row>
    <row r="168" spans="1:24" ht="33.75" customHeight="1" x14ac:dyDescent="0.1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</row>
    <row r="169" spans="1:24" ht="33.75" customHeight="1" x14ac:dyDescent="0.1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</row>
    <row r="170" spans="1:24" ht="33.75" customHeight="1" x14ac:dyDescent="0.1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</row>
    <row r="171" spans="1:24" ht="33.75" customHeight="1" x14ac:dyDescent="0.1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</row>
    <row r="172" spans="1:24" ht="33.75" customHeight="1" x14ac:dyDescent="0.1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</row>
    <row r="173" spans="1:24" ht="33.75" customHeight="1" x14ac:dyDescent="0.1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</row>
    <row r="174" spans="1:24" ht="33.75" customHeight="1" x14ac:dyDescent="0.1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</row>
    <row r="175" spans="1:24" ht="33.75" customHeight="1" x14ac:dyDescent="0.1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</row>
    <row r="176" spans="1:24" ht="33.75" customHeight="1" x14ac:dyDescent="0.1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</row>
    <row r="177" spans="1:24" ht="33.75" customHeight="1" x14ac:dyDescent="0.1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</row>
    <row r="178" spans="1:24" ht="33.75" customHeight="1" x14ac:dyDescent="0.1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</row>
    <row r="179" spans="1:24" ht="33.75" customHeight="1" x14ac:dyDescent="0.1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</row>
    <row r="180" spans="1:24" ht="33.75" customHeight="1" x14ac:dyDescent="0.1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</row>
    <row r="181" spans="1:24" ht="33.75" customHeight="1" x14ac:dyDescent="0.1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</row>
    <row r="182" spans="1:24" ht="33.75" customHeight="1" x14ac:dyDescent="0.1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</row>
    <row r="183" spans="1:24" ht="33.75" customHeight="1" x14ac:dyDescent="0.1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</row>
    <row r="184" spans="1:24" ht="33.75" customHeight="1" x14ac:dyDescent="0.1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</row>
    <row r="185" spans="1:24" ht="33.75" customHeight="1" x14ac:dyDescent="0.1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</row>
    <row r="186" spans="1:24" ht="33.75" customHeight="1" x14ac:dyDescent="0.1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</row>
    <row r="187" spans="1:24" ht="33.75" customHeight="1" x14ac:dyDescent="0.1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</row>
    <row r="188" spans="1:24" ht="33.75" customHeight="1" x14ac:dyDescent="0.1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</row>
    <row r="189" spans="1:24" ht="33.75" customHeight="1" x14ac:dyDescent="0.1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</row>
    <row r="190" spans="1:24" ht="33.75" customHeight="1" x14ac:dyDescent="0.1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</row>
    <row r="191" spans="1:24" ht="33.75" customHeight="1" x14ac:dyDescent="0.1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</row>
    <row r="192" spans="1:24" ht="33.75" customHeight="1" x14ac:dyDescent="0.1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</row>
    <row r="193" spans="1:24" ht="33.75" customHeight="1" x14ac:dyDescent="0.1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</row>
    <row r="194" spans="1:24" ht="33.75" customHeight="1" x14ac:dyDescent="0.1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</row>
    <row r="195" spans="1:24" ht="33.75" customHeight="1" x14ac:dyDescent="0.1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</row>
    <row r="196" spans="1:24" ht="33.75" customHeight="1" x14ac:dyDescent="0.1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</row>
    <row r="197" spans="1:24" ht="33.75" customHeight="1" x14ac:dyDescent="0.1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</row>
    <row r="198" spans="1:24" ht="33.75" customHeight="1" x14ac:dyDescent="0.1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</row>
    <row r="199" spans="1:24" ht="33.75" customHeight="1" x14ac:dyDescent="0.1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</row>
    <row r="200" spans="1:24" ht="33.75" customHeight="1" x14ac:dyDescent="0.1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</row>
    <row r="201" spans="1:24" ht="33.75" customHeight="1" x14ac:dyDescent="0.1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</row>
    <row r="202" spans="1:24" ht="33.75" customHeight="1" x14ac:dyDescent="0.1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</row>
    <row r="203" spans="1:24" ht="33.75" customHeight="1" x14ac:dyDescent="0.1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</row>
    <row r="204" spans="1:24" ht="33.75" customHeight="1" x14ac:dyDescent="0.1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</row>
    <row r="205" spans="1:24" ht="33.75" customHeight="1" x14ac:dyDescent="0.1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</row>
    <row r="206" spans="1:24" ht="33.75" customHeight="1" x14ac:dyDescent="0.1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</row>
    <row r="207" spans="1:24" ht="33.75" customHeight="1" x14ac:dyDescent="0.1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</row>
    <row r="208" spans="1:24" ht="33.75" customHeight="1" x14ac:dyDescent="0.1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</row>
    <row r="209" spans="1:24" ht="33.75" customHeight="1" x14ac:dyDescent="0.1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</row>
    <row r="210" spans="1:24" ht="33.75" customHeight="1" x14ac:dyDescent="0.1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</row>
    <row r="211" spans="1:24" ht="33.75" customHeight="1" x14ac:dyDescent="0.1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</row>
    <row r="212" spans="1:24" ht="33.75" customHeight="1" x14ac:dyDescent="0.1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</row>
    <row r="213" spans="1:24" ht="33.75" customHeight="1" x14ac:dyDescent="0.1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</row>
    <row r="214" spans="1:24" ht="33.75" customHeight="1" x14ac:dyDescent="0.1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</row>
    <row r="215" spans="1:24" ht="33.75" customHeight="1" x14ac:dyDescent="0.1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</row>
    <row r="216" spans="1:24" ht="33.75" customHeight="1" x14ac:dyDescent="0.1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</row>
    <row r="217" spans="1:24" ht="33.75" customHeight="1" x14ac:dyDescent="0.1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</row>
    <row r="218" spans="1:24" ht="33.75" customHeight="1" x14ac:dyDescent="0.1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</row>
    <row r="219" spans="1:24" ht="33.75" customHeight="1" x14ac:dyDescent="0.1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</row>
    <row r="220" spans="1:24" ht="33.75" customHeight="1" x14ac:dyDescent="0.1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</row>
    <row r="221" spans="1:24" ht="33.75" customHeight="1" x14ac:dyDescent="0.1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</row>
    <row r="222" spans="1:24" ht="33.75" customHeight="1" x14ac:dyDescent="0.1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</row>
    <row r="223" spans="1:24" ht="33.75" customHeight="1" x14ac:dyDescent="0.1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</row>
    <row r="224" spans="1:24" ht="33.75" customHeight="1" x14ac:dyDescent="0.1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</row>
    <row r="225" spans="1:24" ht="33.75" customHeight="1" x14ac:dyDescent="0.1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</row>
    <row r="226" spans="1:24" ht="33.75" customHeight="1" x14ac:dyDescent="0.1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</row>
    <row r="227" spans="1:24" ht="33.75" customHeight="1" x14ac:dyDescent="0.1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</row>
    <row r="228" spans="1:24" ht="33.75" customHeight="1" x14ac:dyDescent="0.1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</row>
    <row r="229" spans="1:24" ht="33.75" customHeight="1" x14ac:dyDescent="0.1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</row>
    <row r="230" spans="1:24" ht="33.75" customHeight="1" x14ac:dyDescent="0.1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</row>
    <row r="231" spans="1:24" ht="33.75" customHeight="1" x14ac:dyDescent="0.1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</row>
    <row r="232" spans="1:24" ht="33.75" customHeight="1" x14ac:dyDescent="0.1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</row>
    <row r="233" spans="1:24" ht="33.75" customHeight="1" x14ac:dyDescent="0.1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</row>
    <row r="234" spans="1:24" ht="33.75" customHeight="1" x14ac:dyDescent="0.1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</row>
    <row r="235" spans="1:24" ht="33.75" customHeight="1" x14ac:dyDescent="0.1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</row>
    <row r="236" spans="1:24" ht="33.75" customHeight="1" x14ac:dyDescent="0.1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</row>
    <row r="237" spans="1:24" ht="33.75" customHeight="1" x14ac:dyDescent="0.1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</row>
    <row r="238" spans="1:24" ht="33.75" customHeight="1" x14ac:dyDescent="0.1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</row>
    <row r="239" spans="1:24" ht="33.75" customHeight="1" x14ac:dyDescent="0.1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</row>
    <row r="240" spans="1:24" ht="33.75" customHeight="1" x14ac:dyDescent="0.1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</row>
    <row r="241" spans="1:24" ht="33.75" customHeight="1" x14ac:dyDescent="0.1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</row>
    <row r="242" spans="1:24" ht="33.75" customHeight="1" x14ac:dyDescent="0.1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</row>
    <row r="243" spans="1:24" ht="33.75" customHeight="1" x14ac:dyDescent="0.1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</row>
    <row r="244" spans="1:24" ht="33.75" customHeight="1" x14ac:dyDescent="0.1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</row>
    <row r="245" spans="1:24" ht="33.75" customHeight="1" x14ac:dyDescent="0.1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</row>
    <row r="246" spans="1:24" ht="33.75" customHeight="1" x14ac:dyDescent="0.1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</row>
    <row r="247" spans="1:24" ht="33.75" customHeight="1" x14ac:dyDescent="0.1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</row>
    <row r="248" spans="1:24" ht="33.75" customHeight="1" x14ac:dyDescent="0.1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</row>
    <row r="249" spans="1:24" ht="33.75" customHeight="1" x14ac:dyDescent="0.1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</row>
    <row r="250" spans="1:24" ht="33.75" customHeight="1" x14ac:dyDescent="0.1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</row>
    <row r="251" spans="1:24" ht="33.75" customHeight="1" x14ac:dyDescent="0.1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</row>
    <row r="252" spans="1:24" ht="33.75" customHeight="1" x14ac:dyDescent="0.1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</row>
    <row r="253" spans="1:24" ht="33.75" customHeight="1" x14ac:dyDescent="0.1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</row>
    <row r="254" spans="1:24" ht="33.75" customHeight="1" x14ac:dyDescent="0.1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</row>
    <row r="255" spans="1:24" ht="33.75" customHeight="1" x14ac:dyDescent="0.1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</row>
    <row r="256" spans="1:24" ht="33.75" customHeight="1" x14ac:dyDescent="0.1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</row>
    <row r="257" spans="1:24" ht="33.75" customHeight="1" x14ac:dyDescent="0.1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</row>
    <row r="258" spans="1:24" ht="33.75" customHeight="1" x14ac:dyDescent="0.1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</row>
    <row r="259" spans="1:24" ht="33.75" customHeight="1" x14ac:dyDescent="0.1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</row>
    <row r="260" spans="1:24" ht="33.75" customHeight="1" x14ac:dyDescent="0.1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</row>
    <row r="261" spans="1:24" ht="33.75" customHeight="1" x14ac:dyDescent="0.1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</row>
    <row r="262" spans="1:24" ht="33.75" customHeight="1" x14ac:dyDescent="0.1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</row>
    <row r="263" spans="1:24" ht="33.75" customHeight="1" x14ac:dyDescent="0.1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</row>
    <row r="264" spans="1:24" ht="33.75" customHeight="1" x14ac:dyDescent="0.1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</row>
    <row r="265" spans="1:24" ht="33.75" customHeight="1" x14ac:dyDescent="0.1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</row>
    <row r="266" spans="1:24" ht="33.75" customHeight="1" x14ac:dyDescent="0.1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</row>
    <row r="267" spans="1:24" ht="33.75" customHeight="1" x14ac:dyDescent="0.1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</row>
    <row r="268" spans="1:24" ht="33.75" customHeight="1" x14ac:dyDescent="0.1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</row>
    <row r="269" spans="1:24" ht="33.75" customHeight="1" x14ac:dyDescent="0.1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</row>
    <row r="270" spans="1:24" ht="33.75" customHeight="1" x14ac:dyDescent="0.1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</row>
    <row r="271" spans="1:24" ht="33.75" customHeight="1" x14ac:dyDescent="0.1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</row>
    <row r="272" spans="1:24" ht="33.75" customHeight="1" x14ac:dyDescent="0.1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</row>
    <row r="273" spans="1:24" ht="33.75" customHeight="1" x14ac:dyDescent="0.1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</row>
    <row r="274" spans="1:24" ht="33.75" customHeight="1" x14ac:dyDescent="0.1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</row>
    <row r="275" spans="1:24" ht="33.75" customHeight="1" x14ac:dyDescent="0.1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</row>
    <row r="276" spans="1:24" ht="33.75" customHeight="1" x14ac:dyDescent="0.1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</row>
    <row r="277" spans="1:24" ht="33.75" customHeight="1" x14ac:dyDescent="0.1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</row>
    <row r="278" spans="1:24" ht="33.75" customHeight="1" x14ac:dyDescent="0.1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</row>
    <row r="279" spans="1:24" ht="33.75" customHeight="1" x14ac:dyDescent="0.1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</row>
    <row r="280" spans="1:24" ht="33.75" customHeight="1" x14ac:dyDescent="0.1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</row>
    <row r="281" spans="1:24" ht="33.75" customHeight="1" x14ac:dyDescent="0.1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</row>
    <row r="282" spans="1:24" ht="33.75" customHeight="1" x14ac:dyDescent="0.1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</row>
    <row r="283" spans="1:24" ht="33.75" customHeight="1" x14ac:dyDescent="0.1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</row>
    <row r="284" spans="1:24" ht="33.75" customHeight="1" x14ac:dyDescent="0.1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</row>
    <row r="285" spans="1:24" ht="33.75" customHeight="1" x14ac:dyDescent="0.1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</row>
    <row r="286" spans="1:24" ht="33.75" customHeight="1" x14ac:dyDescent="0.1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</row>
    <row r="287" spans="1:24" ht="33.75" customHeight="1" x14ac:dyDescent="0.1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</row>
    <row r="288" spans="1:24" ht="33.75" customHeight="1" x14ac:dyDescent="0.1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</row>
    <row r="289" spans="1:24" ht="33.75" customHeight="1" x14ac:dyDescent="0.1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</row>
    <row r="290" spans="1:24" ht="33.75" customHeight="1" x14ac:dyDescent="0.1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</row>
    <row r="291" spans="1:24" ht="33.75" customHeight="1" x14ac:dyDescent="0.1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</row>
    <row r="292" spans="1:24" ht="33.75" customHeight="1" x14ac:dyDescent="0.1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</row>
    <row r="293" spans="1:24" ht="33.75" customHeight="1" x14ac:dyDescent="0.1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</row>
    <row r="294" spans="1:24" ht="33.75" customHeight="1" x14ac:dyDescent="0.1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</row>
    <row r="295" spans="1:24" ht="33.75" customHeight="1" x14ac:dyDescent="0.1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</row>
    <row r="296" spans="1:24" ht="33.75" customHeight="1" x14ac:dyDescent="0.1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</row>
    <row r="297" spans="1:24" ht="33.75" customHeight="1" x14ac:dyDescent="0.1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</row>
    <row r="298" spans="1:24" ht="33.75" customHeight="1" x14ac:dyDescent="0.1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</row>
    <row r="299" spans="1:24" ht="33.75" customHeight="1" x14ac:dyDescent="0.1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</row>
    <row r="300" spans="1:24" ht="33.75" customHeight="1" x14ac:dyDescent="0.1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</row>
    <row r="301" spans="1:24" ht="33.75" customHeight="1" x14ac:dyDescent="0.1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</row>
    <row r="302" spans="1:24" ht="33.75" customHeight="1" x14ac:dyDescent="0.1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</row>
    <row r="303" spans="1:24" ht="33.75" customHeight="1" x14ac:dyDescent="0.1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</row>
    <row r="304" spans="1:24" ht="33.75" customHeight="1" x14ac:dyDescent="0.1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</row>
    <row r="305" spans="1:24" ht="33.75" customHeight="1" x14ac:dyDescent="0.1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</row>
    <row r="306" spans="1:24" ht="33.75" customHeight="1" x14ac:dyDescent="0.1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</row>
    <row r="307" spans="1:24" ht="33.75" customHeight="1" x14ac:dyDescent="0.1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</row>
    <row r="308" spans="1:24" ht="33.75" customHeight="1" x14ac:dyDescent="0.1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</row>
    <row r="309" spans="1:24" ht="33.75" customHeight="1" x14ac:dyDescent="0.1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</row>
    <row r="310" spans="1:24" ht="33.75" customHeight="1" x14ac:dyDescent="0.1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</row>
    <row r="311" spans="1:24" ht="33.75" customHeight="1" x14ac:dyDescent="0.1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</row>
    <row r="312" spans="1:24" ht="33.75" customHeight="1" x14ac:dyDescent="0.1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</row>
    <row r="313" spans="1:24" ht="33.75" customHeight="1" x14ac:dyDescent="0.1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</row>
    <row r="314" spans="1:24" ht="33.75" customHeight="1" x14ac:dyDescent="0.1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</row>
    <row r="315" spans="1:24" ht="33.75" customHeight="1" x14ac:dyDescent="0.1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</row>
    <row r="316" spans="1:24" ht="33.75" customHeight="1" x14ac:dyDescent="0.1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</row>
    <row r="317" spans="1:24" ht="33.75" customHeight="1" x14ac:dyDescent="0.1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</row>
    <row r="318" spans="1:24" ht="33.75" customHeight="1" x14ac:dyDescent="0.1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</row>
    <row r="319" spans="1:24" ht="33.75" customHeight="1" x14ac:dyDescent="0.1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</row>
    <row r="320" spans="1:24" ht="33.75" customHeight="1" x14ac:dyDescent="0.1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</row>
    <row r="321" spans="1:24" ht="33.75" customHeight="1" x14ac:dyDescent="0.1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</row>
    <row r="322" spans="1:24" ht="33.75" customHeight="1" x14ac:dyDescent="0.1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</row>
    <row r="323" spans="1:24" ht="33.75" customHeight="1" x14ac:dyDescent="0.1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</row>
    <row r="324" spans="1:24" ht="33.75" customHeight="1" x14ac:dyDescent="0.1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</row>
    <row r="325" spans="1:24" ht="33.75" customHeight="1" x14ac:dyDescent="0.1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</row>
    <row r="326" spans="1:24" ht="33.75" customHeight="1" x14ac:dyDescent="0.1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</row>
    <row r="327" spans="1:24" ht="33.75" customHeight="1" x14ac:dyDescent="0.1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</row>
    <row r="328" spans="1:24" ht="33.75" customHeight="1" x14ac:dyDescent="0.1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</row>
    <row r="329" spans="1:24" ht="33.75" customHeight="1" x14ac:dyDescent="0.1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</row>
    <row r="330" spans="1:24" ht="33.75" customHeight="1" x14ac:dyDescent="0.1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</row>
    <row r="331" spans="1:24" ht="33.75" customHeight="1" x14ac:dyDescent="0.1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</row>
    <row r="332" spans="1:24" ht="33.75" customHeight="1" x14ac:dyDescent="0.1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</row>
    <row r="333" spans="1:24" ht="33.75" customHeight="1" x14ac:dyDescent="0.1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</row>
    <row r="334" spans="1:24" ht="33.75" customHeight="1" x14ac:dyDescent="0.1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</row>
    <row r="335" spans="1:24" ht="33.75" customHeight="1" x14ac:dyDescent="0.1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</row>
    <row r="336" spans="1:24" ht="33.75" customHeight="1" x14ac:dyDescent="0.1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</row>
    <row r="337" spans="1:24" ht="33.75" customHeight="1" x14ac:dyDescent="0.1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</row>
    <row r="338" spans="1:24" ht="33.75" customHeight="1" x14ac:dyDescent="0.1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</row>
    <row r="339" spans="1:24" ht="33.75" customHeight="1" x14ac:dyDescent="0.1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</row>
    <row r="340" spans="1:24" ht="33.75" customHeight="1" x14ac:dyDescent="0.1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</row>
    <row r="341" spans="1:24" ht="33.75" customHeight="1" x14ac:dyDescent="0.1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</row>
    <row r="342" spans="1:24" ht="33.75" customHeight="1" x14ac:dyDescent="0.1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</row>
    <row r="343" spans="1:24" ht="33.75" customHeight="1" x14ac:dyDescent="0.1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</row>
    <row r="344" spans="1:24" ht="33.75" customHeight="1" x14ac:dyDescent="0.1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</row>
    <row r="345" spans="1:24" ht="33.75" customHeight="1" x14ac:dyDescent="0.1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</row>
    <row r="346" spans="1:24" ht="33.75" customHeight="1" x14ac:dyDescent="0.1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</row>
    <row r="347" spans="1:24" ht="33.75" customHeight="1" x14ac:dyDescent="0.1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</row>
    <row r="348" spans="1:24" ht="33.75" customHeight="1" x14ac:dyDescent="0.1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</row>
    <row r="349" spans="1:24" ht="33.75" customHeight="1" x14ac:dyDescent="0.1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</row>
    <row r="350" spans="1:24" ht="33.75" customHeight="1" x14ac:dyDescent="0.1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</row>
    <row r="351" spans="1:24" ht="33.75" customHeight="1" x14ac:dyDescent="0.1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</row>
    <row r="352" spans="1:24" ht="33.75" customHeight="1" x14ac:dyDescent="0.1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</row>
    <row r="353" spans="1:24" ht="33.75" customHeight="1" x14ac:dyDescent="0.1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</row>
    <row r="354" spans="1:24" ht="33.75" customHeight="1" x14ac:dyDescent="0.1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</row>
    <row r="355" spans="1:24" ht="33.75" customHeight="1" x14ac:dyDescent="0.1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</row>
    <row r="356" spans="1:24" ht="33.75" customHeight="1" x14ac:dyDescent="0.1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</row>
    <row r="357" spans="1:24" ht="33.75" customHeight="1" x14ac:dyDescent="0.1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</row>
    <row r="358" spans="1:24" ht="33.75" customHeight="1" x14ac:dyDescent="0.1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</row>
    <row r="359" spans="1:24" ht="33.75" customHeight="1" x14ac:dyDescent="0.1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</row>
    <row r="360" spans="1:24" ht="33.75" customHeight="1" x14ac:dyDescent="0.1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</row>
    <row r="361" spans="1:24" ht="33.75" customHeight="1" x14ac:dyDescent="0.1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</row>
    <row r="362" spans="1:24" ht="33.75" customHeight="1" x14ac:dyDescent="0.1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</row>
    <row r="363" spans="1:24" ht="33.75" customHeight="1" x14ac:dyDescent="0.1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</row>
    <row r="364" spans="1:24" ht="33.75" customHeight="1" x14ac:dyDescent="0.1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</row>
    <row r="365" spans="1:24" ht="33.75" customHeight="1" x14ac:dyDescent="0.1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</row>
    <row r="366" spans="1:24" ht="33.75" customHeight="1" x14ac:dyDescent="0.1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</row>
    <row r="367" spans="1:24" ht="33.75" customHeight="1" x14ac:dyDescent="0.1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</row>
    <row r="368" spans="1:24" ht="33.75" customHeight="1" x14ac:dyDescent="0.1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</row>
    <row r="369" spans="1:24" ht="33.75" customHeight="1" x14ac:dyDescent="0.1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</row>
    <row r="370" spans="1:24" ht="33.75" customHeight="1" x14ac:dyDescent="0.1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</row>
    <row r="371" spans="1:24" ht="33.75" customHeight="1" x14ac:dyDescent="0.1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</row>
    <row r="372" spans="1:24" ht="33.75" customHeight="1" x14ac:dyDescent="0.1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</row>
    <row r="373" spans="1:24" ht="33.75" customHeight="1" x14ac:dyDescent="0.1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</row>
    <row r="374" spans="1:24" ht="33.75" customHeight="1" x14ac:dyDescent="0.1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</row>
    <row r="375" spans="1:24" ht="33.75" customHeight="1" x14ac:dyDescent="0.1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</row>
    <row r="376" spans="1:24" ht="33.75" customHeight="1" x14ac:dyDescent="0.1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</row>
    <row r="377" spans="1:24" ht="33.75" customHeight="1" x14ac:dyDescent="0.1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</row>
    <row r="378" spans="1:24" ht="33.75" customHeight="1" x14ac:dyDescent="0.1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</row>
    <row r="379" spans="1:24" ht="33.75" customHeight="1" x14ac:dyDescent="0.1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</row>
    <row r="380" spans="1:24" ht="33.75" customHeight="1" x14ac:dyDescent="0.1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</row>
    <row r="381" spans="1:24" ht="33.75" customHeight="1" x14ac:dyDescent="0.1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</row>
    <row r="382" spans="1:24" ht="33.75" customHeight="1" x14ac:dyDescent="0.1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</row>
    <row r="383" spans="1:24" ht="33.75" customHeight="1" x14ac:dyDescent="0.1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</row>
    <row r="384" spans="1:24" ht="33.75" customHeight="1" x14ac:dyDescent="0.1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</row>
    <row r="385" spans="1:24" ht="33.75" customHeight="1" x14ac:dyDescent="0.1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</row>
    <row r="386" spans="1:24" ht="33.75" customHeight="1" x14ac:dyDescent="0.1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</row>
    <row r="387" spans="1:24" ht="33.75" customHeight="1" x14ac:dyDescent="0.1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</row>
    <row r="388" spans="1:24" ht="33.75" customHeight="1" x14ac:dyDescent="0.1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</row>
    <row r="389" spans="1:24" ht="33.75" customHeight="1" x14ac:dyDescent="0.1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</row>
    <row r="390" spans="1:24" ht="33.75" customHeight="1" x14ac:dyDescent="0.1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</row>
    <row r="391" spans="1:24" ht="33.75" customHeight="1" x14ac:dyDescent="0.1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</row>
    <row r="392" spans="1:24" ht="33.75" customHeight="1" x14ac:dyDescent="0.1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</row>
    <row r="393" spans="1:24" ht="33.75" customHeight="1" x14ac:dyDescent="0.1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</row>
    <row r="394" spans="1:24" ht="33.75" customHeight="1" x14ac:dyDescent="0.1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</row>
    <row r="395" spans="1:24" ht="33.75" customHeight="1" x14ac:dyDescent="0.1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</row>
    <row r="396" spans="1:24" ht="33.75" customHeight="1" x14ac:dyDescent="0.1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</row>
    <row r="397" spans="1:24" ht="33.75" customHeight="1" x14ac:dyDescent="0.1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</row>
    <row r="398" spans="1:24" ht="33.75" customHeight="1" x14ac:dyDescent="0.1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</row>
    <row r="399" spans="1:24" ht="33.75" customHeight="1" x14ac:dyDescent="0.1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</row>
    <row r="400" spans="1:24" ht="33.75" customHeight="1" x14ac:dyDescent="0.1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</row>
    <row r="401" spans="1:24" ht="33.75" customHeight="1" x14ac:dyDescent="0.1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</row>
    <row r="402" spans="1:24" ht="33.75" customHeight="1" x14ac:dyDescent="0.1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</row>
    <row r="403" spans="1:24" ht="33.75" customHeight="1" x14ac:dyDescent="0.1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</row>
    <row r="404" spans="1:24" ht="33.75" customHeight="1" x14ac:dyDescent="0.1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</row>
    <row r="405" spans="1:24" ht="33.75" customHeight="1" x14ac:dyDescent="0.1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</row>
    <row r="406" spans="1:24" ht="33.75" customHeight="1" x14ac:dyDescent="0.1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</row>
    <row r="407" spans="1:24" ht="33.75" customHeight="1" x14ac:dyDescent="0.1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</row>
    <row r="408" spans="1:24" ht="33.75" customHeight="1" x14ac:dyDescent="0.1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</row>
    <row r="409" spans="1:24" ht="33.75" customHeight="1" x14ac:dyDescent="0.1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</row>
    <row r="410" spans="1:24" ht="33.75" customHeight="1" x14ac:dyDescent="0.1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</row>
    <row r="411" spans="1:24" ht="33.75" customHeight="1" x14ac:dyDescent="0.1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</row>
    <row r="412" spans="1:24" ht="33.75" customHeight="1" x14ac:dyDescent="0.1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</row>
    <row r="413" spans="1:24" ht="33.75" customHeight="1" x14ac:dyDescent="0.1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</row>
    <row r="414" spans="1:24" ht="33.75" customHeight="1" x14ac:dyDescent="0.1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</row>
    <row r="415" spans="1:24" ht="33.75" customHeight="1" x14ac:dyDescent="0.1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</row>
    <row r="416" spans="1:24" ht="33.75" customHeight="1" x14ac:dyDescent="0.1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</row>
    <row r="417" spans="1:24" ht="33.75" customHeight="1" x14ac:dyDescent="0.1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</row>
    <row r="418" spans="1:24" ht="33.75" customHeight="1" x14ac:dyDescent="0.1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</row>
    <row r="419" spans="1:24" ht="33.75" customHeight="1" x14ac:dyDescent="0.1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</row>
    <row r="420" spans="1:24" ht="33.75" customHeight="1" x14ac:dyDescent="0.1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</row>
    <row r="421" spans="1:24" ht="33.75" customHeight="1" x14ac:dyDescent="0.1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</row>
    <row r="422" spans="1:24" ht="33.75" customHeight="1" x14ac:dyDescent="0.1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</row>
    <row r="423" spans="1:24" ht="33.75" customHeight="1" x14ac:dyDescent="0.1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</row>
    <row r="424" spans="1:24" ht="33.75" customHeight="1" x14ac:dyDescent="0.1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</row>
    <row r="425" spans="1:24" ht="33.75" customHeight="1" x14ac:dyDescent="0.1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</row>
    <row r="426" spans="1:24" ht="33.75" customHeight="1" x14ac:dyDescent="0.1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</row>
    <row r="427" spans="1:24" ht="33.75" customHeight="1" x14ac:dyDescent="0.1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</row>
    <row r="428" spans="1:24" ht="33.75" customHeight="1" x14ac:dyDescent="0.1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</row>
    <row r="429" spans="1:24" ht="33.75" customHeight="1" x14ac:dyDescent="0.1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</row>
    <row r="430" spans="1:24" ht="33.75" customHeight="1" x14ac:dyDescent="0.1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</row>
    <row r="431" spans="1:24" ht="33.75" customHeight="1" x14ac:dyDescent="0.1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</row>
    <row r="432" spans="1:24" ht="33.75" customHeight="1" x14ac:dyDescent="0.1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</row>
    <row r="433" spans="1:24" ht="33.75" customHeight="1" x14ac:dyDescent="0.1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</row>
    <row r="434" spans="1:24" ht="33.75" customHeight="1" x14ac:dyDescent="0.1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</row>
    <row r="435" spans="1:24" ht="33.75" customHeight="1" x14ac:dyDescent="0.1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</row>
    <row r="436" spans="1:24" ht="33.75" customHeight="1" x14ac:dyDescent="0.1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</row>
    <row r="437" spans="1:24" ht="33.75" customHeight="1" x14ac:dyDescent="0.1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</row>
    <row r="438" spans="1:24" ht="33.75" customHeight="1" x14ac:dyDescent="0.1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</row>
    <row r="439" spans="1:24" ht="33.75" customHeight="1" x14ac:dyDescent="0.1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</row>
    <row r="440" spans="1:24" ht="33.75" customHeight="1" x14ac:dyDescent="0.1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</row>
    <row r="441" spans="1:24" ht="33.75" customHeight="1" x14ac:dyDescent="0.1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</row>
    <row r="442" spans="1:24" ht="33.75" customHeight="1" x14ac:dyDescent="0.1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</row>
    <row r="443" spans="1:24" ht="33.75" customHeight="1" x14ac:dyDescent="0.1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</row>
    <row r="444" spans="1:24" ht="33.75" customHeight="1" x14ac:dyDescent="0.1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</row>
    <row r="445" spans="1:24" ht="33.75" customHeight="1" x14ac:dyDescent="0.1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</row>
    <row r="446" spans="1:24" ht="33.75" customHeight="1" x14ac:dyDescent="0.1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</row>
    <row r="447" spans="1:24" ht="33.75" customHeight="1" x14ac:dyDescent="0.1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</row>
    <row r="448" spans="1:24" ht="33.75" customHeight="1" x14ac:dyDescent="0.1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</row>
    <row r="449" spans="1:24" ht="33.75" customHeight="1" x14ac:dyDescent="0.1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</row>
    <row r="450" spans="1:24" ht="33.75" customHeight="1" x14ac:dyDescent="0.1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</row>
    <row r="451" spans="1:24" ht="33.75" customHeight="1" x14ac:dyDescent="0.1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</row>
    <row r="452" spans="1:24" ht="33.75" customHeight="1" x14ac:dyDescent="0.1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</row>
    <row r="453" spans="1:24" ht="33.75" customHeight="1" x14ac:dyDescent="0.1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</row>
    <row r="454" spans="1:24" ht="33.75" customHeight="1" x14ac:dyDescent="0.1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</row>
    <row r="455" spans="1:24" ht="33.75" customHeight="1" x14ac:dyDescent="0.1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</row>
    <row r="456" spans="1:24" ht="33.75" customHeight="1" x14ac:dyDescent="0.1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</row>
    <row r="457" spans="1:24" ht="33.75" customHeight="1" x14ac:dyDescent="0.1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</row>
    <row r="458" spans="1:24" ht="33.75" customHeight="1" x14ac:dyDescent="0.1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</row>
    <row r="459" spans="1:24" ht="33.75" customHeight="1" x14ac:dyDescent="0.1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</row>
    <row r="460" spans="1:24" ht="33.75" customHeight="1" x14ac:dyDescent="0.1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</row>
    <row r="461" spans="1:24" ht="33.75" customHeight="1" x14ac:dyDescent="0.1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</row>
    <row r="462" spans="1:24" ht="33.75" customHeight="1" x14ac:dyDescent="0.1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</row>
    <row r="463" spans="1:24" ht="33.75" customHeight="1" x14ac:dyDescent="0.1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</row>
    <row r="464" spans="1:24" ht="33.75" customHeight="1" x14ac:dyDescent="0.1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</row>
    <row r="465" spans="1:24" ht="33.75" customHeight="1" x14ac:dyDescent="0.1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</row>
    <row r="466" spans="1:24" ht="33.75" customHeight="1" x14ac:dyDescent="0.1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</row>
    <row r="467" spans="1:24" ht="33.75" customHeight="1" x14ac:dyDescent="0.1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</row>
    <row r="468" spans="1:24" ht="33.75" customHeight="1" x14ac:dyDescent="0.1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</row>
    <row r="469" spans="1:24" ht="33.75" customHeight="1" x14ac:dyDescent="0.1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</row>
    <row r="470" spans="1:24" ht="33.75" customHeight="1" x14ac:dyDescent="0.1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</row>
    <row r="471" spans="1:24" ht="33.75" customHeight="1" x14ac:dyDescent="0.1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</row>
    <row r="472" spans="1:24" ht="33.75" customHeight="1" x14ac:dyDescent="0.1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</row>
    <row r="473" spans="1:24" ht="33.75" customHeight="1" x14ac:dyDescent="0.1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</row>
    <row r="474" spans="1:24" ht="33.75" customHeight="1" x14ac:dyDescent="0.1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</row>
    <row r="475" spans="1:24" ht="33.75" customHeight="1" x14ac:dyDescent="0.1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</row>
    <row r="476" spans="1:24" ht="33.75" customHeight="1" x14ac:dyDescent="0.1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</row>
    <row r="477" spans="1:24" ht="33.75" customHeight="1" x14ac:dyDescent="0.1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</row>
    <row r="478" spans="1:24" ht="33.75" customHeight="1" x14ac:dyDescent="0.1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</row>
    <row r="479" spans="1:24" ht="33.75" customHeight="1" x14ac:dyDescent="0.1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</row>
    <row r="480" spans="1:24" ht="33.75" customHeight="1" x14ac:dyDescent="0.1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</row>
    <row r="481" spans="1:24" ht="33.75" customHeight="1" x14ac:dyDescent="0.1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</row>
    <row r="482" spans="1:24" ht="33.75" customHeight="1" x14ac:dyDescent="0.1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</row>
    <row r="483" spans="1:24" ht="33.75" customHeight="1" x14ac:dyDescent="0.1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</row>
    <row r="484" spans="1:24" ht="33.75" customHeight="1" x14ac:dyDescent="0.1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</row>
    <row r="485" spans="1:24" ht="33.75" customHeight="1" x14ac:dyDescent="0.1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</row>
    <row r="486" spans="1:24" ht="33.75" customHeight="1" x14ac:dyDescent="0.1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</row>
    <row r="487" spans="1:24" ht="33.75" customHeight="1" x14ac:dyDescent="0.1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</row>
    <row r="488" spans="1:24" ht="33.75" customHeight="1" x14ac:dyDescent="0.1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</row>
    <row r="489" spans="1:24" ht="33.75" customHeight="1" x14ac:dyDescent="0.1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</row>
    <row r="490" spans="1:24" ht="33.75" customHeight="1" x14ac:dyDescent="0.1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</row>
    <row r="491" spans="1:24" ht="33.75" customHeight="1" x14ac:dyDescent="0.1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</row>
    <row r="492" spans="1:24" ht="33.75" customHeight="1" x14ac:dyDescent="0.1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</row>
    <row r="493" spans="1:24" ht="33.75" customHeight="1" x14ac:dyDescent="0.1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</row>
    <row r="494" spans="1:24" ht="33.75" customHeight="1" x14ac:dyDescent="0.1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</row>
    <row r="495" spans="1:24" ht="33.75" customHeight="1" x14ac:dyDescent="0.1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</row>
    <row r="496" spans="1:24" ht="33.75" customHeight="1" x14ac:dyDescent="0.1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</row>
    <row r="497" spans="1:24" ht="33.75" customHeight="1" x14ac:dyDescent="0.1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</row>
    <row r="498" spans="1:24" ht="33.75" customHeight="1" x14ac:dyDescent="0.1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</row>
    <row r="499" spans="1:24" ht="33.75" customHeight="1" x14ac:dyDescent="0.1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</row>
    <row r="500" spans="1:24" ht="33.75" customHeight="1" x14ac:dyDescent="0.1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</row>
    <row r="501" spans="1:24" ht="33.75" customHeight="1" x14ac:dyDescent="0.1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</row>
    <row r="502" spans="1:24" ht="33.75" customHeight="1" x14ac:dyDescent="0.1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</row>
    <row r="503" spans="1:24" ht="33.75" customHeight="1" x14ac:dyDescent="0.1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</row>
    <row r="504" spans="1:24" ht="33.75" customHeight="1" x14ac:dyDescent="0.1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</row>
    <row r="505" spans="1:24" ht="33.75" customHeight="1" x14ac:dyDescent="0.1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</row>
    <row r="506" spans="1:24" ht="33.75" customHeight="1" x14ac:dyDescent="0.1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</row>
    <row r="507" spans="1:24" ht="33.75" customHeight="1" x14ac:dyDescent="0.1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</row>
    <row r="508" spans="1:24" ht="33.75" customHeight="1" x14ac:dyDescent="0.1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</row>
    <row r="509" spans="1:24" ht="33.75" customHeight="1" x14ac:dyDescent="0.1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</row>
    <row r="510" spans="1:24" ht="33.75" customHeight="1" x14ac:dyDescent="0.1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</row>
    <row r="511" spans="1:24" ht="33.75" customHeight="1" x14ac:dyDescent="0.1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</row>
    <row r="512" spans="1:24" ht="33.75" customHeight="1" x14ac:dyDescent="0.1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</row>
    <row r="513" spans="1:24" ht="33.75" customHeight="1" x14ac:dyDescent="0.1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</row>
    <row r="514" spans="1:24" ht="33.75" customHeight="1" x14ac:dyDescent="0.1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</row>
    <row r="515" spans="1:24" ht="33.75" customHeight="1" x14ac:dyDescent="0.1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</row>
    <row r="516" spans="1:24" ht="33.75" customHeight="1" x14ac:dyDescent="0.1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</row>
    <row r="517" spans="1:24" ht="33.75" customHeight="1" x14ac:dyDescent="0.1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</row>
    <row r="518" spans="1:24" ht="33.75" customHeight="1" x14ac:dyDescent="0.1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</row>
    <row r="519" spans="1:24" ht="33.75" customHeight="1" x14ac:dyDescent="0.1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</row>
    <row r="520" spans="1:24" ht="33.75" customHeight="1" x14ac:dyDescent="0.1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</row>
    <row r="521" spans="1:24" ht="33.75" customHeight="1" x14ac:dyDescent="0.1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</row>
    <row r="522" spans="1:24" ht="33.75" customHeight="1" x14ac:dyDescent="0.1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</row>
    <row r="523" spans="1:24" ht="33.75" customHeight="1" x14ac:dyDescent="0.1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</row>
    <row r="524" spans="1:24" ht="33.75" customHeight="1" x14ac:dyDescent="0.1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</row>
    <row r="525" spans="1:24" ht="33.75" customHeight="1" x14ac:dyDescent="0.1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</row>
    <row r="526" spans="1:24" ht="33.75" customHeight="1" x14ac:dyDescent="0.1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</row>
    <row r="527" spans="1:24" ht="33.75" customHeight="1" x14ac:dyDescent="0.1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</row>
    <row r="528" spans="1:24" ht="33.75" customHeight="1" x14ac:dyDescent="0.1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</row>
    <row r="529" spans="1:24" ht="33.75" customHeight="1" x14ac:dyDescent="0.1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</row>
    <row r="530" spans="1:24" ht="33.75" customHeight="1" x14ac:dyDescent="0.1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</row>
    <row r="531" spans="1:24" ht="33.75" customHeight="1" x14ac:dyDescent="0.1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</row>
    <row r="532" spans="1:24" ht="33.75" customHeight="1" x14ac:dyDescent="0.1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</row>
    <row r="533" spans="1:24" ht="33.75" customHeight="1" x14ac:dyDescent="0.1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</row>
    <row r="534" spans="1:24" ht="33.75" customHeight="1" x14ac:dyDescent="0.1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</row>
    <row r="535" spans="1:24" ht="33.75" customHeight="1" x14ac:dyDescent="0.1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</row>
    <row r="536" spans="1:24" ht="33.75" customHeight="1" x14ac:dyDescent="0.1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</row>
    <row r="537" spans="1:24" ht="33.75" customHeight="1" x14ac:dyDescent="0.1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</row>
    <row r="538" spans="1:24" ht="33.75" customHeight="1" x14ac:dyDescent="0.1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</row>
    <row r="539" spans="1:24" ht="33.75" customHeight="1" x14ac:dyDescent="0.1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</row>
    <row r="540" spans="1:24" ht="33.75" customHeight="1" x14ac:dyDescent="0.1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</row>
    <row r="541" spans="1:24" ht="33.75" customHeight="1" x14ac:dyDescent="0.1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</row>
    <row r="542" spans="1:24" ht="33.75" customHeight="1" x14ac:dyDescent="0.1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</row>
    <row r="543" spans="1:24" ht="33.75" customHeight="1" x14ac:dyDescent="0.1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</row>
    <row r="544" spans="1:24" ht="33.75" customHeight="1" x14ac:dyDescent="0.1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</row>
    <row r="545" spans="1:24" ht="33.75" customHeight="1" x14ac:dyDescent="0.1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</row>
    <row r="546" spans="1:24" ht="33.75" customHeight="1" x14ac:dyDescent="0.1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</row>
    <row r="547" spans="1:24" ht="33.75" customHeight="1" x14ac:dyDescent="0.1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</row>
    <row r="548" spans="1:24" ht="33.75" customHeight="1" x14ac:dyDescent="0.1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</row>
    <row r="549" spans="1:24" ht="33.75" customHeight="1" x14ac:dyDescent="0.1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</row>
    <row r="550" spans="1:24" ht="33.75" customHeight="1" x14ac:dyDescent="0.1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</row>
    <row r="551" spans="1:24" ht="33.75" customHeight="1" x14ac:dyDescent="0.1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</row>
    <row r="552" spans="1:24" ht="33.75" customHeight="1" x14ac:dyDescent="0.1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</row>
    <row r="553" spans="1:24" ht="33.75" customHeight="1" x14ac:dyDescent="0.1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</row>
    <row r="554" spans="1:24" ht="33.75" customHeight="1" x14ac:dyDescent="0.1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</row>
    <row r="555" spans="1:24" ht="33.75" customHeight="1" x14ac:dyDescent="0.1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</row>
    <row r="556" spans="1:24" ht="33.75" customHeight="1" x14ac:dyDescent="0.1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</row>
    <row r="557" spans="1:24" ht="33.75" customHeight="1" x14ac:dyDescent="0.1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</row>
    <row r="558" spans="1:24" ht="33.75" customHeight="1" x14ac:dyDescent="0.1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</row>
    <row r="559" spans="1:24" ht="33.75" customHeight="1" x14ac:dyDescent="0.1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</row>
    <row r="560" spans="1:24" ht="33.75" customHeight="1" x14ac:dyDescent="0.1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</row>
    <row r="561" spans="1:24" ht="33.75" customHeight="1" x14ac:dyDescent="0.1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</row>
    <row r="562" spans="1:24" ht="33.75" customHeight="1" x14ac:dyDescent="0.1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</row>
    <row r="563" spans="1:24" ht="33.75" customHeight="1" x14ac:dyDescent="0.1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</row>
    <row r="564" spans="1:24" ht="33.75" customHeight="1" x14ac:dyDescent="0.1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</row>
    <row r="565" spans="1:24" ht="33.75" customHeight="1" x14ac:dyDescent="0.1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</row>
    <row r="566" spans="1:24" ht="33.75" customHeight="1" x14ac:dyDescent="0.1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</row>
    <row r="567" spans="1:24" ht="33.75" customHeight="1" x14ac:dyDescent="0.1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</row>
    <row r="568" spans="1:24" ht="33.75" customHeight="1" x14ac:dyDescent="0.1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</row>
    <row r="569" spans="1:24" ht="33.75" customHeight="1" x14ac:dyDescent="0.1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</row>
    <row r="570" spans="1:24" ht="33.75" customHeight="1" x14ac:dyDescent="0.1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</row>
    <row r="571" spans="1:24" ht="33.75" customHeight="1" x14ac:dyDescent="0.1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</row>
    <row r="572" spans="1:24" ht="33.75" customHeight="1" x14ac:dyDescent="0.1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</row>
    <row r="573" spans="1:24" ht="33.75" customHeight="1" x14ac:dyDescent="0.1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</row>
    <row r="574" spans="1:24" ht="33.75" customHeight="1" x14ac:dyDescent="0.1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</row>
    <row r="575" spans="1:24" ht="33.75" customHeight="1" x14ac:dyDescent="0.1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</row>
    <row r="576" spans="1:24" ht="33.75" customHeight="1" x14ac:dyDescent="0.1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</row>
    <row r="577" spans="1:24" ht="33.75" customHeight="1" x14ac:dyDescent="0.1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</row>
    <row r="578" spans="1:24" ht="33.75" customHeight="1" x14ac:dyDescent="0.1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</row>
    <row r="579" spans="1:24" ht="33.75" customHeight="1" x14ac:dyDescent="0.1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</row>
    <row r="580" spans="1:24" ht="33.75" customHeight="1" x14ac:dyDescent="0.1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</row>
    <row r="581" spans="1:24" ht="33.75" customHeight="1" x14ac:dyDescent="0.1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</row>
    <row r="582" spans="1:24" ht="33.75" customHeight="1" x14ac:dyDescent="0.1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</row>
    <row r="583" spans="1:24" ht="33.75" customHeight="1" x14ac:dyDescent="0.1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</row>
    <row r="584" spans="1:24" ht="33.75" customHeight="1" x14ac:dyDescent="0.1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</row>
    <row r="585" spans="1:24" ht="33.75" customHeight="1" x14ac:dyDescent="0.1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</row>
    <row r="586" spans="1:24" ht="33.75" customHeight="1" x14ac:dyDescent="0.1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</row>
    <row r="587" spans="1:24" ht="33.75" customHeight="1" x14ac:dyDescent="0.1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</row>
    <row r="588" spans="1:24" ht="33.75" customHeight="1" x14ac:dyDescent="0.1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</row>
    <row r="589" spans="1:24" ht="33.75" customHeight="1" x14ac:dyDescent="0.1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</row>
    <row r="590" spans="1:24" ht="33.75" customHeight="1" x14ac:dyDescent="0.1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</row>
    <row r="591" spans="1:24" ht="33.75" customHeight="1" x14ac:dyDescent="0.1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</row>
    <row r="592" spans="1:24" ht="33.75" customHeight="1" x14ac:dyDescent="0.1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</row>
    <row r="593" spans="1:24" ht="33.75" customHeight="1" x14ac:dyDescent="0.1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</row>
    <row r="594" spans="1:24" ht="33.75" customHeight="1" x14ac:dyDescent="0.1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</row>
    <row r="595" spans="1:24" ht="33.75" customHeight="1" x14ac:dyDescent="0.1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</row>
    <row r="596" spans="1:24" ht="33.75" customHeight="1" x14ac:dyDescent="0.1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</row>
    <row r="597" spans="1:24" ht="33.75" customHeight="1" x14ac:dyDescent="0.1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</row>
    <row r="598" spans="1:24" ht="33.75" customHeight="1" x14ac:dyDescent="0.1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</row>
    <row r="599" spans="1:24" ht="33.75" customHeight="1" x14ac:dyDescent="0.1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</row>
    <row r="600" spans="1:24" ht="33.75" customHeight="1" x14ac:dyDescent="0.1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</row>
    <row r="601" spans="1:24" ht="33.75" customHeight="1" x14ac:dyDescent="0.1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</row>
    <row r="602" spans="1:24" ht="33.75" customHeight="1" x14ac:dyDescent="0.1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</row>
    <row r="603" spans="1:24" ht="33.75" customHeight="1" x14ac:dyDescent="0.1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</row>
    <row r="604" spans="1:24" ht="33.75" customHeight="1" x14ac:dyDescent="0.1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</row>
    <row r="605" spans="1:24" ht="33.75" customHeight="1" x14ac:dyDescent="0.1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</row>
    <row r="606" spans="1:24" ht="33.75" customHeight="1" x14ac:dyDescent="0.1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</row>
    <row r="607" spans="1:24" ht="33.75" customHeight="1" x14ac:dyDescent="0.1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</row>
    <row r="608" spans="1:24" ht="33.75" customHeight="1" x14ac:dyDescent="0.1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</row>
    <row r="609" spans="1:24" ht="33.75" customHeight="1" x14ac:dyDescent="0.1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</row>
    <row r="610" spans="1:24" ht="33.75" customHeight="1" x14ac:dyDescent="0.1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</row>
    <row r="611" spans="1:24" ht="33.75" customHeight="1" x14ac:dyDescent="0.1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</row>
    <row r="612" spans="1:24" ht="33.75" customHeight="1" x14ac:dyDescent="0.1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</row>
    <row r="613" spans="1:24" ht="33.75" customHeight="1" x14ac:dyDescent="0.1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</row>
    <row r="614" spans="1:24" ht="33.75" customHeight="1" x14ac:dyDescent="0.1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</row>
    <row r="615" spans="1:24" ht="33.75" customHeight="1" x14ac:dyDescent="0.1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</row>
    <row r="616" spans="1:24" ht="33.75" customHeight="1" x14ac:dyDescent="0.1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</row>
    <row r="617" spans="1:24" ht="33.75" customHeight="1" x14ac:dyDescent="0.1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</row>
    <row r="618" spans="1:24" ht="33.75" customHeight="1" x14ac:dyDescent="0.1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</row>
    <row r="619" spans="1:24" ht="33.75" customHeight="1" x14ac:dyDescent="0.1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</row>
    <row r="620" spans="1:24" ht="33.75" customHeight="1" x14ac:dyDescent="0.1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</row>
    <row r="621" spans="1:24" ht="33.75" customHeight="1" x14ac:dyDescent="0.1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</row>
    <row r="622" spans="1:24" ht="33.75" customHeight="1" x14ac:dyDescent="0.1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</row>
    <row r="623" spans="1:24" ht="33.75" customHeight="1" x14ac:dyDescent="0.1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</row>
    <row r="624" spans="1:24" ht="33.75" customHeight="1" x14ac:dyDescent="0.1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</row>
    <row r="625" spans="1:24" ht="33.75" customHeight="1" x14ac:dyDescent="0.1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</row>
    <row r="626" spans="1:24" ht="33.75" customHeight="1" x14ac:dyDescent="0.1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</row>
    <row r="627" spans="1:24" ht="33.75" customHeight="1" x14ac:dyDescent="0.1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</row>
    <row r="628" spans="1:24" ht="33.75" customHeight="1" x14ac:dyDescent="0.1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</row>
    <row r="629" spans="1:24" ht="33.75" customHeight="1" x14ac:dyDescent="0.1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</row>
    <row r="630" spans="1:24" ht="33.75" customHeight="1" x14ac:dyDescent="0.1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</row>
    <row r="631" spans="1:24" ht="33.75" customHeight="1" x14ac:dyDescent="0.1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</row>
    <row r="632" spans="1:24" ht="33.75" customHeight="1" x14ac:dyDescent="0.1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</row>
    <row r="633" spans="1:24" ht="33.75" customHeight="1" x14ac:dyDescent="0.1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</row>
    <row r="634" spans="1:24" ht="33.75" customHeight="1" x14ac:dyDescent="0.1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</row>
    <row r="635" spans="1:24" ht="33.75" customHeight="1" x14ac:dyDescent="0.1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</row>
    <row r="636" spans="1:24" ht="33.75" customHeight="1" x14ac:dyDescent="0.1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</row>
    <row r="637" spans="1:24" ht="33.75" customHeight="1" x14ac:dyDescent="0.1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</row>
    <row r="638" spans="1:24" ht="33.75" customHeight="1" x14ac:dyDescent="0.1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</row>
    <row r="639" spans="1:24" ht="33.75" customHeight="1" x14ac:dyDescent="0.1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</row>
    <row r="640" spans="1:24" ht="33.75" customHeight="1" x14ac:dyDescent="0.1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</row>
    <row r="641" spans="1:24" ht="33.75" customHeight="1" x14ac:dyDescent="0.1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</row>
    <row r="642" spans="1:24" ht="33.75" customHeight="1" x14ac:dyDescent="0.1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</row>
    <row r="643" spans="1:24" ht="33.75" customHeight="1" x14ac:dyDescent="0.1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</row>
    <row r="644" spans="1:24" ht="33.75" customHeight="1" x14ac:dyDescent="0.1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</row>
    <row r="645" spans="1:24" ht="33.75" customHeight="1" x14ac:dyDescent="0.1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</row>
    <row r="646" spans="1:24" ht="33.75" customHeight="1" x14ac:dyDescent="0.1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</row>
    <row r="647" spans="1:24" ht="33.75" customHeight="1" x14ac:dyDescent="0.1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</row>
    <row r="648" spans="1:24" ht="33.75" customHeight="1" x14ac:dyDescent="0.1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</row>
    <row r="649" spans="1:24" ht="33.75" customHeight="1" x14ac:dyDescent="0.1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</row>
    <row r="650" spans="1:24" ht="33.75" customHeight="1" x14ac:dyDescent="0.1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</row>
    <row r="651" spans="1:24" ht="33.75" customHeight="1" x14ac:dyDescent="0.1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</row>
    <row r="652" spans="1:24" ht="33.75" customHeight="1" x14ac:dyDescent="0.1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</row>
    <row r="653" spans="1:24" ht="33.75" customHeight="1" x14ac:dyDescent="0.1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</row>
    <row r="654" spans="1:24" ht="33.75" customHeight="1" x14ac:dyDescent="0.1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</row>
    <row r="655" spans="1:24" ht="33.75" customHeight="1" x14ac:dyDescent="0.1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</row>
    <row r="656" spans="1:24" ht="33.75" customHeight="1" x14ac:dyDescent="0.1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</row>
    <row r="657" spans="1:24" ht="33.75" customHeight="1" x14ac:dyDescent="0.1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</row>
    <row r="658" spans="1:24" ht="33.75" customHeight="1" x14ac:dyDescent="0.1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</row>
    <row r="659" spans="1:24" ht="33.75" customHeight="1" x14ac:dyDescent="0.1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</row>
    <row r="660" spans="1:24" ht="33.75" customHeight="1" x14ac:dyDescent="0.1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</row>
    <row r="661" spans="1:24" ht="33.75" customHeight="1" x14ac:dyDescent="0.1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</row>
    <row r="662" spans="1:24" ht="33.75" customHeight="1" x14ac:dyDescent="0.1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</row>
    <row r="663" spans="1:24" ht="33.75" customHeight="1" x14ac:dyDescent="0.1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</row>
    <row r="664" spans="1:24" ht="33.75" customHeight="1" x14ac:dyDescent="0.1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</row>
    <row r="665" spans="1:24" ht="33.75" customHeight="1" x14ac:dyDescent="0.1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</row>
    <row r="666" spans="1:24" ht="33.75" customHeight="1" x14ac:dyDescent="0.1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</row>
    <row r="667" spans="1:24" ht="33.75" customHeight="1" x14ac:dyDescent="0.1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</row>
    <row r="668" spans="1:24" ht="33.75" customHeight="1" x14ac:dyDescent="0.1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</row>
    <row r="669" spans="1:24" ht="33.75" customHeight="1" x14ac:dyDescent="0.1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</row>
    <row r="670" spans="1:24" ht="33.75" customHeight="1" x14ac:dyDescent="0.1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</row>
    <row r="671" spans="1:24" ht="33.75" customHeight="1" x14ac:dyDescent="0.1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</row>
    <row r="672" spans="1:24" ht="33.75" customHeight="1" x14ac:dyDescent="0.1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</row>
    <row r="673" spans="1:24" ht="33.75" customHeight="1" x14ac:dyDescent="0.1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</row>
    <row r="674" spans="1:24" ht="33.75" customHeight="1" x14ac:dyDescent="0.1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</row>
    <row r="675" spans="1:24" ht="33.75" customHeight="1" x14ac:dyDescent="0.1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</row>
    <row r="676" spans="1:24" ht="33.75" customHeight="1" x14ac:dyDescent="0.1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</row>
    <row r="677" spans="1:24" ht="33.75" customHeight="1" x14ac:dyDescent="0.1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</row>
    <row r="678" spans="1:24" ht="33.75" customHeight="1" x14ac:dyDescent="0.1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</row>
    <row r="679" spans="1:24" ht="33.75" customHeight="1" x14ac:dyDescent="0.1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</row>
    <row r="680" spans="1:24" ht="33.75" customHeight="1" x14ac:dyDescent="0.1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</row>
    <row r="681" spans="1:24" ht="33.75" customHeight="1" x14ac:dyDescent="0.1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</row>
    <row r="682" spans="1:24" ht="33.75" customHeight="1" x14ac:dyDescent="0.1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</row>
    <row r="683" spans="1:24" ht="33.75" customHeight="1" x14ac:dyDescent="0.1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</row>
    <row r="684" spans="1:24" ht="33.75" customHeight="1" x14ac:dyDescent="0.1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</row>
    <row r="685" spans="1:24" ht="33.75" customHeight="1" x14ac:dyDescent="0.1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</row>
    <row r="686" spans="1:24" ht="33.75" customHeight="1" x14ac:dyDescent="0.1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</row>
    <row r="687" spans="1:24" ht="33.75" customHeight="1" x14ac:dyDescent="0.1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</row>
    <row r="688" spans="1:24" ht="33.75" customHeight="1" x14ac:dyDescent="0.1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</row>
    <row r="689" spans="1:24" ht="33.75" customHeight="1" x14ac:dyDescent="0.1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</row>
    <row r="690" spans="1:24" ht="33.75" customHeight="1" x14ac:dyDescent="0.1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</row>
    <row r="691" spans="1:24" ht="33.75" customHeight="1" x14ac:dyDescent="0.1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</row>
    <row r="692" spans="1:24" ht="33.75" customHeight="1" x14ac:dyDescent="0.1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</row>
    <row r="693" spans="1:24" ht="33.75" customHeight="1" x14ac:dyDescent="0.1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</row>
    <row r="694" spans="1:24" ht="33.75" customHeight="1" x14ac:dyDescent="0.1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</row>
    <row r="695" spans="1:24" ht="33.75" customHeight="1" x14ac:dyDescent="0.1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</row>
    <row r="696" spans="1:24" ht="33.75" customHeight="1" x14ac:dyDescent="0.1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</row>
    <row r="697" spans="1:24" ht="33.75" customHeight="1" x14ac:dyDescent="0.1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</row>
    <row r="698" spans="1:24" ht="33.75" customHeight="1" x14ac:dyDescent="0.1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</row>
    <row r="699" spans="1:24" ht="33.75" customHeight="1" x14ac:dyDescent="0.1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</row>
    <row r="700" spans="1:24" ht="33.75" customHeight="1" x14ac:dyDescent="0.1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</row>
    <row r="701" spans="1:24" ht="33.75" customHeight="1" x14ac:dyDescent="0.1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</row>
    <row r="702" spans="1:24" ht="33.75" customHeight="1" x14ac:dyDescent="0.1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</row>
    <row r="703" spans="1:24" ht="33.75" customHeight="1" x14ac:dyDescent="0.1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</row>
    <row r="704" spans="1:24" ht="33.75" customHeight="1" x14ac:dyDescent="0.1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</row>
    <row r="705" spans="1:24" ht="33.75" customHeight="1" x14ac:dyDescent="0.1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</row>
    <row r="706" spans="1:24" ht="33.75" customHeight="1" x14ac:dyDescent="0.1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</row>
    <row r="707" spans="1:24" ht="33.75" customHeight="1" x14ac:dyDescent="0.1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</row>
    <row r="708" spans="1:24" ht="33.75" customHeight="1" x14ac:dyDescent="0.1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</row>
    <row r="709" spans="1:24" ht="33.75" customHeight="1" x14ac:dyDescent="0.1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</row>
    <row r="710" spans="1:24" ht="33.75" customHeight="1" x14ac:dyDescent="0.1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</row>
    <row r="711" spans="1:24" ht="33.75" customHeight="1" x14ac:dyDescent="0.1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</row>
    <row r="712" spans="1:24" ht="33.75" customHeight="1" x14ac:dyDescent="0.1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</row>
    <row r="713" spans="1:24" ht="33.75" customHeight="1" x14ac:dyDescent="0.1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</row>
    <row r="714" spans="1:24" ht="33.75" customHeight="1" x14ac:dyDescent="0.1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</row>
    <row r="715" spans="1:24" ht="33.75" customHeight="1" x14ac:dyDescent="0.1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</row>
    <row r="716" spans="1:24" ht="33.75" customHeight="1" x14ac:dyDescent="0.1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</row>
    <row r="717" spans="1:24" ht="33.75" customHeight="1" x14ac:dyDescent="0.1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</row>
    <row r="718" spans="1:24" ht="33.75" customHeight="1" x14ac:dyDescent="0.1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</row>
    <row r="719" spans="1:24" ht="33.75" customHeight="1" x14ac:dyDescent="0.1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</row>
    <row r="720" spans="1:24" ht="33.75" customHeight="1" x14ac:dyDescent="0.1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</row>
    <row r="721" spans="1:24" ht="33.75" customHeight="1" x14ac:dyDescent="0.1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</row>
    <row r="722" spans="1:24" ht="33.75" customHeight="1" x14ac:dyDescent="0.1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</row>
    <row r="723" spans="1:24" ht="33.75" customHeight="1" x14ac:dyDescent="0.1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</row>
    <row r="724" spans="1:24" ht="33.75" customHeight="1" x14ac:dyDescent="0.1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</row>
    <row r="725" spans="1:24" ht="33.75" customHeight="1" x14ac:dyDescent="0.1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</row>
    <row r="726" spans="1:24" ht="33.75" customHeight="1" x14ac:dyDescent="0.1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</row>
    <row r="727" spans="1:24" ht="33.75" customHeight="1" x14ac:dyDescent="0.1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</row>
    <row r="728" spans="1:24" ht="33.75" customHeight="1" x14ac:dyDescent="0.1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</row>
    <row r="729" spans="1:24" ht="33.75" customHeight="1" x14ac:dyDescent="0.1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</row>
    <row r="730" spans="1:24" ht="33.75" customHeight="1" x14ac:dyDescent="0.1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</row>
    <row r="731" spans="1:24" ht="33.75" customHeight="1" x14ac:dyDescent="0.1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</row>
    <row r="732" spans="1:24" ht="33.75" customHeight="1" x14ac:dyDescent="0.1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</row>
    <row r="733" spans="1:24" ht="33.75" customHeight="1" x14ac:dyDescent="0.1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</row>
    <row r="734" spans="1:24" ht="33.75" customHeight="1" x14ac:dyDescent="0.1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</row>
    <row r="735" spans="1:24" ht="33.75" customHeight="1" x14ac:dyDescent="0.1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</row>
    <row r="736" spans="1:24" ht="33.75" customHeight="1" x14ac:dyDescent="0.1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</row>
    <row r="737" spans="1:24" ht="33.75" customHeight="1" x14ac:dyDescent="0.1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</row>
    <row r="738" spans="1:24" ht="33.75" customHeight="1" x14ac:dyDescent="0.1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</row>
    <row r="739" spans="1:24" ht="33.75" customHeight="1" x14ac:dyDescent="0.1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</row>
    <row r="740" spans="1:24" ht="33.75" customHeight="1" x14ac:dyDescent="0.1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</row>
    <row r="741" spans="1:24" ht="33.75" customHeight="1" x14ac:dyDescent="0.1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</row>
    <row r="742" spans="1:24" ht="33.75" customHeight="1" x14ac:dyDescent="0.1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</row>
    <row r="743" spans="1:24" ht="33.75" customHeight="1" x14ac:dyDescent="0.1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</row>
    <row r="744" spans="1:24" ht="33.75" customHeight="1" x14ac:dyDescent="0.1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</row>
    <row r="745" spans="1:24" ht="33.75" customHeight="1" x14ac:dyDescent="0.1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</row>
    <row r="746" spans="1:24" ht="33.75" customHeight="1" x14ac:dyDescent="0.1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</row>
    <row r="747" spans="1:24" ht="33.75" customHeight="1" x14ac:dyDescent="0.1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</row>
    <row r="748" spans="1:24" ht="33.75" customHeight="1" x14ac:dyDescent="0.1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</row>
    <row r="749" spans="1:24" ht="33.75" customHeight="1" x14ac:dyDescent="0.1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</row>
    <row r="750" spans="1:24" ht="33.75" customHeight="1" x14ac:dyDescent="0.1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</row>
    <row r="751" spans="1:24" ht="33.75" customHeight="1" x14ac:dyDescent="0.1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</row>
    <row r="752" spans="1:24" ht="33.75" customHeight="1" x14ac:dyDescent="0.1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</row>
    <row r="753" spans="1:24" ht="33.75" customHeight="1" x14ac:dyDescent="0.1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</row>
    <row r="754" spans="1:24" ht="33.75" customHeight="1" x14ac:dyDescent="0.1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</row>
    <row r="755" spans="1:24" ht="33.75" customHeight="1" x14ac:dyDescent="0.1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</row>
    <row r="756" spans="1:24" ht="33.75" customHeight="1" x14ac:dyDescent="0.1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</row>
    <row r="757" spans="1:24" ht="33.75" customHeight="1" x14ac:dyDescent="0.1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</row>
    <row r="758" spans="1:24" ht="33.75" customHeight="1" x14ac:dyDescent="0.1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</row>
    <row r="759" spans="1:24" ht="33.75" customHeight="1" x14ac:dyDescent="0.1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</row>
    <row r="760" spans="1:24" ht="33.75" customHeight="1" x14ac:dyDescent="0.1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</row>
    <row r="761" spans="1:24" ht="33.75" customHeight="1" x14ac:dyDescent="0.1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</row>
    <row r="762" spans="1:24" ht="33.75" customHeight="1" x14ac:dyDescent="0.1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</row>
    <row r="763" spans="1:24" ht="33.75" customHeight="1" x14ac:dyDescent="0.1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</row>
    <row r="764" spans="1:24" ht="33.75" customHeight="1" x14ac:dyDescent="0.1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</row>
    <row r="765" spans="1:24" ht="33.75" customHeight="1" x14ac:dyDescent="0.1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</row>
    <row r="766" spans="1:24" ht="33.75" customHeight="1" x14ac:dyDescent="0.1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</row>
    <row r="767" spans="1:24" ht="33.75" customHeight="1" x14ac:dyDescent="0.1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</row>
    <row r="768" spans="1:24" ht="33.75" customHeight="1" x14ac:dyDescent="0.1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</row>
    <row r="769" spans="1:24" ht="33.75" customHeight="1" x14ac:dyDescent="0.1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</row>
    <row r="770" spans="1:24" ht="33.75" customHeight="1" x14ac:dyDescent="0.1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</row>
    <row r="771" spans="1:24" ht="33.75" customHeight="1" x14ac:dyDescent="0.1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</row>
    <row r="772" spans="1:24" ht="33.75" customHeight="1" x14ac:dyDescent="0.1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</row>
    <row r="773" spans="1:24" ht="33.75" customHeight="1" x14ac:dyDescent="0.1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</row>
    <row r="774" spans="1:24" ht="33.75" customHeight="1" x14ac:dyDescent="0.1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</row>
    <row r="775" spans="1:24" ht="33.75" customHeight="1" x14ac:dyDescent="0.1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</row>
    <row r="776" spans="1:24" ht="33.75" customHeight="1" x14ac:dyDescent="0.1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</row>
    <row r="777" spans="1:24" ht="33.75" customHeight="1" x14ac:dyDescent="0.1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</row>
    <row r="778" spans="1:24" ht="33.75" customHeight="1" x14ac:dyDescent="0.1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</row>
    <row r="779" spans="1:24" ht="33.75" customHeight="1" x14ac:dyDescent="0.1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</row>
    <row r="780" spans="1:24" ht="33.75" customHeight="1" x14ac:dyDescent="0.1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</row>
    <row r="781" spans="1:24" ht="33.75" customHeight="1" x14ac:dyDescent="0.1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</row>
    <row r="782" spans="1:24" ht="33.75" customHeight="1" x14ac:dyDescent="0.1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</row>
    <row r="783" spans="1:24" ht="33.75" customHeight="1" x14ac:dyDescent="0.1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</row>
    <row r="784" spans="1:24" ht="33.75" customHeight="1" x14ac:dyDescent="0.1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</row>
    <row r="785" spans="1:24" ht="33.75" customHeight="1" x14ac:dyDescent="0.1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</row>
    <row r="786" spans="1:24" ht="33.75" customHeight="1" x14ac:dyDescent="0.1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</row>
    <row r="787" spans="1:24" ht="33.75" customHeight="1" x14ac:dyDescent="0.1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</row>
    <row r="788" spans="1:24" ht="33.75" customHeight="1" x14ac:dyDescent="0.1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</row>
    <row r="789" spans="1:24" ht="33.75" customHeight="1" x14ac:dyDescent="0.1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</row>
    <row r="790" spans="1:24" ht="33.75" customHeight="1" x14ac:dyDescent="0.1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</row>
    <row r="791" spans="1:24" ht="33.75" customHeight="1" x14ac:dyDescent="0.1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</row>
    <row r="792" spans="1:24" ht="33.75" customHeight="1" x14ac:dyDescent="0.1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</row>
    <row r="793" spans="1:24" ht="33.75" customHeight="1" x14ac:dyDescent="0.1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</row>
    <row r="794" spans="1:24" ht="33.75" customHeight="1" x14ac:dyDescent="0.1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</row>
    <row r="795" spans="1:24" ht="33.75" customHeight="1" x14ac:dyDescent="0.1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</row>
    <row r="796" spans="1:24" ht="33.75" customHeight="1" x14ac:dyDescent="0.1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</row>
    <row r="797" spans="1:24" ht="33.75" customHeight="1" x14ac:dyDescent="0.1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</row>
    <row r="798" spans="1:24" ht="33.75" customHeight="1" x14ac:dyDescent="0.1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</row>
    <row r="799" spans="1:24" ht="33.75" customHeight="1" x14ac:dyDescent="0.1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</row>
    <row r="800" spans="1:24" ht="33.75" customHeight="1" x14ac:dyDescent="0.1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</row>
    <row r="801" spans="1:24" ht="33.75" customHeight="1" x14ac:dyDescent="0.1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</row>
    <row r="802" spans="1:24" ht="33.75" customHeight="1" x14ac:dyDescent="0.1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</row>
    <row r="803" spans="1:24" ht="33.75" customHeight="1" x14ac:dyDescent="0.1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</row>
    <row r="804" spans="1:24" ht="33.75" customHeight="1" x14ac:dyDescent="0.1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</row>
    <row r="805" spans="1:24" ht="33.75" customHeight="1" x14ac:dyDescent="0.1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</row>
    <row r="806" spans="1:24" ht="33.75" customHeight="1" x14ac:dyDescent="0.1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</row>
    <row r="807" spans="1:24" ht="33.75" customHeight="1" x14ac:dyDescent="0.1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</row>
    <row r="808" spans="1:24" ht="33.75" customHeight="1" x14ac:dyDescent="0.1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</row>
    <row r="809" spans="1:24" ht="33.75" customHeight="1" x14ac:dyDescent="0.1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</row>
    <row r="810" spans="1:24" ht="33.75" customHeight="1" x14ac:dyDescent="0.1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</row>
    <row r="811" spans="1:24" ht="33.75" customHeight="1" x14ac:dyDescent="0.1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</row>
    <row r="812" spans="1:24" ht="33.75" customHeight="1" x14ac:dyDescent="0.1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</row>
    <row r="813" spans="1:24" ht="33.75" customHeight="1" x14ac:dyDescent="0.1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</row>
    <row r="814" spans="1:24" ht="33.75" customHeight="1" x14ac:dyDescent="0.1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</row>
    <row r="815" spans="1:24" ht="33.75" customHeight="1" x14ac:dyDescent="0.1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</row>
    <row r="816" spans="1:24" ht="33.75" customHeight="1" x14ac:dyDescent="0.1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</row>
    <row r="817" spans="1:24" ht="33.75" customHeight="1" x14ac:dyDescent="0.1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</row>
    <row r="818" spans="1:24" ht="33.75" customHeight="1" x14ac:dyDescent="0.1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</row>
    <row r="819" spans="1:24" ht="33.75" customHeight="1" x14ac:dyDescent="0.1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</row>
    <row r="820" spans="1:24" ht="33.75" customHeight="1" x14ac:dyDescent="0.1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</row>
    <row r="821" spans="1:24" ht="33.75" customHeight="1" x14ac:dyDescent="0.1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</row>
    <row r="822" spans="1:24" ht="33.75" customHeight="1" x14ac:dyDescent="0.1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</row>
    <row r="823" spans="1:24" ht="33.75" customHeight="1" x14ac:dyDescent="0.1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</row>
    <row r="824" spans="1:24" ht="33.75" customHeight="1" x14ac:dyDescent="0.1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</row>
    <row r="825" spans="1:24" ht="33.75" customHeight="1" x14ac:dyDescent="0.1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</row>
    <row r="826" spans="1:24" ht="33.75" customHeight="1" x14ac:dyDescent="0.1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</row>
    <row r="827" spans="1:24" ht="33.75" customHeight="1" x14ac:dyDescent="0.1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</row>
    <row r="828" spans="1:24" ht="33.75" customHeight="1" x14ac:dyDescent="0.1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</row>
    <row r="829" spans="1:24" ht="33.75" customHeight="1" x14ac:dyDescent="0.1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</row>
    <row r="830" spans="1:24" ht="33.75" customHeight="1" x14ac:dyDescent="0.1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</row>
    <row r="831" spans="1:24" ht="33.75" customHeight="1" x14ac:dyDescent="0.1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</row>
    <row r="832" spans="1:24" ht="33.75" customHeight="1" x14ac:dyDescent="0.1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</row>
    <row r="833" spans="1:24" ht="33.75" customHeight="1" x14ac:dyDescent="0.1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</row>
    <row r="834" spans="1:24" ht="33.75" customHeight="1" x14ac:dyDescent="0.1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</row>
    <row r="835" spans="1:24" ht="33.75" customHeight="1" x14ac:dyDescent="0.1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</row>
    <row r="836" spans="1:24" ht="33.75" customHeight="1" x14ac:dyDescent="0.1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</row>
    <row r="837" spans="1:24" ht="33.75" customHeight="1" x14ac:dyDescent="0.1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</row>
    <row r="838" spans="1:24" ht="33.75" customHeight="1" x14ac:dyDescent="0.1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</row>
    <row r="839" spans="1:24" ht="33.75" customHeight="1" x14ac:dyDescent="0.1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</row>
    <row r="840" spans="1:24" ht="33.75" customHeight="1" x14ac:dyDescent="0.1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</row>
    <row r="841" spans="1:24" ht="33.75" customHeight="1" x14ac:dyDescent="0.1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</row>
    <row r="842" spans="1:24" ht="33.75" customHeight="1" x14ac:dyDescent="0.1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</row>
    <row r="843" spans="1:24" ht="33.75" customHeight="1" x14ac:dyDescent="0.1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</row>
    <row r="844" spans="1:24" ht="33.75" customHeight="1" x14ac:dyDescent="0.1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</row>
    <row r="845" spans="1:24" ht="33.75" customHeight="1" x14ac:dyDescent="0.1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</row>
    <row r="846" spans="1:24" ht="33.75" customHeight="1" x14ac:dyDescent="0.1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</row>
    <row r="847" spans="1:24" ht="33.75" customHeight="1" x14ac:dyDescent="0.1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</row>
    <row r="848" spans="1:24" ht="33.75" customHeight="1" x14ac:dyDescent="0.1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</row>
    <row r="849" spans="1:24" ht="33.75" customHeight="1" x14ac:dyDescent="0.1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</row>
    <row r="850" spans="1:24" ht="33.75" customHeight="1" x14ac:dyDescent="0.1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</row>
    <row r="851" spans="1:24" ht="33.75" customHeight="1" x14ac:dyDescent="0.1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</row>
    <row r="852" spans="1:24" ht="33.75" customHeight="1" x14ac:dyDescent="0.1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</row>
    <row r="853" spans="1:24" ht="33.75" customHeight="1" x14ac:dyDescent="0.1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</row>
    <row r="854" spans="1:24" ht="33.75" customHeight="1" x14ac:dyDescent="0.1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</row>
    <row r="855" spans="1:24" ht="33.75" customHeight="1" x14ac:dyDescent="0.1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</row>
    <row r="856" spans="1:24" ht="33.75" customHeight="1" x14ac:dyDescent="0.1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</row>
    <row r="857" spans="1:24" ht="33.75" customHeight="1" x14ac:dyDescent="0.1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</row>
    <row r="858" spans="1:24" ht="33.75" customHeight="1" x14ac:dyDescent="0.1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</row>
    <row r="859" spans="1:24" ht="33.75" customHeight="1" x14ac:dyDescent="0.1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</row>
    <row r="860" spans="1:24" ht="33.75" customHeight="1" x14ac:dyDescent="0.1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</row>
    <row r="861" spans="1:24" ht="33.75" customHeight="1" x14ac:dyDescent="0.1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</row>
    <row r="862" spans="1:24" ht="33.75" customHeight="1" x14ac:dyDescent="0.1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</row>
    <row r="863" spans="1:24" ht="33.75" customHeight="1" x14ac:dyDescent="0.1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</row>
    <row r="864" spans="1:24" ht="33.75" customHeight="1" x14ac:dyDescent="0.1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</row>
    <row r="865" spans="1:24" ht="33.75" customHeight="1" x14ac:dyDescent="0.1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</row>
    <row r="866" spans="1:24" ht="33.75" customHeight="1" x14ac:dyDescent="0.1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</row>
    <row r="867" spans="1:24" ht="33.75" customHeight="1" x14ac:dyDescent="0.1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</row>
    <row r="868" spans="1:24" ht="33.75" customHeight="1" x14ac:dyDescent="0.1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</row>
    <row r="869" spans="1:24" ht="33.75" customHeight="1" x14ac:dyDescent="0.1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</row>
    <row r="870" spans="1:24" ht="33.75" customHeight="1" x14ac:dyDescent="0.1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</row>
    <row r="871" spans="1:24" ht="33.75" customHeight="1" x14ac:dyDescent="0.1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</row>
    <row r="872" spans="1:24" ht="33.75" customHeight="1" x14ac:dyDescent="0.1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</row>
    <row r="873" spans="1:24" ht="33.75" customHeight="1" x14ac:dyDescent="0.1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</row>
    <row r="874" spans="1:24" ht="33.75" customHeight="1" x14ac:dyDescent="0.1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</row>
    <row r="875" spans="1:24" ht="33.75" customHeight="1" x14ac:dyDescent="0.1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</row>
    <row r="876" spans="1:24" ht="33.75" customHeight="1" x14ac:dyDescent="0.1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</row>
    <row r="877" spans="1:24" ht="33.75" customHeight="1" x14ac:dyDescent="0.1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</row>
    <row r="878" spans="1:24" ht="33.75" customHeight="1" x14ac:dyDescent="0.1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</row>
    <row r="879" spans="1:24" ht="33.75" customHeight="1" x14ac:dyDescent="0.1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</row>
    <row r="880" spans="1:24" ht="33.75" customHeight="1" x14ac:dyDescent="0.1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</row>
    <row r="881" spans="1:24" ht="33.75" customHeight="1" x14ac:dyDescent="0.1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</row>
    <row r="882" spans="1:24" ht="33.75" customHeight="1" x14ac:dyDescent="0.1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</row>
    <row r="883" spans="1:24" ht="33.75" customHeight="1" x14ac:dyDescent="0.1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</row>
    <row r="884" spans="1:24" ht="33.75" customHeight="1" x14ac:dyDescent="0.1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</row>
    <row r="885" spans="1:24" ht="33.75" customHeight="1" x14ac:dyDescent="0.1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</row>
    <row r="886" spans="1:24" ht="33.75" customHeight="1" x14ac:dyDescent="0.1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</row>
    <row r="887" spans="1:24" ht="33.75" customHeight="1" x14ac:dyDescent="0.1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</row>
    <row r="888" spans="1:24" ht="33.75" customHeight="1" x14ac:dyDescent="0.1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</row>
    <row r="889" spans="1:24" ht="33.75" customHeight="1" x14ac:dyDescent="0.1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</row>
    <row r="890" spans="1:24" ht="33.75" customHeight="1" x14ac:dyDescent="0.1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</row>
    <row r="891" spans="1:24" ht="33.75" customHeight="1" x14ac:dyDescent="0.1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</row>
    <row r="892" spans="1:24" ht="33.75" customHeight="1" x14ac:dyDescent="0.1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</row>
    <row r="893" spans="1:24" ht="33.75" customHeight="1" x14ac:dyDescent="0.1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</row>
    <row r="894" spans="1:24" ht="33.75" customHeight="1" x14ac:dyDescent="0.1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</row>
    <row r="895" spans="1:24" ht="33.75" customHeight="1" x14ac:dyDescent="0.1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</row>
    <row r="896" spans="1:24" ht="33.75" customHeight="1" x14ac:dyDescent="0.1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</row>
    <row r="897" spans="1:24" ht="33.75" customHeight="1" x14ac:dyDescent="0.1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</row>
    <row r="898" spans="1:24" ht="33.75" customHeight="1" x14ac:dyDescent="0.1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</row>
    <row r="899" spans="1:24" ht="33.75" customHeight="1" x14ac:dyDescent="0.1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</row>
    <row r="900" spans="1:24" ht="33.75" customHeight="1" x14ac:dyDescent="0.1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</row>
    <row r="901" spans="1:24" ht="33.75" customHeight="1" x14ac:dyDescent="0.1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</row>
    <row r="902" spans="1:24" ht="33.75" customHeight="1" x14ac:dyDescent="0.1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</row>
    <row r="903" spans="1:24" ht="33.75" customHeight="1" x14ac:dyDescent="0.1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</row>
    <row r="904" spans="1:24" ht="33.75" customHeight="1" x14ac:dyDescent="0.1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</row>
    <row r="905" spans="1:24" ht="33.75" customHeight="1" x14ac:dyDescent="0.1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</row>
    <row r="906" spans="1:24" ht="33.75" customHeight="1" x14ac:dyDescent="0.1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</row>
    <row r="907" spans="1:24" ht="33.75" customHeight="1" x14ac:dyDescent="0.1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</row>
    <row r="908" spans="1:24" ht="33.75" customHeight="1" x14ac:dyDescent="0.1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</row>
    <row r="909" spans="1:24" ht="33.75" customHeight="1" x14ac:dyDescent="0.1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</row>
    <row r="910" spans="1:24" ht="33.75" customHeight="1" x14ac:dyDescent="0.1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</row>
    <row r="911" spans="1:24" ht="33.75" customHeight="1" x14ac:dyDescent="0.1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</row>
    <row r="912" spans="1:24" ht="33.75" customHeight="1" x14ac:dyDescent="0.1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</row>
    <row r="913" spans="1:24" ht="33.75" customHeight="1" x14ac:dyDescent="0.1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</row>
    <row r="914" spans="1:24" ht="33.75" customHeight="1" x14ac:dyDescent="0.1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</row>
    <row r="915" spans="1:24" ht="33.75" customHeight="1" x14ac:dyDescent="0.1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</row>
    <row r="916" spans="1:24" ht="33.75" customHeight="1" x14ac:dyDescent="0.1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</row>
    <row r="917" spans="1:24" ht="33.75" customHeight="1" x14ac:dyDescent="0.1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</row>
    <row r="918" spans="1:24" ht="33.75" customHeight="1" x14ac:dyDescent="0.1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</row>
    <row r="919" spans="1:24" ht="33.75" customHeight="1" x14ac:dyDescent="0.1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</row>
    <row r="920" spans="1:24" ht="33.75" customHeight="1" x14ac:dyDescent="0.1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</row>
    <row r="921" spans="1:24" ht="33.75" customHeight="1" x14ac:dyDescent="0.1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</row>
    <row r="922" spans="1:24" ht="33.75" customHeight="1" x14ac:dyDescent="0.1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</row>
    <row r="923" spans="1:24" ht="33.75" customHeight="1" x14ac:dyDescent="0.1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</row>
    <row r="924" spans="1:24" ht="33.75" customHeight="1" x14ac:dyDescent="0.1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</row>
    <row r="925" spans="1:24" ht="33.75" customHeight="1" x14ac:dyDescent="0.1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</row>
    <row r="926" spans="1:24" ht="33.75" customHeight="1" x14ac:dyDescent="0.1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</row>
    <row r="927" spans="1:24" ht="33.75" customHeight="1" x14ac:dyDescent="0.1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</row>
    <row r="928" spans="1:24" ht="33.75" customHeight="1" x14ac:dyDescent="0.1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</row>
    <row r="929" spans="1:24" ht="33.75" customHeight="1" x14ac:dyDescent="0.1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</row>
    <row r="930" spans="1:24" ht="33.75" customHeight="1" x14ac:dyDescent="0.1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</row>
    <row r="931" spans="1:24" ht="33.75" customHeight="1" x14ac:dyDescent="0.1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</row>
    <row r="932" spans="1:24" ht="33.75" customHeight="1" x14ac:dyDescent="0.1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</row>
    <row r="933" spans="1:24" ht="33.75" customHeight="1" x14ac:dyDescent="0.1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</row>
    <row r="934" spans="1:24" ht="33.75" customHeight="1" x14ac:dyDescent="0.1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</row>
    <row r="935" spans="1:24" ht="33.75" customHeight="1" x14ac:dyDescent="0.1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</row>
    <row r="936" spans="1:24" ht="33.75" customHeight="1" x14ac:dyDescent="0.1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</row>
    <row r="937" spans="1:24" ht="33.75" customHeight="1" x14ac:dyDescent="0.1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</row>
    <row r="938" spans="1:24" ht="33.75" customHeight="1" x14ac:dyDescent="0.1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</row>
    <row r="939" spans="1:24" ht="33.75" customHeight="1" x14ac:dyDescent="0.1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</row>
    <row r="940" spans="1:24" ht="33.75" customHeight="1" x14ac:dyDescent="0.1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</row>
    <row r="941" spans="1:24" ht="33.75" customHeight="1" x14ac:dyDescent="0.1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</row>
    <row r="942" spans="1:24" ht="33.75" customHeight="1" x14ac:dyDescent="0.1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</row>
    <row r="943" spans="1:24" ht="33.75" customHeight="1" x14ac:dyDescent="0.1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</row>
    <row r="944" spans="1:24" ht="33.75" customHeight="1" x14ac:dyDescent="0.1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</row>
    <row r="945" spans="1:24" ht="33.75" customHeight="1" x14ac:dyDescent="0.1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</row>
    <row r="946" spans="1:24" ht="33.75" customHeight="1" x14ac:dyDescent="0.1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</row>
    <row r="947" spans="1:24" ht="33.75" customHeight="1" x14ac:dyDescent="0.1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</row>
    <row r="948" spans="1:24" ht="33.75" customHeight="1" x14ac:dyDescent="0.1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</row>
    <row r="949" spans="1:24" ht="33.75" customHeight="1" x14ac:dyDescent="0.1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</row>
    <row r="950" spans="1:24" ht="33.75" customHeight="1" x14ac:dyDescent="0.1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</row>
    <row r="951" spans="1:24" ht="33.75" customHeight="1" x14ac:dyDescent="0.1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</row>
    <row r="952" spans="1:24" ht="33.75" customHeight="1" x14ac:dyDescent="0.1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</row>
    <row r="953" spans="1:24" ht="33.75" customHeight="1" x14ac:dyDescent="0.1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</row>
    <row r="954" spans="1:24" ht="33.75" customHeight="1" x14ac:dyDescent="0.1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</row>
    <row r="955" spans="1:24" ht="33.75" customHeight="1" x14ac:dyDescent="0.1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</row>
    <row r="956" spans="1:24" ht="33.75" customHeight="1" x14ac:dyDescent="0.1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</row>
    <row r="957" spans="1:24" ht="33.75" customHeight="1" x14ac:dyDescent="0.1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</row>
    <row r="958" spans="1:24" ht="33.75" customHeight="1" x14ac:dyDescent="0.1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</row>
    <row r="959" spans="1:24" ht="33.75" customHeight="1" x14ac:dyDescent="0.1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</row>
    <row r="960" spans="1:24" ht="33.75" customHeight="1" x14ac:dyDescent="0.1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</row>
    <row r="961" spans="1:24" ht="33.75" customHeight="1" x14ac:dyDescent="0.1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</row>
    <row r="962" spans="1:24" ht="33.75" customHeight="1" x14ac:dyDescent="0.1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</row>
    <row r="963" spans="1:24" ht="33.75" customHeight="1" x14ac:dyDescent="0.1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</row>
    <row r="964" spans="1:24" ht="33.75" customHeight="1" x14ac:dyDescent="0.1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</row>
    <row r="965" spans="1:24" ht="33.75" customHeight="1" x14ac:dyDescent="0.1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</row>
    <row r="966" spans="1:24" ht="33.75" customHeight="1" x14ac:dyDescent="0.1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</row>
    <row r="967" spans="1:24" ht="33.75" customHeight="1" x14ac:dyDescent="0.1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</row>
    <row r="968" spans="1:24" ht="33.75" customHeight="1" x14ac:dyDescent="0.1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</row>
    <row r="969" spans="1:24" ht="33.75" customHeight="1" x14ac:dyDescent="0.1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</row>
    <row r="970" spans="1:24" ht="33.75" customHeight="1" x14ac:dyDescent="0.1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</row>
    <row r="971" spans="1:24" ht="33.75" customHeight="1" x14ac:dyDescent="0.1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</row>
    <row r="972" spans="1:24" ht="33.75" customHeight="1" x14ac:dyDescent="0.1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</row>
    <row r="973" spans="1:24" ht="33.75" customHeight="1" x14ac:dyDescent="0.1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</row>
    <row r="974" spans="1:24" ht="33.75" customHeight="1" x14ac:dyDescent="0.1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</row>
    <row r="975" spans="1:24" ht="33.75" customHeight="1" x14ac:dyDescent="0.1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</row>
    <row r="976" spans="1:24" ht="33.75" customHeight="1" x14ac:dyDescent="0.1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</row>
    <row r="977" spans="1:24" ht="33.75" customHeight="1" x14ac:dyDescent="0.1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</row>
    <row r="978" spans="1:24" ht="33.75" customHeight="1" x14ac:dyDescent="0.1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</row>
    <row r="979" spans="1:24" ht="33.75" customHeight="1" x14ac:dyDescent="0.1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</row>
    <row r="980" spans="1:24" ht="33.75" customHeight="1" x14ac:dyDescent="0.1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</row>
    <row r="981" spans="1:24" ht="33.75" customHeight="1" x14ac:dyDescent="0.1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</row>
    <row r="982" spans="1:24" ht="33.75" customHeight="1" x14ac:dyDescent="0.1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</row>
    <row r="983" spans="1:24" ht="33.75" customHeight="1" x14ac:dyDescent="0.1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</row>
    <row r="984" spans="1:24" ht="33.75" customHeight="1" x14ac:dyDescent="0.1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</row>
    <row r="985" spans="1:24" ht="33.75" customHeight="1" x14ac:dyDescent="0.1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</row>
    <row r="986" spans="1:24" ht="33.75" customHeight="1" x14ac:dyDescent="0.1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</row>
    <row r="987" spans="1:24" ht="33.75" customHeight="1" x14ac:dyDescent="0.1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</row>
    <row r="988" spans="1:24" ht="33.75" customHeight="1" x14ac:dyDescent="0.1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</row>
    <row r="989" spans="1:24" ht="33.75" customHeight="1" x14ac:dyDescent="0.1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</row>
    <row r="990" spans="1:24" ht="33.75" customHeight="1" x14ac:dyDescent="0.1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</row>
    <row r="991" spans="1:24" ht="33.75" customHeight="1" x14ac:dyDescent="0.1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</row>
    <row r="992" spans="1:24" ht="33.75" customHeight="1" x14ac:dyDescent="0.1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</row>
    <row r="993" spans="1:24" ht="33.75" customHeight="1" x14ac:dyDescent="0.1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</row>
    <row r="994" spans="1:24" ht="33.75" customHeight="1" x14ac:dyDescent="0.1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</row>
    <row r="995" spans="1:24" ht="33.75" customHeight="1" x14ac:dyDescent="0.1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</row>
    <row r="996" spans="1:24" ht="33.75" customHeight="1" x14ac:dyDescent="0.1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</row>
  </sheetData>
  <hyperlinks>
    <hyperlink ref="J2" r:id="rId1" display="https://drive.google.com/open?id=1pFZMSg0U5JTeBIAvD-st02kTb3uFM-8Z" xr:uid="{00000000-0004-0000-0B00-000000000000}"/>
    <hyperlink ref="J3" r:id="rId2" display="https://drive.google.com/open?id=1A27DXNoiss-Gco3r7lf4BKFY1X0B1UjN" xr:uid="{00000000-0004-0000-0B00-000001000000}"/>
    <hyperlink ref="J4" r:id="rId3" display="https://drive.google.com/open?id=1Kwci2O8yMxhrJdcfh3GEfc9JIKNlizun" xr:uid="{00000000-0004-0000-0B00-000002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Y996"/>
  <sheetViews>
    <sheetView workbookViewId="0"/>
  </sheetViews>
  <sheetFormatPr baseColWidth="10" defaultColWidth="12.6640625" defaultRowHeight="15.75" customHeight="1" x14ac:dyDescent="0.15"/>
  <cols>
    <col min="1" max="1" width="40" customWidth="1"/>
    <col min="2" max="2" width="11.33203125" customWidth="1"/>
    <col min="3" max="3" width="13.1640625" customWidth="1"/>
    <col min="4" max="4" width="62.1640625" customWidth="1"/>
    <col min="5" max="5" width="18.1640625" customWidth="1"/>
    <col min="6" max="6" width="56.1640625" customWidth="1"/>
    <col min="7" max="7" width="65" customWidth="1"/>
    <col min="8" max="8" width="15.1640625" customWidth="1"/>
    <col min="9" max="9" width="17.5" customWidth="1"/>
    <col min="10" max="10" width="29.33203125" customWidth="1"/>
    <col min="11" max="11" width="10.1640625" customWidth="1"/>
  </cols>
  <sheetData>
    <row r="1" spans="1:25" ht="33.75" customHeight="1" x14ac:dyDescent="0.15">
      <c r="A1" s="64" t="s">
        <v>25</v>
      </c>
      <c r="B1" s="64" t="s">
        <v>26</v>
      </c>
      <c r="C1" s="64" t="s">
        <v>68</v>
      </c>
      <c r="D1" s="64" t="s">
        <v>3890</v>
      </c>
      <c r="E1" s="64" t="s">
        <v>94</v>
      </c>
      <c r="F1" s="64" t="s">
        <v>3891</v>
      </c>
      <c r="G1" s="64" t="s">
        <v>90</v>
      </c>
      <c r="H1" s="15" t="s">
        <v>24</v>
      </c>
      <c r="I1" s="14" t="s">
        <v>1</v>
      </c>
      <c r="J1" s="15" t="s">
        <v>113</v>
      </c>
      <c r="K1" s="15" t="s">
        <v>114</v>
      </c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</row>
    <row r="2" spans="1:25" ht="33.75" customHeight="1" x14ac:dyDescent="0.15">
      <c r="A2" s="59" t="str">
        <f ca="1">IFERROR(__xludf.DUMMYFUNCTION("QUERY(MasterData!A1:NK11244,""select DX,DY,DZ,EA,EB,EC,ED,B,C,FL,FM where C='S11: Student Awards'"",0)"),"Kundrapu Jayanth Naidu")</f>
        <v>Kundrapu Jayanth Naidu</v>
      </c>
      <c r="B2" s="59" t="str">
        <f ca="1">IFERROR(__xludf.DUMMYFUNCTION("""COMPUTED_VALUE"""),"18331A0582")</f>
        <v>18331A0582</v>
      </c>
      <c r="C2" s="59" t="str">
        <f ca="1">IFERROR(__xludf.DUMMYFUNCTION("""COMPUTED_VALUE"""),"2019-2020")</f>
        <v>2019-2020</v>
      </c>
      <c r="D2" s="59" t="str">
        <f ca="1">IFERROR(__xludf.DUMMYFUNCTION("""COMPUTED_VALUE"""),"State level 2nd Position in Python Programming")</f>
        <v>State level 2nd Position in Python Programming</v>
      </c>
      <c r="E2" s="70">
        <f ca="1">IFERROR(__xludf.DUMMYFUNCTION("""COMPUTED_VALUE"""),43897)</f>
        <v>43897</v>
      </c>
      <c r="F2" s="59" t="str">
        <f ca="1">IFERROR(__xludf.DUMMYFUNCTION("""COMPUTED_VALUE"""),"SAE INDIA")</f>
        <v>SAE INDIA</v>
      </c>
      <c r="G2" s="71" t="str">
        <f ca="1">IFERROR(__xludf.DUMMYFUNCTION("""COMPUTED_VALUE"""),"https://drive.google.com/open?id=1gn3ikCIhs-dev83eRRxjViW8zJF-T-k7")</f>
        <v>https://drive.google.com/open?id=1gn3ikCIhs-dev83eRRxjViW8zJF-T-k7</v>
      </c>
      <c r="H2" s="59" t="str">
        <f ca="1">IFERROR(__xludf.DUMMYFUNCTION("""COMPUTED_VALUE"""),"5")</f>
        <v>5</v>
      </c>
      <c r="I2" s="59" t="str">
        <f ca="1">IFERROR(__xludf.DUMMYFUNCTION("""COMPUTED_VALUE"""),"S11: Student Awards")</f>
        <v>S11: Student Awards</v>
      </c>
      <c r="J2" s="59" t="str">
        <f ca="1">IFERROR(__xludf.DUMMYFUNCTION("""COMPUTED_VALUE"""),"18331a0582@mvgrce.edu.in")</f>
        <v>18331a0582@mvgrce.edu.in</v>
      </c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</row>
    <row r="3" spans="1:25" ht="33.75" customHeight="1" x14ac:dyDescent="0.15">
      <c r="A3" s="59" t="str">
        <f ca="1">IFERROR(__xludf.DUMMYFUNCTION("""COMPUTED_VALUE"""),"Joshini Sabbavarapu")</f>
        <v>Joshini Sabbavarapu</v>
      </c>
      <c r="B3" s="59" t="str">
        <f ca="1">IFERROR(__xludf.DUMMYFUNCTION("""COMPUTED_VALUE"""),"19335A0515")</f>
        <v>19335A0515</v>
      </c>
      <c r="C3" s="59" t="str">
        <f ca="1">IFERROR(__xludf.DUMMYFUNCTION("""COMPUTED_VALUE"""),"2020-2021")</f>
        <v>2020-2021</v>
      </c>
      <c r="D3" s="59" t="str">
        <f ca="1">IFERROR(__xludf.DUMMYFUNCTION("""COMPUTED_VALUE"""),"securing 1st postion in the competition named PLACEAZA QUIZZ")</f>
        <v>securing 1st postion in the competition named PLACEAZA QUIZZ</v>
      </c>
      <c r="E3" s="70">
        <f ca="1">IFERROR(__xludf.DUMMYFUNCTION("""COMPUTED_VALUE"""),44339)</f>
        <v>44339</v>
      </c>
      <c r="F3" s="59" t="str">
        <f ca="1">IFERROR(__xludf.DUMMYFUNCTION("""COMPUTED_VALUE"""),"GMR Institute of Technology")</f>
        <v>GMR Institute of Technology</v>
      </c>
      <c r="G3" s="71" t="str">
        <f ca="1">IFERROR(__xludf.DUMMYFUNCTION("""COMPUTED_VALUE"""),"https://drive.google.com/open?id=1mtbP1QQNgrt8Quklkt73D96IAgRWsd43")</f>
        <v>https://drive.google.com/open?id=1mtbP1QQNgrt8Quklkt73D96IAgRWsd43</v>
      </c>
      <c r="H3" s="59" t="str">
        <f ca="1">IFERROR(__xludf.DUMMYFUNCTION("""COMPUTED_VALUE"""),"2018-2022")</f>
        <v>2018-2022</v>
      </c>
      <c r="I3" s="59" t="str">
        <f ca="1">IFERROR(__xludf.DUMMYFUNCTION("""COMPUTED_VALUE"""),"S11: Student Awards")</f>
        <v>S11: Student Awards</v>
      </c>
      <c r="J3" s="59" t="str">
        <f ca="1">IFERROR(__xludf.DUMMYFUNCTION("""COMPUTED_VALUE"""),"joshini747@gmail.com")</f>
        <v>joshini747@gmail.com</v>
      </c>
      <c r="K3" s="59" t="str">
        <f ca="1">IFERROR(__xludf.DUMMYFUNCTION("""COMPUTED_VALUE"""),"SEM-6")</f>
        <v>SEM-6</v>
      </c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</row>
    <row r="4" spans="1:25" ht="33.75" customHeight="1" x14ac:dyDescent="0.15">
      <c r="A4" s="59" t="str">
        <f ca="1">IFERROR(__xludf.DUMMYFUNCTION("""COMPUTED_VALUE"""),"SANAPALA SAI NEERAJ")</f>
        <v>SANAPALA SAI NEERAJ</v>
      </c>
      <c r="B4" s="59" t="str">
        <f ca="1">IFERROR(__xludf.DUMMYFUNCTION("""COMPUTED_VALUE"""),"18331A05D6")</f>
        <v>18331A05D6</v>
      </c>
      <c r="C4" s="59" t="str">
        <f ca="1">IFERROR(__xludf.DUMMYFUNCTION("""COMPUTED_VALUE"""),"2020-2021")</f>
        <v>2020-2021</v>
      </c>
      <c r="D4" s="59" t="str">
        <f ca="1">IFERROR(__xludf.DUMMYFUNCTION("""COMPUTED_VALUE"""),"NCC  - ""B"" CERTIFICATE")</f>
        <v>NCC  - "B" CERTIFICATE</v>
      </c>
      <c r="E4" s="70">
        <f ca="1">IFERROR(__xludf.DUMMYFUNCTION("""COMPUTED_VALUE"""),44623)</f>
        <v>44623</v>
      </c>
      <c r="F4" s="59" t="str">
        <f ca="1">IFERROR(__xludf.DUMMYFUNCTION("""COMPUTED_VALUE"""),"MINISTRY OF DEFENCE(INDIA)")</f>
        <v>MINISTRY OF DEFENCE(INDIA)</v>
      </c>
      <c r="G4" s="71" t="str">
        <f ca="1">IFERROR(__xludf.DUMMYFUNCTION("""COMPUTED_VALUE"""),"https://drive.google.com/open?id=1ePQdQjmHPiagxHQtHPNkmgkhs0CpKRVk")</f>
        <v>https://drive.google.com/open?id=1ePQdQjmHPiagxHQtHPNkmgkhs0CpKRVk</v>
      </c>
      <c r="H4" s="59" t="str">
        <f ca="1">IFERROR(__xludf.DUMMYFUNCTION("""COMPUTED_VALUE"""),"2018-2022")</f>
        <v>2018-2022</v>
      </c>
      <c r="I4" s="59" t="str">
        <f ca="1">IFERROR(__xludf.DUMMYFUNCTION("""COMPUTED_VALUE"""),"S11: Student Awards")</f>
        <v>S11: Student Awards</v>
      </c>
      <c r="J4" s="59" t="str">
        <f ca="1">IFERROR(__xludf.DUMMYFUNCTION("""COMPUTED_VALUE"""),"sanapala.saineeraj4000@gmail.com")</f>
        <v>sanapala.saineeraj4000@gmail.com</v>
      </c>
      <c r="K4" s="59" t="str">
        <f ca="1">IFERROR(__xludf.DUMMYFUNCTION("""COMPUTED_VALUE"""),"SEM-8")</f>
        <v>SEM-8</v>
      </c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</row>
    <row r="5" spans="1:25" ht="33.75" customHeight="1" x14ac:dyDescent="0.15">
      <c r="A5" s="59" t="str">
        <f ca="1">IFERROR(__xludf.DUMMYFUNCTION("""COMPUTED_VALUE"""),"ganta manoj kumar")</f>
        <v>ganta manoj kumar</v>
      </c>
      <c r="B5" s="59" t="str">
        <f ca="1">IFERROR(__xludf.DUMMYFUNCTION("""COMPUTED_VALUE"""),"18331A0542")</f>
        <v>18331A0542</v>
      </c>
      <c r="C5" s="59" t="str">
        <f ca="1">IFERROR(__xludf.DUMMYFUNCTION("""COMPUTED_VALUE"""),"2020-2021")</f>
        <v>2020-2021</v>
      </c>
      <c r="D5" s="59" t="str">
        <f ca="1">IFERROR(__xludf.DUMMYFUNCTION("""COMPUTED_VALUE"""),"participation in hackathon")</f>
        <v>participation in hackathon</v>
      </c>
      <c r="E5" s="70">
        <f ca="1">IFERROR(__xludf.DUMMYFUNCTION("""COMPUTED_VALUE"""),44523)</f>
        <v>44523</v>
      </c>
      <c r="F5" s="59" t="str">
        <f ca="1">IFERROR(__xludf.DUMMYFUNCTION("""COMPUTED_VALUE"""),"virtusa")</f>
        <v>virtusa</v>
      </c>
      <c r="G5" s="71" t="str">
        <f ca="1">IFERROR(__xludf.DUMMYFUNCTION("""COMPUTED_VALUE"""),"https://drive.google.com/open?id=1G4WFlSvqJ_jZjUheUgUalNNZL1kQmzhN")</f>
        <v>https://drive.google.com/open?id=1G4WFlSvqJ_jZjUheUgUalNNZL1kQmzhN</v>
      </c>
      <c r="H5" s="59" t="str">
        <f ca="1">IFERROR(__xludf.DUMMYFUNCTION("""COMPUTED_VALUE"""),"2018-2022")</f>
        <v>2018-2022</v>
      </c>
      <c r="I5" s="59" t="str">
        <f ca="1">IFERROR(__xludf.DUMMYFUNCTION("""COMPUTED_VALUE"""),"S11: Student Awards")</f>
        <v>S11: Student Awards</v>
      </c>
      <c r="J5" s="59" t="str">
        <f ca="1">IFERROR(__xludf.DUMMYFUNCTION("""COMPUTED_VALUE"""),"gmanoj2k08@gmail.com")</f>
        <v>gmanoj2k08@gmail.com</v>
      </c>
      <c r="K5" s="59" t="str">
        <f ca="1">IFERROR(__xludf.DUMMYFUNCTION("""COMPUTED_VALUE"""),"SEM-6")</f>
        <v>SEM-6</v>
      </c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</row>
    <row r="6" spans="1:25" ht="33.75" customHeight="1" x14ac:dyDescent="0.15">
      <c r="A6" s="59" t="str">
        <f ca="1">IFERROR(__xludf.DUMMYFUNCTION("""COMPUTED_VALUE"""),"Jayanth Naidu Kundrapu")</f>
        <v>Jayanth Naidu Kundrapu</v>
      </c>
      <c r="B6" s="59" t="str">
        <f ca="1">IFERROR(__xludf.DUMMYFUNCTION("""COMPUTED_VALUE"""),"18331A0582")</f>
        <v>18331A0582</v>
      </c>
      <c r="C6" s="59" t="str">
        <f ca="1">IFERROR(__xludf.DUMMYFUNCTION("""COMPUTED_VALUE"""),"2019-2020")</f>
        <v>2019-2020</v>
      </c>
      <c r="D6" s="59" t="str">
        <f ca="1">IFERROR(__xludf.DUMMYFUNCTION("""COMPUTED_VALUE"""),"2nd Position in TIER 2 Python Programming Competition ")</f>
        <v xml:space="preserve">2nd Position in TIER 2 Python Programming Competition </v>
      </c>
      <c r="E6" s="70">
        <f ca="1">IFERROR(__xludf.DUMMYFUNCTION("""COMPUTED_VALUE"""),43899)</f>
        <v>43899</v>
      </c>
      <c r="F6" s="59" t="str">
        <f ca="1">IFERROR(__xludf.DUMMYFUNCTION("""COMPUTED_VALUE"""),"SAE INDIA")</f>
        <v>SAE INDIA</v>
      </c>
      <c r="G6" s="71" t="str">
        <f ca="1">IFERROR(__xludf.DUMMYFUNCTION("""COMPUTED_VALUE"""),"https://drive.google.com/open?id=1ERO6TVwxYl1AFWaNaYPJyUygy_Alj8rw")</f>
        <v>https://drive.google.com/open?id=1ERO6TVwxYl1AFWaNaYPJyUygy_Alj8rw</v>
      </c>
      <c r="H6" s="59" t="str">
        <f ca="1">IFERROR(__xludf.DUMMYFUNCTION("""COMPUTED_VALUE"""),"2018-2022")</f>
        <v>2018-2022</v>
      </c>
      <c r="I6" s="59" t="str">
        <f ca="1">IFERROR(__xludf.DUMMYFUNCTION("""COMPUTED_VALUE"""),"S11: Student Awards")</f>
        <v>S11: Student Awards</v>
      </c>
      <c r="J6" s="59" t="str">
        <f ca="1">IFERROR(__xludf.DUMMYFUNCTION("""COMPUTED_VALUE"""),"jayanth.kundrapu013@gmail.com")</f>
        <v>jayanth.kundrapu013@gmail.com</v>
      </c>
      <c r="K6" s="59" t="str">
        <f ca="1">IFERROR(__xludf.DUMMYFUNCTION("""COMPUTED_VALUE"""),"SEM-8")</f>
        <v>SEM-8</v>
      </c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</row>
    <row r="7" spans="1:25" ht="33.75" customHeight="1" x14ac:dyDescent="0.15">
      <c r="A7" s="59" t="str">
        <f ca="1">IFERROR(__xludf.DUMMYFUNCTION("""COMPUTED_VALUE"""),"LATCHUBUKTHA SUTESH")</f>
        <v>LATCHUBUKTHA SUTESH</v>
      </c>
      <c r="B7" s="59" t="str">
        <f ca="1">IFERROR(__xludf.DUMMYFUNCTION("""COMPUTED_VALUE"""),"18331A0588")</f>
        <v>18331A0588</v>
      </c>
      <c r="C7" s="59" t="str">
        <f ca="1">IFERROR(__xludf.DUMMYFUNCTION("""COMPUTED_VALUE"""),"2021-2022")</f>
        <v>2021-2022</v>
      </c>
      <c r="D7" s="59" t="str">
        <f ca="1">IFERROR(__xludf.DUMMYFUNCTION("""COMPUTED_VALUE"""),"Top performer in tcs hackathon")</f>
        <v>Top performer in tcs hackathon</v>
      </c>
      <c r="E7" s="70">
        <f ca="1">IFERROR(__xludf.DUMMYFUNCTION("""COMPUTED_VALUE"""),44618)</f>
        <v>44618</v>
      </c>
      <c r="F7" s="59" t="str">
        <f ca="1">IFERROR(__xludf.DUMMYFUNCTION("""COMPUTED_VALUE"""),"TCS ")</f>
        <v xml:space="preserve">TCS </v>
      </c>
      <c r="G7" s="71" t="str">
        <f ca="1">IFERROR(__xludf.DUMMYFUNCTION("""COMPUTED_VALUE"""),"https://drive.google.com/open?id=1bBYyu0DE3yVgrgfKcr-yZxyqJ5zXhHaF")</f>
        <v>https://drive.google.com/open?id=1bBYyu0DE3yVgrgfKcr-yZxyqJ5zXhHaF</v>
      </c>
      <c r="H7" s="59" t="str">
        <f ca="1">IFERROR(__xludf.DUMMYFUNCTION("""COMPUTED_VALUE"""),"2018-2022")</f>
        <v>2018-2022</v>
      </c>
      <c r="I7" s="59" t="str">
        <f ca="1">IFERROR(__xludf.DUMMYFUNCTION("""COMPUTED_VALUE"""),"S11: Student Awards")</f>
        <v>S11: Student Awards</v>
      </c>
      <c r="J7" s="59" t="str">
        <f ca="1">IFERROR(__xludf.DUMMYFUNCTION("""COMPUTED_VALUE"""),"latchubukthasutesh9@gmail.com")</f>
        <v>latchubukthasutesh9@gmail.com</v>
      </c>
      <c r="K7" s="59" t="str">
        <f ca="1">IFERROR(__xludf.DUMMYFUNCTION("""COMPUTED_VALUE"""),"SEM-8")</f>
        <v>SEM-8</v>
      </c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</row>
    <row r="8" spans="1:25" ht="33.75" customHeight="1" x14ac:dyDescent="0.15">
      <c r="A8" s="59" t="str">
        <f ca="1">IFERROR(__xludf.DUMMYFUNCTION("""COMPUTED_VALUE"""),"sruthi")</f>
        <v>sruthi</v>
      </c>
      <c r="B8" s="59" t="str">
        <f ca="1">IFERROR(__xludf.DUMMYFUNCTION("""COMPUTED_VALUE"""),"18331A05C5")</f>
        <v>18331A05C5</v>
      </c>
      <c r="C8" s="59" t="str">
        <f ca="1">IFERROR(__xludf.DUMMYFUNCTION("""COMPUTED_VALUE"""),"2018-2019")</f>
        <v>2018-2019</v>
      </c>
      <c r="D8" s="59" t="str">
        <f ca="1">IFERROR(__xludf.DUMMYFUNCTION("""COMPUTED_VALUE"""),"CREATIVE AD MAKING")</f>
        <v>CREATIVE AD MAKING</v>
      </c>
      <c r="E8" s="70">
        <f ca="1">IFERROR(__xludf.DUMMYFUNCTION("""COMPUTED_VALUE"""),43358)</f>
        <v>43358</v>
      </c>
      <c r="F8" s="59" t="str">
        <f ca="1">IFERROR(__xludf.DUMMYFUNCTION("""COMPUTED_VALUE"""),"MVGR")</f>
        <v>MVGR</v>
      </c>
      <c r="G8" s="71" t="str">
        <f ca="1">IFERROR(__xludf.DUMMYFUNCTION("""COMPUTED_VALUE"""),"https://drive.google.com/open?id=1fgbpRkkKznyY-PKI5Dnda_W7Byo0CdFa")</f>
        <v>https://drive.google.com/open?id=1fgbpRkkKznyY-PKI5Dnda_W7Byo0CdFa</v>
      </c>
      <c r="H8" s="59" t="str">
        <f ca="1">IFERROR(__xludf.DUMMYFUNCTION("""COMPUTED_VALUE"""),"2018-2022")</f>
        <v>2018-2022</v>
      </c>
      <c r="I8" s="59" t="str">
        <f ca="1">IFERROR(__xludf.DUMMYFUNCTION("""COMPUTED_VALUE"""),"S11: Student Awards")</f>
        <v>S11: Student Awards</v>
      </c>
      <c r="J8" s="59" t="str">
        <f ca="1">IFERROR(__xludf.DUMMYFUNCTION("""COMPUTED_VALUE"""),"sruthirokalla369@gmail.com")</f>
        <v>sruthirokalla369@gmail.com</v>
      </c>
      <c r="K8" s="59" t="str">
        <f ca="1">IFERROR(__xludf.DUMMYFUNCTION("""COMPUTED_VALUE"""),"SEM-8")</f>
        <v>SEM-8</v>
      </c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</row>
    <row r="9" spans="1:25" ht="33.75" customHeight="1" x14ac:dyDescent="0.15">
      <c r="A9" s="59" t="str">
        <f ca="1">IFERROR(__xludf.DUMMYFUNCTION("""COMPUTED_VALUE"""),"sruthi")</f>
        <v>sruthi</v>
      </c>
      <c r="B9" s="59" t="str">
        <f ca="1">IFERROR(__xludf.DUMMYFUNCTION("""COMPUTED_VALUE"""),"18331A05C5")</f>
        <v>18331A05C5</v>
      </c>
      <c r="C9" s="59" t="str">
        <f ca="1">IFERROR(__xludf.DUMMYFUNCTION("""COMPUTED_VALUE"""),"2019-2020")</f>
        <v>2019-2020</v>
      </c>
      <c r="D9" s="59" t="str">
        <f ca="1">IFERROR(__xludf.DUMMYFUNCTION("""COMPUTED_VALUE"""),"Hackathon")</f>
        <v>Hackathon</v>
      </c>
      <c r="E9" s="70">
        <f ca="1">IFERROR(__xludf.DUMMYFUNCTION("""COMPUTED_VALUE"""),44194)</f>
        <v>44194</v>
      </c>
      <c r="F9" s="59" t="str">
        <f ca="1">IFERROR(__xludf.DUMMYFUNCTION("""COMPUTED_VALUE"""),"ANITS")</f>
        <v>ANITS</v>
      </c>
      <c r="G9" s="71" t="str">
        <f ca="1">IFERROR(__xludf.DUMMYFUNCTION("""COMPUTED_VALUE"""),"https://drive.google.com/open?id=12KkFitX19-ii4YF7cu-Zw7LKTTP6wTY1")</f>
        <v>https://drive.google.com/open?id=12KkFitX19-ii4YF7cu-Zw7LKTTP6wTY1</v>
      </c>
      <c r="H9" s="59" t="str">
        <f ca="1">IFERROR(__xludf.DUMMYFUNCTION("""COMPUTED_VALUE"""),"2018-2022")</f>
        <v>2018-2022</v>
      </c>
      <c r="I9" s="59" t="str">
        <f ca="1">IFERROR(__xludf.DUMMYFUNCTION("""COMPUTED_VALUE"""),"S11: Student Awards")</f>
        <v>S11: Student Awards</v>
      </c>
      <c r="J9" s="59" t="str">
        <f ca="1">IFERROR(__xludf.DUMMYFUNCTION("""COMPUTED_VALUE"""),"sruthirokalla369@gmail.com")</f>
        <v>sruthirokalla369@gmail.com</v>
      </c>
      <c r="K9" s="59" t="str">
        <f ca="1">IFERROR(__xludf.DUMMYFUNCTION("""COMPUTED_VALUE"""),"SEM-8")</f>
        <v>SEM-8</v>
      </c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</row>
    <row r="10" spans="1:25" ht="33.75" customHeight="1" x14ac:dyDescent="0.15">
      <c r="A10" s="59" t="str">
        <f ca="1">IFERROR(__xludf.DUMMYFUNCTION("""COMPUTED_VALUE"""),"V Sowdamini")</f>
        <v>V Sowdamini</v>
      </c>
      <c r="B10" s="59" t="str">
        <f ca="1">IFERROR(__xludf.DUMMYFUNCTION("""COMPUTED_VALUE"""),"19335A0517")</f>
        <v>19335A0517</v>
      </c>
      <c r="C10" s="59" t="str">
        <f ca="1">IFERROR(__xludf.DUMMYFUNCTION("""COMPUTED_VALUE"""),"2021-2022")</f>
        <v>2021-2022</v>
      </c>
      <c r="D10" s="59" t="str">
        <f ca="1">IFERROR(__xludf.DUMMYFUNCTION("""COMPUTED_VALUE"""),"   Solo senior dance competition")</f>
        <v xml:space="preserve">   Solo senior dance competition</v>
      </c>
      <c r="E10" s="70">
        <f ca="1">IFERROR(__xludf.DUMMYFUNCTION("""COMPUTED_VALUE"""),44549)</f>
        <v>44549</v>
      </c>
      <c r="F10" s="59" t="str">
        <f ca="1">IFERROR(__xludf.DUMMYFUNCTION("""COMPUTED_VALUE"""),"Maks dance studio and fitness")</f>
        <v>Maks dance studio and fitness</v>
      </c>
      <c r="G10" s="71" t="str">
        <f ca="1">IFERROR(__xludf.DUMMYFUNCTION("""COMPUTED_VALUE"""),"https://drive.google.com/open?id=1TV9WHLuDDCpqYakrw3vT8Q4B94v1NnqP")</f>
        <v>https://drive.google.com/open?id=1TV9WHLuDDCpqYakrw3vT8Q4B94v1NnqP</v>
      </c>
      <c r="H10" s="59" t="str">
        <f ca="1">IFERROR(__xludf.DUMMYFUNCTION("""COMPUTED_VALUE"""),"2018-2022")</f>
        <v>2018-2022</v>
      </c>
      <c r="I10" s="59" t="str">
        <f ca="1">IFERROR(__xludf.DUMMYFUNCTION("""COMPUTED_VALUE"""),"S11: Student Awards")</f>
        <v>S11: Student Awards</v>
      </c>
      <c r="J10" s="59" t="str">
        <f ca="1">IFERROR(__xludf.DUMMYFUNCTION("""COMPUTED_VALUE"""),"gmanoj2k08@gmail.com")</f>
        <v>gmanoj2k08@gmail.com</v>
      </c>
      <c r="K10" s="59" t="str">
        <f ca="1">IFERROR(__xludf.DUMMYFUNCTION("""COMPUTED_VALUE"""),"SEM-7")</f>
        <v>SEM-7</v>
      </c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</row>
    <row r="11" spans="1:25" ht="33.75" customHeight="1" x14ac:dyDescent="0.15">
      <c r="A11" s="59" t="str">
        <f ca="1">IFERROR(__xludf.DUMMYFUNCTION("""COMPUTED_VALUE"""),"Korlapu. Neelima")</f>
        <v>Korlapu. Neelima</v>
      </c>
      <c r="B11" s="59" t="str">
        <f ca="1">IFERROR(__xludf.DUMMYFUNCTION("""COMPUTED_VALUE"""),"19335A0508")</f>
        <v>19335A0508</v>
      </c>
      <c r="C11" s="59" t="str">
        <f ca="1">IFERROR(__xludf.DUMMYFUNCTION("""COMPUTED_VALUE"""),"2019-2020")</f>
        <v>2019-2020</v>
      </c>
      <c r="D11" s="59" t="str">
        <f ca="1">IFERROR(__xludf.DUMMYFUNCTION("""COMPUTED_VALUE"""),"certificate for appreciation")</f>
        <v>certificate for appreciation</v>
      </c>
      <c r="E11" s="70">
        <f ca="1">IFERROR(__xludf.DUMMYFUNCTION("""COMPUTED_VALUE"""),43979)</f>
        <v>43979</v>
      </c>
      <c r="F11" s="59" t="str">
        <f ca="1">IFERROR(__xludf.DUMMYFUNCTION("""COMPUTED_VALUE"""),"Vignan's Institute of Engineering For Women")</f>
        <v>Vignan's Institute of Engineering For Women</v>
      </c>
      <c r="G11" s="71" t="str">
        <f ca="1">IFERROR(__xludf.DUMMYFUNCTION("""COMPUTED_VALUE"""),"https://drive.google.com/open?id=1a7_i4mBy91rc-1wnj7fXUZe2lgdZ_dUp")</f>
        <v>https://drive.google.com/open?id=1a7_i4mBy91rc-1wnj7fXUZe2lgdZ_dUp</v>
      </c>
      <c r="H11" s="59" t="str">
        <f ca="1">IFERROR(__xludf.DUMMYFUNCTION("""COMPUTED_VALUE"""),"2018-2022")</f>
        <v>2018-2022</v>
      </c>
      <c r="I11" s="59" t="str">
        <f ca="1">IFERROR(__xludf.DUMMYFUNCTION("""COMPUTED_VALUE"""),"S11: Student Awards")</f>
        <v>S11: Student Awards</v>
      </c>
      <c r="J11" s="59" t="str">
        <f ca="1">IFERROR(__xludf.DUMMYFUNCTION("""COMPUTED_VALUE"""),"kneelima2001@gmail.com")</f>
        <v>kneelima2001@gmail.com</v>
      </c>
      <c r="K11" s="59" t="str">
        <f ca="1">IFERROR(__xludf.DUMMYFUNCTION("""COMPUTED_VALUE"""),"SEM-4")</f>
        <v>SEM-4</v>
      </c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</row>
    <row r="12" spans="1:25" ht="33.75" customHeight="1" x14ac:dyDescent="0.15">
      <c r="A12" s="59" t="str">
        <f ca="1">IFERROR(__xludf.DUMMYFUNCTION("""COMPUTED_VALUE"""),"Nalli Anusha")</f>
        <v>Nalli Anusha</v>
      </c>
      <c r="B12" s="59" t="str">
        <f ca="1">IFERROR(__xludf.DUMMYFUNCTION("""COMPUTED_VALUE"""),"18331A05A7")</f>
        <v>18331A05A7</v>
      </c>
      <c r="C12" s="59" t="str">
        <f ca="1">IFERROR(__xludf.DUMMYFUNCTION("""COMPUTED_VALUE"""),"2019-2020")</f>
        <v>2019-2020</v>
      </c>
      <c r="D12" s="59" t="str">
        <f ca="1">IFERROR(__xludf.DUMMYFUNCTION("""COMPUTED_VALUE"""),"SQL e-QUIZ")</f>
        <v>SQL e-QUIZ</v>
      </c>
      <c r="E12" s="70">
        <f ca="1">IFERROR(__xludf.DUMMYFUNCTION("""COMPUTED_VALUE"""),43979)</f>
        <v>43979</v>
      </c>
      <c r="F12" s="59" t="str">
        <f ca="1">IFERROR(__xludf.DUMMYFUNCTION("""COMPUTED_VALUE"""),"VIGNAN'S INSTITUTE OF ENGINEERING FOR WOMEN")</f>
        <v>VIGNAN'S INSTITUTE OF ENGINEERING FOR WOMEN</v>
      </c>
      <c r="G12" s="71" t="str">
        <f ca="1">IFERROR(__xludf.DUMMYFUNCTION("""COMPUTED_VALUE"""),"https://drive.google.com/open?id=1cj6KMrfRUN35LIBGgAZrYmyvlNpJT8rK")</f>
        <v>https://drive.google.com/open?id=1cj6KMrfRUN35LIBGgAZrYmyvlNpJT8rK</v>
      </c>
      <c r="H12" s="59" t="str">
        <f ca="1">IFERROR(__xludf.DUMMYFUNCTION("""COMPUTED_VALUE"""),"2018-2022")</f>
        <v>2018-2022</v>
      </c>
      <c r="I12" s="59" t="str">
        <f ca="1">IFERROR(__xludf.DUMMYFUNCTION("""COMPUTED_VALUE"""),"S11: Student Awards")</f>
        <v>S11: Student Awards</v>
      </c>
      <c r="J12" s="59" t="str">
        <f ca="1">IFERROR(__xludf.DUMMYFUNCTION("""COMPUTED_VALUE"""),"anushanalli18@gmail.com")</f>
        <v>anushanalli18@gmail.com</v>
      </c>
      <c r="K12" s="59" t="str">
        <f ca="1">IFERROR(__xludf.DUMMYFUNCTION("""COMPUTED_VALUE"""),"SEM-8")</f>
        <v>SEM-8</v>
      </c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</row>
    <row r="13" spans="1:25" ht="33.75" customHeight="1" x14ac:dyDescent="0.15">
      <c r="A13" s="59" t="str">
        <f ca="1">IFERROR(__xludf.DUMMYFUNCTION("""COMPUTED_VALUE"""),"Yegireddi sharmila")</f>
        <v>Yegireddi sharmila</v>
      </c>
      <c r="B13" s="59" t="str">
        <f ca="1">IFERROR(__xludf.DUMMYFUNCTION("""COMPUTED_VALUE"""),"19335A0519")</f>
        <v>19335A0519</v>
      </c>
      <c r="C13" s="59" t="str">
        <f ca="1">IFERROR(__xludf.DUMMYFUNCTION("""COMPUTED_VALUE"""),"2019-2020")</f>
        <v>2019-2020</v>
      </c>
      <c r="D13" s="59" t="str">
        <f ca="1">IFERROR(__xludf.DUMMYFUNCTION("""COMPUTED_VALUE"""),"1 st prize in newsreel a contest on current affairs")</f>
        <v>1 st prize in newsreel a contest on current affairs</v>
      </c>
      <c r="E13" s="70">
        <f ca="1">IFERROR(__xludf.DUMMYFUNCTION("""COMPUTED_VALUE"""),44128)</f>
        <v>44128</v>
      </c>
      <c r="F13" s="59" t="str">
        <f ca="1">IFERROR(__xludf.DUMMYFUNCTION("""COMPUTED_VALUE"""),"GMRIT ")</f>
        <v xml:space="preserve">GMRIT </v>
      </c>
      <c r="G13" s="71" t="str">
        <f ca="1">IFERROR(__xludf.DUMMYFUNCTION("""COMPUTED_VALUE"""),"https://drive.google.com/open?id=13SNgW7VupL2K7SWxmqQnnrjTaqBBbZcq")</f>
        <v>https://drive.google.com/open?id=13SNgW7VupL2K7SWxmqQnnrjTaqBBbZcq</v>
      </c>
      <c r="H13" s="59" t="str">
        <f ca="1">IFERROR(__xludf.DUMMYFUNCTION("""COMPUTED_VALUE"""),"2018-2022")</f>
        <v>2018-2022</v>
      </c>
      <c r="I13" s="59" t="str">
        <f ca="1">IFERROR(__xludf.DUMMYFUNCTION("""COMPUTED_VALUE"""),"S11: Student Awards")</f>
        <v>S11: Student Awards</v>
      </c>
      <c r="J13" s="59" t="str">
        <f ca="1">IFERROR(__xludf.DUMMYFUNCTION("""COMPUTED_VALUE"""),"sharmilayegireddi@gmail.com")</f>
        <v>sharmilayegireddi@gmail.com</v>
      </c>
      <c r="K13" s="59" t="str">
        <f ca="1">IFERROR(__xludf.DUMMYFUNCTION("""COMPUTED_VALUE"""),"SEM-8")</f>
        <v>SEM-8</v>
      </c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</row>
    <row r="14" spans="1:25" ht="33.75" customHeight="1" x14ac:dyDescent="0.15">
      <c r="A14" s="59" t="str">
        <f ca="1">IFERROR(__xludf.DUMMYFUNCTION("""COMPUTED_VALUE"""),"Gummaluri A V lakshmi Sri lekha")</f>
        <v>Gummaluri A V lakshmi Sri lekha</v>
      </c>
      <c r="B14" s="59" t="str">
        <f ca="1">IFERROR(__xludf.DUMMYFUNCTION("""COMPUTED_VALUE"""),"18331A0555")</f>
        <v>18331A0555</v>
      </c>
      <c r="C14" s="59" t="str">
        <f ca="1">IFERROR(__xludf.DUMMYFUNCTION("""COMPUTED_VALUE"""),"2018-2019")</f>
        <v>2018-2019</v>
      </c>
      <c r="D14" s="59" t="str">
        <f ca="1">IFERROR(__xludf.DUMMYFUNCTION("""COMPUTED_VALUE"""),"2nd prize in National Level Dance Competition")</f>
        <v>2nd prize in National Level Dance Competition</v>
      </c>
      <c r="E14" s="70">
        <f ca="1">IFERROR(__xludf.DUMMYFUNCTION("""COMPUTED_VALUE"""),43330)</f>
        <v>43330</v>
      </c>
      <c r="F14" s="59" t="str">
        <f ca="1">IFERROR(__xludf.DUMMYFUNCTION("""COMPUTED_VALUE"""),"Natyaravali Cultural Association")</f>
        <v>Natyaravali Cultural Association</v>
      </c>
      <c r="G14" s="71" t="str">
        <f ca="1">IFERROR(__xludf.DUMMYFUNCTION("""COMPUTED_VALUE"""),"https://drive.google.com/open?id=1CGoEV-2e8V_Lk7tS14KxSr7ESQ8kcu19")</f>
        <v>https://drive.google.com/open?id=1CGoEV-2e8V_Lk7tS14KxSr7ESQ8kcu19</v>
      </c>
      <c r="H14" s="59" t="str">
        <f ca="1">IFERROR(__xludf.DUMMYFUNCTION("""COMPUTED_VALUE"""),"2018-2022")</f>
        <v>2018-2022</v>
      </c>
      <c r="I14" s="59" t="str">
        <f ca="1">IFERROR(__xludf.DUMMYFUNCTION("""COMPUTED_VALUE"""),"S11: Student Awards")</f>
        <v>S11: Student Awards</v>
      </c>
      <c r="J14" s="59" t="str">
        <f ca="1">IFERROR(__xludf.DUMMYFUNCTION("""COMPUTED_VALUE"""),"lekhasree1430@gmail.com")</f>
        <v>lekhasree1430@gmail.com</v>
      </c>
      <c r="K14" s="59" t="str">
        <f ca="1">IFERROR(__xludf.DUMMYFUNCTION("""COMPUTED_VALUE"""),"SEM-8")</f>
        <v>SEM-8</v>
      </c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</row>
    <row r="15" spans="1:25" ht="33.75" customHeight="1" x14ac:dyDescent="0.15">
      <c r="A15" s="59" t="str">
        <f ca="1">IFERROR(__xludf.DUMMYFUNCTION("""COMPUTED_VALUE"""),"G A V L Sri lekha")</f>
        <v>G A V L Sri lekha</v>
      </c>
      <c r="B15" s="59" t="str">
        <f ca="1">IFERROR(__xludf.DUMMYFUNCTION("""COMPUTED_VALUE"""),"18331A0555")</f>
        <v>18331A0555</v>
      </c>
      <c r="C15" s="59" t="str">
        <f ca="1">IFERROR(__xludf.DUMMYFUNCTION("""COMPUTED_VALUE"""),"2018-2019")</f>
        <v>2018-2019</v>
      </c>
      <c r="D15" s="59" t="str">
        <f ca="1">IFERROR(__xludf.DUMMYFUNCTION("""COMPUTED_VALUE"""),"2nd prize")</f>
        <v>2nd prize</v>
      </c>
      <c r="E15" s="70">
        <f ca="1">IFERROR(__xludf.DUMMYFUNCTION("""COMPUTED_VALUE"""),43452)</f>
        <v>43452</v>
      </c>
      <c r="F15" s="59" t="str">
        <f ca="1">IFERROR(__xludf.DUMMYFUNCTION("""COMPUTED_VALUE"""),"Maharaja prabuthva samskruta kalasala")</f>
        <v>Maharaja prabuthva samskruta kalasala</v>
      </c>
      <c r="G15" s="71" t="str">
        <f ca="1">IFERROR(__xludf.DUMMYFUNCTION("""COMPUTED_VALUE"""),"https://drive.google.com/open?id=1J6jQbfJk6dWBsUdK5PdL31TlD2H8n1mi")</f>
        <v>https://drive.google.com/open?id=1J6jQbfJk6dWBsUdK5PdL31TlD2H8n1mi</v>
      </c>
      <c r="H15" s="59" t="str">
        <f ca="1">IFERROR(__xludf.DUMMYFUNCTION("""COMPUTED_VALUE"""),"2018-2022")</f>
        <v>2018-2022</v>
      </c>
      <c r="I15" s="59" t="str">
        <f ca="1">IFERROR(__xludf.DUMMYFUNCTION("""COMPUTED_VALUE"""),"S11: Student Awards")</f>
        <v>S11: Student Awards</v>
      </c>
      <c r="J15" s="59" t="str">
        <f ca="1">IFERROR(__xludf.DUMMYFUNCTION("""COMPUTED_VALUE"""),"lekhasree1430@gmail.com")</f>
        <v>lekhasree1430@gmail.com</v>
      </c>
      <c r="K15" s="59" t="str">
        <f ca="1">IFERROR(__xludf.DUMMYFUNCTION("""COMPUTED_VALUE"""),"SEM-8")</f>
        <v>SEM-8</v>
      </c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</row>
    <row r="16" spans="1:25" ht="33.75" customHeight="1" x14ac:dyDescent="0.15">
      <c r="A16" s="59" t="str">
        <f ca="1">IFERROR(__xludf.DUMMYFUNCTION("""COMPUTED_VALUE"""),"Sri Lekha")</f>
        <v>Sri Lekha</v>
      </c>
      <c r="B16" s="59" t="str">
        <f ca="1">IFERROR(__xludf.DUMMYFUNCTION("""COMPUTED_VALUE"""),"18331A0555")</f>
        <v>18331A0555</v>
      </c>
      <c r="C16" s="59" t="str">
        <f ca="1">IFERROR(__xludf.DUMMYFUNCTION("""COMPUTED_VALUE"""),"2018-2019")</f>
        <v>2018-2019</v>
      </c>
      <c r="D16" s="59" t="str">
        <f ca="1">IFERROR(__xludf.DUMMYFUNCTION("""COMPUTED_VALUE"""),"Miss Performer")</f>
        <v>Miss Performer</v>
      </c>
      <c r="E16" s="70">
        <f ca="1">IFERROR(__xludf.DUMMYFUNCTION("""COMPUTED_VALUE"""),43323)</f>
        <v>43323</v>
      </c>
      <c r="F16" s="59" t="str">
        <f ca="1">IFERROR(__xludf.DUMMYFUNCTION("""COMPUTED_VALUE"""),"MVGR college of engineering")</f>
        <v>MVGR college of engineering</v>
      </c>
      <c r="G16" s="71" t="str">
        <f ca="1">IFERROR(__xludf.DUMMYFUNCTION("""COMPUTED_VALUE"""),"https://drive.google.com/open?id=1uTGVtRaRxKQKLb_Ehjblj80sg5F5loWs")</f>
        <v>https://drive.google.com/open?id=1uTGVtRaRxKQKLb_Ehjblj80sg5F5loWs</v>
      </c>
      <c r="H16" s="59" t="str">
        <f ca="1">IFERROR(__xludf.DUMMYFUNCTION("""COMPUTED_VALUE"""),"2018-2022")</f>
        <v>2018-2022</v>
      </c>
      <c r="I16" s="59" t="str">
        <f ca="1">IFERROR(__xludf.DUMMYFUNCTION("""COMPUTED_VALUE"""),"S11: Student Awards")</f>
        <v>S11: Student Awards</v>
      </c>
      <c r="J16" s="59" t="str">
        <f ca="1">IFERROR(__xludf.DUMMYFUNCTION("""COMPUTED_VALUE"""),"lekhasree1430@gmail.com")</f>
        <v>lekhasree1430@gmail.com</v>
      </c>
      <c r="K16" s="59" t="str">
        <f ca="1">IFERROR(__xludf.DUMMYFUNCTION("""COMPUTED_VALUE"""),"SEM-8")</f>
        <v>SEM-8</v>
      </c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</row>
    <row r="17" spans="1:25" ht="33.75" customHeight="1" x14ac:dyDescent="0.15">
      <c r="A17" s="59" t="str">
        <f ca="1">IFERROR(__xludf.DUMMYFUNCTION("""COMPUTED_VALUE"""),"KOLLI YASWANTH KUMAR")</f>
        <v>KOLLI YASWANTH KUMAR</v>
      </c>
      <c r="B17" s="59" t="str">
        <f ca="1">IFERROR(__xludf.DUMMYFUNCTION("""COMPUTED_VALUE"""),"18331A0579")</f>
        <v>18331A0579</v>
      </c>
      <c r="C17" s="59" t="str">
        <f ca="1">IFERROR(__xludf.DUMMYFUNCTION("""COMPUTED_VALUE"""),"2021-2022")</f>
        <v>2021-2022</v>
      </c>
      <c r="D17" s="59" t="str">
        <f ca="1">IFERROR(__xludf.DUMMYFUNCTION("""COMPUTED_VALUE"""),"Winners in Badminton")</f>
        <v>Winners in Badminton</v>
      </c>
      <c r="E17" s="70">
        <f ca="1">IFERROR(__xludf.DUMMYFUNCTION("""COMPUTED_VALUE"""),44573)</f>
        <v>44573</v>
      </c>
      <c r="F17" s="59" t="str">
        <f ca="1">IFERROR(__xludf.DUMMYFUNCTION("""COMPUTED_VALUE"""),"Jawaharlal Nehru Technological University Vizianagaram , KAKINADA")</f>
        <v>Jawaharlal Nehru Technological University Vizianagaram , KAKINADA</v>
      </c>
      <c r="G17" s="71" t="str">
        <f ca="1">IFERROR(__xludf.DUMMYFUNCTION("""COMPUTED_VALUE"""),"https://drive.google.com/open?id=1GSySQ9XWzPG4_CT4scF7g4D8a1w0HNVg")</f>
        <v>https://drive.google.com/open?id=1GSySQ9XWzPG4_CT4scF7g4D8a1w0HNVg</v>
      </c>
      <c r="H17" s="59" t="str">
        <f ca="1">IFERROR(__xludf.DUMMYFUNCTION("""COMPUTED_VALUE"""),"2018-2022")</f>
        <v>2018-2022</v>
      </c>
      <c r="I17" s="59" t="str">
        <f ca="1">IFERROR(__xludf.DUMMYFUNCTION("""COMPUTED_VALUE"""),"S11: Student Awards")</f>
        <v>S11: Student Awards</v>
      </c>
      <c r="J17" s="59" t="str">
        <f ca="1">IFERROR(__xludf.DUMMYFUNCTION("""COMPUTED_VALUE"""),"yaswanthroshan1045@gmail.com")</f>
        <v>yaswanthroshan1045@gmail.com</v>
      </c>
      <c r="K17" s="59" t="str">
        <f ca="1">IFERROR(__xludf.DUMMYFUNCTION("""COMPUTED_VALUE"""),"SEM-7")</f>
        <v>SEM-7</v>
      </c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</row>
    <row r="18" spans="1:25" ht="33.75" customHeight="1" x14ac:dyDescent="0.15">
      <c r="A18" s="59" t="str">
        <f ca="1">IFERROR(__xludf.DUMMYFUNCTION("""COMPUTED_VALUE"""),"S sairam")</f>
        <v>S sairam</v>
      </c>
      <c r="B18" s="59" t="str">
        <f ca="1">IFERROR(__xludf.DUMMYFUNCTION("""COMPUTED_VALUE"""),"17331a05e8")</f>
        <v>17331a05e8</v>
      </c>
      <c r="C18" s="59" t="str">
        <f ca="1">IFERROR(__xludf.DUMMYFUNCTION("""COMPUTED_VALUE"""),"2019-2020")</f>
        <v>2019-2020</v>
      </c>
      <c r="D18" s="59" t="str">
        <f ca="1">IFERROR(__xludf.DUMMYFUNCTION("""COMPUTED_VALUE"""),"Runners in basketball")</f>
        <v>Runners in basketball</v>
      </c>
      <c r="E18" s="70">
        <f ca="1">IFERROR(__xludf.DUMMYFUNCTION("""COMPUTED_VALUE"""),43884)</f>
        <v>43884</v>
      </c>
      <c r="F18" s="59" t="str">
        <f ca="1">IFERROR(__xludf.DUMMYFUNCTION("""COMPUTED_VALUE"""),"Raghu college of engineering")</f>
        <v>Raghu college of engineering</v>
      </c>
      <c r="G18" s="71" t="str">
        <f ca="1">IFERROR(__xludf.DUMMYFUNCTION("""COMPUTED_VALUE"""),"https://drive.google.com/open?id=14qjDpxA_-qxw3L62ORAV10i6-yrPoJ82")</f>
        <v>https://drive.google.com/open?id=14qjDpxA_-qxw3L62ORAV10i6-yrPoJ82</v>
      </c>
      <c r="H18" s="59" t="str">
        <f ca="1">IFERROR(__xludf.DUMMYFUNCTION("""COMPUTED_VALUE"""),"2018-2022")</f>
        <v>2018-2022</v>
      </c>
      <c r="I18" s="59" t="str">
        <f ca="1">IFERROR(__xludf.DUMMYFUNCTION("""COMPUTED_VALUE"""),"S11: Student Awards")</f>
        <v>S11: Student Awards</v>
      </c>
      <c r="J18" s="59" t="str">
        <f ca="1">IFERROR(__xludf.DUMMYFUNCTION("""COMPUTED_VALUE"""),"saikiller0110@gmail.com")</f>
        <v>saikiller0110@gmail.com</v>
      </c>
      <c r="K18" s="59" t="str">
        <f ca="1">IFERROR(__xludf.DUMMYFUNCTION("""COMPUTED_VALUE"""),"SEM-8")</f>
        <v>SEM-8</v>
      </c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</row>
    <row r="19" spans="1:25" ht="33.75" customHeight="1" x14ac:dyDescent="0.15">
      <c r="A19" s="59" t="str">
        <f ca="1">IFERROR(__xludf.DUMMYFUNCTION("""COMPUTED_VALUE"""),"S sairam")</f>
        <v>S sairam</v>
      </c>
      <c r="B19" s="59" t="str">
        <f ca="1">IFERROR(__xludf.DUMMYFUNCTION("""COMPUTED_VALUE"""),"17331a05e8")</f>
        <v>17331a05e8</v>
      </c>
      <c r="C19" s="59" t="str">
        <f ca="1">IFERROR(__xludf.DUMMYFUNCTION("""COMPUTED_VALUE"""),"2019-2020")</f>
        <v>2019-2020</v>
      </c>
      <c r="D19" s="59" t="str">
        <f ca="1">IFERROR(__xludf.DUMMYFUNCTION("""COMPUTED_VALUE"""),"Runners in basketball")</f>
        <v>Runners in basketball</v>
      </c>
      <c r="E19" s="70">
        <f ca="1">IFERROR(__xludf.DUMMYFUNCTION("""COMPUTED_VALUE"""),43885)</f>
        <v>43885</v>
      </c>
      <c r="F19" s="59" t="str">
        <f ca="1">IFERROR(__xludf.DUMMYFUNCTION("""COMPUTED_VALUE"""),"MVGR college of engineering")</f>
        <v>MVGR college of engineering</v>
      </c>
      <c r="G19" s="71" t="str">
        <f ca="1">IFERROR(__xludf.DUMMYFUNCTION("""COMPUTED_VALUE"""),"https://drive.google.com/open?id=1DkiGuPWNrrJ17ziZzyj9FJD6S56uqueV")</f>
        <v>https://drive.google.com/open?id=1DkiGuPWNrrJ17ziZzyj9FJD6S56uqueV</v>
      </c>
      <c r="H19" s="59" t="str">
        <f ca="1">IFERROR(__xludf.DUMMYFUNCTION("""COMPUTED_VALUE"""),"2018-2022")</f>
        <v>2018-2022</v>
      </c>
      <c r="I19" s="59" t="str">
        <f ca="1">IFERROR(__xludf.DUMMYFUNCTION("""COMPUTED_VALUE"""),"S11: Student Awards")</f>
        <v>S11: Student Awards</v>
      </c>
      <c r="J19" s="59" t="str">
        <f ca="1">IFERROR(__xludf.DUMMYFUNCTION("""COMPUTED_VALUE"""),"saikiller0110@gmail.com")</f>
        <v>saikiller0110@gmail.com</v>
      </c>
      <c r="K19" s="59" t="str">
        <f ca="1">IFERROR(__xludf.DUMMYFUNCTION("""COMPUTED_VALUE"""),"SEM-8")</f>
        <v>SEM-8</v>
      </c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</row>
    <row r="20" spans="1:25" ht="33.75" customHeight="1" x14ac:dyDescent="0.15">
      <c r="A20" s="59" t="str">
        <f ca="1">IFERROR(__xludf.DUMMYFUNCTION("""COMPUTED_VALUE"""),"S sairam")</f>
        <v>S sairam</v>
      </c>
      <c r="B20" s="59" t="str">
        <f ca="1">IFERROR(__xludf.DUMMYFUNCTION("""COMPUTED_VALUE"""),"17331a05e8")</f>
        <v>17331a05e8</v>
      </c>
      <c r="C20" s="59" t="str">
        <f ca="1">IFERROR(__xludf.DUMMYFUNCTION("""COMPUTED_VALUE"""),"2019-2020")</f>
        <v>2019-2020</v>
      </c>
      <c r="D20" s="59" t="str">
        <f ca="1">IFERROR(__xludf.DUMMYFUNCTION("""COMPUTED_VALUE"""),"Runners in basketball")</f>
        <v>Runners in basketball</v>
      </c>
      <c r="E20" s="70">
        <f ca="1">IFERROR(__xludf.DUMMYFUNCTION("""COMPUTED_VALUE"""),43517)</f>
        <v>43517</v>
      </c>
      <c r="F20" s="59" t="str">
        <f ca="1">IFERROR(__xludf.DUMMYFUNCTION("""COMPUTED_VALUE"""),"MVGR college of engineering")</f>
        <v>MVGR college of engineering</v>
      </c>
      <c r="G20" s="71" t="str">
        <f ca="1">IFERROR(__xludf.DUMMYFUNCTION("""COMPUTED_VALUE"""),"https://drive.google.com/open?id=1gSqponAO_29zt3P0egTKxJUtj0kBDxM5")</f>
        <v>https://drive.google.com/open?id=1gSqponAO_29zt3P0egTKxJUtj0kBDxM5</v>
      </c>
      <c r="H20" s="59" t="str">
        <f ca="1">IFERROR(__xludf.DUMMYFUNCTION("""COMPUTED_VALUE"""),"2018-2022")</f>
        <v>2018-2022</v>
      </c>
      <c r="I20" s="59" t="str">
        <f ca="1">IFERROR(__xludf.DUMMYFUNCTION("""COMPUTED_VALUE"""),"S11: Student Awards")</f>
        <v>S11: Student Awards</v>
      </c>
      <c r="J20" s="59" t="str">
        <f ca="1">IFERROR(__xludf.DUMMYFUNCTION("""COMPUTED_VALUE"""),"saikiller0110@gmail.com")</f>
        <v>saikiller0110@gmail.com</v>
      </c>
      <c r="K20" s="59" t="str">
        <f ca="1">IFERROR(__xludf.DUMMYFUNCTION("""COMPUTED_VALUE"""),"SEM-8")</f>
        <v>SEM-8</v>
      </c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</row>
    <row r="21" spans="1:25" ht="33.75" customHeight="1" x14ac:dyDescent="0.15">
      <c r="A21" s="59" t="str">
        <f ca="1">IFERROR(__xludf.DUMMYFUNCTION("""COMPUTED_VALUE"""),"MEESALA UPENDRA VENKATA AKHIL")</f>
        <v>MEESALA UPENDRA VENKATA AKHIL</v>
      </c>
      <c r="B21" s="59" t="str">
        <f ca="1">IFERROR(__xludf.DUMMYFUNCTION("""COMPUTED_VALUE"""),"18331A0597")</f>
        <v>18331A0597</v>
      </c>
      <c r="C21" s="59" t="str">
        <f ca="1">IFERROR(__xludf.DUMMYFUNCTION("""COMPUTED_VALUE"""),"2020-2021")</f>
        <v>2020-2021</v>
      </c>
      <c r="D21" s="59" t="str">
        <f ca="1">IFERROR(__xludf.DUMMYFUNCTION("""COMPUTED_VALUE"""),"NCC ""C"" Certificate")</f>
        <v>NCC "C" Certificate</v>
      </c>
      <c r="E21" s="70">
        <f ca="1">IFERROR(__xludf.DUMMYFUNCTION("""COMPUTED_VALUE"""),44311)</f>
        <v>44311</v>
      </c>
      <c r="F21" s="59" t="str">
        <f ca="1">IFERROR(__xludf.DUMMYFUNCTION("""COMPUTED_VALUE"""),"National Cadet Corps (NCC)")</f>
        <v>National Cadet Corps (NCC)</v>
      </c>
      <c r="G21" s="71" t="str">
        <f ca="1">IFERROR(__xludf.DUMMYFUNCTION("""COMPUTED_VALUE"""),"https://drive.google.com/open?id=1u4P98AFX96-DheFXYHueISXv5rFBW69n")</f>
        <v>https://drive.google.com/open?id=1u4P98AFX96-DheFXYHueISXv5rFBW69n</v>
      </c>
      <c r="H21" s="59" t="str">
        <f ca="1">IFERROR(__xludf.DUMMYFUNCTION("""COMPUTED_VALUE"""),"2018-2022")</f>
        <v>2018-2022</v>
      </c>
      <c r="I21" s="59" t="str">
        <f ca="1">IFERROR(__xludf.DUMMYFUNCTION("""COMPUTED_VALUE"""),"S11: Student Awards")</f>
        <v>S11: Student Awards</v>
      </c>
      <c r="J21" s="59" t="str">
        <f ca="1">IFERROR(__xludf.DUMMYFUNCTION("""COMPUTED_VALUE"""),"meesalaakhil2000@gmail.com")</f>
        <v>meesalaakhil2000@gmail.com</v>
      </c>
      <c r="K21" s="59" t="str">
        <f ca="1">IFERROR(__xludf.DUMMYFUNCTION("""COMPUTED_VALUE"""),"SEM-5")</f>
        <v>SEM-5</v>
      </c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</row>
    <row r="22" spans="1:25" ht="33.75" customHeight="1" x14ac:dyDescent="0.15">
      <c r="A22" s="59" t="str">
        <f ca="1">IFERROR(__xludf.DUMMYFUNCTION("""COMPUTED_VALUE"""),"MEESALA UPENDRA VENKATA AKHIL")</f>
        <v>MEESALA UPENDRA VENKATA AKHIL</v>
      </c>
      <c r="B22" s="59" t="str">
        <f ca="1">IFERROR(__xludf.DUMMYFUNCTION("""COMPUTED_VALUE"""),"18331A0597")</f>
        <v>18331A0597</v>
      </c>
      <c r="C22" s="59" t="str">
        <f ca="1">IFERROR(__xludf.DUMMYFUNCTION("""COMPUTED_VALUE"""),"2019-2020")</f>
        <v>2019-2020</v>
      </c>
      <c r="D22" s="59" t="str">
        <f ca="1">IFERROR(__xludf.DUMMYFUNCTION("""COMPUTED_VALUE"""),"NCC ""B"" Certificate")</f>
        <v>NCC "B" Certificate</v>
      </c>
      <c r="E22" s="70">
        <f ca="1">IFERROR(__xludf.DUMMYFUNCTION("""COMPUTED_VALUE"""),43580)</f>
        <v>43580</v>
      </c>
      <c r="F22" s="59" t="str">
        <f ca="1">IFERROR(__xludf.DUMMYFUNCTION("""COMPUTED_VALUE"""),"National Cadet Crops(NCC) Unit")</f>
        <v>National Cadet Crops(NCC) Unit</v>
      </c>
      <c r="G22" s="71" t="str">
        <f ca="1">IFERROR(__xludf.DUMMYFUNCTION("""COMPUTED_VALUE"""),"https://drive.google.com/open?id=1HwOWXJMOaF_1InxGLgLG3n7bJEc8Wqoy")</f>
        <v>https://drive.google.com/open?id=1HwOWXJMOaF_1InxGLgLG3n7bJEc8Wqoy</v>
      </c>
      <c r="H22" s="59" t="str">
        <f ca="1">IFERROR(__xludf.DUMMYFUNCTION("""COMPUTED_VALUE"""),"2018-2022")</f>
        <v>2018-2022</v>
      </c>
      <c r="I22" s="59" t="str">
        <f ca="1">IFERROR(__xludf.DUMMYFUNCTION("""COMPUTED_VALUE"""),"S11: Student Awards")</f>
        <v>S11: Student Awards</v>
      </c>
      <c r="J22" s="59" t="str">
        <f ca="1">IFERROR(__xludf.DUMMYFUNCTION("""COMPUTED_VALUE"""),"meesalaakhil2000@gmail.com")</f>
        <v>meesalaakhil2000@gmail.com</v>
      </c>
      <c r="K22" s="59" t="str">
        <f ca="1">IFERROR(__xludf.DUMMYFUNCTION("""COMPUTED_VALUE"""),"SEM-3")</f>
        <v>SEM-3</v>
      </c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</row>
    <row r="23" spans="1:25" ht="33.75" customHeight="1" x14ac:dyDescent="0.15">
      <c r="A23" s="59" t="str">
        <f ca="1">IFERROR(__xludf.DUMMYFUNCTION("""COMPUTED_VALUE"""),"VADLAPUDI DHEERAJ KUMAR ")</f>
        <v xml:space="preserve">VADLAPUDI DHEERAJ KUMAR </v>
      </c>
      <c r="B23" s="59" t="str">
        <f ca="1">IFERROR(__xludf.DUMMYFUNCTION("""COMPUTED_VALUE"""),"18331A05G4")</f>
        <v>18331A05G4</v>
      </c>
      <c r="C23" s="59" t="str">
        <f ca="1">IFERROR(__xludf.DUMMYFUNCTION("""COMPUTED_VALUE"""),"2018-2019")</f>
        <v>2018-2019</v>
      </c>
      <c r="D23" s="59" t="str">
        <f ca="1">IFERROR(__xludf.DUMMYFUNCTION("""COMPUTED_VALUE"""),"Winners in Football, Inter-College sports competition ")</f>
        <v xml:space="preserve">Winners in Football, Inter-College sports competition </v>
      </c>
      <c r="E23" s="70">
        <f ca="1">IFERROR(__xludf.DUMMYFUNCTION("""COMPUTED_VALUE"""),43577)</f>
        <v>43577</v>
      </c>
      <c r="F23" s="59" t="str">
        <f ca="1">IFERROR(__xludf.DUMMYFUNCTION("""COMPUTED_VALUE"""),"MVGR COLLEGE OF ENGINEERING ")</f>
        <v xml:space="preserve">MVGR COLLEGE OF ENGINEERING </v>
      </c>
      <c r="G23" s="71" t="str">
        <f ca="1">IFERROR(__xludf.DUMMYFUNCTION("""COMPUTED_VALUE"""),"https://drive.google.com/open?id=1v0hWKNZmunFG-b1zOpH2nMicycDJXoC2")</f>
        <v>https://drive.google.com/open?id=1v0hWKNZmunFG-b1zOpH2nMicycDJXoC2</v>
      </c>
      <c r="H23" s="59" t="str">
        <f ca="1">IFERROR(__xludf.DUMMYFUNCTION("""COMPUTED_VALUE"""),"2018-2022")</f>
        <v>2018-2022</v>
      </c>
      <c r="I23" s="59" t="str">
        <f ca="1">IFERROR(__xludf.DUMMYFUNCTION("""COMPUTED_VALUE"""),"S11: Student Awards")</f>
        <v>S11: Student Awards</v>
      </c>
      <c r="J23" s="59" t="str">
        <f ca="1">IFERROR(__xludf.DUMMYFUNCTION("""COMPUTED_VALUE"""),"vdkumar1200@gmail.com")</f>
        <v>vdkumar1200@gmail.com</v>
      </c>
      <c r="K23" s="59" t="str">
        <f ca="1">IFERROR(__xludf.DUMMYFUNCTION("""COMPUTED_VALUE"""),"SEM-8")</f>
        <v>SEM-8</v>
      </c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</row>
    <row r="24" spans="1:25" ht="33.75" customHeight="1" x14ac:dyDescent="0.15">
      <c r="A24" s="59" t="str">
        <f ca="1">IFERROR(__xludf.DUMMYFUNCTION("""COMPUTED_VALUE"""),"SANAPALA SAI NEERAJ")</f>
        <v>SANAPALA SAI NEERAJ</v>
      </c>
      <c r="B24" s="59" t="str">
        <f ca="1">IFERROR(__xludf.DUMMYFUNCTION("""COMPUTED_VALUE"""),"18331A05D6")</f>
        <v>18331A05D6</v>
      </c>
      <c r="C24" s="59" t="str">
        <f ca="1">IFERROR(__xludf.DUMMYFUNCTION("""COMPUTED_VALUE"""),"2020-2021")</f>
        <v>2020-2021</v>
      </c>
      <c r="D24" s="59" t="str">
        <f ca="1">IFERROR(__xludf.DUMMYFUNCTION("""COMPUTED_VALUE"""),"NCC ""B"" CERTIFICATE")</f>
        <v>NCC "B" CERTIFICATE</v>
      </c>
      <c r="E24" s="70">
        <f ca="1">IFERROR(__xludf.DUMMYFUNCTION("""COMPUTED_VALUE"""),44530)</f>
        <v>44530</v>
      </c>
      <c r="F24" s="59" t="str">
        <f ca="1">IFERROR(__xludf.DUMMYFUNCTION("""COMPUTED_VALUE"""),"MINISTRY OF DEFENCE, GOVERNMENT OF INDIA")</f>
        <v>MINISTRY OF DEFENCE, GOVERNMENT OF INDIA</v>
      </c>
      <c r="G24" s="71" t="str">
        <f ca="1">IFERROR(__xludf.DUMMYFUNCTION("""COMPUTED_VALUE"""),"https://drive.google.com/open?id=1B0HiC2xPJwhIF3MC1nGrmuBGAsKXTckG")</f>
        <v>https://drive.google.com/open?id=1B0HiC2xPJwhIF3MC1nGrmuBGAsKXTckG</v>
      </c>
      <c r="H24" s="59" t="str">
        <f ca="1">IFERROR(__xludf.DUMMYFUNCTION("""COMPUTED_VALUE"""),"2018-2022")</f>
        <v>2018-2022</v>
      </c>
      <c r="I24" s="59" t="str">
        <f ca="1">IFERROR(__xludf.DUMMYFUNCTION("""COMPUTED_VALUE"""),"S11: Student Awards")</f>
        <v>S11: Student Awards</v>
      </c>
      <c r="J24" s="59" t="str">
        <f ca="1">IFERROR(__xludf.DUMMYFUNCTION("""COMPUTED_VALUE"""),"sanapala.saineeraj4000@gmail.com")</f>
        <v>sanapala.saineeraj4000@gmail.com</v>
      </c>
      <c r="K24" s="59" t="str">
        <f ca="1">IFERROR(__xludf.DUMMYFUNCTION("""COMPUTED_VALUE"""),"SEM-5")</f>
        <v>SEM-5</v>
      </c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</row>
    <row r="25" spans="1:25" ht="33.75" customHeight="1" x14ac:dyDescent="0.15">
      <c r="A25" s="59" t="str">
        <f ca="1">IFERROR(__xludf.DUMMYFUNCTION("""COMPUTED_VALUE"""),"KADAGALA RAVIKUAMR")</f>
        <v>KADAGALA RAVIKUAMR</v>
      </c>
      <c r="B25" s="59" t="str">
        <f ca="1">IFERROR(__xludf.DUMMYFUNCTION("""COMPUTED_VALUE"""),"19335A0506")</f>
        <v>19335A0506</v>
      </c>
      <c r="C25" s="59" t="str">
        <f ca="1">IFERROR(__xludf.DUMMYFUNCTION("""COMPUTED_VALUE"""),"2019-2020")</f>
        <v>2019-2020</v>
      </c>
      <c r="D25" s="59" t="str">
        <f ca="1">IFERROR(__xludf.DUMMYFUNCTION("""COMPUTED_VALUE"""),".")</f>
        <v>.</v>
      </c>
      <c r="E25" s="70">
        <f ca="1">IFERROR(__xludf.DUMMYFUNCTION("""COMPUTED_VALUE"""),43995)</f>
        <v>43995</v>
      </c>
      <c r="F25" s="59" t="str">
        <f ca="1">IFERROR(__xludf.DUMMYFUNCTION("""COMPUTED_VALUE"""),"Pimpri Chinchwad College of Engineering")</f>
        <v>Pimpri Chinchwad College of Engineering</v>
      </c>
      <c r="G25" s="71" t="str">
        <f ca="1">IFERROR(__xludf.DUMMYFUNCTION("""COMPUTED_VALUE"""),"https://drive.google.com/open?id=1zWfCKVgNCwM-_UZ2Ju37CgfKQENuNThd")</f>
        <v>https://drive.google.com/open?id=1zWfCKVgNCwM-_UZ2Ju37CgfKQENuNThd</v>
      </c>
      <c r="H25" s="59" t="str">
        <f ca="1">IFERROR(__xludf.DUMMYFUNCTION("""COMPUTED_VALUE"""),"2018-2022")</f>
        <v>2018-2022</v>
      </c>
      <c r="I25" s="59" t="str">
        <f ca="1">IFERROR(__xludf.DUMMYFUNCTION("""COMPUTED_VALUE"""),"S11: Student Awards")</f>
        <v>S11: Student Awards</v>
      </c>
      <c r="J25" s="59" t="str">
        <f ca="1">IFERROR(__xludf.DUMMYFUNCTION("""COMPUTED_VALUE"""),"ravikadagala9494@gmail.com")</f>
        <v>ravikadagala9494@gmail.com</v>
      </c>
      <c r="K25" s="59" t="str">
        <f ca="1">IFERROR(__xludf.DUMMYFUNCTION("""COMPUTED_VALUE"""),"SEM-4")</f>
        <v>SEM-4</v>
      </c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</row>
    <row r="26" spans="1:25" ht="33.75" customHeight="1" x14ac:dyDescent="0.15">
      <c r="A26" s="59" t="str">
        <f ca="1">IFERROR(__xludf.DUMMYFUNCTION("""COMPUTED_VALUE"""),"Naveen Kumar Penta")</f>
        <v>Naveen Kumar Penta</v>
      </c>
      <c r="B26" s="59" t="str">
        <f ca="1">IFERROR(__xludf.DUMMYFUNCTION("""COMPUTED_VALUE"""),"18331A05B7")</f>
        <v>18331A05B7</v>
      </c>
      <c r="C26" s="59" t="str">
        <f ca="1">IFERROR(__xludf.DUMMYFUNCTION("""COMPUTED_VALUE"""),"2019-2020")</f>
        <v>2019-2020</v>
      </c>
      <c r="D26" s="59" t="str">
        <f ca="1">IFERROR(__xludf.DUMMYFUNCTION("""COMPUTED_VALUE"""),"Dbms SQL online quiz ")</f>
        <v xml:space="preserve">Dbms SQL online quiz </v>
      </c>
      <c r="E26" s="70">
        <f ca="1">IFERROR(__xludf.DUMMYFUNCTION("""COMPUTED_VALUE"""),43979)</f>
        <v>43979</v>
      </c>
      <c r="F26" s="59" t="str">
        <f ca="1">IFERROR(__xludf.DUMMYFUNCTION("""COMPUTED_VALUE"""),"Vignan's institute of engineering womens")</f>
        <v>Vignan's institute of engineering womens</v>
      </c>
      <c r="G26" s="71" t="str">
        <f ca="1">IFERROR(__xludf.DUMMYFUNCTION("""COMPUTED_VALUE"""),"https://drive.google.com/open?id=134UiPRoXaCxJnCMdOhg1Gql8_3OtEd_z")</f>
        <v>https://drive.google.com/open?id=134UiPRoXaCxJnCMdOhg1Gql8_3OtEd_z</v>
      </c>
      <c r="H26" s="59" t="str">
        <f ca="1">IFERROR(__xludf.DUMMYFUNCTION("""COMPUTED_VALUE"""),"2018-2022")</f>
        <v>2018-2022</v>
      </c>
      <c r="I26" s="59" t="str">
        <f ca="1">IFERROR(__xludf.DUMMYFUNCTION("""COMPUTED_VALUE"""),"S11: Student Awards")</f>
        <v>S11: Student Awards</v>
      </c>
      <c r="J26" s="59" t="str">
        <f ca="1">IFERROR(__xludf.DUMMYFUNCTION("""COMPUTED_VALUE"""),"naveenkumarpenta15@gmail.com")</f>
        <v>naveenkumarpenta15@gmail.com</v>
      </c>
      <c r="K26" s="59" t="str">
        <f ca="1">IFERROR(__xludf.DUMMYFUNCTION("""COMPUTED_VALUE"""),"SEM-4")</f>
        <v>SEM-4</v>
      </c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</row>
    <row r="27" spans="1:25" ht="33.75" customHeight="1" x14ac:dyDescent="0.15">
      <c r="A27" s="59" t="str">
        <f ca="1">IFERROR(__xludf.DUMMYFUNCTION("""COMPUTED_VALUE"""),"Kasi Suresh")</f>
        <v>Kasi Suresh</v>
      </c>
      <c r="B27" s="59" t="str">
        <f ca="1">IFERROR(__xludf.DUMMYFUNCTION("""COMPUTED_VALUE"""),"18331A0573")</f>
        <v>18331A0573</v>
      </c>
      <c r="C27" s="59" t="str">
        <f ca="1">IFERROR(__xludf.DUMMYFUNCTION("""COMPUTED_VALUE"""),"2020-2021")</f>
        <v>2020-2021</v>
      </c>
      <c r="D27" s="59" t="str">
        <f ca="1">IFERROR(__xludf.DUMMYFUNCTION("""COMPUTED_VALUE"""),"Virtusa Nueral Hack")</f>
        <v>Virtusa Nueral Hack</v>
      </c>
      <c r="E27" s="70">
        <f ca="1">IFERROR(__xludf.DUMMYFUNCTION("""COMPUTED_VALUE"""),44301)</f>
        <v>44301</v>
      </c>
      <c r="F27" s="59" t="str">
        <f ca="1">IFERROR(__xludf.DUMMYFUNCTION("""COMPUTED_VALUE"""),"Virtusa")</f>
        <v>Virtusa</v>
      </c>
      <c r="G27" s="71" t="str">
        <f ca="1">IFERROR(__xludf.DUMMYFUNCTION("""COMPUTED_VALUE"""),"https://drive.google.com/open?id=1uTswfh5k6-rIOfPskt7WzSag8mhnF2uE")</f>
        <v>https://drive.google.com/open?id=1uTswfh5k6-rIOfPskt7WzSag8mhnF2uE</v>
      </c>
      <c r="H27" s="59" t="str">
        <f ca="1">IFERROR(__xludf.DUMMYFUNCTION("""COMPUTED_VALUE"""),"2018-2022")</f>
        <v>2018-2022</v>
      </c>
      <c r="I27" s="59" t="str">
        <f ca="1">IFERROR(__xludf.DUMMYFUNCTION("""COMPUTED_VALUE"""),"S11: Student Awards")</f>
        <v>S11: Student Awards</v>
      </c>
      <c r="J27" s="59" t="str">
        <f ca="1">IFERROR(__xludf.DUMMYFUNCTION("""COMPUTED_VALUE"""),"sureshkasi06@gmail.com")</f>
        <v>sureshkasi06@gmail.com</v>
      </c>
      <c r="K27" s="59" t="str">
        <f ca="1">IFERROR(__xludf.DUMMYFUNCTION("""COMPUTED_VALUE"""),"SEM-8")</f>
        <v>SEM-8</v>
      </c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</row>
    <row r="28" spans="1:25" ht="33.75" customHeight="1" x14ac:dyDescent="0.15">
      <c r="A28" s="59" t="str">
        <f ca="1">IFERROR(__xludf.DUMMYFUNCTION("""COMPUTED_VALUE"""),"Sai Yogesh Bhasuru")</f>
        <v>Sai Yogesh Bhasuru</v>
      </c>
      <c r="B28" s="59" t="str">
        <f ca="1">IFERROR(__xludf.DUMMYFUNCTION("""COMPUTED_VALUE"""),"18331A05D4")</f>
        <v>18331A05D4</v>
      </c>
      <c r="C28" s="59" t="str">
        <f ca="1">IFERROR(__xludf.DUMMYFUNCTION("""COMPUTED_VALUE"""),"2019-2020")</f>
        <v>2019-2020</v>
      </c>
      <c r="D28" s="59" t="str">
        <f ca="1">IFERROR(__xludf.DUMMYFUNCTION("""COMPUTED_VALUE"""),"Runners in C Quiz Competition")</f>
        <v>Runners in C Quiz Competition</v>
      </c>
      <c r="E28" s="70">
        <f ca="1">IFERROR(__xludf.DUMMYFUNCTION("""COMPUTED_VALUE"""),43717)</f>
        <v>43717</v>
      </c>
      <c r="F28" s="59" t="str">
        <f ca="1">IFERROR(__xludf.DUMMYFUNCTION("""COMPUTED_VALUE"""),"BITS VIZAG")</f>
        <v>BITS VIZAG</v>
      </c>
      <c r="G28" s="71" t="str">
        <f ca="1">IFERROR(__xludf.DUMMYFUNCTION("""COMPUTED_VALUE"""),"https://drive.google.com/open?id=1OZDw1MRW-j1Pk_z6DL1I2axO9gKAPHzB")</f>
        <v>https://drive.google.com/open?id=1OZDw1MRW-j1Pk_z6DL1I2axO9gKAPHzB</v>
      </c>
      <c r="H28" s="59" t="str">
        <f ca="1">IFERROR(__xludf.DUMMYFUNCTION("""COMPUTED_VALUE"""),"2018-2022")</f>
        <v>2018-2022</v>
      </c>
      <c r="I28" s="59" t="str">
        <f ca="1">IFERROR(__xludf.DUMMYFUNCTION("""COMPUTED_VALUE"""),"S11: Student Awards")</f>
        <v>S11: Student Awards</v>
      </c>
      <c r="J28" s="59" t="str">
        <f ca="1">IFERROR(__xludf.DUMMYFUNCTION("""COMPUTED_VALUE"""),"saiyogeshbhasuru16@gmail.com")</f>
        <v>saiyogeshbhasuru16@gmail.com</v>
      </c>
      <c r="K28" s="59" t="str">
        <f ca="1">IFERROR(__xludf.DUMMYFUNCTION("""COMPUTED_VALUE"""),"SEM-8")</f>
        <v>SEM-8</v>
      </c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</row>
    <row r="29" spans="1:25" ht="33.75" customHeight="1" x14ac:dyDescent="0.15">
      <c r="A29" s="59" t="str">
        <f ca="1">IFERROR(__xludf.DUMMYFUNCTION("""COMPUTED_VALUE"""),"Mandadi Bharathi naga sri sai prathyusha ")</f>
        <v xml:space="preserve">Mandadi Bharathi naga sri sai prathyusha </v>
      </c>
      <c r="B29" s="59" t="str">
        <f ca="1">IFERROR(__xludf.DUMMYFUNCTION("""COMPUTED_VALUE"""),"18331A0593")</f>
        <v>18331A0593</v>
      </c>
      <c r="C29" s="59" t="str">
        <f ca="1">IFERROR(__xludf.DUMMYFUNCTION("""COMPUTED_VALUE"""),"2021-2022")</f>
        <v>2021-2022</v>
      </c>
      <c r="D29" s="59" t="str">
        <f ca="1">IFERROR(__xludf.DUMMYFUNCTION("""COMPUTED_VALUE"""),"First prize in ppt")</f>
        <v>First prize in ppt</v>
      </c>
      <c r="E29" s="70">
        <f ca="1">IFERROR(__xludf.DUMMYFUNCTION("""COMPUTED_VALUE"""),44628)</f>
        <v>44628</v>
      </c>
      <c r="F29" s="59" t="str">
        <f ca="1">IFERROR(__xludf.DUMMYFUNCTION("""COMPUTED_VALUE"""),"Mvgr college of engineering ")</f>
        <v xml:space="preserve">Mvgr college of engineering </v>
      </c>
      <c r="G29" s="71" t="str">
        <f ca="1">IFERROR(__xludf.DUMMYFUNCTION("""COMPUTED_VALUE"""),"https://drive.google.com/open?id=1WU1m7CU_TcognuKDh7Q7HrvZgSOLydXL")</f>
        <v>https://drive.google.com/open?id=1WU1m7CU_TcognuKDh7Q7HrvZgSOLydXL</v>
      </c>
      <c r="H29" s="59" t="str">
        <f ca="1">IFERROR(__xludf.DUMMYFUNCTION("""COMPUTED_VALUE"""),"2018-2022")</f>
        <v>2018-2022</v>
      </c>
      <c r="I29" s="59" t="str">
        <f ca="1">IFERROR(__xludf.DUMMYFUNCTION("""COMPUTED_VALUE"""),"S11: Student Awards")</f>
        <v>S11: Student Awards</v>
      </c>
      <c r="J29" s="59" t="str">
        <f ca="1">IFERROR(__xludf.DUMMYFUNCTION("""COMPUTED_VALUE"""),"mandadi.prathyusha@gmail.com")</f>
        <v>mandadi.prathyusha@gmail.com</v>
      </c>
      <c r="K29" s="59" t="str">
        <f ca="1">IFERROR(__xludf.DUMMYFUNCTION("""COMPUTED_VALUE"""),"SEM-8")</f>
        <v>SEM-8</v>
      </c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</row>
    <row r="30" spans="1:25" ht="33.75" customHeight="1" x14ac:dyDescent="0.15">
      <c r="A30" s="59" t="str">
        <f ca="1">IFERROR(__xludf.DUMMYFUNCTION("""COMPUTED_VALUE"""),"Datla Vasanth Gopal Raju ")</f>
        <v xml:space="preserve">Datla Vasanth Gopal Raju </v>
      </c>
      <c r="B30" s="59" t="str">
        <f ca="1">IFERROR(__xludf.DUMMYFUNCTION("""COMPUTED_VALUE"""),"18331A05H5")</f>
        <v>18331A05H5</v>
      </c>
      <c r="C30" s="59" t="str">
        <f ca="1">IFERROR(__xludf.DUMMYFUNCTION("""COMPUTED_VALUE"""),"2020-2021")</f>
        <v>2020-2021</v>
      </c>
      <c r="D30" s="59" t="str">
        <f ca="1">IFERROR(__xludf.DUMMYFUNCTION("""COMPUTED_VALUE"""),"62 nd rank")</f>
        <v>62 nd rank</v>
      </c>
      <c r="E30" s="70">
        <f ca="1">IFERROR(__xludf.DUMMYFUNCTION("""COMPUTED_VALUE"""),44128)</f>
        <v>44128</v>
      </c>
      <c r="F30" s="59" t="str">
        <f ca="1">IFERROR(__xludf.DUMMYFUNCTION("""COMPUTED_VALUE"""),"IEEE")</f>
        <v>IEEE</v>
      </c>
      <c r="G30" s="71" t="str">
        <f ca="1">IFERROR(__xludf.DUMMYFUNCTION("""COMPUTED_VALUE"""),"https://drive.google.com/open?id=1qP9qZmE22ppsqqe3S3RAkzkCzz1VlT7d")</f>
        <v>https://drive.google.com/open?id=1qP9qZmE22ppsqqe3S3RAkzkCzz1VlT7d</v>
      </c>
      <c r="H30" s="59" t="str">
        <f ca="1">IFERROR(__xludf.DUMMYFUNCTION("""COMPUTED_VALUE"""),"2018-2022")</f>
        <v>2018-2022</v>
      </c>
      <c r="I30" s="59" t="str">
        <f ca="1">IFERROR(__xludf.DUMMYFUNCTION("""COMPUTED_VALUE"""),"S11: Student Awards")</f>
        <v>S11: Student Awards</v>
      </c>
      <c r="J30" s="59" t="str">
        <f ca="1">IFERROR(__xludf.DUMMYFUNCTION("""COMPUTED_VALUE"""),"vasanthdatla@gmail.com")</f>
        <v>vasanthdatla@gmail.com</v>
      </c>
      <c r="K30" s="59" t="str">
        <f ca="1">IFERROR(__xludf.DUMMYFUNCTION("""COMPUTED_VALUE"""),"SEM-5")</f>
        <v>SEM-5</v>
      </c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</row>
    <row r="31" spans="1:25" ht="33.75" customHeight="1" x14ac:dyDescent="0.15">
      <c r="A31" s="59" t="str">
        <f ca="1">IFERROR(__xludf.DUMMYFUNCTION("""COMPUTED_VALUE"""),"Sai Yogesh Bhasuru")</f>
        <v>Sai Yogesh Bhasuru</v>
      </c>
      <c r="B31" s="59" t="str">
        <f ca="1">IFERROR(__xludf.DUMMYFUNCTION("""COMPUTED_VALUE"""),"18331A05D4")</f>
        <v>18331A05D4</v>
      </c>
      <c r="C31" s="59" t="str">
        <f ca="1">IFERROR(__xludf.DUMMYFUNCTION("""COMPUTED_VALUE"""),"2021-2022")</f>
        <v>2021-2022</v>
      </c>
      <c r="D31" s="59" t="str">
        <f ca="1">IFERROR(__xludf.DUMMYFUNCTION("""COMPUTED_VALUE"""),"Ranked 532 Nationally")</f>
        <v>Ranked 532 Nationally</v>
      </c>
      <c r="E31" s="70">
        <f ca="1">IFERROR(__xludf.DUMMYFUNCTION("""COMPUTED_VALUE"""),44492)</f>
        <v>44492</v>
      </c>
      <c r="F31" s="59" t="str">
        <f ca="1">IFERROR(__xludf.DUMMYFUNCTION("""COMPUTED_VALUE"""),"IEEE")</f>
        <v>IEEE</v>
      </c>
      <c r="G31" s="71" t="str">
        <f ca="1">IFERROR(__xludf.DUMMYFUNCTION("""COMPUTED_VALUE"""),"https://drive.google.com/open?id=1DUCmRPc7cYSEu1VOX3CbZFwMrxdmKmBg")</f>
        <v>https://drive.google.com/open?id=1DUCmRPc7cYSEu1VOX3CbZFwMrxdmKmBg</v>
      </c>
      <c r="H31" s="59" t="str">
        <f ca="1">IFERROR(__xludf.DUMMYFUNCTION("""COMPUTED_VALUE"""),"2018-2022")</f>
        <v>2018-2022</v>
      </c>
      <c r="I31" s="59" t="str">
        <f ca="1">IFERROR(__xludf.DUMMYFUNCTION("""COMPUTED_VALUE"""),"S11: Student Awards")</f>
        <v>S11: Student Awards</v>
      </c>
      <c r="J31" s="59" t="str">
        <f ca="1">IFERROR(__xludf.DUMMYFUNCTION("""COMPUTED_VALUE"""),"saiyogeshbhasuru16@gmail.com")</f>
        <v>saiyogeshbhasuru16@gmail.com</v>
      </c>
      <c r="K31" s="59" t="str">
        <f ca="1">IFERROR(__xludf.DUMMYFUNCTION("""COMPUTED_VALUE"""),"SEM-8")</f>
        <v>SEM-8</v>
      </c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</row>
    <row r="32" spans="1:25" ht="33.75" customHeight="1" x14ac:dyDescent="0.15">
      <c r="A32" s="59" t="str">
        <f ca="1">IFERROR(__xludf.DUMMYFUNCTION("""COMPUTED_VALUE"""),"Sai Yogesh Bhasuru")</f>
        <v>Sai Yogesh Bhasuru</v>
      </c>
      <c r="B32" s="59" t="str">
        <f ca="1">IFERROR(__xludf.DUMMYFUNCTION("""COMPUTED_VALUE"""),"18331A05D4")</f>
        <v>18331A05D4</v>
      </c>
      <c r="C32" s="59" t="str">
        <f ca="1">IFERROR(__xludf.DUMMYFUNCTION("""COMPUTED_VALUE"""),"2020-2021")</f>
        <v>2020-2021</v>
      </c>
      <c r="D32" s="59" t="str">
        <f ca="1">IFERROR(__xludf.DUMMYFUNCTION("""COMPUTED_VALUE"""),"PARTICIPATION")</f>
        <v>PARTICIPATION</v>
      </c>
      <c r="E32" s="70">
        <f ca="1">IFERROR(__xludf.DUMMYFUNCTION("""COMPUTED_VALUE"""),44519)</f>
        <v>44519</v>
      </c>
      <c r="F32" s="59" t="str">
        <f ca="1">IFERROR(__xludf.DUMMYFUNCTION("""COMPUTED_VALUE"""),"PUBLICIS SAPIENT")</f>
        <v>PUBLICIS SAPIENT</v>
      </c>
      <c r="G32" s="71" t="str">
        <f ca="1">IFERROR(__xludf.DUMMYFUNCTION("""COMPUTED_VALUE"""),"https://drive.google.com/open?id=1G7RDq0-LLMZyM_EG-AGSwXh3R1SHMW6k")</f>
        <v>https://drive.google.com/open?id=1G7RDq0-LLMZyM_EG-AGSwXh3R1SHMW6k</v>
      </c>
      <c r="H32" s="59" t="str">
        <f ca="1">IFERROR(__xludf.DUMMYFUNCTION("""COMPUTED_VALUE"""),"2018-2022")</f>
        <v>2018-2022</v>
      </c>
      <c r="I32" s="59" t="str">
        <f ca="1">IFERROR(__xludf.DUMMYFUNCTION("""COMPUTED_VALUE"""),"S11: Student Awards")</f>
        <v>S11: Student Awards</v>
      </c>
      <c r="J32" s="59" t="str">
        <f ca="1">IFERROR(__xludf.DUMMYFUNCTION("""COMPUTED_VALUE"""),"saiyogeshbhasuru16@gmail.com")</f>
        <v>saiyogeshbhasuru16@gmail.com</v>
      </c>
      <c r="K32" s="59" t="str">
        <f ca="1">IFERROR(__xludf.DUMMYFUNCTION("""COMPUTED_VALUE"""),"SEM-8")</f>
        <v>SEM-8</v>
      </c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</row>
    <row r="33" spans="1:25" ht="33.75" customHeight="1" x14ac:dyDescent="0.15">
      <c r="A33" s="59" t="str">
        <f ca="1">IFERROR(__xludf.DUMMYFUNCTION("""COMPUTED_VALUE"""),"Mandadi Bharathi naga sri sai prathyusha ")</f>
        <v xml:space="preserve">Mandadi Bharathi naga sri sai prathyusha </v>
      </c>
      <c r="B33" s="59" t="str">
        <f ca="1">IFERROR(__xludf.DUMMYFUNCTION("""COMPUTED_VALUE"""),"18331A0593")</f>
        <v>18331A0593</v>
      </c>
      <c r="C33" s="59" t="str">
        <f ca="1">IFERROR(__xludf.DUMMYFUNCTION("""COMPUTED_VALUE"""),"2018-2019")</f>
        <v>2018-2019</v>
      </c>
      <c r="D33" s="59" t="str">
        <f ca="1">IFERROR(__xludf.DUMMYFUNCTION("""COMPUTED_VALUE"""),"Second prize in dialogue telling")</f>
        <v>Second prize in dialogue telling</v>
      </c>
      <c r="E33" s="70">
        <f ca="1">IFERROR(__xludf.DUMMYFUNCTION("""COMPUTED_VALUE"""),43525)</f>
        <v>43525</v>
      </c>
      <c r="F33" s="59" t="str">
        <f ca="1">IFERROR(__xludf.DUMMYFUNCTION("""COMPUTED_VALUE"""),"Mvgr college of engineering ")</f>
        <v xml:space="preserve">Mvgr college of engineering </v>
      </c>
      <c r="G33" s="71" t="str">
        <f ca="1">IFERROR(__xludf.DUMMYFUNCTION("""COMPUTED_VALUE"""),"https://drive.google.com/open?id=1R2LLLsbXQwIwW4V-BCvJ1JlshXZWl59-")</f>
        <v>https://drive.google.com/open?id=1R2LLLsbXQwIwW4V-BCvJ1JlshXZWl59-</v>
      </c>
      <c r="H33" s="59" t="str">
        <f ca="1">IFERROR(__xludf.DUMMYFUNCTION("""COMPUTED_VALUE"""),"2018-2022")</f>
        <v>2018-2022</v>
      </c>
      <c r="I33" s="59" t="str">
        <f ca="1">IFERROR(__xludf.DUMMYFUNCTION("""COMPUTED_VALUE"""),"S11: Student Awards")</f>
        <v>S11: Student Awards</v>
      </c>
      <c r="J33" s="59" t="str">
        <f ca="1">IFERROR(__xludf.DUMMYFUNCTION("""COMPUTED_VALUE"""),"mandadi.prathyusha@gmail.com")</f>
        <v>mandadi.prathyusha@gmail.com</v>
      </c>
      <c r="K33" s="59" t="str">
        <f ca="1">IFERROR(__xludf.DUMMYFUNCTION("""COMPUTED_VALUE"""),"SEM-8")</f>
        <v>SEM-8</v>
      </c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</row>
    <row r="34" spans="1:25" ht="33.75" customHeight="1" x14ac:dyDescent="0.15">
      <c r="A34" s="59" t="str">
        <f ca="1">IFERROR(__xludf.DUMMYFUNCTION("""COMPUTED_VALUE"""),"Mandadi Bharathi naga sri sai prathyusha ")</f>
        <v xml:space="preserve">Mandadi Bharathi naga sri sai prathyusha </v>
      </c>
      <c r="B34" s="59" t="str">
        <f ca="1">IFERROR(__xludf.DUMMYFUNCTION("""COMPUTED_VALUE"""),"18331A0593")</f>
        <v>18331A0593</v>
      </c>
      <c r="C34" s="59" t="str">
        <f ca="1">IFERROR(__xludf.DUMMYFUNCTION("""COMPUTED_VALUE"""),"2018-2019")</f>
        <v>2018-2019</v>
      </c>
      <c r="D34" s="59" t="str">
        <f ca="1">IFERROR(__xludf.DUMMYFUNCTION("""COMPUTED_VALUE"""),"4th place in creative ad making")</f>
        <v>4th place in creative ad making</v>
      </c>
      <c r="E34" s="70">
        <f ca="1">IFERROR(__xludf.DUMMYFUNCTION("""COMPUTED_VALUE"""),43358)</f>
        <v>43358</v>
      </c>
      <c r="F34" s="59" t="str">
        <f ca="1">IFERROR(__xludf.DUMMYFUNCTION("""COMPUTED_VALUE"""),"Mvgr college of engineering ")</f>
        <v xml:space="preserve">Mvgr college of engineering </v>
      </c>
      <c r="G34" s="71" t="str">
        <f ca="1">IFERROR(__xludf.DUMMYFUNCTION("""COMPUTED_VALUE"""),"https://drive.google.com/open?id=1YRzFQEBgsDlYrmKJpQZK7rihv1Ts_b0I")</f>
        <v>https://drive.google.com/open?id=1YRzFQEBgsDlYrmKJpQZK7rihv1Ts_b0I</v>
      </c>
      <c r="H34" s="59" t="str">
        <f ca="1">IFERROR(__xludf.DUMMYFUNCTION("""COMPUTED_VALUE"""),"2018-2022")</f>
        <v>2018-2022</v>
      </c>
      <c r="I34" s="59" t="str">
        <f ca="1">IFERROR(__xludf.DUMMYFUNCTION("""COMPUTED_VALUE"""),"S11: Student Awards")</f>
        <v>S11: Student Awards</v>
      </c>
      <c r="J34" s="59" t="str">
        <f ca="1">IFERROR(__xludf.DUMMYFUNCTION("""COMPUTED_VALUE"""),"mandadi.prathyusha@gmail.com")</f>
        <v>mandadi.prathyusha@gmail.com</v>
      </c>
      <c r="K34" s="59" t="str">
        <f ca="1">IFERROR(__xludf.DUMMYFUNCTION("""COMPUTED_VALUE"""),"SEM-8")</f>
        <v>SEM-8</v>
      </c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</row>
    <row r="35" spans="1:25" ht="33.75" customHeight="1" x14ac:dyDescent="0.15">
      <c r="A35" s="59" t="str">
        <f ca="1">IFERROR(__xludf.DUMMYFUNCTION("""COMPUTED_VALUE"""),"Sai Yogesh Bhasuru")</f>
        <v>Sai Yogesh Bhasuru</v>
      </c>
      <c r="B35" s="59" t="str">
        <f ca="1">IFERROR(__xludf.DUMMYFUNCTION("""COMPUTED_VALUE"""),"18331A05D4")</f>
        <v>18331A05D4</v>
      </c>
      <c r="C35" s="59" t="str">
        <f ca="1">IFERROR(__xludf.DUMMYFUNCTION("""COMPUTED_VALUE"""),"2018-2019")</f>
        <v>2018-2019</v>
      </c>
      <c r="D35" s="59" t="str">
        <f ca="1">IFERROR(__xludf.DUMMYFUNCTION("""COMPUTED_VALUE"""),"Ranked 54th in India")</f>
        <v>Ranked 54th in India</v>
      </c>
      <c r="E35" s="70">
        <f ca="1">IFERROR(__xludf.DUMMYFUNCTION("""COMPUTED_VALUE"""),43757)</f>
        <v>43757</v>
      </c>
      <c r="F35" s="59" t="str">
        <f ca="1">IFERROR(__xludf.DUMMYFUNCTION("""COMPUTED_VALUE"""),"IEEE")</f>
        <v>IEEE</v>
      </c>
      <c r="G35" s="71" t="str">
        <f ca="1">IFERROR(__xludf.DUMMYFUNCTION("""COMPUTED_VALUE"""),"https://drive.google.com/open?id=11oFg23t3ZKMD-lJrDa5C7OpBFpQ9H73T")</f>
        <v>https://drive.google.com/open?id=11oFg23t3ZKMD-lJrDa5C7OpBFpQ9H73T</v>
      </c>
      <c r="H35" s="59" t="str">
        <f ca="1">IFERROR(__xludf.DUMMYFUNCTION("""COMPUTED_VALUE"""),"2018-2022")</f>
        <v>2018-2022</v>
      </c>
      <c r="I35" s="59" t="str">
        <f ca="1">IFERROR(__xludf.DUMMYFUNCTION("""COMPUTED_VALUE"""),"S11: Student Awards")</f>
        <v>S11: Student Awards</v>
      </c>
      <c r="J35" s="59" t="str">
        <f ca="1">IFERROR(__xludf.DUMMYFUNCTION("""COMPUTED_VALUE"""),"saiyogeshbhasuru16@gmail.com")</f>
        <v>saiyogeshbhasuru16@gmail.com</v>
      </c>
      <c r="K35" s="59" t="str">
        <f ca="1">IFERROR(__xludf.DUMMYFUNCTION("""COMPUTED_VALUE"""),"SEM-8")</f>
        <v>SEM-8</v>
      </c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</row>
    <row r="36" spans="1:25" ht="33.75" customHeight="1" x14ac:dyDescent="0.15">
      <c r="A36" s="59" t="str">
        <f ca="1">IFERROR(__xludf.DUMMYFUNCTION("""COMPUTED_VALUE"""),"Sai Yogesh Bhasuru")</f>
        <v>Sai Yogesh Bhasuru</v>
      </c>
      <c r="B36" s="59" t="str">
        <f ca="1">IFERROR(__xludf.DUMMYFUNCTION("""COMPUTED_VALUE"""),"18331A05D4")</f>
        <v>18331A05D4</v>
      </c>
      <c r="C36" s="59" t="str">
        <f ca="1">IFERROR(__xludf.DUMMYFUNCTION("""COMPUTED_VALUE"""),"2020-2021")</f>
        <v>2020-2021</v>
      </c>
      <c r="D36" s="59" t="str">
        <f ca="1">IFERROR(__xludf.DUMMYFUNCTION("""COMPUTED_VALUE"""),"ranked 125th in India")</f>
        <v>ranked 125th in India</v>
      </c>
      <c r="E36" s="70">
        <f ca="1">IFERROR(__xludf.DUMMYFUNCTION("""COMPUTED_VALUE"""),44128)</f>
        <v>44128</v>
      </c>
      <c r="F36" s="59" t="str">
        <f ca="1">IFERROR(__xludf.DUMMYFUNCTION("""COMPUTED_VALUE"""),"IEEE")</f>
        <v>IEEE</v>
      </c>
      <c r="G36" s="71" t="str">
        <f ca="1">IFERROR(__xludf.DUMMYFUNCTION("""COMPUTED_VALUE"""),"https://drive.google.com/open?id=1_hWaWfnrw-tMxz7sGcU2vpEumtEmhwt6")</f>
        <v>https://drive.google.com/open?id=1_hWaWfnrw-tMxz7sGcU2vpEumtEmhwt6</v>
      </c>
      <c r="H36" s="59" t="str">
        <f ca="1">IFERROR(__xludf.DUMMYFUNCTION("""COMPUTED_VALUE"""),"2018-2022")</f>
        <v>2018-2022</v>
      </c>
      <c r="I36" s="59" t="str">
        <f ca="1">IFERROR(__xludf.DUMMYFUNCTION("""COMPUTED_VALUE"""),"S11: Student Awards")</f>
        <v>S11: Student Awards</v>
      </c>
      <c r="J36" s="59" t="str">
        <f ca="1">IFERROR(__xludf.DUMMYFUNCTION("""COMPUTED_VALUE"""),"saiyogeshbhasuru16@gmail.com")</f>
        <v>saiyogeshbhasuru16@gmail.com</v>
      </c>
      <c r="K36" s="59" t="str">
        <f ca="1">IFERROR(__xludf.DUMMYFUNCTION("""COMPUTED_VALUE"""),"SEM-8")</f>
        <v>SEM-8</v>
      </c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</row>
    <row r="37" spans="1:25" ht="33.75" customHeight="1" x14ac:dyDescent="0.15">
      <c r="A37" s="59" t="str">
        <f ca="1">IFERROR(__xludf.DUMMYFUNCTION("""COMPUTED_VALUE"""),"Mandadi Bharathi naga sri sai prathyusha ")</f>
        <v xml:space="preserve">Mandadi Bharathi naga sri sai prathyusha </v>
      </c>
      <c r="B37" s="59" t="str">
        <f ca="1">IFERROR(__xludf.DUMMYFUNCTION("""COMPUTED_VALUE"""),"18331A0593")</f>
        <v>18331A0593</v>
      </c>
      <c r="C37" s="59" t="str">
        <f ca="1">IFERROR(__xludf.DUMMYFUNCTION("""COMPUTED_VALUE"""),"2019-2020")</f>
        <v>2019-2020</v>
      </c>
      <c r="D37" s="59" t="str">
        <f ca="1">IFERROR(__xludf.DUMMYFUNCTION("""COMPUTED_VALUE"""),"First prize in PPT presentation ")</f>
        <v xml:space="preserve">First prize in PPT presentation </v>
      </c>
      <c r="E37" s="70">
        <f ca="1">IFERROR(__xludf.DUMMYFUNCTION("""COMPUTED_VALUE"""),43532)</f>
        <v>43532</v>
      </c>
      <c r="F37" s="59" t="str">
        <f ca="1">IFERROR(__xludf.DUMMYFUNCTION("""COMPUTED_VALUE"""),"Mvgr college of engineering ")</f>
        <v xml:space="preserve">Mvgr college of engineering </v>
      </c>
      <c r="G37" s="71" t="str">
        <f ca="1">IFERROR(__xludf.DUMMYFUNCTION("""COMPUTED_VALUE"""),"https://drive.google.com/open?id=1f5fkYcbl5lPC1KzM9l4IKPF55533wJ9L")</f>
        <v>https://drive.google.com/open?id=1f5fkYcbl5lPC1KzM9l4IKPF55533wJ9L</v>
      </c>
      <c r="H37" s="59" t="str">
        <f ca="1">IFERROR(__xludf.DUMMYFUNCTION("""COMPUTED_VALUE"""),"2018-2022")</f>
        <v>2018-2022</v>
      </c>
      <c r="I37" s="59" t="str">
        <f ca="1">IFERROR(__xludf.DUMMYFUNCTION("""COMPUTED_VALUE"""),"S11: Student Awards")</f>
        <v>S11: Student Awards</v>
      </c>
      <c r="J37" s="59" t="str">
        <f ca="1">IFERROR(__xludf.DUMMYFUNCTION("""COMPUTED_VALUE"""),"mandadi.prathyusha@gmail.com")</f>
        <v>mandadi.prathyusha@gmail.com</v>
      </c>
      <c r="K37" s="59" t="str">
        <f ca="1">IFERROR(__xludf.DUMMYFUNCTION("""COMPUTED_VALUE"""),"SEM-8")</f>
        <v>SEM-8</v>
      </c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</row>
    <row r="38" spans="1:25" ht="33.75" customHeight="1" x14ac:dyDescent="0.15">
      <c r="A38" s="59" t="str">
        <f ca="1">IFERROR(__xludf.DUMMYFUNCTION("""COMPUTED_VALUE"""),"Sai Yogesh Bhasuru")</f>
        <v>Sai Yogesh Bhasuru</v>
      </c>
      <c r="B38" s="59" t="str">
        <f ca="1">IFERROR(__xludf.DUMMYFUNCTION("""COMPUTED_VALUE"""),"18331A05D4")</f>
        <v>18331A05D4</v>
      </c>
      <c r="C38" s="59" t="str">
        <f ca="1">IFERROR(__xludf.DUMMYFUNCTION("""COMPUTED_VALUE"""),"2019-2020")</f>
        <v>2019-2020</v>
      </c>
      <c r="D38" s="59" t="str">
        <f ca="1">IFERROR(__xludf.DUMMYFUNCTION("""COMPUTED_VALUE"""),"Participation")</f>
        <v>Participation</v>
      </c>
      <c r="E38" s="70">
        <f ca="1">IFERROR(__xludf.DUMMYFUNCTION("""COMPUTED_VALUE"""),43937)</f>
        <v>43937</v>
      </c>
      <c r="F38" s="59" t="str">
        <f ca="1">IFERROR(__xludf.DUMMYFUNCTION("""COMPUTED_VALUE"""),"Edu Skills")</f>
        <v>Edu Skills</v>
      </c>
      <c r="G38" s="71" t="str">
        <f ca="1">IFERROR(__xludf.DUMMYFUNCTION("""COMPUTED_VALUE"""),"https://drive.google.com/open?id=1gFA1lCu4rHLk8s0vfQ6Wa3HEML6MLnnW")</f>
        <v>https://drive.google.com/open?id=1gFA1lCu4rHLk8s0vfQ6Wa3HEML6MLnnW</v>
      </c>
      <c r="H38" s="59" t="str">
        <f ca="1">IFERROR(__xludf.DUMMYFUNCTION("""COMPUTED_VALUE"""),"2018-2022")</f>
        <v>2018-2022</v>
      </c>
      <c r="I38" s="59" t="str">
        <f ca="1">IFERROR(__xludf.DUMMYFUNCTION("""COMPUTED_VALUE"""),"S11: Student Awards")</f>
        <v>S11: Student Awards</v>
      </c>
      <c r="J38" s="59" t="str">
        <f ca="1">IFERROR(__xludf.DUMMYFUNCTION("""COMPUTED_VALUE"""),"saiyogeshbhasuru16@gmail.com")</f>
        <v>saiyogeshbhasuru16@gmail.com</v>
      </c>
      <c r="K38" s="59" t="str">
        <f ca="1">IFERROR(__xludf.DUMMYFUNCTION("""COMPUTED_VALUE"""),"SEM-8")</f>
        <v>SEM-8</v>
      </c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</row>
    <row r="39" spans="1:25" ht="33.75" customHeight="1" x14ac:dyDescent="0.15">
      <c r="A39" s="59" t="str">
        <f ca="1">IFERROR(__xludf.DUMMYFUNCTION("""COMPUTED_VALUE"""),"Gara Ranjeet")</f>
        <v>Gara Ranjeet</v>
      </c>
      <c r="B39" s="59" t="str">
        <f ca="1">IFERROR(__xludf.DUMMYFUNCTION("""COMPUTED_VALUE"""),"18331A0544")</f>
        <v>18331A0544</v>
      </c>
      <c r="C39" s="59" t="str">
        <f ca="1">IFERROR(__xludf.DUMMYFUNCTION("""COMPUTED_VALUE"""),"2018-2019")</f>
        <v>2018-2019</v>
      </c>
      <c r="D39" s="59" t="str">
        <f ca="1">IFERROR(__xludf.DUMMYFUNCTION("""COMPUTED_VALUE"""),"Winner in Intra Collage Football ")</f>
        <v xml:space="preserve">Winner in Intra Collage Football </v>
      </c>
      <c r="E39" s="70">
        <f ca="1">IFERROR(__xludf.DUMMYFUNCTION("""COMPUTED_VALUE"""),43527)</f>
        <v>43527</v>
      </c>
      <c r="F39" s="59" t="str">
        <f ca="1">IFERROR(__xludf.DUMMYFUNCTION("""COMPUTED_VALUE"""),"MVGR College of Engineering")</f>
        <v>MVGR College of Engineering</v>
      </c>
      <c r="G39" s="71" t="str">
        <f ca="1">IFERROR(__xludf.DUMMYFUNCTION("""COMPUTED_VALUE"""),"https://drive.google.com/open?id=1exrzR0Tq1AAGjjixli_wHi2BLmsP9l2J")</f>
        <v>https://drive.google.com/open?id=1exrzR0Tq1AAGjjixli_wHi2BLmsP9l2J</v>
      </c>
      <c r="H39" s="59" t="str">
        <f ca="1">IFERROR(__xludf.DUMMYFUNCTION("""COMPUTED_VALUE"""),"2018-2022")</f>
        <v>2018-2022</v>
      </c>
      <c r="I39" s="59" t="str">
        <f ca="1">IFERROR(__xludf.DUMMYFUNCTION("""COMPUTED_VALUE"""),"S11: Student Awards")</f>
        <v>S11: Student Awards</v>
      </c>
      <c r="J39" s="59" t="str">
        <f ca="1">IFERROR(__xludf.DUMMYFUNCTION("""COMPUTED_VALUE"""),"ranjeetgara123@gmail.com")</f>
        <v>ranjeetgara123@gmail.com</v>
      </c>
      <c r="K39" s="59" t="str">
        <f ca="1">IFERROR(__xludf.DUMMYFUNCTION("""COMPUTED_VALUE"""),"SEM-2")</f>
        <v>SEM-2</v>
      </c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</row>
    <row r="40" spans="1:25" ht="33.75" customHeight="1" x14ac:dyDescent="0.15">
      <c r="A40" s="59" t="str">
        <f ca="1">IFERROR(__xludf.DUMMYFUNCTION("""COMPUTED_VALUE"""),"Gara Ranjeet ")</f>
        <v xml:space="preserve">Gara Ranjeet </v>
      </c>
      <c r="B40" s="59" t="str">
        <f ca="1">IFERROR(__xludf.DUMMYFUNCTION("""COMPUTED_VALUE"""),"18331A0544")</f>
        <v>18331A0544</v>
      </c>
      <c r="C40" s="59" t="str">
        <f ca="1">IFERROR(__xludf.DUMMYFUNCTION("""COMPUTED_VALUE"""),"2019-2020")</f>
        <v>2019-2020</v>
      </c>
      <c r="D40" s="59" t="str">
        <f ca="1">IFERROR(__xludf.DUMMYFUNCTION("""COMPUTED_VALUE"""),"Runners in C-Quencz")</f>
        <v>Runners in C-Quencz</v>
      </c>
      <c r="E40" s="70">
        <f ca="1">IFERROR(__xludf.DUMMYFUNCTION("""COMPUTED_VALUE"""),43717)</f>
        <v>43717</v>
      </c>
      <c r="F40" s="59" t="str">
        <f ca="1">IFERROR(__xludf.DUMMYFUNCTION("""COMPUTED_VALUE"""),"BITS Vizag")</f>
        <v>BITS Vizag</v>
      </c>
      <c r="G40" s="71" t="str">
        <f ca="1">IFERROR(__xludf.DUMMYFUNCTION("""COMPUTED_VALUE"""),"https://drive.google.com/open?id=1VBFzDwiftdcDb4NNTOQzmJZ83ltxNxGZ")</f>
        <v>https://drive.google.com/open?id=1VBFzDwiftdcDb4NNTOQzmJZ83ltxNxGZ</v>
      </c>
      <c r="H40" s="59" t="str">
        <f ca="1">IFERROR(__xludf.DUMMYFUNCTION("""COMPUTED_VALUE"""),"2018-2022")</f>
        <v>2018-2022</v>
      </c>
      <c r="I40" s="59" t="str">
        <f ca="1">IFERROR(__xludf.DUMMYFUNCTION("""COMPUTED_VALUE"""),"S11: Student Awards")</f>
        <v>S11: Student Awards</v>
      </c>
      <c r="J40" s="59" t="str">
        <f ca="1">IFERROR(__xludf.DUMMYFUNCTION("""COMPUTED_VALUE"""),"ranjeetgara123@gmail.com")</f>
        <v>ranjeetgara123@gmail.com</v>
      </c>
      <c r="K40" s="59" t="str">
        <f ca="1">IFERROR(__xludf.DUMMYFUNCTION("""COMPUTED_VALUE"""),"SEM-3")</f>
        <v>SEM-3</v>
      </c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</row>
    <row r="41" spans="1:25" ht="33.75" customHeight="1" x14ac:dyDescent="0.15">
      <c r="A41" s="59" t="str">
        <f ca="1">IFERROR(__xludf.DUMMYFUNCTION("""COMPUTED_VALUE"""),"Gara Ranjeet")</f>
        <v>Gara Ranjeet</v>
      </c>
      <c r="B41" s="59" t="str">
        <f ca="1">IFERROR(__xludf.DUMMYFUNCTION("""COMPUTED_VALUE"""),"18331A0544")</f>
        <v>18331A0544</v>
      </c>
      <c r="C41" s="59" t="str">
        <f ca="1">IFERROR(__xludf.DUMMYFUNCTION("""COMPUTED_VALUE"""),"2021-2022")</f>
        <v>2021-2022</v>
      </c>
      <c r="D41" s="59" t="str">
        <f ca="1">IFERROR(__xludf.DUMMYFUNCTION("""COMPUTED_VALUE"""),"Participated in Jumpstart")</f>
        <v>Participated in Jumpstart</v>
      </c>
      <c r="E41" s="70">
        <f ca="1">IFERROR(__xludf.DUMMYFUNCTION("""COMPUTED_VALUE"""),44424)</f>
        <v>44424</v>
      </c>
      <c r="F41" s="59" t="str">
        <f ca="1">IFERROR(__xludf.DUMMYFUNCTION("""COMPUTED_VALUE"""),"Publicis Sapient")</f>
        <v>Publicis Sapient</v>
      </c>
      <c r="G41" s="71" t="str">
        <f ca="1">IFERROR(__xludf.DUMMYFUNCTION("""COMPUTED_VALUE"""),"https://drive.google.com/open?id=18DQ-a_SgSwwQNnJR71iVduvkRog5eD4i")</f>
        <v>https://drive.google.com/open?id=18DQ-a_SgSwwQNnJR71iVduvkRog5eD4i</v>
      </c>
      <c r="H41" s="59" t="str">
        <f ca="1">IFERROR(__xludf.DUMMYFUNCTION("""COMPUTED_VALUE"""),"2018-2022")</f>
        <v>2018-2022</v>
      </c>
      <c r="I41" s="59" t="str">
        <f ca="1">IFERROR(__xludf.DUMMYFUNCTION("""COMPUTED_VALUE"""),"S11: Student Awards")</f>
        <v>S11: Student Awards</v>
      </c>
      <c r="J41" s="59" t="str">
        <f ca="1">IFERROR(__xludf.DUMMYFUNCTION("""COMPUTED_VALUE"""),"ranjeetgara123@gmail.com")</f>
        <v>ranjeetgara123@gmail.com</v>
      </c>
      <c r="K41" s="59" t="str">
        <f ca="1">IFERROR(__xludf.DUMMYFUNCTION("""COMPUTED_VALUE"""),"SEM-7")</f>
        <v>SEM-7</v>
      </c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</row>
    <row r="42" spans="1:25" ht="33.75" customHeight="1" x14ac:dyDescent="0.15">
      <c r="A42" s="59" t="str">
        <f ca="1">IFERROR(__xludf.DUMMYFUNCTION("""COMPUTED_VALUE"""),"Gara Ranjeet")</f>
        <v>Gara Ranjeet</v>
      </c>
      <c r="B42" s="59" t="str">
        <f ca="1">IFERROR(__xludf.DUMMYFUNCTION("""COMPUTED_VALUE"""),"18331A0544")</f>
        <v>18331A0544</v>
      </c>
      <c r="C42" s="59" t="str">
        <f ca="1">IFERROR(__xludf.DUMMYFUNCTION("""COMPUTED_VALUE"""),"2021-2022")</f>
        <v>2021-2022</v>
      </c>
      <c r="D42" s="59" t="str">
        <f ca="1">IFERROR(__xludf.DUMMYFUNCTION("""COMPUTED_VALUE"""),"Participated in Flikart Griid 3.0")</f>
        <v>Participated in Flikart Griid 3.0</v>
      </c>
      <c r="E42" s="70">
        <f ca="1">IFERROR(__xludf.DUMMYFUNCTION("""COMPUTED_VALUE"""),44474)</f>
        <v>44474</v>
      </c>
      <c r="F42" s="59" t="str">
        <f ca="1">IFERROR(__xludf.DUMMYFUNCTION("""COMPUTED_VALUE"""),"Flipkart")</f>
        <v>Flipkart</v>
      </c>
      <c r="G42" s="71" t="str">
        <f ca="1">IFERROR(__xludf.DUMMYFUNCTION("""COMPUTED_VALUE"""),"https://drive.google.com/open?id=12CWg_r8JF53cf3Baygsp9xmHsKumoWl6")</f>
        <v>https://drive.google.com/open?id=12CWg_r8JF53cf3Baygsp9xmHsKumoWl6</v>
      </c>
      <c r="H42" s="59" t="str">
        <f ca="1">IFERROR(__xludf.DUMMYFUNCTION("""COMPUTED_VALUE"""),"2018-2022")</f>
        <v>2018-2022</v>
      </c>
      <c r="I42" s="59" t="str">
        <f ca="1">IFERROR(__xludf.DUMMYFUNCTION("""COMPUTED_VALUE"""),"S11: Student Awards")</f>
        <v>S11: Student Awards</v>
      </c>
      <c r="J42" s="59" t="str">
        <f ca="1">IFERROR(__xludf.DUMMYFUNCTION("""COMPUTED_VALUE"""),"ranjeetgara123@gmail.com")</f>
        <v>ranjeetgara123@gmail.com</v>
      </c>
      <c r="K42" s="59" t="str">
        <f ca="1">IFERROR(__xludf.DUMMYFUNCTION("""COMPUTED_VALUE"""),"SEM-7")</f>
        <v>SEM-7</v>
      </c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</row>
    <row r="43" spans="1:25" ht="33.75" customHeight="1" x14ac:dyDescent="0.15">
      <c r="A43" s="59" t="str">
        <f ca="1">IFERROR(__xludf.DUMMYFUNCTION("""COMPUTED_VALUE"""),"Gara Ranjeet")</f>
        <v>Gara Ranjeet</v>
      </c>
      <c r="B43" s="59" t="str">
        <f ca="1">IFERROR(__xludf.DUMMYFUNCTION("""COMPUTED_VALUE"""),"18331A0544")</f>
        <v>18331A0544</v>
      </c>
      <c r="C43" s="59" t="str">
        <f ca="1">IFERROR(__xludf.DUMMYFUNCTION("""COMPUTED_VALUE"""),"2021-2022")</f>
        <v>2021-2022</v>
      </c>
      <c r="D43" s="59" t="str">
        <f ca="1">IFERROR(__xludf.DUMMYFUNCTION("""COMPUTED_VALUE"""),"Participated in Juspay Hiring Challenge")</f>
        <v>Participated in Juspay Hiring Challenge</v>
      </c>
      <c r="E43" s="70">
        <f ca="1">IFERROR(__xludf.DUMMYFUNCTION("""COMPUTED_VALUE"""),44529)</f>
        <v>44529</v>
      </c>
      <c r="F43" s="59" t="str">
        <f ca="1">IFERROR(__xludf.DUMMYFUNCTION("""COMPUTED_VALUE"""),"Juspay")</f>
        <v>Juspay</v>
      </c>
      <c r="G43" s="71" t="str">
        <f ca="1">IFERROR(__xludf.DUMMYFUNCTION("""COMPUTED_VALUE"""),"https://drive.google.com/open?id=1JJuiFEf9tPTTCoSLFcd05jYGhtg__3XX")</f>
        <v>https://drive.google.com/open?id=1JJuiFEf9tPTTCoSLFcd05jYGhtg__3XX</v>
      </c>
      <c r="H43" s="59" t="str">
        <f ca="1">IFERROR(__xludf.DUMMYFUNCTION("""COMPUTED_VALUE"""),"2018-2022")</f>
        <v>2018-2022</v>
      </c>
      <c r="I43" s="59" t="str">
        <f ca="1">IFERROR(__xludf.DUMMYFUNCTION("""COMPUTED_VALUE"""),"S11: Student Awards")</f>
        <v>S11: Student Awards</v>
      </c>
      <c r="J43" s="59" t="str">
        <f ca="1">IFERROR(__xludf.DUMMYFUNCTION("""COMPUTED_VALUE"""),"ranjeetgara123@gmail.com")</f>
        <v>ranjeetgara123@gmail.com</v>
      </c>
      <c r="K43" s="59" t="str">
        <f ca="1">IFERROR(__xludf.DUMMYFUNCTION("""COMPUTED_VALUE"""),"SEM-7")</f>
        <v>SEM-7</v>
      </c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</row>
    <row r="44" spans="1:25" ht="33.75" customHeight="1" x14ac:dyDescent="0.15">
      <c r="A44" s="59" t="str">
        <f ca="1">IFERROR(__xludf.DUMMYFUNCTION("""COMPUTED_VALUE"""),"Gara Ranjeet")</f>
        <v>Gara Ranjeet</v>
      </c>
      <c r="B44" s="59" t="str">
        <f ca="1">IFERROR(__xludf.DUMMYFUNCTION("""COMPUTED_VALUE"""),"18331A0544")</f>
        <v>18331A0544</v>
      </c>
      <c r="C44" s="59" t="str">
        <f ca="1">IFERROR(__xludf.DUMMYFUNCTION("""COMPUTED_VALUE"""),"2021-2022")</f>
        <v>2021-2022</v>
      </c>
      <c r="D44" s="59" t="str">
        <f ca="1">IFERROR(__xludf.DUMMYFUNCTION("""COMPUTED_VALUE"""),"Participated in Juspay Hiring Challenge")</f>
        <v>Participated in Juspay Hiring Challenge</v>
      </c>
      <c r="E44" s="70">
        <f ca="1">IFERROR(__xludf.DUMMYFUNCTION("""COMPUTED_VALUE"""),44530)</f>
        <v>44530</v>
      </c>
      <c r="F44" s="59" t="str">
        <f ca="1">IFERROR(__xludf.DUMMYFUNCTION("""COMPUTED_VALUE"""),"Juspay")</f>
        <v>Juspay</v>
      </c>
      <c r="G44" s="71" t="str">
        <f ca="1">IFERROR(__xludf.DUMMYFUNCTION("""COMPUTED_VALUE"""),"https://drive.google.com/open?id=164PkLKDM0UG_ADq-iyJk3eLt2LeK4efP")</f>
        <v>https://drive.google.com/open?id=164PkLKDM0UG_ADq-iyJk3eLt2LeK4efP</v>
      </c>
      <c r="H44" s="59" t="str">
        <f ca="1">IFERROR(__xludf.DUMMYFUNCTION("""COMPUTED_VALUE"""),"2018-2022")</f>
        <v>2018-2022</v>
      </c>
      <c r="I44" s="59" t="str">
        <f ca="1">IFERROR(__xludf.DUMMYFUNCTION("""COMPUTED_VALUE"""),"S11: Student Awards")</f>
        <v>S11: Student Awards</v>
      </c>
      <c r="J44" s="59" t="str">
        <f ca="1">IFERROR(__xludf.DUMMYFUNCTION("""COMPUTED_VALUE"""),"ranjeetgara123@gmail.com")</f>
        <v>ranjeetgara123@gmail.com</v>
      </c>
      <c r="K44" s="59" t="str">
        <f ca="1">IFERROR(__xludf.DUMMYFUNCTION("""COMPUTED_VALUE"""),"SEM-7")</f>
        <v>SEM-7</v>
      </c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</row>
    <row r="45" spans="1:25" ht="33.75" customHeight="1" x14ac:dyDescent="0.15">
      <c r="A45" s="59" t="str">
        <f ca="1">IFERROR(__xludf.DUMMYFUNCTION("""COMPUTED_VALUE"""),"Gara Ranjeet")</f>
        <v>Gara Ranjeet</v>
      </c>
      <c r="B45" s="59" t="str">
        <f ca="1">IFERROR(__xludf.DUMMYFUNCTION("""COMPUTED_VALUE"""),"18331A0544")</f>
        <v>18331A0544</v>
      </c>
      <c r="C45" s="59" t="str">
        <f ca="1">IFERROR(__xludf.DUMMYFUNCTION("""COMPUTED_VALUE"""),"2021-2022")</f>
        <v>2021-2022</v>
      </c>
      <c r="D45" s="59" t="str">
        <f ca="1">IFERROR(__xludf.DUMMYFUNCTION("""COMPUTED_VALUE"""),"Participated in Craze-Athon")</f>
        <v>Participated in Craze-Athon</v>
      </c>
      <c r="E45" s="70">
        <f ca="1">IFERROR(__xludf.DUMMYFUNCTION("""COMPUTED_VALUE"""),44624)</f>
        <v>44624</v>
      </c>
      <c r="F45" s="59" t="str">
        <f ca="1">IFERROR(__xludf.DUMMYFUNCTION("""COMPUTED_VALUE"""),"Anther Energy")</f>
        <v>Anther Energy</v>
      </c>
      <c r="G45" s="71" t="str">
        <f ca="1">IFERROR(__xludf.DUMMYFUNCTION("""COMPUTED_VALUE"""),"https://drive.google.com/open?id=1lielZ9SCE8IidGkSQqOF6wsdXvjIU3iV")</f>
        <v>https://drive.google.com/open?id=1lielZ9SCE8IidGkSQqOF6wsdXvjIU3iV</v>
      </c>
      <c r="H45" s="59" t="str">
        <f ca="1">IFERROR(__xludf.DUMMYFUNCTION("""COMPUTED_VALUE"""),"2018-2022")</f>
        <v>2018-2022</v>
      </c>
      <c r="I45" s="59" t="str">
        <f ca="1">IFERROR(__xludf.DUMMYFUNCTION("""COMPUTED_VALUE"""),"S11: Student Awards")</f>
        <v>S11: Student Awards</v>
      </c>
      <c r="J45" s="59" t="str">
        <f ca="1">IFERROR(__xludf.DUMMYFUNCTION("""COMPUTED_VALUE"""),"ranjeetgara123@gmail.com")</f>
        <v>ranjeetgara123@gmail.com</v>
      </c>
      <c r="K45" s="59" t="str">
        <f ca="1">IFERROR(__xludf.DUMMYFUNCTION("""COMPUTED_VALUE"""),"SEM-8")</f>
        <v>SEM-8</v>
      </c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</row>
    <row r="46" spans="1:25" ht="33.75" customHeight="1" x14ac:dyDescent="0.15">
      <c r="A46" s="59" t="str">
        <f ca="1">IFERROR(__xludf.DUMMYFUNCTION("""COMPUTED_VALUE"""),"Gara Ranjeet")</f>
        <v>Gara Ranjeet</v>
      </c>
      <c r="B46" s="59" t="str">
        <f ca="1">IFERROR(__xludf.DUMMYFUNCTION("""COMPUTED_VALUE"""),"18331A0544")</f>
        <v>18331A0544</v>
      </c>
      <c r="C46" s="59" t="str">
        <f ca="1">IFERROR(__xludf.DUMMYFUNCTION("""COMPUTED_VALUE"""),"2020-2021")</f>
        <v>2020-2021</v>
      </c>
      <c r="D46" s="59" t="str">
        <f ca="1">IFERROR(__xludf.DUMMYFUNCTION("""COMPUTED_VALUE"""),"Participated in IEEE Xtreme 14.0")</f>
        <v>Participated in IEEE Xtreme 14.0</v>
      </c>
      <c r="E46" s="70">
        <f ca="1">IFERROR(__xludf.DUMMYFUNCTION("""COMPUTED_VALUE"""),44128)</f>
        <v>44128</v>
      </c>
      <c r="F46" s="59" t="str">
        <f ca="1">IFERROR(__xludf.DUMMYFUNCTION("""COMPUTED_VALUE"""),"IEEE")</f>
        <v>IEEE</v>
      </c>
      <c r="G46" s="71" t="str">
        <f ca="1">IFERROR(__xludf.DUMMYFUNCTION("""COMPUTED_VALUE"""),"https://drive.google.com/open?id=1zjAe8X2zfPzNCJ-qrVbm0yKxYzq2Ms1A")</f>
        <v>https://drive.google.com/open?id=1zjAe8X2zfPzNCJ-qrVbm0yKxYzq2Ms1A</v>
      </c>
      <c r="H46" s="59" t="str">
        <f ca="1">IFERROR(__xludf.DUMMYFUNCTION("""COMPUTED_VALUE"""),"2018-2022")</f>
        <v>2018-2022</v>
      </c>
      <c r="I46" s="59" t="str">
        <f ca="1">IFERROR(__xludf.DUMMYFUNCTION("""COMPUTED_VALUE"""),"S11: Student Awards")</f>
        <v>S11: Student Awards</v>
      </c>
      <c r="J46" s="59" t="str">
        <f ca="1">IFERROR(__xludf.DUMMYFUNCTION("""COMPUTED_VALUE"""),"ranjeetgara123@gmail.com")</f>
        <v>ranjeetgara123@gmail.com</v>
      </c>
      <c r="K46" s="59" t="str">
        <f ca="1">IFERROR(__xludf.DUMMYFUNCTION("""COMPUTED_VALUE"""),"SEM-5")</f>
        <v>SEM-5</v>
      </c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</row>
    <row r="47" spans="1:25" ht="33.75" customHeight="1" x14ac:dyDescent="0.15">
      <c r="A47" s="59" t="str">
        <f ca="1">IFERROR(__xludf.DUMMYFUNCTION("""COMPUTED_VALUE"""),"Gara Ranjeet")</f>
        <v>Gara Ranjeet</v>
      </c>
      <c r="B47" s="59" t="str">
        <f ca="1">IFERROR(__xludf.DUMMYFUNCTION("""COMPUTED_VALUE"""),"18331A0544")</f>
        <v>18331A0544</v>
      </c>
      <c r="C47" s="59" t="str">
        <f ca="1">IFERROR(__xludf.DUMMYFUNCTION("""COMPUTED_VALUE"""),"2019-2020")</f>
        <v>2019-2020</v>
      </c>
      <c r="D47" s="59" t="str">
        <f ca="1">IFERROR(__xludf.DUMMYFUNCTION("""COMPUTED_VALUE"""),"Secured 4313rd positiono in Google KickStart 2020")</f>
        <v>Secured 4313rd positiono in Google KickStart 2020</v>
      </c>
      <c r="E47" s="70">
        <f ca="1">IFERROR(__xludf.DUMMYFUNCTION("""COMPUTED_VALUE"""),43924)</f>
        <v>43924</v>
      </c>
      <c r="F47" s="59" t="str">
        <f ca="1">IFERROR(__xludf.DUMMYFUNCTION("""COMPUTED_VALUE"""),"Google")</f>
        <v>Google</v>
      </c>
      <c r="G47" s="71" t="str">
        <f ca="1">IFERROR(__xludf.DUMMYFUNCTION("""COMPUTED_VALUE"""),"https://drive.google.com/open?id=1sDwciOtEuxq5IPhQZaT5VEoNzXGiQgdN")</f>
        <v>https://drive.google.com/open?id=1sDwciOtEuxq5IPhQZaT5VEoNzXGiQgdN</v>
      </c>
      <c r="H47" s="59" t="str">
        <f ca="1">IFERROR(__xludf.DUMMYFUNCTION("""COMPUTED_VALUE"""),"2018-2022")</f>
        <v>2018-2022</v>
      </c>
      <c r="I47" s="59" t="str">
        <f ca="1">IFERROR(__xludf.DUMMYFUNCTION("""COMPUTED_VALUE"""),"S11: Student Awards")</f>
        <v>S11: Student Awards</v>
      </c>
      <c r="J47" s="59" t="str">
        <f ca="1">IFERROR(__xludf.DUMMYFUNCTION("""COMPUTED_VALUE"""),"ranjeetgara123@gmail.com")</f>
        <v>ranjeetgara123@gmail.com</v>
      </c>
      <c r="K47" s="59" t="str">
        <f ca="1">IFERROR(__xludf.DUMMYFUNCTION("""COMPUTED_VALUE"""),"SEM-5")</f>
        <v>SEM-5</v>
      </c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</row>
    <row r="48" spans="1:25" ht="33.75" customHeight="1" x14ac:dyDescent="0.15">
      <c r="A48" s="59" t="str">
        <f ca="1">IFERROR(__xludf.DUMMYFUNCTION("""COMPUTED_VALUE"""),"Gara Ranjeet")</f>
        <v>Gara Ranjeet</v>
      </c>
      <c r="B48" s="59" t="str">
        <f ca="1">IFERROR(__xludf.DUMMYFUNCTION("""COMPUTED_VALUE"""),"18331A0544")</f>
        <v>18331A0544</v>
      </c>
      <c r="C48" s="59" t="str">
        <f ca="1">IFERROR(__xludf.DUMMYFUNCTION("""COMPUTED_VALUE"""),"2020-2021")</f>
        <v>2020-2021</v>
      </c>
      <c r="D48" s="59" t="str">
        <f ca="1">IFERROR(__xludf.DUMMYFUNCTION("""COMPUTED_VALUE"""),"participated in Quiz on C programming with data structures")</f>
        <v>participated in Quiz on C programming with data structures</v>
      </c>
      <c r="E48" s="70">
        <f ca="1">IFERROR(__xludf.DUMMYFUNCTION("""COMPUTED_VALUE"""),44171)</f>
        <v>44171</v>
      </c>
      <c r="F48" s="59" t="str">
        <f ca="1">IFERROR(__xludf.DUMMYFUNCTION("""COMPUTED_VALUE"""),"Pimpri Chinchwad College of Engineering")</f>
        <v>Pimpri Chinchwad College of Engineering</v>
      </c>
      <c r="G48" s="71" t="str">
        <f ca="1">IFERROR(__xludf.DUMMYFUNCTION("""COMPUTED_VALUE"""),"https://drive.google.com/open?id=15fShLSYa95M1CMx2QjXwiLnXqFK26po5")</f>
        <v>https://drive.google.com/open?id=15fShLSYa95M1CMx2QjXwiLnXqFK26po5</v>
      </c>
      <c r="H48" s="59" t="str">
        <f ca="1">IFERROR(__xludf.DUMMYFUNCTION("""COMPUTED_VALUE"""),"2018-2022")</f>
        <v>2018-2022</v>
      </c>
      <c r="I48" s="59" t="str">
        <f ca="1">IFERROR(__xludf.DUMMYFUNCTION("""COMPUTED_VALUE"""),"S11: Student Awards")</f>
        <v>S11: Student Awards</v>
      </c>
      <c r="J48" s="59" t="str">
        <f ca="1">IFERROR(__xludf.DUMMYFUNCTION("""COMPUTED_VALUE"""),"ranjeetgara123@gmail.com")</f>
        <v>ranjeetgara123@gmail.com</v>
      </c>
      <c r="K48" s="59" t="str">
        <f ca="1">IFERROR(__xludf.DUMMYFUNCTION("""COMPUTED_VALUE"""),"SEM-5")</f>
        <v>SEM-5</v>
      </c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</row>
    <row r="49" spans="1:25" ht="33.75" customHeight="1" x14ac:dyDescent="0.15">
      <c r="A49" s="59" t="str">
        <f ca="1">IFERROR(__xludf.DUMMYFUNCTION("""COMPUTED_VALUE"""),"INDU KAMBAPU")</f>
        <v>INDU KAMBAPU</v>
      </c>
      <c r="B49" s="59" t="str">
        <f ca="1">IFERROR(__xludf.DUMMYFUNCTION("""COMPUTED_VALUE"""),"18331A0565")</f>
        <v>18331A0565</v>
      </c>
      <c r="C49" s="59" t="str">
        <f ca="1">IFERROR(__xludf.DUMMYFUNCTION("""COMPUTED_VALUE"""),"2021-2022")</f>
        <v>2021-2022</v>
      </c>
      <c r="D49" s="59" t="str">
        <f ca="1">IFERROR(__xludf.DUMMYFUNCTION("""COMPUTED_VALUE"""),"HEAD START TO MERN STACK WITH REACT PROJECT -2 DAYS BOOTCAMP")</f>
        <v>HEAD START TO MERN STACK WITH REACT PROJECT -2 DAYS BOOTCAMP</v>
      </c>
      <c r="E49" s="70">
        <f ca="1">IFERROR(__xludf.DUMMYFUNCTION("""COMPUTED_VALUE"""),44316)</f>
        <v>44316</v>
      </c>
      <c r="F49" s="59" t="str">
        <f ca="1">IFERROR(__xludf.DUMMYFUNCTION("""COMPUTED_VALUE"""),"SKILL SAFARI")</f>
        <v>SKILL SAFARI</v>
      </c>
      <c r="G49" s="71" t="str">
        <f ca="1">IFERROR(__xludf.DUMMYFUNCTION("""COMPUTED_VALUE"""),"https://drive.google.com/open?id=1QhCd4X2faGs2frmeSijuspb-SsA1hgvh")</f>
        <v>https://drive.google.com/open?id=1QhCd4X2faGs2frmeSijuspb-SsA1hgvh</v>
      </c>
      <c r="H49" s="59" t="str">
        <f ca="1">IFERROR(__xludf.DUMMYFUNCTION("""COMPUTED_VALUE"""),"2018-2022")</f>
        <v>2018-2022</v>
      </c>
      <c r="I49" s="59" t="str">
        <f ca="1">IFERROR(__xludf.DUMMYFUNCTION("""COMPUTED_VALUE"""),"S11: Student Awards")</f>
        <v>S11: Student Awards</v>
      </c>
      <c r="J49" s="59" t="str">
        <f ca="1">IFERROR(__xludf.DUMMYFUNCTION("""COMPUTED_VALUE"""),"kambapuindu@gmail.com")</f>
        <v>kambapuindu@gmail.com</v>
      </c>
      <c r="K49" s="59" t="str">
        <f ca="1">IFERROR(__xludf.DUMMYFUNCTION("""COMPUTED_VALUE"""),"SEM-8")</f>
        <v>SEM-8</v>
      </c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</row>
    <row r="50" spans="1:25" ht="33.75" customHeight="1" x14ac:dyDescent="0.15">
      <c r="A50" s="59" t="str">
        <f ca="1">IFERROR(__xludf.DUMMYFUNCTION("""COMPUTED_VALUE"""),"TIRUMALARAJU VVIJAYARAMA MOHITH VARMA")</f>
        <v>TIRUMALARAJU VVIJAYARAMA MOHITH VARMA</v>
      </c>
      <c r="B50" s="59" t="str">
        <f ca="1">IFERROR(__xludf.DUMMYFUNCTION("""COMPUTED_VALUE"""),"18331A05F8")</f>
        <v>18331A05F8</v>
      </c>
      <c r="C50" s="59" t="str">
        <f ca="1">IFERROR(__xludf.DUMMYFUNCTION("""COMPUTED_VALUE"""),"2020-2021")</f>
        <v>2020-2021</v>
      </c>
      <c r="D50" s="59" t="str">
        <f ca="1">IFERROR(__xludf.DUMMYFUNCTION("""COMPUTED_VALUE"""),"NCC")</f>
        <v>NCC</v>
      </c>
      <c r="E50" s="70">
        <f ca="1">IFERROR(__xludf.DUMMYFUNCTION("""COMPUTED_VALUE"""),44530)</f>
        <v>44530</v>
      </c>
      <c r="F50" s="59" t="str">
        <f ca="1">IFERROR(__xludf.DUMMYFUNCTION("""COMPUTED_VALUE"""),"2(A) CTR NCC,VSP")</f>
        <v>2(A) CTR NCC,VSP</v>
      </c>
      <c r="G50" s="71" t="str">
        <f ca="1">IFERROR(__xludf.DUMMYFUNCTION("""COMPUTED_VALUE"""),"https://drive.google.com/open?id=1dxsEMUXbJMfkH09yBl3V1nbaVPYmlu0q")</f>
        <v>https://drive.google.com/open?id=1dxsEMUXbJMfkH09yBl3V1nbaVPYmlu0q</v>
      </c>
      <c r="H50" s="59" t="str">
        <f ca="1">IFERROR(__xludf.DUMMYFUNCTION("""COMPUTED_VALUE"""),"2018-2022")</f>
        <v>2018-2022</v>
      </c>
      <c r="I50" s="59" t="str">
        <f ca="1">IFERROR(__xludf.DUMMYFUNCTION("""COMPUTED_VALUE"""),"S11: Student Awards")</f>
        <v>S11: Student Awards</v>
      </c>
      <c r="J50" s="59" t="str">
        <f ca="1">IFERROR(__xludf.DUMMYFUNCTION("""COMPUTED_VALUE"""),"vijayaramaraju1999@gmail.com")</f>
        <v>vijayaramaraju1999@gmail.com</v>
      </c>
      <c r="K50" s="59" t="str">
        <f ca="1">IFERROR(__xludf.DUMMYFUNCTION("""COMPUTED_VALUE"""),"SEM-8")</f>
        <v>SEM-8</v>
      </c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</row>
    <row r="51" spans="1:25" ht="33.75" customHeight="1" x14ac:dyDescent="0.15">
      <c r="A51" s="59" t="str">
        <f ca="1">IFERROR(__xludf.DUMMYFUNCTION("""COMPUTED_VALUE"""),"L.Kavya")</f>
        <v>L.Kavya</v>
      </c>
      <c r="B51" s="59" t="str">
        <f ca="1">IFERROR(__xludf.DUMMYFUNCTION("""COMPUTED_VALUE"""),"18331A0585")</f>
        <v>18331A0585</v>
      </c>
      <c r="C51" s="59" t="str">
        <f ca="1">IFERROR(__xludf.DUMMYFUNCTION("""COMPUTED_VALUE"""),"2018-2019")</f>
        <v>2018-2019</v>
      </c>
      <c r="D51" s="59" t="str">
        <f ca="1">IFERROR(__xludf.DUMMYFUNCTION("""COMPUTED_VALUE"""),"Essay Writing -3rd Prize on the eve of Women's Day")</f>
        <v>Essay Writing -3rd Prize on the eve of Women's Day</v>
      </c>
      <c r="E51" s="70">
        <f ca="1">IFERROR(__xludf.DUMMYFUNCTION("""COMPUTED_VALUE"""),43532)</f>
        <v>43532</v>
      </c>
      <c r="F51" s="59" t="str">
        <f ca="1">IFERROR(__xludf.DUMMYFUNCTION("""COMPUTED_VALUE"""),"MVGR College of Engineering ")</f>
        <v xml:space="preserve">MVGR College of Engineering </v>
      </c>
      <c r="G51" s="71" t="str">
        <f ca="1">IFERROR(__xludf.DUMMYFUNCTION("""COMPUTED_VALUE"""),"https://drive.google.com/open?id=1rur1MIBRmakoHW0PG-WRkLUbz7xGtELk")</f>
        <v>https://drive.google.com/open?id=1rur1MIBRmakoHW0PG-WRkLUbz7xGtELk</v>
      </c>
      <c r="H51" s="59" t="str">
        <f ca="1">IFERROR(__xludf.DUMMYFUNCTION("""COMPUTED_VALUE"""),"2018-2022")</f>
        <v>2018-2022</v>
      </c>
      <c r="I51" s="59" t="str">
        <f ca="1">IFERROR(__xludf.DUMMYFUNCTION("""COMPUTED_VALUE"""),"S11: Student Awards")</f>
        <v>S11: Student Awards</v>
      </c>
      <c r="J51" s="59" t="str">
        <f ca="1">IFERROR(__xludf.DUMMYFUNCTION("""COMPUTED_VALUE"""),"lakhanapuramkavya@gmail.com")</f>
        <v>lakhanapuramkavya@gmail.com</v>
      </c>
      <c r="K51" s="59" t="str">
        <f ca="1">IFERROR(__xludf.DUMMYFUNCTION("""COMPUTED_VALUE"""),"SEM-8")</f>
        <v>SEM-8</v>
      </c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</row>
    <row r="52" spans="1:25" ht="33.75" customHeight="1" x14ac:dyDescent="0.15">
      <c r="A52" s="59" t="str">
        <f ca="1">IFERROR(__xludf.DUMMYFUNCTION("""COMPUTED_VALUE"""),"L.Kavya")</f>
        <v>L.Kavya</v>
      </c>
      <c r="B52" s="59" t="str">
        <f ca="1">IFERROR(__xludf.DUMMYFUNCTION("""COMPUTED_VALUE"""),"18331A0585")</f>
        <v>18331A0585</v>
      </c>
      <c r="C52" s="59" t="str">
        <f ca="1">IFERROR(__xludf.DUMMYFUNCTION("""COMPUTED_VALUE"""),"2020-2021")</f>
        <v>2020-2021</v>
      </c>
      <c r="D52" s="59" t="str">
        <f ca="1">IFERROR(__xludf.DUMMYFUNCTION("""COMPUTED_VALUE"""),"Co-Author in Meri Jubani Book")</f>
        <v>Co-Author in Meri Jubani Book</v>
      </c>
      <c r="E52" s="70">
        <f ca="1">IFERROR(__xludf.DUMMYFUNCTION("""COMPUTED_VALUE"""),44104)</f>
        <v>44104</v>
      </c>
      <c r="F52" s="59" t="str">
        <f ca="1">IFERROR(__xludf.DUMMYFUNCTION("""COMPUTED_VALUE"""),"Droplets of Ink Publications")</f>
        <v>Droplets of Ink Publications</v>
      </c>
      <c r="G52" s="71" t="str">
        <f ca="1">IFERROR(__xludf.DUMMYFUNCTION("""COMPUTED_VALUE"""),"https://drive.google.com/open?id=1SJ77RbJvhha7Ixqu9_K1Mj891gesr6jJ")</f>
        <v>https://drive.google.com/open?id=1SJ77RbJvhha7Ixqu9_K1Mj891gesr6jJ</v>
      </c>
      <c r="H52" s="59" t="str">
        <f ca="1">IFERROR(__xludf.DUMMYFUNCTION("""COMPUTED_VALUE"""),"2018-2022")</f>
        <v>2018-2022</v>
      </c>
      <c r="I52" s="59" t="str">
        <f ca="1">IFERROR(__xludf.DUMMYFUNCTION("""COMPUTED_VALUE"""),"S11: Student Awards")</f>
        <v>S11: Student Awards</v>
      </c>
      <c r="J52" s="59" t="str">
        <f ca="1">IFERROR(__xludf.DUMMYFUNCTION("""COMPUTED_VALUE"""),"lakhanapuramkavya@gmail.com")</f>
        <v>lakhanapuramkavya@gmail.com</v>
      </c>
      <c r="K52" s="59" t="str">
        <f ca="1">IFERROR(__xludf.DUMMYFUNCTION("""COMPUTED_VALUE"""),"SEM-8")</f>
        <v>SEM-8</v>
      </c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</row>
    <row r="53" spans="1:25" ht="33.75" customHeight="1" x14ac:dyDescent="0.15">
      <c r="A53" s="59" t="str">
        <f ca="1">IFERROR(__xludf.DUMMYFUNCTION("""COMPUTED_VALUE"""),"Uday sai kIran Abbireddy")</f>
        <v>Uday sai kIran Abbireddy</v>
      </c>
      <c r="B53" s="59" t="str">
        <f ca="1">IFERROR(__xludf.DUMMYFUNCTION("""COMPUTED_VALUE"""),"18331A05G0")</f>
        <v>18331A05G0</v>
      </c>
      <c r="C53" s="59" t="str">
        <f ca="1">IFERROR(__xludf.DUMMYFUNCTION("""COMPUTED_VALUE"""),"2021-2022")</f>
        <v>2021-2022</v>
      </c>
      <c r="D53" s="59" t="str">
        <f ca="1">IFERROR(__xludf.DUMMYFUNCTION("""COMPUTED_VALUE"""),"Ncc B certificate")</f>
        <v>Ncc B certificate</v>
      </c>
      <c r="E53" s="70">
        <f ca="1">IFERROR(__xludf.DUMMYFUNCTION("""COMPUTED_VALUE"""),44503)</f>
        <v>44503</v>
      </c>
      <c r="F53" s="59" t="str">
        <f ca="1">IFERROR(__xludf.DUMMYFUNCTION("""COMPUTED_VALUE"""),"Ministry of Defence")</f>
        <v>Ministry of Defence</v>
      </c>
      <c r="G53" s="71" t="str">
        <f ca="1">IFERROR(__xludf.DUMMYFUNCTION("""COMPUTED_VALUE"""),"https://drive.google.com/open?id=1RqkczE9AyMhEK147VBBtVh5cSdIieWKN")</f>
        <v>https://drive.google.com/open?id=1RqkczE9AyMhEK147VBBtVh5cSdIieWKN</v>
      </c>
      <c r="H53" s="59" t="str">
        <f ca="1">IFERROR(__xludf.DUMMYFUNCTION("""COMPUTED_VALUE"""),"2018-2022")</f>
        <v>2018-2022</v>
      </c>
      <c r="I53" s="59" t="str">
        <f ca="1">IFERROR(__xludf.DUMMYFUNCTION("""COMPUTED_VALUE"""),"S11: Student Awards")</f>
        <v>S11: Student Awards</v>
      </c>
      <c r="J53" s="59" t="str">
        <f ca="1">IFERROR(__xludf.DUMMYFUNCTION("""COMPUTED_VALUE"""),"abbireddy8300@gmail.com")</f>
        <v>abbireddy8300@gmail.com</v>
      </c>
      <c r="K53" s="59" t="str">
        <f ca="1">IFERROR(__xludf.DUMMYFUNCTION("""COMPUTED_VALUE"""),"SEM-6")</f>
        <v>SEM-6</v>
      </c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</row>
    <row r="54" spans="1:25" ht="33.75" customHeight="1" x14ac:dyDescent="0.15">
      <c r="A54" s="59" t="str">
        <f ca="1">IFERROR(__xludf.DUMMYFUNCTION("""COMPUTED_VALUE"""),"Vineetha thota")</f>
        <v>Vineetha thota</v>
      </c>
      <c r="B54" s="59" t="str">
        <f ca="1">IFERROR(__xludf.DUMMYFUNCTION("""COMPUTED_VALUE"""),"18331A05F5")</f>
        <v>18331A05F5</v>
      </c>
      <c r="C54" s="59" t="str">
        <f ca="1">IFERROR(__xludf.DUMMYFUNCTION("""COMPUTED_VALUE"""),"2017-2018")</f>
        <v>2017-2018</v>
      </c>
      <c r="D54" s="59" t="str">
        <f ca="1">IFERROR(__xludf.DUMMYFUNCTION("""COMPUTED_VALUE"""),"1st prize dring independence day competition")</f>
        <v>1st prize dring independence day competition</v>
      </c>
      <c r="E54" s="70">
        <f ca="1">IFERROR(__xludf.DUMMYFUNCTION("""COMPUTED_VALUE"""),43327)</f>
        <v>43327</v>
      </c>
      <c r="F54" s="59" t="str">
        <f ca="1">IFERROR(__xludf.DUMMYFUNCTION("""COMPUTED_VALUE"""),"Mvgr")</f>
        <v>Mvgr</v>
      </c>
      <c r="G54" s="71" t="str">
        <f ca="1">IFERROR(__xludf.DUMMYFUNCTION("""COMPUTED_VALUE"""),"https://drive.google.com/open?id=1E8igZRSp5FI396jnkfTgwu5IJlHZfWol")</f>
        <v>https://drive.google.com/open?id=1E8igZRSp5FI396jnkfTgwu5IJlHZfWol</v>
      </c>
      <c r="H54" s="59" t="str">
        <f ca="1">IFERROR(__xludf.DUMMYFUNCTION("""COMPUTED_VALUE"""),"2018-2022")</f>
        <v>2018-2022</v>
      </c>
      <c r="I54" s="59" t="str">
        <f ca="1">IFERROR(__xludf.DUMMYFUNCTION("""COMPUTED_VALUE"""),"S11: Student Awards")</f>
        <v>S11: Student Awards</v>
      </c>
      <c r="J54" s="59" t="str">
        <f ca="1">IFERROR(__xludf.DUMMYFUNCTION("""COMPUTED_VALUE"""),"vineethathota50@gmail.com")</f>
        <v>vineethathota50@gmail.com</v>
      </c>
      <c r="K54" s="59" t="str">
        <f ca="1">IFERROR(__xludf.DUMMYFUNCTION("""COMPUTED_VALUE"""),"SEM-8")</f>
        <v>SEM-8</v>
      </c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</row>
    <row r="55" spans="1:25" ht="33.75" customHeight="1" x14ac:dyDescent="0.15">
      <c r="A55" s="59" t="str">
        <f ca="1">IFERROR(__xludf.DUMMYFUNCTION("""COMPUTED_VALUE"""),"Killana Gayatri Venkata Manikanta")</f>
        <v>Killana Gayatri Venkata Manikanta</v>
      </c>
      <c r="B55" s="59" t="str">
        <f ca="1">IFERROR(__xludf.DUMMYFUNCTION("""COMPUTED_VALUE""")," 18331A0576")</f>
        <v xml:space="preserve"> 18331A0576</v>
      </c>
      <c r="C55" s="59" t="str">
        <f ca="1">IFERROR(__xludf.DUMMYFUNCTION("""COMPUTED_VALUE"""),"2019-2020")</f>
        <v>2019-2020</v>
      </c>
      <c r="D55" s="59" t="str">
        <f ca="1">IFERROR(__xludf.DUMMYFUNCTION("""COMPUTED_VALUE"""),"sql certificate")</f>
        <v>sql certificate</v>
      </c>
      <c r="E55" s="70">
        <f ca="1">IFERROR(__xludf.DUMMYFUNCTION("""COMPUTED_VALUE"""),43979)</f>
        <v>43979</v>
      </c>
      <c r="F55" s="59" t="str">
        <f ca="1">IFERROR(__xludf.DUMMYFUNCTION("""COMPUTED_VALUE"""),"vignan institute of technology")</f>
        <v>vignan institute of technology</v>
      </c>
      <c r="G55" s="71" t="str">
        <f ca="1">IFERROR(__xludf.DUMMYFUNCTION("""COMPUTED_VALUE"""),"https://drive.google.com/open?id=1rFAppWC-72fQPrU4o8uPvGih8eD1oEDz")</f>
        <v>https://drive.google.com/open?id=1rFAppWC-72fQPrU4o8uPvGih8eD1oEDz</v>
      </c>
      <c r="H55" s="59" t="str">
        <f ca="1">IFERROR(__xludf.DUMMYFUNCTION("""COMPUTED_VALUE"""),"2018-2022")</f>
        <v>2018-2022</v>
      </c>
      <c r="I55" s="59" t="str">
        <f ca="1">IFERROR(__xludf.DUMMYFUNCTION("""COMPUTED_VALUE"""),"S11: Student Awards")</f>
        <v>S11: Student Awards</v>
      </c>
      <c r="J55" s="59" t="str">
        <f ca="1">IFERROR(__xludf.DUMMYFUNCTION("""COMPUTED_VALUE"""),"manikantakillana22@gmail.com")</f>
        <v>manikantakillana22@gmail.com</v>
      </c>
      <c r="K55" s="59" t="str">
        <f ca="1">IFERROR(__xludf.DUMMYFUNCTION("""COMPUTED_VALUE"""),"SEM-5")</f>
        <v>SEM-5</v>
      </c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</row>
    <row r="56" spans="1:25" ht="33.75" customHeight="1" x14ac:dyDescent="0.15">
      <c r="A56" s="59" t="str">
        <f ca="1">IFERROR(__xludf.DUMMYFUNCTION("""COMPUTED_VALUE"""),"Prajyulitha Lakkoju ")</f>
        <v xml:space="preserve">Prajyulitha Lakkoju </v>
      </c>
      <c r="B56" s="59" t="str">
        <f ca="1">IFERROR(__xludf.DUMMYFUNCTION("""COMPUTED_VALUE"""),"20331A0598")</f>
        <v>20331A0598</v>
      </c>
      <c r="C56" s="59" t="str">
        <f ca="1">IFERROR(__xludf.DUMMYFUNCTION("""COMPUTED_VALUE"""),"2021-2022")</f>
        <v>2021-2022</v>
      </c>
      <c r="D56" s="59" t="str">
        <f ca="1">IFERROR(__xludf.DUMMYFUNCTION("""COMPUTED_VALUE"""),"Assesment skill python")</f>
        <v>Assesment skill python</v>
      </c>
      <c r="E56" s="70">
        <f ca="1">IFERROR(__xludf.DUMMYFUNCTION("""COMPUTED_VALUE"""),44602)</f>
        <v>44602</v>
      </c>
      <c r="F56" s="59" t="str">
        <f ca="1">IFERROR(__xludf.DUMMYFUNCTION("""COMPUTED_VALUE"""),"Hacker rank")</f>
        <v>Hacker rank</v>
      </c>
      <c r="G56" s="71" t="str">
        <f ca="1">IFERROR(__xludf.DUMMYFUNCTION("""COMPUTED_VALUE"""),"https://drive.google.com/open?id=1YP4_waRixUhOZpsEhOc70FDSoErnVSsW")</f>
        <v>https://drive.google.com/open?id=1YP4_waRixUhOZpsEhOc70FDSoErnVSsW</v>
      </c>
      <c r="H56" s="59" t="str">
        <f ca="1">IFERROR(__xludf.DUMMYFUNCTION("""COMPUTED_VALUE"""),"2020-2024")</f>
        <v>2020-2024</v>
      </c>
      <c r="I56" s="59" t="str">
        <f ca="1">IFERROR(__xludf.DUMMYFUNCTION("""COMPUTED_VALUE"""),"S11: Student Awards")</f>
        <v>S11: Student Awards</v>
      </c>
      <c r="J56" s="59" t="str">
        <f ca="1">IFERROR(__xludf.DUMMYFUNCTION("""COMPUTED_VALUE"""),"sonalakkoju6@gmail.com")</f>
        <v>sonalakkoju6@gmail.com</v>
      </c>
      <c r="K56" s="59" t="str">
        <f ca="1">IFERROR(__xludf.DUMMYFUNCTION("""COMPUTED_VALUE"""),"SEM-3")</f>
        <v>SEM-3</v>
      </c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</row>
    <row r="57" spans="1:25" ht="33.75" customHeight="1" x14ac:dyDescent="0.15">
      <c r="A57" s="59" t="str">
        <f ca="1">IFERROR(__xludf.DUMMYFUNCTION("""COMPUTED_VALUE"""),"Pavanteja sepana")</f>
        <v>Pavanteja sepana</v>
      </c>
      <c r="B57" s="59" t="str">
        <f ca="1">IFERROR(__xludf.DUMMYFUNCTION("""COMPUTED_VALUE"""),"18331A05H4")</f>
        <v>18331A05H4</v>
      </c>
      <c r="C57" s="59" t="str">
        <f ca="1">IFERROR(__xludf.DUMMYFUNCTION("""COMPUTED_VALUE"""),"2021-2022")</f>
        <v>2021-2022</v>
      </c>
      <c r="D57" s="59" t="str">
        <f ca="1">IFERROR(__xludf.DUMMYFUNCTION("""COMPUTED_VALUE"""),"Jntuk central zone football tournament secured 4th place")</f>
        <v>Jntuk central zone football tournament secured 4th place</v>
      </c>
      <c r="E57" s="70">
        <f ca="1">IFERROR(__xludf.DUMMYFUNCTION("""COMPUTED_VALUE"""),44549)</f>
        <v>44549</v>
      </c>
      <c r="F57" s="59" t="str">
        <f ca="1">IFERROR(__xludf.DUMMYFUNCTION("""COMPUTED_VALUE"""),"Lakireddy Bali Reddy college of engineering")</f>
        <v>Lakireddy Bali Reddy college of engineering</v>
      </c>
      <c r="G57" s="71" t="str">
        <f ca="1">IFERROR(__xludf.DUMMYFUNCTION("""COMPUTED_VALUE"""),"https://drive.google.com/open?id=1hstXQ_rkvbzK5KWZpu81SJe3YLtZFkJm")</f>
        <v>https://drive.google.com/open?id=1hstXQ_rkvbzK5KWZpu81SJe3YLtZFkJm</v>
      </c>
      <c r="H57" s="59" t="str">
        <f ca="1">IFERROR(__xludf.DUMMYFUNCTION("""COMPUTED_VALUE"""),"2018-2022")</f>
        <v>2018-2022</v>
      </c>
      <c r="I57" s="59" t="str">
        <f ca="1">IFERROR(__xludf.DUMMYFUNCTION("""COMPUTED_VALUE"""),"S11: Student Awards")</f>
        <v>S11: Student Awards</v>
      </c>
      <c r="J57" s="59" t="str">
        <f ca="1">IFERROR(__xludf.DUMMYFUNCTION("""COMPUTED_VALUE"""),"tejpavan68@gmail.com")</f>
        <v>tejpavan68@gmail.com</v>
      </c>
      <c r="K57" s="59" t="str">
        <f ca="1">IFERROR(__xludf.DUMMYFUNCTION("""COMPUTED_VALUE"""),"SEM-2")</f>
        <v>SEM-2</v>
      </c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</row>
    <row r="58" spans="1:25" ht="33.75" customHeight="1" x14ac:dyDescent="0.15">
      <c r="A58" s="59" t="str">
        <f ca="1">IFERROR(__xludf.DUMMYFUNCTION("""COMPUTED_VALUE"""),"Pavan Teja sepana")</f>
        <v>Pavan Teja sepana</v>
      </c>
      <c r="B58" s="59" t="str">
        <f ca="1">IFERROR(__xludf.DUMMYFUNCTION("""COMPUTED_VALUE"""),"18331A05H4")</f>
        <v>18331A05H4</v>
      </c>
      <c r="C58" s="59" t="str">
        <f ca="1">IFERROR(__xludf.DUMMYFUNCTION("""COMPUTED_VALUE"""),"2018-2019")</f>
        <v>2018-2019</v>
      </c>
      <c r="D58" s="59" t="str">
        <f ca="1">IFERROR(__xludf.DUMMYFUNCTION("""COMPUTED_VALUE"""),"Winner in football inter College sports competition")</f>
        <v>Winner in football inter College sports competition</v>
      </c>
      <c r="E58" s="70">
        <f ca="1">IFERROR(__xludf.DUMMYFUNCTION("""COMPUTED_VALUE"""),43543)</f>
        <v>43543</v>
      </c>
      <c r="F58" s="59" t="str">
        <f ca="1">IFERROR(__xludf.DUMMYFUNCTION("""COMPUTED_VALUE"""),"Mvgr College of engineering")</f>
        <v>Mvgr College of engineering</v>
      </c>
      <c r="G58" s="71" t="str">
        <f ca="1">IFERROR(__xludf.DUMMYFUNCTION("""COMPUTED_VALUE"""),"https://drive.google.com/open?id=1p5-HbiZyGgZdl2vroKQPYUKklhEWweY-")</f>
        <v>https://drive.google.com/open?id=1p5-HbiZyGgZdl2vroKQPYUKklhEWweY-</v>
      </c>
      <c r="H58" s="59" t="str">
        <f ca="1">IFERROR(__xludf.DUMMYFUNCTION("""COMPUTED_VALUE"""),"2018-2022")</f>
        <v>2018-2022</v>
      </c>
      <c r="I58" s="59" t="str">
        <f ca="1">IFERROR(__xludf.DUMMYFUNCTION("""COMPUTED_VALUE"""),"S11: Student Awards")</f>
        <v>S11: Student Awards</v>
      </c>
      <c r="J58" s="59" t="str">
        <f ca="1">IFERROR(__xludf.DUMMYFUNCTION("""COMPUTED_VALUE"""),"tejpavan68@gmail.com")</f>
        <v>tejpavan68@gmail.com</v>
      </c>
      <c r="K58" s="59" t="str">
        <f ca="1">IFERROR(__xludf.DUMMYFUNCTION("""COMPUTED_VALUE"""),"SEM-2")</f>
        <v>SEM-2</v>
      </c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</row>
    <row r="59" spans="1:25" ht="33.75" customHeight="1" x14ac:dyDescent="0.15">
      <c r="A59" s="59" t="str">
        <f ca="1">IFERROR(__xludf.DUMMYFUNCTION("""COMPUTED_VALUE"""),"Jaswanth Vajrapu")</f>
        <v>Jaswanth Vajrapu</v>
      </c>
      <c r="B59" s="59" t="str">
        <f ca="1">IFERROR(__xludf.DUMMYFUNCTION("""COMPUTED_VALUE"""),"18331A05G5")</f>
        <v>18331A05G5</v>
      </c>
      <c r="C59" s="59" t="str">
        <f ca="1">IFERROR(__xludf.DUMMYFUNCTION("""COMPUTED_VALUE"""),"2019-2020")</f>
        <v>2019-2020</v>
      </c>
      <c r="D59" s="59" t="str">
        <f ca="1">IFERROR(__xludf.DUMMYFUNCTION("""COMPUTED_VALUE"""),"Participant in IEEEXTREME 13.0")</f>
        <v>Participant in IEEEXTREME 13.0</v>
      </c>
      <c r="E59" s="70">
        <f ca="1">IFERROR(__xludf.DUMMYFUNCTION("""COMPUTED_VALUE"""),44488)</f>
        <v>44488</v>
      </c>
      <c r="F59" s="59" t="str">
        <f ca="1">IFERROR(__xludf.DUMMYFUNCTION("""COMPUTED_VALUE"""),"IEEE")</f>
        <v>IEEE</v>
      </c>
      <c r="G59" s="71" t="str">
        <f ca="1">IFERROR(__xludf.DUMMYFUNCTION("""COMPUTED_VALUE"""),"https://drive.google.com/open?id=1-gJsyg_GwG0B9yU1z85C9j7zOc7dCjCb")</f>
        <v>https://drive.google.com/open?id=1-gJsyg_GwG0B9yU1z85C9j7zOc7dCjCb</v>
      </c>
      <c r="H59" s="59" t="str">
        <f ca="1">IFERROR(__xludf.DUMMYFUNCTION("""COMPUTED_VALUE"""),"2018-2022")</f>
        <v>2018-2022</v>
      </c>
      <c r="I59" s="59" t="str">
        <f ca="1">IFERROR(__xludf.DUMMYFUNCTION("""COMPUTED_VALUE"""),"S11: Student Awards")</f>
        <v>S11: Student Awards</v>
      </c>
      <c r="J59" s="59" t="str">
        <f ca="1">IFERROR(__xludf.DUMMYFUNCTION("""COMPUTED_VALUE"""),"jaswanth.vjp13@gmail.com")</f>
        <v>jaswanth.vjp13@gmail.com</v>
      </c>
      <c r="K59" s="59" t="str">
        <f ca="1">IFERROR(__xludf.DUMMYFUNCTION("""COMPUTED_VALUE"""),"SEM-3")</f>
        <v>SEM-3</v>
      </c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</row>
    <row r="60" spans="1:25" ht="33.75" customHeight="1" x14ac:dyDescent="0.15">
      <c r="A60" s="59" t="str">
        <f ca="1">IFERROR(__xludf.DUMMYFUNCTION("""COMPUTED_VALUE"""),"Jaswanth Vajrapu")</f>
        <v>Jaswanth Vajrapu</v>
      </c>
      <c r="B60" s="59" t="str">
        <f ca="1">IFERROR(__xludf.DUMMYFUNCTION("""COMPUTED_VALUE"""),"18331A05G5")</f>
        <v>18331A05G5</v>
      </c>
      <c r="C60" s="59" t="str">
        <f ca="1">IFERROR(__xludf.DUMMYFUNCTION("""COMPUTED_VALUE"""),"2019-2020")</f>
        <v>2019-2020</v>
      </c>
      <c r="D60" s="59" t="str">
        <f ca="1">IFERROR(__xludf.DUMMYFUNCTION("""COMPUTED_VALUE"""),"Participated in IEEEXtreme 14.0 Programming")</f>
        <v>Participated in IEEEXtreme 14.0 Programming</v>
      </c>
      <c r="E60" s="70">
        <f ca="1">IFERROR(__xludf.DUMMYFUNCTION("""COMPUTED_VALUE"""),44128)</f>
        <v>44128</v>
      </c>
      <c r="F60" s="59" t="str">
        <f ca="1">IFERROR(__xludf.DUMMYFUNCTION("""COMPUTED_VALUE"""),"IEEE")</f>
        <v>IEEE</v>
      </c>
      <c r="G60" s="71" t="str">
        <f ca="1">IFERROR(__xludf.DUMMYFUNCTION("""COMPUTED_VALUE"""),"https://drive.google.com/open?id=1Q123BBUxI1L9zmyqsMZASDg90DO_z1Yz")</f>
        <v>https://drive.google.com/open?id=1Q123BBUxI1L9zmyqsMZASDg90DO_z1Yz</v>
      </c>
      <c r="H60" s="59" t="str">
        <f ca="1">IFERROR(__xludf.DUMMYFUNCTION("""COMPUTED_VALUE"""),"2018-2022")</f>
        <v>2018-2022</v>
      </c>
      <c r="I60" s="59" t="str">
        <f ca="1">IFERROR(__xludf.DUMMYFUNCTION("""COMPUTED_VALUE"""),"S11: Student Awards")</f>
        <v>S11: Student Awards</v>
      </c>
      <c r="J60" s="59" t="str">
        <f ca="1">IFERROR(__xludf.DUMMYFUNCTION("""COMPUTED_VALUE"""),"jaswanth.vjp13@gmail.com")</f>
        <v>jaswanth.vjp13@gmail.com</v>
      </c>
      <c r="K60" s="59" t="str">
        <f ca="1">IFERROR(__xludf.DUMMYFUNCTION("""COMPUTED_VALUE"""),"SEM-4")</f>
        <v>SEM-4</v>
      </c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</row>
    <row r="61" spans="1:25" ht="33.75" customHeight="1" x14ac:dyDescent="0.15">
      <c r="A61" s="59" t="str">
        <f ca="1">IFERROR(__xludf.DUMMYFUNCTION("""COMPUTED_VALUE"""),"Jaswanth Vajrapu")</f>
        <v>Jaswanth Vajrapu</v>
      </c>
      <c r="B61" s="59" t="str">
        <f ca="1">IFERROR(__xludf.DUMMYFUNCTION("""COMPUTED_VALUE"""),"18331A05G5")</f>
        <v>18331A05G5</v>
      </c>
      <c r="C61" s="59" t="str">
        <f ca="1">IFERROR(__xludf.DUMMYFUNCTION("""COMPUTED_VALUE"""),"2020-2021")</f>
        <v>2020-2021</v>
      </c>
      <c r="D61" s="59" t="str">
        <f ca="1">IFERROR(__xludf.DUMMYFUNCTION("""COMPUTED_VALUE"""),"Participated in IEEEXtreme 15.0 Programming")</f>
        <v>Participated in IEEEXtreme 15.0 Programming</v>
      </c>
      <c r="E61" s="70">
        <f ca="1">IFERROR(__xludf.DUMMYFUNCTION("""COMPUTED_VALUE"""),44492)</f>
        <v>44492</v>
      </c>
      <c r="F61" s="59" t="str">
        <f ca="1">IFERROR(__xludf.DUMMYFUNCTION("""COMPUTED_VALUE"""),"IEEE")</f>
        <v>IEEE</v>
      </c>
      <c r="G61" s="71" t="str">
        <f ca="1">IFERROR(__xludf.DUMMYFUNCTION("""COMPUTED_VALUE"""),"https://drive.google.com/open?id=12rTU4jG8tcrAz8LiJ33uRa8PfNT2Qxpw")</f>
        <v>https://drive.google.com/open?id=12rTU4jG8tcrAz8LiJ33uRa8PfNT2Qxpw</v>
      </c>
      <c r="H61" s="59" t="str">
        <f ca="1">IFERROR(__xludf.DUMMYFUNCTION("""COMPUTED_VALUE"""),"2018-2022")</f>
        <v>2018-2022</v>
      </c>
      <c r="I61" s="59" t="str">
        <f ca="1">IFERROR(__xludf.DUMMYFUNCTION("""COMPUTED_VALUE"""),"S11: Student Awards")</f>
        <v>S11: Student Awards</v>
      </c>
      <c r="J61" s="59" t="str">
        <f ca="1">IFERROR(__xludf.DUMMYFUNCTION("""COMPUTED_VALUE"""),"jaswanth.vjp13@gmail.com")</f>
        <v>jaswanth.vjp13@gmail.com</v>
      </c>
      <c r="K61" s="59" t="str">
        <f ca="1">IFERROR(__xludf.DUMMYFUNCTION("""COMPUTED_VALUE"""),"SEM-5")</f>
        <v>SEM-5</v>
      </c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</row>
    <row r="62" spans="1:25" ht="33.75" customHeight="1" x14ac:dyDescent="0.15">
      <c r="A62" s="59" t="str">
        <f ca="1">IFERROR(__xludf.DUMMYFUNCTION("""COMPUTED_VALUE"""),"Naguru Jyothsna Priya Chandrika")</f>
        <v>Naguru Jyothsna Priya Chandrika</v>
      </c>
      <c r="B62" s="59" t="str">
        <f ca="1">IFERROR(__xludf.DUMMYFUNCTION("""COMPUTED_VALUE"""),"18331A05A5")</f>
        <v>18331A05A5</v>
      </c>
      <c r="C62" s="59" t="str">
        <f ca="1">IFERROR(__xludf.DUMMYFUNCTION("""COMPUTED_VALUE"""),"2020-2021")</f>
        <v>2020-2021</v>
      </c>
      <c r="D62" s="59" t="str">
        <f ca="1">IFERROR(__xludf.DUMMYFUNCTION("""COMPUTED_VALUE"""),"First place in music competition ")</f>
        <v xml:space="preserve">First place in music competition </v>
      </c>
      <c r="E62" s="70">
        <f ca="1">IFERROR(__xludf.DUMMYFUNCTION("""COMPUTED_VALUE"""),44045)</f>
        <v>44045</v>
      </c>
      <c r="F62" s="59" t="str">
        <f ca="1">IFERROR(__xludf.DUMMYFUNCTION("""COMPUTED_VALUE"""),"Sri Adibhatla Foundation ")</f>
        <v xml:space="preserve">Sri Adibhatla Foundation </v>
      </c>
      <c r="G62" s="71" t="str">
        <f ca="1">IFERROR(__xludf.DUMMYFUNCTION("""COMPUTED_VALUE"""),"https://drive.google.com/open?id=1VqEA1AaA1YYsrUB7lhpw7VddimQkfcmN")</f>
        <v>https://drive.google.com/open?id=1VqEA1AaA1YYsrUB7lhpw7VddimQkfcmN</v>
      </c>
      <c r="H62" s="59" t="str">
        <f ca="1">IFERROR(__xludf.DUMMYFUNCTION("""COMPUTED_VALUE"""),"2018-2022")</f>
        <v>2018-2022</v>
      </c>
      <c r="I62" s="59" t="str">
        <f ca="1">IFERROR(__xludf.DUMMYFUNCTION("""COMPUTED_VALUE"""),"S11: Student Awards")</f>
        <v>S11: Student Awards</v>
      </c>
      <c r="J62" s="59" t="str">
        <f ca="1">IFERROR(__xludf.DUMMYFUNCTION("""COMPUTED_VALUE"""),"jyothsnanaguru@gmail.com")</f>
        <v>jyothsnanaguru@gmail.com</v>
      </c>
      <c r="K62" s="59" t="str">
        <f ca="1">IFERROR(__xludf.DUMMYFUNCTION("""COMPUTED_VALUE"""),"SEM-5")</f>
        <v>SEM-5</v>
      </c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</row>
    <row r="63" spans="1:25" ht="33.75" customHeight="1" x14ac:dyDescent="0.15">
      <c r="A63" s="59" t="str">
        <f ca="1">IFERROR(__xludf.DUMMYFUNCTION("""COMPUTED_VALUE"""),"Naguru Jyothsna Priya Chandrika")</f>
        <v>Naguru Jyothsna Priya Chandrika</v>
      </c>
      <c r="B63" s="59" t="str">
        <f ca="1">IFERROR(__xludf.DUMMYFUNCTION("""COMPUTED_VALUE"""),"18331A05A5")</f>
        <v>18331A05A5</v>
      </c>
      <c r="C63" s="59" t="str">
        <f ca="1">IFERROR(__xludf.DUMMYFUNCTION("""COMPUTED_VALUE"""),"2018-2019")</f>
        <v>2018-2019</v>
      </c>
      <c r="D63" s="59" t="str">
        <f ca="1">IFERROR(__xludf.DUMMYFUNCTION("""COMPUTED_VALUE"""),"First prize in janapriya singing competition ")</f>
        <v xml:space="preserve">First prize in janapriya singing competition </v>
      </c>
      <c r="E63" s="70">
        <f ca="1">IFERROR(__xludf.DUMMYFUNCTION("""COMPUTED_VALUE"""),43372)</f>
        <v>43372</v>
      </c>
      <c r="F63" s="59" t="str">
        <f ca="1">IFERROR(__xludf.DUMMYFUNCTION("""COMPUTED_VALUE"""),"Rotary club - Vizianagaram ")</f>
        <v xml:space="preserve">Rotary club - Vizianagaram </v>
      </c>
      <c r="G63" s="71" t="str">
        <f ca="1">IFERROR(__xludf.DUMMYFUNCTION("""COMPUTED_VALUE"""),"https://drive.google.com/open?id=1UH4S_W_AVPs96zXmSoZ10StSHm20Vzhf")</f>
        <v>https://drive.google.com/open?id=1UH4S_W_AVPs96zXmSoZ10StSHm20Vzhf</v>
      </c>
      <c r="H63" s="59" t="str">
        <f ca="1">IFERROR(__xludf.DUMMYFUNCTION("""COMPUTED_VALUE"""),"2018-2022")</f>
        <v>2018-2022</v>
      </c>
      <c r="I63" s="59" t="str">
        <f ca="1">IFERROR(__xludf.DUMMYFUNCTION("""COMPUTED_VALUE"""),"S11: Student Awards")</f>
        <v>S11: Student Awards</v>
      </c>
      <c r="J63" s="59" t="str">
        <f ca="1">IFERROR(__xludf.DUMMYFUNCTION("""COMPUTED_VALUE"""),"jyothsnanaguru@gmail.com")</f>
        <v>jyothsnanaguru@gmail.com</v>
      </c>
      <c r="K63" s="59" t="str">
        <f ca="1">IFERROR(__xludf.DUMMYFUNCTION("""COMPUTED_VALUE"""),"SEM-1")</f>
        <v>SEM-1</v>
      </c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</row>
    <row r="64" spans="1:25" ht="33.75" customHeight="1" x14ac:dyDescent="0.15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</row>
    <row r="65" spans="1:25" ht="33.75" customHeight="1" x14ac:dyDescent="0.15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</row>
    <row r="66" spans="1:25" ht="33.75" customHeight="1" x14ac:dyDescent="0.15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</row>
    <row r="67" spans="1:25" ht="33.75" customHeight="1" x14ac:dyDescent="0.15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</row>
    <row r="68" spans="1:25" ht="33.75" customHeight="1" x14ac:dyDescent="0.15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</row>
    <row r="69" spans="1:25" ht="33.75" customHeight="1" x14ac:dyDescent="0.15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</row>
    <row r="70" spans="1:25" ht="33.75" customHeight="1" x14ac:dyDescent="0.15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</row>
    <row r="71" spans="1:25" ht="33.75" customHeight="1" x14ac:dyDescent="0.15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</row>
    <row r="72" spans="1:25" ht="33.75" customHeight="1" x14ac:dyDescent="0.15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</row>
    <row r="73" spans="1:25" ht="33.75" customHeight="1" x14ac:dyDescent="0.15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</row>
    <row r="74" spans="1:25" ht="33.75" customHeight="1" x14ac:dyDescent="0.15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</row>
    <row r="75" spans="1:25" ht="33.75" customHeight="1" x14ac:dyDescent="0.15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</row>
    <row r="76" spans="1:25" ht="33.75" customHeight="1" x14ac:dyDescent="0.15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</row>
    <row r="77" spans="1:25" ht="33.75" customHeight="1" x14ac:dyDescent="0.15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</row>
    <row r="78" spans="1:25" ht="33.75" customHeight="1" x14ac:dyDescent="0.15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</row>
    <row r="79" spans="1:25" ht="33.75" customHeight="1" x14ac:dyDescent="0.15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</row>
    <row r="80" spans="1:25" ht="33.75" customHeight="1" x14ac:dyDescent="0.15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</row>
    <row r="81" spans="1:25" ht="33.75" customHeight="1" x14ac:dyDescent="0.15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</row>
    <row r="82" spans="1:25" ht="33.75" customHeight="1" x14ac:dyDescent="0.15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</row>
    <row r="83" spans="1:25" ht="33.75" customHeight="1" x14ac:dyDescent="0.15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</row>
    <row r="84" spans="1:25" ht="33.75" customHeight="1" x14ac:dyDescent="0.15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</row>
    <row r="85" spans="1:25" ht="33.75" customHeight="1" x14ac:dyDescent="0.15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</row>
    <row r="86" spans="1:25" ht="33.75" customHeight="1" x14ac:dyDescent="0.15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</row>
    <row r="87" spans="1:25" ht="33.75" customHeight="1" x14ac:dyDescent="0.15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</row>
    <row r="88" spans="1:25" ht="33.75" customHeight="1" x14ac:dyDescent="0.15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</row>
    <row r="89" spans="1:25" ht="33.75" customHeight="1" x14ac:dyDescent="0.15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</row>
    <row r="90" spans="1:25" ht="33.75" customHeight="1" x14ac:dyDescent="0.15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</row>
    <row r="91" spans="1:25" ht="33.75" customHeight="1" x14ac:dyDescent="0.15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</row>
    <row r="92" spans="1:25" ht="33.75" customHeight="1" x14ac:dyDescent="0.15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</row>
    <row r="93" spans="1:25" ht="33.75" customHeight="1" x14ac:dyDescent="0.15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</row>
    <row r="94" spans="1:25" ht="33.75" customHeight="1" x14ac:dyDescent="0.15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</row>
    <row r="95" spans="1:25" ht="33.75" customHeight="1" x14ac:dyDescent="0.15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</row>
    <row r="96" spans="1:25" ht="33.75" customHeight="1" x14ac:dyDescent="0.15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</row>
    <row r="97" spans="1:25" ht="33.75" customHeight="1" x14ac:dyDescent="0.15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</row>
    <row r="98" spans="1:25" ht="33.75" customHeight="1" x14ac:dyDescent="0.15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</row>
    <row r="99" spans="1:25" ht="33.75" customHeight="1" x14ac:dyDescent="0.15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</row>
    <row r="100" spans="1:25" ht="33.75" customHeight="1" x14ac:dyDescent="0.15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</row>
    <row r="101" spans="1:25" ht="33.75" customHeight="1" x14ac:dyDescent="0.15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</row>
    <row r="102" spans="1:25" ht="33.75" customHeight="1" x14ac:dyDescent="0.15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</row>
    <row r="103" spans="1:25" ht="33.75" customHeight="1" x14ac:dyDescent="0.15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</row>
    <row r="104" spans="1:25" ht="33.75" customHeight="1" x14ac:dyDescent="0.15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</row>
    <row r="105" spans="1:25" ht="33.75" customHeight="1" x14ac:dyDescent="0.15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</row>
    <row r="106" spans="1:25" ht="33.75" customHeight="1" x14ac:dyDescent="0.15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</row>
    <row r="107" spans="1:25" ht="33.75" customHeight="1" x14ac:dyDescent="0.15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</row>
    <row r="108" spans="1:25" ht="33.75" customHeight="1" x14ac:dyDescent="0.15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</row>
    <row r="109" spans="1:25" ht="33.75" customHeight="1" x14ac:dyDescent="0.15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</row>
    <row r="110" spans="1:25" ht="33.75" customHeight="1" x14ac:dyDescent="0.15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</row>
    <row r="111" spans="1:25" ht="33.75" customHeight="1" x14ac:dyDescent="0.15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</row>
    <row r="112" spans="1:25" ht="33.75" customHeight="1" x14ac:dyDescent="0.15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</row>
    <row r="113" spans="1:25" ht="33.75" customHeight="1" x14ac:dyDescent="0.15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</row>
    <row r="114" spans="1:25" ht="33.75" customHeight="1" x14ac:dyDescent="0.15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</row>
    <row r="115" spans="1:25" ht="33.75" customHeight="1" x14ac:dyDescent="0.15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</row>
    <row r="116" spans="1:25" ht="33.75" customHeight="1" x14ac:dyDescent="0.15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</row>
    <row r="117" spans="1:25" ht="33.75" customHeight="1" x14ac:dyDescent="0.15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</row>
    <row r="118" spans="1:25" ht="33.75" customHeight="1" x14ac:dyDescent="0.15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</row>
    <row r="119" spans="1:25" ht="33.75" customHeight="1" x14ac:dyDescent="0.15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</row>
    <row r="120" spans="1:25" ht="33.75" customHeight="1" x14ac:dyDescent="0.15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</row>
    <row r="121" spans="1:25" ht="33.75" customHeight="1" x14ac:dyDescent="0.15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</row>
    <row r="122" spans="1:25" ht="33.75" customHeight="1" x14ac:dyDescent="0.15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</row>
    <row r="123" spans="1:25" ht="33.75" customHeight="1" x14ac:dyDescent="0.15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</row>
    <row r="124" spans="1:25" ht="33.75" customHeight="1" x14ac:dyDescent="0.15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</row>
    <row r="125" spans="1:25" ht="33.75" customHeight="1" x14ac:dyDescent="0.15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</row>
    <row r="126" spans="1:25" ht="33.75" customHeight="1" x14ac:dyDescent="0.15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</row>
    <row r="127" spans="1:25" ht="33.75" customHeight="1" x14ac:dyDescent="0.15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</row>
    <row r="128" spans="1:25" ht="33.75" customHeight="1" x14ac:dyDescent="0.15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</row>
    <row r="129" spans="1:25" ht="33.75" customHeight="1" x14ac:dyDescent="0.15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</row>
    <row r="130" spans="1:25" ht="33.75" customHeight="1" x14ac:dyDescent="0.15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</row>
    <row r="131" spans="1:25" ht="33.75" customHeight="1" x14ac:dyDescent="0.15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</row>
    <row r="132" spans="1:25" ht="33.75" customHeight="1" x14ac:dyDescent="0.15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</row>
    <row r="133" spans="1:25" ht="33.75" customHeight="1" x14ac:dyDescent="0.15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</row>
    <row r="134" spans="1:25" ht="33.75" customHeight="1" x14ac:dyDescent="0.15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</row>
    <row r="135" spans="1:25" ht="33.75" customHeight="1" x14ac:dyDescent="0.15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</row>
    <row r="136" spans="1:25" ht="33.75" customHeight="1" x14ac:dyDescent="0.15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</row>
    <row r="137" spans="1:25" ht="33.75" customHeight="1" x14ac:dyDescent="0.15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</row>
    <row r="138" spans="1:25" ht="33.75" customHeight="1" x14ac:dyDescent="0.15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</row>
    <row r="139" spans="1:25" ht="33.75" customHeight="1" x14ac:dyDescent="0.15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</row>
    <row r="140" spans="1:25" ht="33.75" customHeight="1" x14ac:dyDescent="0.15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</row>
    <row r="141" spans="1:25" ht="33.75" customHeight="1" x14ac:dyDescent="0.15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</row>
    <row r="142" spans="1:25" ht="33.75" customHeight="1" x14ac:dyDescent="0.15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</row>
    <row r="143" spans="1:25" ht="33.75" customHeight="1" x14ac:dyDescent="0.15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</row>
    <row r="144" spans="1:25" ht="33.75" customHeight="1" x14ac:dyDescent="0.15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</row>
    <row r="145" spans="1:25" ht="33.75" customHeight="1" x14ac:dyDescent="0.15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</row>
    <row r="146" spans="1:25" ht="33.75" customHeight="1" x14ac:dyDescent="0.15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</row>
    <row r="147" spans="1:25" ht="33.75" customHeight="1" x14ac:dyDescent="0.15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</row>
    <row r="148" spans="1:25" ht="33.75" customHeight="1" x14ac:dyDescent="0.15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</row>
    <row r="149" spans="1:25" ht="33.75" customHeight="1" x14ac:dyDescent="0.15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</row>
    <row r="150" spans="1:25" ht="33.75" customHeight="1" x14ac:dyDescent="0.15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</row>
    <row r="151" spans="1:25" ht="33.75" customHeight="1" x14ac:dyDescent="0.15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</row>
    <row r="152" spans="1:25" ht="33.75" customHeight="1" x14ac:dyDescent="0.15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</row>
    <row r="153" spans="1:25" ht="33.75" customHeight="1" x14ac:dyDescent="0.15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</row>
    <row r="154" spans="1:25" ht="33.75" customHeight="1" x14ac:dyDescent="0.15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</row>
    <row r="155" spans="1:25" ht="33.75" customHeight="1" x14ac:dyDescent="0.15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</row>
    <row r="156" spans="1:25" ht="33.75" customHeight="1" x14ac:dyDescent="0.15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</row>
    <row r="157" spans="1:25" ht="33.75" customHeight="1" x14ac:dyDescent="0.15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</row>
    <row r="158" spans="1:25" ht="33.75" customHeight="1" x14ac:dyDescent="0.15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</row>
    <row r="159" spans="1:25" ht="33.75" customHeight="1" x14ac:dyDescent="0.15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</row>
    <row r="160" spans="1:25" ht="33.75" customHeight="1" x14ac:dyDescent="0.15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</row>
    <row r="161" spans="1:25" ht="33.75" customHeight="1" x14ac:dyDescent="0.15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</row>
    <row r="162" spans="1:25" ht="33.75" customHeight="1" x14ac:dyDescent="0.15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</row>
    <row r="163" spans="1:25" ht="33.75" customHeight="1" x14ac:dyDescent="0.15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</row>
    <row r="164" spans="1:25" ht="33.75" customHeight="1" x14ac:dyDescent="0.15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</row>
    <row r="165" spans="1:25" ht="33.75" customHeight="1" x14ac:dyDescent="0.15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</row>
    <row r="166" spans="1:25" ht="33.75" customHeight="1" x14ac:dyDescent="0.15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</row>
    <row r="167" spans="1:25" ht="33.75" customHeight="1" x14ac:dyDescent="0.15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</row>
    <row r="168" spans="1:25" ht="33.75" customHeight="1" x14ac:dyDescent="0.15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</row>
    <row r="169" spans="1:25" ht="33.75" customHeight="1" x14ac:dyDescent="0.15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</row>
    <row r="170" spans="1:25" ht="33.75" customHeight="1" x14ac:dyDescent="0.15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</row>
    <row r="171" spans="1:25" ht="33.75" customHeight="1" x14ac:dyDescent="0.15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</row>
    <row r="172" spans="1:25" ht="33.75" customHeight="1" x14ac:dyDescent="0.15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</row>
    <row r="173" spans="1:25" ht="33.75" customHeight="1" x14ac:dyDescent="0.15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</row>
    <row r="174" spans="1:25" ht="33.75" customHeight="1" x14ac:dyDescent="0.15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</row>
    <row r="175" spans="1:25" ht="33.75" customHeight="1" x14ac:dyDescent="0.15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</row>
    <row r="176" spans="1:25" ht="33.75" customHeight="1" x14ac:dyDescent="0.15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</row>
    <row r="177" spans="1:25" ht="33.75" customHeight="1" x14ac:dyDescent="0.15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</row>
    <row r="178" spans="1:25" ht="33.75" customHeight="1" x14ac:dyDescent="0.15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</row>
    <row r="179" spans="1:25" ht="33.75" customHeight="1" x14ac:dyDescent="0.15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</row>
    <row r="180" spans="1:25" ht="33.75" customHeight="1" x14ac:dyDescent="0.15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</row>
    <row r="181" spans="1:25" ht="33.75" customHeight="1" x14ac:dyDescent="0.15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</row>
    <row r="182" spans="1:25" ht="33.75" customHeight="1" x14ac:dyDescent="0.15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</row>
    <row r="183" spans="1:25" ht="33.75" customHeight="1" x14ac:dyDescent="0.15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</row>
    <row r="184" spans="1:25" ht="33.75" customHeight="1" x14ac:dyDescent="0.15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</row>
    <row r="185" spans="1:25" ht="33.75" customHeight="1" x14ac:dyDescent="0.15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</row>
    <row r="186" spans="1:25" ht="33.75" customHeight="1" x14ac:dyDescent="0.15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</row>
    <row r="187" spans="1:25" ht="33.75" customHeight="1" x14ac:dyDescent="0.15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</row>
    <row r="188" spans="1:25" ht="33.75" customHeight="1" x14ac:dyDescent="0.15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</row>
    <row r="189" spans="1:25" ht="33.75" customHeight="1" x14ac:dyDescent="0.15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</row>
    <row r="190" spans="1:25" ht="33.75" customHeight="1" x14ac:dyDescent="0.15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</row>
    <row r="191" spans="1:25" ht="33.75" customHeight="1" x14ac:dyDescent="0.15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</row>
    <row r="192" spans="1:25" ht="33.75" customHeight="1" x14ac:dyDescent="0.15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</row>
    <row r="193" spans="1:25" ht="33.75" customHeight="1" x14ac:dyDescent="0.15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</row>
    <row r="194" spans="1:25" ht="33.75" customHeight="1" x14ac:dyDescent="0.15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</row>
    <row r="195" spans="1:25" ht="33.75" customHeight="1" x14ac:dyDescent="0.15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</row>
    <row r="196" spans="1:25" ht="33.75" customHeight="1" x14ac:dyDescent="0.15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</row>
    <row r="197" spans="1:25" ht="33.75" customHeight="1" x14ac:dyDescent="0.15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</row>
    <row r="198" spans="1:25" ht="33.75" customHeight="1" x14ac:dyDescent="0.15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</row>
    <row r="199" spans="1:25" ht="33.75" customHeight="1" x14ac:dyDescent="0.15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</row>
    <row r="200" spans="1:25" ht="33.75" customHeight="1" x14ac:dyDescent="0.15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</row>
    <row r="201" spans="1:25" ht="33.75" customHeight="1" x14ac:dyDescent="0.15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</row>
    <row r="202" spans="1:25" ht="33.75" customHeight="1" x14ac:dyDescent="0.15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</row>
    <row r="203" spans="1:25" ht="33.75" customHeight="1" x14ac:dyDescent="0.15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</row>
    <row r="204" spans="1:25" ht="33.75" customHeight="1" x14ac:dyDescent="0.15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</row>
    <row r="205" spans="1:25" ht="33.75" customHeight="1" x14ac:dyDescent="0.15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</row>
    <row r="206" spans="1:25" ht="33.75" customHeight="1" x14ac:dyDescent="0.15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</row>
    <row r="207" spans="1:25" ht="33.75" customHeight="1" x14ac:dyDescent="0.15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</row>
    <row r="208" spans="1:25" ht="33.75" customHeight="1" x14ac:dyDescent="0.15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</row>
    <row r="209" spans="1:25" ht="33.75" customHeight="1" x14ac:dyDescent="0.15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</row>
    <row r="210" spans="1:25" ht="33.75" customHeight="1" x14ac:dyDescent="0.15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</row>
    <row r="211" spans="1:25" ht="33.75" customHeight="1" x14ac:dyDescent="0.15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</row>
    <row r="212" spans="1:25" ht="33.75" customHeight="1" x14ac:dyDescent="0.15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</row>
    <row r="213" spans="1:25" ht="33.75" customHeight="1" x14ac:dyDescent="0.15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</row>
    <row r="214" spans="1:25" ht="33.75" customHeight="1" x14ac:dyDescent="0.15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</row>
    <row r="215" spans="1:25" ht="33.75" customHeight="1" x14ac:dyDescent="0.15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</row>
    <row r="216" spans="1:25" ht="33.75" customHeight="1" x14ac:dyDescent="0.15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</row>
    <row r="217" spans="1:25" ht="33.75" customHeight="1" x14ac:dyDescent="0.15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</row>
    <row r="218" spans="1:25" ht="33.75" customHeight="1" x14ac:dyDescent="0.15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</row>
    <row r="219" spans="1:25" ht="33.75" customHeight="1" x14ac:dyDescent="0.15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</row>
    <row r="220" spans="1:25" ht="33.75" customHeight="1" x14ac:dyDescent="0.15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</row>
    <row r="221" spans="1:25" ht="33.75" customHeight="1" x14ac:dyDescent="0.15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</row>
    <row r="222" spans="1:25" ht="33.75" customHeight="1" x14ac:dyDescent="0.15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</row>
    <row r="223" spans="1:25" ht="33.75" customHeight="1" x14ac:dyDescent="0.15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</row>
    <row r="224" spans="1:25" ht="33.75" customHeight="1" x14ac:dyDescent="0.15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</row>
    <row r="225" spans="1:25" ht="33.75" customHeight="1" x14ac:dyDescent="0.15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</row>
    <row r="226" spans="1:25" ht="33.75" customHeight="1" x14ac:dyDescent="0.15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</row>
    <row r="227" spans="1:25" ht="33.75" customHeight="1" x14ac:dyDescent="0.15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</row>
    <row r="228" spans="1:25" ht="33.75" customHeight="1" x14ac:dyDescent="0.15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</row>
    <row r="229" spans="1:25" ht="33.75" customHeight="1" x14ac:dyDescent="0.15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</row>
    <row r="230" spans="1:25" ht="33.75" customHeight="1" x14ac:dyDescent="0.15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</row>
    <row r="231" spans="1:25" ht="33.75" customHeight="1" x14ac:dyDescent="0.15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</row>
    <row r="232" spans="1:25" ht="33.75" customHeight="1" x14ac:dyDescent="0.15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</row>
    <row r="233" spans="1:25" ht="33.75" customHeight="1" x14ac:dyDescent="0.15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</row>
    <row r="234" spans="1:25" ht="33.75" customHeight="1" x14ac:dyDescent="0.15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</row>
    <row r="235" spans="1:25" ht="33.75" customHeight="1" x14ac:dyDescent="0.15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</row>
    <row r="236" spans="1:25" ht="33.75" customHeight="1" x14ac:dyDescent="0.15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</row>
    <row r="237" spans="1:25" ht="33.75" customHeight="1" x14ac:dyDescent="0.15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</row>
    <row r="238" spans="1:25" ht="33.75" customHeight="1" x14ac:dyDescent="0.15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</row>
    <row r="239" spans="1:25" ht="33.75" customHeight="1" x14ac:dyDescent="0.15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</row>
    <row r="240" spans="1:25" ht="33.75" customHeight="1" x14ac:dyDescent="0.15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</row>
    <row r="241" spans="1:25" ht="33.75" customHeight="1" x14ac:dyDescent="0.15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</row>
    <row r="242" spans="1:25" ht="33.75" customHeight="1" x14ac:dyDescent="0.15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</row>
    <row r="243" spans="1:25" ht="33.75" customHeight="1" x14ac:dyDescent="0.15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</row>
    <row r="244" spans="1:25" ht="33.75" customHeight="1" x14ac:dyDescent="0.15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</row>
    <row r="245" spans="1:25" ht="33.75" customHeight="1" x14ac:dyDescent="0.15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</row>
    <row r="246" spans="1:25" ht="33.75" customHeight="1" x14ac:dyDescent="0.15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</row>
    <row r="247" spans="1:25" ht="33.75" customHeight="1" x14ac:dyDescent="0.15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</row>
    <row r="248" spans="1:25" ht="33.75" customHeight="1" x14ac:dyDescent="0.15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</row>
    <row r="249" spans="1:25" ht="33.75" customHeight="1" x14ac:dyDescent="0.15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</row>
    <row r="250" spans="1:25" ht="33.75" customHeight="1" x14ac:dyDescent="0.15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</row>
    <row r="251" spans="1:25" ht="33.75" customHeight="1" x14ac:dyDescent="0.15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</row>
    <row r="252" spans="1:25" ht="33.75" customHeight="1" x14ac:dyDescent="0.15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</row>
    <row r="253" spans="1:25" ht="33.75" customHeight="1" x14ac:dyDescent="0.15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</row>
    <row r="254" spans="1:25" ht="33.75" customHeight="1" x14ac:dyDescent="0.15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</row>
    <row r="255" spans="1:25" ht="33.75" customHeight="1" x14ac:dyDescent="0.15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</row>
    <row r="256" spans="1:25" ht="33.75" customHeight="1" x14ac:dyDescent="0.15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</row>
    <row r="257" spans="1:25" ht="33.75" customHeight="1" x14ac:dyDescent="0.15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</row>
    <row r="258" spans="1:25" ht="33.75" customHeight="1" x14ac:dyDescent="0.15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</row>
    <row r="259" spans="1:25" ht="33.75" customHeight="1" x14ac:dyDescent="0.15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</row>
    <row r="260" spans="1:25" ht="33.75" customHeight="1" x14ac:dyDescent="0.15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</row>
    <row r="261" spans="1:25" ht="33.75" customHeight="1" x14ac:dyDescent="0.15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</row>
    <row r="262" spans="1:25" ht="33.75" customHeight="1" x14ac:dyDescent="0.15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</row>
    <row r="263" spans="1:25" ht="33.75" customHeight="1" x14ac:dyDescent="0.15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</row>
    <row r="264" spans="1:25" ht="33.75" customHeight="1" x14ac:dyDescent="0.15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</row>
    <row r="265" spans="1:25" ht="33.75" customHeight="1" x14ac:dyDescent="0.15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</row>
    <row r="266" spans="1:25" ht="33.75" customHeight="1" x14ac:dyDescent="0.15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</row>
    <row r="267" spans="1:25" ht="33.75" customHeight="1" x14ac:dyDescent="0.15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</row>
    <row r="268" spans="1:25" ht="33.75" customHeight="1" x14ac:dyDescent="0.15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</row>
    <row r="269" spans="1:25" ht="33.75" customHeight="1" x14ac:dyDescent="0.15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</row>
    <row r="270" spans="1:25" ht="33.75" customHeight="1" x14ac:dyDescent="0.15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</row>
    <row r="271" spans="1:25" ht="33.75" customHeight="1" x14ac:dyDescent="0.15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</row>
    <row r="272" spans="1:25" ht="33.75" customHeight="1" x14ac:dyDescent="0.15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</row>
    <row r="273" spans="1:25" ht="33.75" customHeight="1" x14ac:dyDescent="0.15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</row>
    <row r="274" spans="1:25" ht="33.75" customHeight="1" x14ac:dyDescent="0.15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</row>
    <row r="275" spans="1:25" ht="33.75" customHeight="1" x14ac:dyDescent="0.15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</row>
    <row r="276" spans="1:25" ht="33.75" customHeight="1" x14ac:dyDescent="0.15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</row>
    <row r="277" spans="1:25" ht="33.75" customHeight="1" x14ac:dyDescent="0.15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</row>
    <row r="278" spans="1:25" ht="33.75" customHeight="1" x14ac:dyDescent="0.15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</row>
    <row r="279" spans="1:25" ht="33.75" customHeight="1" x14ac:dyDescent="0.15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</row>
    <row r="280" spans="1:25" ht="33.75" customHeight="1" x14ac:dyDescent="0.15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</row>
    <row r="281" spans="1:25" ht="33.75" customHeight="1" x14ac:dyDescent="0.15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</row>
    <row r="282" spans="1:25" ht="33.75" customHeight="1" x14ac:dyDescent="0.15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</row>
    <row r="283" spans="1:25" ht="33.75" customHeight="1" x14ac:dyDescent="0.15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</row>
    <row r="284" spans="1:25" ht="33.75" customHeight="1" x14ac:dyDescent="0.15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</row>
    <row r="285" spans="1:25" ht="33.75" customHeight="1" x14ac:dyDescent="0.15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</row>
    <row r="286" spans="1:25" ht="33.75" customHeight="1" x14ac:dyDescent="0.15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</row>
    <row r="287" spans="1:25" ht="33.75" customHeight="1" x14ac:dyDescent="0.15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</row>
    <row r="288" spans="1:25" ht="33.75" customHeight="1" x14ac:dyDescent="0.15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</row>
    <row r="289" spans="1:25" ht="33.75" customHeight="1" x14ac:dyDescent="0.15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</row>
    <row r="290" spans="1:25" ht="33.75" customHeight="1" x14ac:dyDescent="0.15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</row>
    <row r="291" spans="1:25" ht="33.75" customHeight="1" x14ac:dyDescent="0.15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</row>
    <row r="292" spans="1:25" ht="33.75" customHeight="1" x14ac:dyDescent="0.15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</row>
    <row r="293" spans="1:25" ht="33.75" customHeight="1" x14ac:dyDescent="0.15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</row>
    <row r="294" spans="1:25" ht="33.75" customHeight="1" x14ac:dyDescent="0.15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</row>
    <row r="295" spans="1:25" ht="33.75" customHeight="1" x14ac:dyDescent="0.15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</row>
    <row r="296" spans="1:25" ht="33.75" customHeight="1" x14ac:dyDescent="0.15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</row>
    <row r="297" spans="1:25" ht="33.75" customHeight="1" x14ac:dyDescent="0.15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</row>
    <row r="298" spans="1:25" ht="33.75" customHeight="1" x14ac:dyDescent="0.15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</row>
    <row r="299" spans="1:25" ht="33.75" customHeight="1" x14ac:dyDescent="0.15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</row>
    <row r="300" spans="1:25" ht="33.75" customHeight="1" x14ac:dyDescent="0.15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</row>
    <row r="301" spans="1:25" ht="33.75" customHeight="1" x14ac:dyDescent="0.15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</row>
    <row r="302" spans="1:25" ht="33.75" customHeight="1" x14ac:dyDescent="0.15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</row>
    <row r="303" spans="1:25" ht="33.75" customHeight="1" x14ac:dyDescent="0.15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</row>
    <row r="304" spans="1:25" ht="33.75" customHeight="1" x14ac:dyDescent="0.15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</row>
    <row r="305" spans="1:25" ht="33.75" customHeight="1" x14ac:dyDescent="0.15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</row>
    <row r="306" spans="1:25" ht="33.75" customHeight="1" x14ac:dyDescent="0.15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</row>
    <row r="307" spans="1:25" ht="33.75" customHeight="1" x14ac:dyDescent="0.15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</row>
    <row r="308" spans="1:25" ht="33.75" customHeight="1" x14ac:dyDescent="0.15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</row>
    <row r="309" spans="1:25" ht="33.75" customHeight="1" x14ac:dyDescent="0.15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</row>
    <row r="310" spans="1:25" ht="33.75" customHeight="1" x14ac:dyDescent="0.15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</row>
    <row r="311" spans="1:25" ht="33.75" customHeight="1" x14ac:dyDescent="0.15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</row>
    <row r="312" spans="1:25" ht="33.75" customHeight="1" x14ac:dyDescent="0.15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</row>
    <row r="313" spans="1:25" ht="33.75" customHeight="1" x14ac:dyDescent="0.15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</row>
    <row r="314" spans="1:25" ht="33.75" customHeight="1" x14ac:dyDescent="0.15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</row>
    <row r="315" spans="1:25" ht="33.75" customHeight="1" x14ac:dyDescent="0.15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</row>
    <row r="316" spans="1:25" ht="33.75" customHeight="1" x14ac:dyDescent="0.15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</row>
    <row r="317" spans="1:25" ht="33.75" customHeight="1" x14ac:dyDescent="0.15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</row>
    <row r="318" spans="1:25" ht="33.75" customHeight="1" x14ac:dyDescent="0.15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</row>
    <row r="319" spans="1:25" ht="33.75" customHeight="1" x14ac:dyDescent="0.15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</row>
    <row r="320" spans="1:25" ht="33.75" customHeight="1" x14ac:dyDescent="0.15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</row>
    <row r="321" spans="1:25" ht="33.75" customHeight="1" x14ac:dyDescent="0.15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</row>
    <row r="322" spans="1:25" ht="33.75" customHeight="1" x14ac:dyDescent="0.15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</row>
    <row r="323" spans="1:25" ht="33.75" customHeight="1" x14ac:dyDescent="0.15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</row>
    <row r="324" spans="1:25" ht="33.75" customHeight="1" x14ac:dyDescent="0.15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</row>
    <row r="325" spans="1:25" ht="33.75" customHeight="1" x14ac:dyDescent="0.15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</row>
    <row r="326" spans="1:25" ht="33.75" customHeight="1" x14ac:dyDescent="0.15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</row>
    <row r="327" spans="1:25" ht="33.75" customHeight="1" x14ac:dyDescent="0.15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</row>
    <row r="328" spans="1:25" ht="33.75" customHeight="1" x14ac:dyDescent="0.15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</row>
    <row r="329" spans="1:25" ht="33.75" customHeight="1" x14ac:dyDescent="0.15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</row>
    <row r="330" spans="1:25" ht="33.75" customHeight="1" x14ac:dyDescent="0.15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</row>
    <row r="331" spans="1:25" ht="33.75" customHeight="1" x14ac:dyDescent="0.15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</row>
    <row r="332" spans="1:25" ht="33.75" customHeight="1" x14ac:dyDescent="0.15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</row>
    <row r="333" spans="1:25" ht="33.75" customHeight="1" x14ac:dyDescent="0.15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</row>
    <row r="334" spans="1:25" ht="33.75" customHeight="1" x14ac:dyDescent="0.15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</row>
    <row r="335" spans="1:25" ht="33.75" customHeight="1" x14ac:dyDescent="0.15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</row>
    <row r="336" spans="1:25" ht="33.75" customHeight="1" x14ac:dyDescent="0.15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</row>
    <row r="337" spans="1:25" ht="33.75" customHeight="1" x14ac:dyDescent="0.15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</row>
    <row r="338" spans="1:25" ht="33.75" customHeight="1" x14ac:dyDescent="0.15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</row>
    <row r="339" spans="1:25" ht="33.75" customHeight="1" x14ac:dyDescent="0.15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</row>
    <row r="340" spans="1:25" ht="33.75" customHeight="1" x14ac:dyDescent="0.15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</row>
    <row r="341" spans="1:25" ht="33.75" customHeight="1" x14ac:dyDescent="0.15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</row>
    <row r="342" spans="1:25" ht="33.75" customHeight="1" x14ac:dyDescent="0.15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</row>
    <row r="343" spans="1:25" ht="33.75" customHeight="1" x14ac:dyDescent="0.15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</row>
    <row r="344" spans="1:25" ht="33.75" customHeight="1" x14ac:dyDescent="0.15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</row>
    <row r="345" spans="1:25" ht="33.75" customHeight="1" x14ac:dyDescent="0.15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</row>
    <row r="346" spans="1:25" ht="33.75" customHeight="1" x14ac:dyDescent="0.15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</row>
    <row r="347" spans="1:25" ht="33.75" customHeight="1" x14ac:dyDescent="0.15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</row>
    <row r="348" spans="1:25" ht="33.75" customHeight="1" x14ac:dyDescent="0.15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</row>
    <row r="349" spans="1:25" ht="33.75" customHeight="1" x14ac:dyDescent="0.15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</row>
    <row r="350" spans="1:25" ht="33.75" customHeight="1" x14ac:dyDescent="0.15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</row>
    <row r="351" spans="1:25" ht="33.75" customHeight="1" x14ac:dyDescent="0.15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</row>
    <row r="352" spans="1:25" ht="33.75" customHeight="1" x14ac:dyDescent="0.15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</row>
    <row r="353" spans="1:25" ht="33.75" customHeight="1" x14ac:dyDescent="0.15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</row>
    <row r="354" spans="1:25" ht="33.75" customHeight="1" x14ac:dyDescent="0.15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</row>
    <row r="355" spans="1:25" ht="33.75" customHeight="1" x14ac:dyDescent="0.15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</row>
    <row r="356" spans="1:25" ht="33.75" customHeight="1" x14ac:dyDescent="0.15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</row>
    <row r="357" spans="1:25" ht="33.75" customHeight="1" x14ac:dyDescent="0.15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</row>
    <row r="358" spans="1:25" ht="33.75" customHeight="1" x14ac:dyDescent="0.15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</row>
    <row r="359" spans="1:25" ht="33.75" customHeight="1" x14ac:dyDescent="0.15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</row>
    <row r="360" spans="1:25" ht="33.75" customHeight="1" x14ac:dyDescent="0.15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</row>
    <row r="361" spans="1:25" ht="33.75" customHeight="1" x14ac:dyDescent="0.15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</row>
    <row r="362" spans="1:25" ht="33.75" customHeight="1" x14ac:dyDescent="0.15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</row>
    <row r="363" spans="1:25" ht="33.75" customHeight="1" x14ac:dyDescent="0.15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</row>
    <row r="364" spans="1:25" ht="33.75" customHeight="1" x14ac:dyDescent="0.15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</row>
    <row r="365" spans="1:25" ht="33.75" customHeight="1" x14ac:dyDescent="0.15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</row>
    <row r="366" spans="1:25" ht="33.75" customHeight="1" x14ac:dyDescent="0.15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</row>
    <row r="367" spans="1:25" ht="33.75" customHeight="1" x14ac:dyDescent="0.15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</row>
    <row r="368" spans="1:25" ht="33.75" customHeight="1" x14ac:dyDescent="0.15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</row>
    <row r="369" spans="1:25" ht="33.75" customHeight="1" x14ac:dyDescent="0.15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</row>
    <row r="370" spans="1:25" ht="33.75" customHeight="1" x14ac:dyDescent="0.15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</row>
    <row r="371" spans="1:25" ht="33.75" customHeight="1" x14ac:dyDescent="0.15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</row>
    <row r="372" spans="1:25" ht="33.75" customHeight="1" x14ac:dyDescent="0.15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</row>
    <row r="373" spans="1:25" ht="33.75" customHeight="1" x14ac:dyDescent="0.15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</row>
    <row r="374" spans="1:25" ht="33.75" customHeight="1" x14ac:dyDescent="0.15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</row>
    <row r="375" spans="1:25" ht="33.75" customHeight="1" x14ac:dyDescent="0.15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</row>
    <row r="376" spans="1:25" ht="33.75" customHeight="1" x14ac:dyDescent="0.15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</row>
    <row r="377" spans="1:25" ht="33.75" customHeight="1" x14ac:dyDescent="0.15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</row>
    <row r="378" spans="1:25" ht="33.75" customHeight="1" x14ac:dyDescent="0.15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</row>
    <row r="379" spans="1:25" ht="33.75" customHeight="1" x14ac:dyDescent="0.15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</row>
    <row r="380" spans="1:25" ht="33.75" customHeight="1" x14ac:dyDescent="0.15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</row>
    <row r="381" spans="1:25" ht="33.75" customHeight="1" x14ac:dyDescent="0.15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</row>
    <row r="382" spans="1:25" ht="33.75" customHeight="1" x14ac:dyDescent="0.15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</row>
    <row r="383" spans="1:25" ht="33.75" customHeight="1" x14ac:dyDescent="0.15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</row>
    <row r="384" spans="1:25" ht="33.75" customHeight="1" x14ac:dyDescent="0.15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</row>
    <row r="385" spans="1:25" ht="33.75" customHeight="1" x14ac:dyDescent="0.15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</row>
    <row r="386" spans="1:25" ht="33.75" customHeight="1" x14ac:dyDescent="0.15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</row>
    <row r="387" spans="1:25" ht="33.75" customHeight="1" x14ac:dyDescent="0.15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</row>
    <row r="388" spans="1:25" ht="33.75" customHeight="1" x14ac:dyDescent="0.15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</row>
    <row r="389" spans="1:25" ht="33.75" customHeight="1" x14ac:dyDescent="0.15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</row>
    <row r="390" spans="1:25" ht="33.75" customHeight="1" x14ac:dyDescent="0.15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</row>
    <row r="391" spans="1:25" ht="33.75" customHeight="1" x14ac:dyDescent="0.15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</row>
    <row r="392" spans="1:25" ht="33.75" customHeight="1" x14ac:dyDescent="0.15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  <c r="X392" s="59"/>
      <c r="Y392" s="59"/>
    </row>
    <row r="393" spans="1:25" ht="33.75" customHeight="1" x14ac:dyDescent="0.15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  <c r="X393" s="59"/>
      <c r="Y393" s="59"/>
    </row>
    <row r="394" spans="1:25" ht="33.75" customHeight="1" x14ac:dyDescent="0.15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  <c r="X394" s="59"/>
      <c r="Y394" s="59"/>
    </row>
    <row r="395" spans="1:25" ht="33.75" customHeight="1" x14ac:dyDescent="0.15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  <c r="X395" s="59"/>
      <c r="Y395" s="59"/>
    </row>
    <row r="396" spans="1:25" ht="33.75" customHeight="1" x14ac:dyDescent="0.15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  <c r="X396" s="59"/>
      <c r="Y396" s="59"/>
    </row>
    <row r="397" spans="1:25" ht="33.75" customHeight="1" x14ac:dyDescent="0.15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  <c r="X397" s="59"/>
      <c r="Y397" s="59"/>
    </row>
    <row r="398" spans="1:25" ht="33.75" customHeight="1" x14ac:dyDescent="0.15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  <c r="X398" s="59"/>
      <c r="Y398" s="59"/>
    </row>
    <row r="399" spans="1:25" ht="33.75" customHeight="1" x14ac:dyDescent="0.15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  <c r="X399" s="59"/>
      <c r="Y399" s="59"/>
    </row>
    <row r="400" spans="1:25" ht="33.75" customHeight="1" x14ac:dyDescent="0.15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  <c r="X400" s="59"/>
      <c r="Y400" s="59"/>
    </row>
    <row r="401" spans="1:25" ht="33.75" customHeight="1" x14ac:dyDescent="0.15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  <c r="X401" s="59"/>
      <c r="Y401" s="59"/>
    </row>
    <row r="402" spans="1:25" ht="33.75" customHeight="1" x14ac:dyDescent="0.15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  <c r="X402" s="59"/>
      <c r="Y402" s="59"/>
    </row>
    <row r="403" spans="1:25" ht="33.75" customHeight="1" x14ac:dyDescent="0.15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  <c r="X403" s="59"/>
      <c r="Y403" s="59"/>
    </row>
    <row r="404" spans="1:25" ht="33.75" customHeight="1" x14ac:dyDescent="0.15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  <c r="X404" s="59"/>
      <c r="Y404" s="59"/>
    </row>
    <row r="405" spans="1:25" ht="33.75" customHeight="1" x14ac:dyDescent="0.15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  <c r="X405" s="59"/>
      <c r="Y405" s="59"/>
    </row>
    <row r="406" spans="1:25" ht="33.75" customHeight="1" x14ac:dyDescent="0.15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  <c r="X406" s="59"/>
      <c r="Y406" s="59"/>
    </row>
    <row r="407" spans="1:25" ht="33.75" customHeight="1" x14ac:dyDescent="0.15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</row>
    <row r="408" spans="1:25" ht="33.75" customHeight="1" x14ac:dyDescent="0.15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  <c r="X408" s="59"/>
      <c r="Y408" s="59"/>
    </row>
    <row r="409" spans="1:25" ht="33.75" customHeight="1" x14ac:dyDescent="0.15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  <c r="X409" s="59"/>
      <c r="Y409" s="59"/>
    </row>
    <row r="410" spans="1:25" ht="33.75" customHeight="1" x14ac:dyDescent="0.15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  <c r="X410" s="59"/>
      <c r="Y410" s="59"/>
    </row>
    <row r="411" spans="1:25" ht="33.75" customHeight="1" x14ac:dyDescent="0.15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  <c r="X411" s="59"/>
      <c r="Y411" s="59"/>
    </row>
    <row r="412" spans="1:25" ht="33.75" customHeight="1" x14ac:dyDescent="0.15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  <c r="X412" s="59"/>
      <c r="Y412" s="59"/>
    </row>
    <row r="413" spans="1:25" ht="33.75" customHeight="1" x14ac:dyDescent="0.15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  <c r="X413" s="59"/>
      <c r="Y413" s="59"/>
    </row>
    <row r="414" spans="1:25" ht="33.75" customHeight="1" x14ac:dyDescent="0.15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  <c r="X414" s="59"/>
      <c r="Y414" s="59"/>
    </row>
    <row r="415" spans="1:25" ht="33.75" customHeight="1" x14ac:dyDescent="0.15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  <c r="X415" s="59"/>
      <c r="Y415" s="59"/>
    </row>
    <row r="416" spans="1:25" ht="33.75" customHeight="1" x14ac:dyDescent="0.15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  <c r="X416" s="59"/>
      <c r="Y416" s="59"/>
    </row>
    <row r="417" spans="1:25" ht="33.75" customHeight="1" x14ac:dyDescent="0.15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  <c r="X417" s="59"/>
      <c r="Y417" s="59"/>
    </row>
    <row r="418" spans="1:25" ht="33.75" customHeight="1" x14ac:dyDescent="0.15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  <c r="X418" s="59"/>
      <c r="Y418" s="59"/>
    </row>
    <row r="419" spans="1:25" ht="33.75" customHeight="1" x14ac:dyDescent="0.15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  <c r="X419" s="59"/>
      <c r="Y419" s="59"/>
    </row>
    <row r="420" spans="1:25" ht="33.75" customHeight="1" x14ac:dyDescent="0.15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  <c r="X420" s="59"/>
      <c r="Y420" s="59"/>
    </row>
    <row r="421" spans="1:25" ht="33.75" customHeight="1" x14ac:dyDescent="0.15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  <c r="X421" s="59"/>
      <c r="Y421" s="59"/>
    </row>
    <row r="422" spans="1:25" ht="33.75" customHeight="1" x14ac:dyDescent="0.15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  <c r="X422" s="59"/>
      <c r="Y422" s="59"/>
    </row>
    <row r="423" spans="1:25" ht="33.75" customHeight="1" x14ac:dyDescent="0.15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  <c r="X423" s="59"/>
      <c r="Y423" s="59"/>
    </row>
    <row r="424" spans="1:25" ht="33.75" customHeight="1" x14ac:dyDescent="0.15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  <c r="X424" s="59"/>
      <c r="Y424" s="59"/>
    </row>
    <row r="425" spans="1:25" ht="33.75" customHeight="1" x14ac:dyDescent="0.15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  <c r="X425" s="59"/>
      <c r="Y425" s="59"/>
    </row>
    <row r="426" spans="1:25" ht="33.75" customHeight="1" x14ac:dyDescent="0.15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  <c r="X426" s="59"/>
      <c r="Y426" s="59"/>
    </row>
    <row r="427" spans="1:25" ht="33.75" customHeight="1" x14ac:dyDescent="0.15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  <c r="X427" s="59"/>
      <c r="Y427" s="59"/>
    </row>
    <row r="428" spans="1:25" ht="33.75" customHeight="1" x14ac:dyDescent="0.15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  <c r="X428" s="59"/>
      <c r="Y428" s="59"/>
    </row>
    <row r="429" spans="1:25" ht="33.75" customHeight="1" x14ac:dyDescent="0.15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  <c r="X429" s="59"/>
      <c r="Y429" s="59"/>
    </row>
    <row r="430" spans="1:25" ht="33.75" customHeight="1" x14ac:dyDescent="0.15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  <c r="X430" s="59"/>
      <c r="Y430" s="59"/>
    </row>
    <row r="431" spans="1:25" ht="33.75" customHeight="1" x14ac:dyDescent="0.15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  <c r="X431" s="59"/>
      <c r="Y431" s="59"/>
    </row>
    <row r="432" spans="1:25" ht="33.75" customHeight="1" x14ac:dyDescent="0.15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  <c r="X432" s="59"/>
      <c r="Y432" s="59"/>
    </row>
    <row r="433" spans="1:25" ht="33.75" customHeight="1" x14ac:dyDescent="0.15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  <c r="X433" s="59"/>
      <c r="Y433" s="59"/>
    </row>
    <row r="434" spans="1:25" ht="33.75" customHeight="1" x14ac:dyDescent="0.15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  <c r="X434" s="59"/>
      <c r="Y434" s="59"/>
    </row>
    <row r="435" spans="1:25" ht="33.75" customHeight="1" x14ac:dyDescent="0.15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  <c r="X435" s="59"/>
      <c r="Y435" s="59"/>
    </row>
    <row r="436" spans="1:25" ht="33.75" customHeight="1" x14ac:dyDescent="0.15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  <c r="X436" s="59"/>
      <c r="Y436" s="59"/>
    </row>
    <row r="437" spans="1:25" ht="33.75" customHeight="1" x14ac:dyDescent="0.15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/>
    </row>
    <row r="438" spans="1:25" ht="33.75" customHeight="1" x14ac:dyDescent="0.15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  <c r="X438" s="59"/>
      <c r="Y438" s="59"/>
    </row>
    <row r="439" spans="1:25" ht="33.75" customHeight="1" x14ac:dyDescent="0.15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  <c r="X439" s="59"/>
      <c r="Y439" s="59"/>
    </row>
    <row r="440" spans="1:25" ht="33.75" customHeight="1" x14ac:dyDescent="0.15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  <c r="X440" s="59"/>
      <c r="Y440" s="59"/>
    </row>
    <row r="441" spans="1:25" ht="33.75" customHeight="1" x14ac:dyDescent="0.15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  <c r="X441" s="59"/>
      <c r="Y441" s="59"/>
    </row>
    <row r="442" spans="1:25" ht="33.75" customHeight="1" x14ac:dyDescent="0.15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  <c r="X442" s="59"/>
      <c r="Y442" s="59"/>
    </row>
    <row r="443" spans="1:25" ht="33.75" customHeight="1" x14ac:dyDescent="0.15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  <c r="X443" s="59"/>
      <c r="Y443" s="59"/>
    </row>
    <row r="444" spans="1:25" ht="33.75" customHeight="1" x14ac:dyDescent="0.15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  <c r="X444" s="59"/>
      <c r="Y444" s="59"/>
    </row>
    <row r="445" spans="1:25" ht="33.75" customHeight="1" x14ac:dyDescent="0.15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  <c r="X445" s="59"/>
      <c r="Y445" s="59"/>
    </row>
    <row r="446" spans="1:25" ht="33.75" customHeight="1" x14ac:dyDescent="0.15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/>
      <c r="Y446" s="59"/>
    </row>
    <row r="447" spans="1:25" ht="33.75" customHeight="1" x14ac:dyDescent="0.15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  <c r="X447" s="59"/>
      <c r="Y447" s="59"/>
    </row>
    <row r="448" spans="1:25" ht="33.75" customHeight="1" x14ac:dyDescent="0.15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  <c r="X448" s="59"/>
      <c r="Y448" s="59"/>
    </row>
    <row r="449" spans="1:25" ht="33.75" customHeight="1" x14ac:dyDescent="0.15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  <c r="X449" s="59"/>
      <c r="Y449" s="59"/>
    </row>
    <row r="450" spans="1:25" ht="33.75" customHeight="1" x14ac:dyDescent="0.15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  <c r="X450" s="59"/>
      <c r="Y450" s="59"/>
    </row>
    <row r="451" spans="1:25" ht="33.75" customHeight="1" x14ac:dyDescent="0.15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</row>
    <row r="452" spans="1:25" ht="33.75" customHeight="1" x14ac:dyDescent="0.15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</row>
    <row r="453" spans="1:25" ht="33.75" customHeight="1" x14ac:dyDescent="0.15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</row>
    <row r="454" spans="1:25" ht="33.75" customHeight="1" x14ac:dyDescent="0.15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  <c r="X454" s="59"/>
      <c r="Y454" s="59"/>
    </row>
    <row r="455" spans="1:25" ht="33.75" customHeight="1" x14ac:dyDescent="0.15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  <c r="X455" s="59"/>
      <c r="Y455" s="59"/>
    </row>
    <row r="456" spans="1:25" ht="33.75" customHeight="1" x14ac:dyDescent="0.15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  <c r="X456" s="59"/>
      <c r="Y456" s="59"/>
    </row>
    <row r="457" spans="1:25" ht="33.75" customHeight="1" x14ac:dyDescent="0.15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  <c r="X457" s="59"/>
      <c r="Y457" s="59"/>
    </row>
    <row r="458" spans="1:25" ht="33.75" customHeight="1" x14ac:dyDescent="0.15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  <c r="Y458" s="59"/>
    </row>
    <row r="459" spans="1:25" ht="33.75" customHeight="1" x14ac:dyDescent="0.15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  <c r="X459" s="59"/>
      <c r="Y459" s="59"/>
    </row>
    <row r="460" spans="1:25" ht="33.75" customHeight="1" x14ac:dyDescent="0.15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  <c r="Y460" s="59"/>
    </row>
    <row r="461" spans="1:25" ht="33.75" customHeight="1" x14ac:dyDescent="0.15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  <c r="X461" s="59"/>
      <c r="Y461" s="59"/>
    </row>
    <row r="462" spans="1:25" ht="33.75" customHeight="1" x14ac:dyDescent="0.15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  <c r="Y462" s="59"/>
    </row>
    <row r="463" spans="1:25" ht="33.75" customHeight="1" x14ac:dyDescent="0.15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  <c r="X463" s="59"/>
      <c r="Y463" s="59"/>
    </row>
    <row r="464" spans="1:25" ht="33.75" customHeight="1" x14ac:dyDescent="0.15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</row>
    <row r="465" spans="1:25" ht="33.75" customHeight="1" x14ac:dyDescent="0.15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  <c r="X465" s="59"/>
      <c r="Y465" s="59"/>
    </row>
    <row r="466" spans="1:25" ht="33.75" customHeight="1" x14ac:dyDescent="0.15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  <c r="Y466" s="59"/>
    </row>
    <row r="467" spans="1:25" ht="33.75" customHeight="1" x14ac:dyDescent="0.15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  <c r="X467" s="59"/>
      <c r="Y467" s="59"/>
    </row>
    <row r="468" spans="1:25" ht="33.75" customHeight="1" x14ac:dyDescent="0.15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  <c r="Y468" s="59"/>
    </row>
    <row r="469" spans="1:25" ht="33.75" customHeight="1" x14ac:dyDescent="0.15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  <c r="X469" s="59"/>
      <c r="Y469" s="59"/>
    </row>
    <row r="470" spans="1:25" ht="33.75" customHeight="1" x14ac:dyDescent="0.15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</row>
    <row r="471" spans="1:25" ht="33.75" customHeight="1" x14ac:dyDescent="0.15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  <c r="X471" s="59"/>
      <c r="Y471" s="59"/>
    </row>
    <row r="472" spans="1:25" ht="33.75" customHeight="1" x14ac:dyDescent="0.15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  <c r="Y472" s="59"/>
    </row>
    <row r="473" spans="1:25" ht="33.75" customHeight="1" x14ac:dyDescent="0.15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  <c r="X473" s="59"/>
      <c r="Y473" s="59"/>
    </row>
    <row r="474" spans="1:25" ht="33.75" customHeight="1" x14ac:dyDescent="0.15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  <c r="Y474" s="59"/>
    </row>
    <row r="475" spans="1:25" ht="33.75" customHeight="1" x14ac:dyDescent="0.15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  <c r="X475" s="59"/>
      <c r="Y475" s="59"/>
    </row>
    <row r="476" spans="1:25" ht="33.75" customHeight="1" x14ac:dyDescent="0.15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  <c r="Y476" s="59"/>
    </row>
    <row r="477" spans="1:25" ht="33.75" customHeight="1" x14ac:dyDescent="0.15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  <c r="X477" s="59"/>
      <c r="Y477" s="59"/>
    </row>
    <row r="478" spans="1:25" ht="33.75" customHeight="1" x14ac:dyDescent="0.15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  <c r="Y478" s="59"/>
    </row>
    <row r="479" spans="1:25" ht="33.75" customHeight="1" x14ac:dyDescent="0.15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  <c r="X479" s="59"/>
      <c r="Y479" s="59"/>
    </row>
    <row r="480" spans="1:25" ht="33.75" customHeight="1" x14ac:dyDescent="0.15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  <c r="Y480" s="59"/>
    </row>
    <row r="481" spans="1:25" ht="33.75" customHeight="1" x14ac:dyDescent="0.15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  <c r="X481" s="59"/>
      <c r="Y481" s="59"/>
    </row>
    <row r="482" spans="1:25" ht="33.75" customHeight="1" x14ac:dyDescent="0.15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</row>
    <row r="483" spans="1:25" ht="33.75" customHeight="1" x14ac:dyDescent="0.15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  <c r="X483" s="59"/>
      <c r="Y483" s="59"/>
    </row>
    <row r="484" spans="1:25" ht="33.75" customHeight="1" x14ac:dyDescent="0.15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  <c r="Y484" s="59"/>
    </row>
    <row r="485" spans="1:25" ht="33.75" customHeight="1" x14ac:dyDescent="0.15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  <c r="X485" s="59"/>
      <c r="Y485" s="59"/>
    </row>
    <row r="486" spans="1:25" ht="33.75" customHeight="1" x14ac:dyDescent="0.15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  <c r="Y486" s="59"/>
    </row>
    <row r="487" spans="1:25" ht="33.75" customHeight="1" x14ac:dyDescent="0.15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  <c r="X487" s="59"/>
      <c r="Y487" s="59"/>
    </row>
    <row r="488" spans="1:25" ht="33.75" customHeight="1" x14ac:dyDescent="0.15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  <c r="Y488" s="59"/>
    </row>
    <row r="489" spans="1:25" ht="33.75" customHeight="1" x14ac:dyDescent="0.15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  <c r="X489" s="59"/>
      <c r="Y489" s="59"/>
    </row>
    <row r="490" spans="1:25" ht="33.75" customHeight="1" x14ac:dyDescent="0.15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  <c r="Y490" s="59"/>
    </row>
    <row r="491" spans="1:25" ht="33.75" customHeight="1" x14ac:dyDescent="0.15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  <c r="X491" s="59"/>
      <c r="Y491" s="59"/>
    </row>
    <row r="492" spans="1:25" ht="33.75" customHeight="1" x14ac:dyDescent="0.15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  <c r="Y492" s="59"/>
    </row>
    <row r="493" spans="1:25" ht="33.75" customHeight="1" x14ac:dyDescent="0.15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  <c r="X493" s="59"/>
      <c r="Y493" s="59"/>
    </row>
    <row r="494" spans="1:25" ht="33.75" customHeight="1" x14ac:dyDescent="0.15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  <c r="Y494" s="59"/>
    </row>
    <row r="495" spans="1:25" ht="33.75" customHeight="1" x14ac:dyDescent="0.15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  <c r="X495" s="59"/>
      <c r="Y495" s="59"/>
    </row>
    <row r="496" spans="1:25" ht="33.75" customHeight="1" x14ac:dyDescent="0.15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  <c r="Y496" s="59"/>
    </row>
    <row r="497" spans="1:25" ht="33.75" customHeight="1" x14ac:dyDescent="0.15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</row>
    <row r="498" spans="1:25" ht="33.75" customHeight="1" x14ac:dyDescent="0.15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  <c r="Y498" s="59"/>
    </row>
    <row r="499" spans="1:25" ht="33.75" customHeight="1" x14ac:dyDescent="0.15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  <c r="X499" s="59"/>
      <c r="Y499" s="59"/>
    </row>
    <row r="500" spans="1:25" ht="33.75" customHeight="1" x14ac:dyDescent="0.15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  <c r="Y500" s="59"/>
    </row>
    <row r="501" spans="1:25" ht="33.75" customHeight="1" x14ac:dyDescent="0.15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  <c r="X501" s="59"/>
      <c r="Y501" s="59"/>
    </row>
    <row r="502" spans="1:25" ht="33.75" customHeight="1" x14ac:dyDescent="0.15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  <c r="Y502" s="59"/>
    </row>
    <row r="503" spans="1:25" ht="33.75" customHeight="1" x14ac:dyDescent="0.15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  <c r="X503" s="59"/>
      <c r="Y503" s="59"/>
    </row>
    <row r="504" spans="1:25" ht="33.75" customHeight="1" x14ac:dyDescent="0.15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  <c r="Y504" s="59"/>
    </row>
    <row r="505" spans="1:25" ht="33.75" customHeight="1" x14ac:dyDescent="0.15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  <c r="X505" s="59"/>
      <c r="Y505" s="59"/>
    </row>
    <row r="506" spans="1:25" ht="33.75" customHeight="1" x14ac:dyDescent="0.15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  <c r="Y506" s="59"/>
    </row>
    <row r="507" spans="1:25" ht="33.75" customHeight="1" x14ac:dyDescent="0.15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  <c r="X507" s="59"/>
      <c r="Y507" s="59"/>
    </row>
    <row r="508" spans="1:25" ht="33.75" customHeight="1" x14ac:dyDescent="0.15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  <c r="Y508" s="59"/>
    </row>
    <row r="509" spans="1:25" ht="33.75" customHeight="1" x14ac:dyDescent="0.15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  <c r="X509" s="59"/>
      <c r="Y509" s="59"/>
    </row>
    <row r="510" spans="1:25" ht="33.75" customHeight="1" x14ac:dyDescent="0.15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  <c r="Y510" s="59"/>
    </row>
    <row r="511" spans="1:25" ht="33.75" customHeight="1" x14ac:dyDescent="0.15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  <c r="X511" s="59"/>
      <c r="Y511" s="59"/>
    </row>
    <row r="512" spans="1:25" ht="33.75" customHeight="1" x14ac:dyDescent="0.15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</row>
    <row r="513" spans="1:25" ht="33.75" customHeight="1" x14ac:dyDescent="0.15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  <c r="X513" s="59"/>
      <c r="Y513" s="59"/>
    </row>
    <row r="514" spans="1:25" ht="33.75" customHeight="1" x14ac:dyDescent="0.15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  <c r="Y514" s="59"/>
    </row>
    <row r="515" spans="1:25" ht="33.75" customHeight="1" x14ac:dyDescent="0.15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  <c r="X515" s="59"/>
      <c r="Y515" s="59"/>
    </row>
    <row r="516" spans="1:25" ht="33.75" customHeight="1" x14ac:dyDescent="0.15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  <c r="Y516" s="59"/>
    </row>
    <row r="517" spans="1:25" ht="33.75" customHeight="1" x14ac:dyDescent="0.15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  <c r="X517" s="59"/>
      <c r="Y517" s="59"/>
    </row>
    <row r="518" spans="1:25" ht="33.75" customHeight="1" x14ac:dyDescent="0.15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</row>
    <row r="519" spans="1:25" ht="33.75" customHeight="1" x14ac:dyDescent="0.15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  <c r="X519" s="59"/>
      <c r="Y519" s="59"/>
    </row>
    <row r="520" spans="1:25" ht="33.75" customHeight="1" x14ac:dyDescent="0.15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</row>
    <row r="521" spans="1:25" ht="33.75" customHeight="1" x14ac:dyDescent="0.15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</row>
    <row r="522" spans="1:25" ht="33.75" customHeight="1" x14ac:dyDescent="0.15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</row>
    <row r="523" spans="1:25" ht="33.75" customHeight="1" x14ac:dyDescent="0.15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  <c r="X523" s="59"/>
      <c r="Y523" s="59"/>
    </row>
    <row r="524" spans="1:25" ht="33.75" customHeight="1" x14ac:dyDescent="0.15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  <c r="Y524" s="59"/>
    </row>
    <row r="525" spans="1:25" ht="33.75" customHeight="1" x14ac:dyDescent="0.15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  <c r="X525" s="59"/>
      <c r="Y525" s="59"/>
    </row>
    <row r="526" spans="1:25" ht="33.75" customHeight="1" x14ac:dyDescent="0.15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  <c r="Y526" s="59"/>
    </row>
    <row r="527" spans="1:25" ht="33.75" customHeight="1" x14ac:dyDescent="0.15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  <c r="X527" s="59"/>
      <c r="Y527" s="59"/>
    </row>
    <row r="528" spans="1:25" ht="33.75" customHeight="1" x14ac:dyDescent="0.15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  <c r="Y528" s="59"/>
    </row>
    <row r="529" spans="1:25" ht="33.75" customHeight="1" x14ac:dyDescent="0.15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  <c r="X529" s="59"/>
      <c r="Y529" s="59"/>
    </row>
    <row r="530" spans="1:25" ht="33.75" customHeight="1" x14ac:dyDescent="0.15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  <c r="Y530" s="59"/>
    </row>
    <row r="531" spans="1:25" ht="33.75" customHeight="1" x14ac:dyDescent="0.15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  <c r="X531" s="59"/>
      <c r="Y531" s="59"/>
    </row>
    <row r="532" spans="1:25" ht="33.75" customHeight="1" x14ac:dyDescent="0.15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  <c r="Y532" s="59"/>
    </row>
    <row r="533" spans="1:25" ht="33.75" customHeight="1" x14ac:dyDescent="0.15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  <c r="X533" s="59"/>
      <c r="Y533" s="59"/>
    </row>
    <row r="534" spans="1:25" ht="33.75" customHeight="1" x14ac:dyDescent="0.15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  <c r="Y534" s="59"/>
    </row>
    <row r="535" spans="1:25" ht="33.75" customHeight="1" x14ac:dyDescent="0.15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  <c r="X535" s="59"/>
      <c r="Y535" s="59"/>
    </row>
    <row r="536" spans="1:25" ht="33.75" customHeight="1" x14ac:dyDescent="0.15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</row>
    <row r="537" spans="1:25" ht="33.75" customHeight="1" x14ac:dyDescent="0.15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  <c r="X537" s="59"/>
      <c r="Y537" s="59"/>
    </row>
    <row r="538" spans="1:25" ht="33.75" customHeight="1" x14ac:dyDescent="0.15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  <c r="Y538" s="59"/>
    </row>
    <row r="539" spans="1:25" ht="33.75" customHeight="1" x14ac:dyDescent="0.15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  <c r="X539" s="59"/>
      <c r="Y539" s="59"/>
    </row>
    <row r="540" spans="1:25" ht="33.75" customHeight="1" x14ac:dyDescent="0.15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  <c r="Y540" s="59"/>
    </row>
    <row r="541" spans="1:25" ht="33.75" customHeight="1" x14ac:dyDescent="0.15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  <c r="X541" s="59"/>
      <c r="Y541" s="59"/>
    </row>
    <row r="542" spans="1:25" ht="33.75" customHeight="1" x14ac:dyDescent="0.15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  <c r="Y542" s="59"/>
    </row>
    <row r="543" spans="1:25" ht="33.75" customHeight="1" x14ac:dyDescent="0.15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  <c r="X543" s="59"/>
      <c r="Y543" s="59"/>
    </row>
    <row r="544" spans="1:25" ht="33.75" customHeight="1" x14ac:dyDescent="0.15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  <c r="Y544" s="59"/>
    </row>
    <row r="545" spans="1:25" ht="33.75" customHeight="1" x14ac:dyDescent="0.15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  <c r="X545" s="59"/>
      <c r="Y545" s="59"/>
    </row>
    <row r="546" spans="1:25" ht="33.75" customHeight="1" x14ac:dyDescent="0.15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  <c r="Y546" s="59"/>
    </row>
    <row r="547" spans="1:25" ht="33.75" customHeight="1" x14ac:dyDescent="0.15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  <c r="X547" s="59"/>
      <c r="Y547" s="59"/>
    </row>
    <row r="548" spans="1:25" ht="33.75" customHeight="1" x14ac:dyDescent="0.15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  <c r="Y548" s="59"/>
    </row>
    <row r="549" spans="1:25" ht="33.75" customHeight="1" x14ac:dyDescent="0.15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  <c r="X549" s="59"/>
      <c r="Y549" s="59"/>
    </row>
    <row r="550" spans="1:25" ht="33.75" customHeight="1" x14ac:dyDescent="0.15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  <c r="Y550" s="59"/>
    </row>
    <row r="551" spans="1:25" ht="33.75" customHeight="1" x14ac:dyDescent="0.15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</row>
    <row r="552" spans="1:25" ht="33.75" customHeight="1" x14ac:dyDescent="0.15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</row>
    <row r="553" spans="1:25" ht="33.75" customHeight="1" x14ac:dyDescent="0.15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</row>
    <row r="554" spans="1:25" ht="33.75" customHeight="1" x14ac:dyDescent="0.15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  <c r="Y554" s="59"/>
    </row>
    <row r="555" spans="1:25" ht="33.75" customHeight="1" x14ac:dyDescent="0.15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  <c r="X555" s="59"/>
      <c r="Y555" s="59"/>
    </row>
    <row r="556" spans="1:25" ht="33.75" customHeight="1" x14ac:dyDescent="0.15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  <c r="Y556" s="59"/>
    </row>
    <row r="557" spans="1:25" ht="33.75" customHeight="1" x14ac:dyDescent="0.15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  <c r="X557" s="59"/>
      <c r="Y557" s="59"/>
    </row>
    <row r="558" spans="1:25" ht="33.75" customHeight="1" x14ac:dyDescent="0.15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  <c r="Y558" s="59"/>
    </row>
    <row r="559" spans="1:25" ht="33.75" customHeight="1" x14ac:dyDescent="0.15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  <c r="X559" s="59"/>
      <c r="Y559" s="59"/>
    </row>
    <row r="560" spans="1:25" ht="33.75" customHeight="1" x14ac:dyDescent="0.15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  <c r="Y560" s="59"/>
    </row>
    <row r="561" spans="1:25" ht="33.75" customHeight="1" x14ac:dyDescent="0.15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  <c r="X561" s="59"/>
      <c r="Y561" s="59"/>
    </row>
    <row r="562" spans="1:25" ht="33.75" customHeight="1" x14ac:dyDescent="0.15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  <c r="Y562" s="59"/>
    </row>
    <row r="563" spans="1:25" ht="33.75" customHeight="1" x14ac:dyDescent="0.15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  <c r="X563" s="59"/>
      <c r="Y563" s="59"/>
    </row>
    <row r="564" spans="1:25" ht="33.75" customHeight="1" x14ac:dyDescent="0.15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  <c r="Y564" s="59"/>
    </row>
    <row r="565" spans="1:25" ht="33.75" customHeight="1" x14ac:dyDescent="0.15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  <c r="X565" s="59"/>
      <c r="Y565" s="59"/>
    </row>
    <row r="566" spans="1:25" ht="33.75" customHeight="1" x14ac:dyDescent="0.15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  <c r="Y566" s="59"/>
    </row>
    <row r="567" spans="1:25" ht="33.75" customHeight="1" x14ac:dyDescent="0.15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  <c r="X567" s="59"/>
      <c r="Y567" s="59"/>
    </row>
    <row r="568" spans="1:25" ht="33.75" customHeight="1" x14ac:dyDescent="0.15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  <c r="Y568" s="59"/>
    </row>
    <row r="569" spans="1:25" ht="33.75" customHeight="1" x14ac:dyDescent="0.15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  <c r="X569" s="59"/>
      <c r="Y569" s="59"/>
    </row>
    <row r="570" spans="1:25" ht="33.75" customHeight="1" x14ac:dyDescent="0.15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  <c r="Y570" s="59"/>
    </row>
    <row r="571" spans="1:25" ht="33.75" customHeight="1" x14ac:dyDescent="0.15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  <c r="X571" s="59"/>
      <c r="Y571" s="59"/>
    </row>
    <row r="572" spans="1:25" ht="33.75" customHeight="1" x14ac:dyDescent="0.15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  <c r="Y572" s="59"/>
    </row>
    <row r="573" spans="1:25" ht="33.75" customHeight="1" x14ac:dyDescent="0.15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  <c r="X573" s="59"/>
      <c r="Y573" s="59"/>
    </row>
    <row r="574" spans="1:25" ht="33.75" customHeight="1" x14ac:dyDescent="0.15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  <c r="Y574" s="59"/>
    </row>
    <row r="575" spans="1:25" ht="33.75" customHeight="1" x14ac:dyDescent="0.15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  <c r="X575" s="59"/>
      <c r="Y575" s="59"/>
    </row>
    <row r="576" spans="1:25" ht="33.75" customHeight="1" x14ac:dyDescent="0.15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  <c r="Y576" s="59"/>
    </row>
    <row r="577" spans="1:25" ht="33.75" customHeight="1" x14ac:dyDescent="0.15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  <c r="X577" s="59"/>
      <c r="Y577" s="59"/>
    </row>
    <row r="578" spans="1:25" ht="33.75" customHeight="1" x14ac:dyDescent="0.15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  <c r="Y578" s="59"/>
    </row>
    <row r="579" spans="1:25" ht="33.75" customHeight="1" x14ac:dyDescent="0.15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  <c r="X579" s="59"/>
      <c r="Y579" s="59"/>
    </row>
    <row r="580" spans="1:25" ht="33.75" customHeight="1" x14ac:dyDescent="0.15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  <c r="Y580" s="59"/>
    </row>
    <row r="581" spans="1:25" ht="33.75" customHeight="1" x14ac:dyDescent="0.15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</row>
    <row r="582" spans="1:25" ht="33.75" customHeight="1" x14ac:dyDescent="0.15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  <c r="Y582" s="59"/>
    </row>
    <row r="583" spans="1:25" ht="33.75" customHeight="1" x14ac:dyDescent="0.15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  <c r="X583" s="59"/>
      <c r="Y583" s="59"/>
    </row>
    <row r="584" spans="1:25" ht="33.75" customHeight="1" x14ac:dyDescent="0.15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  <c r="Y584" s="59"/>
    </row>
    <row r="585" spans="1:25" ht="33.75" customHeight="1" x14ac:dyDescent="0.15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  <c r="X585" s="59"/>
      <c r="Y585" s="59"/>
    </row>
    <row r="586" spans="1:25" ht="33.75" customHeight="1" x14ac:dyDescent="0.15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  <c r="Y586" s="59"/>
    </row>
    <row r="587" spans="1:25" ht="33.75" customHeight="1" x14ac:dyDescent="0.15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  <c r="X587" s="59"/>
      <c r="Y587" s="59"/>
    </row>
    <row r="588" spans="1:25" ht="33.75" customHeight="1" x14ac:dyDescent="0.15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  <c r="Y588" s="59"/>
    </row>
    <row r="589" spans="1:25" ht="33.75" customHeight="1" x14ac:dyDescent="0.15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  <c r="X589" s="59"/>
      <c r="Y589" s="59"/>
    </row>
    <row r="590" spans="1:25" ht="33.75" customHeight="1" x14ac:dyDescent="0.15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  <c r="Y590" s="59"/>
    </row>
    <row r="591" spans="1:25" ht="33.75" customHeight="1" x14ac:dyDescent="0.15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  <c r="X591" s="59"/>
      <c r="Y591" s="59"/>
    </row>
    <row r="592" spans="1:25" ht="33.75" customHeight="1" x14ac:dyDescent="0.15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  <c r="Y592" s="59"/>
    </row>
    <row r="593" spans="1:25" ht="33.75" customHeight="1" x14ac:dyDescent="0.15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  <c r="X593" s="59"/>
      <c r="Y593" s="59"/>
    </row>
    <row r="594" spans="1:25" ht="33.75" customHeight="1" x14ac:dyDescent="0.15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  <c r="Y594" s="59"/>
    </row>
    <row r="595" spans="1:25" ht="33.75" customHeight="1" x14ac:dyDescent="0.15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  <c r="X595" s="59"/>
      <c r="Y595" s="59"/>
    </row>
    <row r="596" spans="1:25" ht="33.75" customHeight="1" x14ac:dyDescent="0.15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  <c r="Y596" s="59"/>
    </row>
    <row r="597" spans="1:25" ht="33.75" customHeight="1" x14ac:dyDescent="0.15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  <c r="X597" s="59"/>
      <c r="Y597" s="59"/>
    </row>
    <row r="598" spans="1:25" ht="33.75" customHeight="1" x14ac:dyDescent="0.15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  <c r="Y598" s="59"/>
    </row>
    <row r="599" spans="1:25" ht="33.75" customHeight="1" x14ac:dyDescent="0.15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  <c r="X599" s="59"/>
      <c r="Y599" s="59"/>
    </row>
    <row r="600" spans="1:25" ht="33.75" customHeight="1" x14ac:dyDescent="0.15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</row>
    <row r="601" spans="1:25" ht="33.75" customHeight="1" x14ac:dyDescent="0.15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</row>
    <row r="602" spans="1:25" ht="33.75" customHeight="1" x14ac:dyDescent="0.15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</row>
    <row r="603" spans="1:25" ht="33.75" customHeight="1" x14ac:dyDescent="0.15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  <c r="X603" s="59"/>
      <c r="Y603" s="59"/>
    </row>
    <row r="604" spans="1:25" ht="33.75" customHeight="1" x14ac:dyDescent="0.15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  <c r="Y604" s="59"/>
    </row>
    <row r="605" spans="1:25" ht="33.75" customHeight="1" x14ac:dyDescent="0.15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  <c r="X605" s="59"/>
      <c r="Y605" s="59"/>
    </row>
    <row r="606" spans="1:25" ht="33.75" customHeight="1" x14ac:dyDescent="0.15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  <c r="Y606" s="59"/>
    </row>
    <row r="607" spans="1:25" ht="33.75" customHeight="1" x14ac:dyDescent="0.15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  <c r="X607" s="59"/>
      <c r="Y607" s="59"/>
    </row>
    <row r="608" spans="1:25" ht="33.75" customHeight="1" x14ac:dyDescent="0.15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  <c r="Y608" s="59"/>
    </row>
    <row r="609" spans="1:25" ht="33.75" customHeight="1" x14ac:dyDescent="0.15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  <c r="X609" s="59"/>
      <c r="Y609" s="59"/>
    </row>
    <row r="610" spans="1:25" ht="33.75" customHeight="1" x14ac:dyDescent="0.15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</row>
    <row r="611" spans="1:25" ht="33.75" customHeight="1" x14ac:dyDescent="0.15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</row>
    <row r="612" spans="1:25" ht="33.75" customHeight="1" x14ac:dyDescent="0.15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</row>
    <row r="613" spans="1:25" ht="33.75" customHeight="1" x14ac:dyDescent="0.15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  <c r="X613" s="59"/>
      <c r="Y613" s="59"/>
    </row>
    <row r="614" spans="1:25" ht="33.75" customHeight="1" x14ac:dyDescent="0.15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  <c r="Y614" s="59"/>
    </row>
    <row r="615" spans="1:25" ht="33.75" customHeight="1" x14ac:dyDescent="0.15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  <c r="X615" s="59"/>
      <c r="Y615" s="59"/>
    </row>
    <row r="616" spans="1:25" ht="33.75" customHeight="1" x14ac:dyDescent="0.15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  <c r="Y616" s="59"/>
    </row>
    <row r="617" spans="1:25" ht="33.75" customHeight="1" x14ac:dyDescent="0.15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  <c r="X617" s="59"/>
      <c r="Y617" s="59"/>
    </row>
    <row r="618" spans="1:25" ht="33.75" customHeight="1" x14ac:dyDescent="0.15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  <c r="Y618" s="59"/>
    </row>
    <row r="619" spans="1:25" ht="33.75" customHeight="1" x14ac:dyDescent="0.15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  <c r="X619" s="59"/>
      <c r="Y619" s="59"/>
    </row>
    <row r="620" spans="1:25" ht="33.75" customHeight="1" x14ac:dyDescent="0.15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  <c r="Y620" s="59"/>
    </row>
    <row r="621" spans="1:25" ht="33.75" customHeight="1" x14ac:dyDescent="0.15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  <c r="X621" s="59"/>
      <c r="Y621" s="59"/>
    </row>
    <row r="622" spans="1:25" ht="33.75" customHeight="1" x14ac:dyDescent="0.15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  <c r="Y622" s="59"/>
    </row>
    <row r="623" spans="1:25" ht="33.75" customHeight="1" x14ac:dyDescent="0.15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  <c r="X623" s="59"/>
      <c r="Y623" s="59"/>
    </row>
    <row r="624" spans="1:25" ht="33.75" customHeight="1" x14ac:dyDescent="0.15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  <c r="Y624" s="59"/>
    </row>
    <row r="625" spans="1:25" ht="33.75" customHeight="1" x14ac:dyDescent="0.15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  <c r="X625" s="59"/>
      <c r="Y625" s="59"/>
    </row>
    <row r="626" spans="1:25" ht="33.75" customHeight="1" x14ac:dyDescent="0.15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  <c r="Y626" s="59"/>
    </row>
    <row r="627" spans="1:25" ht="33.75" customHeight="1" x14ac:dyDescent="0.15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  <c r="X627" s="59"/>
      <c r="Y627" s="59"/>
    </row>
    <row r="628" spans="1:25" ht="33.75" customHeight="1" x14ac:dyDescent="0.15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  <c r="Y628" s="59"/>
    </row>
    <row r="629" spans="1:25" ht="33.75" customHeight="1" x14ac:dyDescent="0.15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  <c r="X629" s="59"/>
      <c r="Y629" s="59"/>
    </row>
    <row r="630" spans="1:25" ht="33.75" customHeight="1" x14ac:dyDescent="0.15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  <c r="Y630" s="59"/>
    </row>
    <row r="631" spans="1:25" ht="33.75" customHeight="1" x14ac:dyDescent="0.15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</row>
    <row r="632" spans="1:25" ht="33.75" customHeight="1" x14ac:dyDescent="0.15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</row>
    <row r="633" spans="1:25" ht="33.75" customHeight="1" x14ac:dyDescent="0.15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</row>
    <row r="634" spans="1:25" ht="33.75" customHeight="1" x14ac:dyDescent="0.15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  <c r="Y634" s="59"/>
    </row>
    <row r="635" spans="1:25" ht="33.75" customHeight="1" x14ac:dyDescent="0.15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  <c r="X635" s="59"/>
      <c r="Y635" s="59"/>
    </row>
    <row r="636" spans="1:25" ht="33.75" customHeight="1" x14ac:dyDescent="0.15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  <c r="Y636" s="59"/>
    </row>
    <row r="637" spans="1:25" ht="33.75" customHeight="1" x14ac:dyDescent="0.15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  <c r="X637" s="59"/>
      <c r="Y637" s="59"/>
    </row>
    <row r="638" spans="1:25" ht="33.75" customHeight="1" x14ac:dyDescent="0.15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</row>
    <row r="639" spans="1:25" ht="33.75" customHeight="1" x14ac:dyDescent="0.15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</row>
    <row r="640" spans="1:25" ht="33.75" customHeight="1" x14ac:dyDescent="0.15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</row>
    <row r="641" spans="1:25" ht="33.75" customHeight="1" x14ac:dyDescent="0.15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</row>
    <row r="642" spans="1:25" ht="33.75" customHeight="1" x14ac:dyDescent="0.15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</row>
    <row r="643" spans="1:25" ht="33.75" customHeight="1" x14ac:dyDescent="0.15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</row>
    <row r="644" spans="1:25" ht="33.75" customHeight="1" x14ac:dyDescent="0.15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  <c r="Y644" s="59"/>
    </row>
    <row r="645" spans="1:25" ht="33.75" customHeight="1" x14ac:dyDescent="0.15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  <c r="X645" s="59"/>
      <c r="Y645" s="59"/>
    </row>
    <row r="646" spans="1:25" ht="33.75" customHeight="1" x14ac:dyDescent="0.15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  <c r="Y646" s="59"/>
    </row>
    <row r="647" spans="1:25" ht="33.75" customHeight="1" x14ac:dyDescent="0.15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  <c r="X647" s="59"/>
      <c r="Y647" s="59"/>
    </row>
    <row r="648" spans="1:25" ht="33.75" customHeight="1" x14ac:dyDescent="0.15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  <c r="Y648" s="59"/>
    </row>
    <row r="649" spans="1:25" ht="33.75" customHeight="1" x14ac:dyDescent="0.15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  <c r="X649" s="59"/>
      <c r="Y649" s="59"/>
    </row>
    <row r="650" spans="1:25" ht="33.75" customHeight="1" x14ac:dyDescent="0.15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  <c r="Y650" s="59"/>
    </row>
    <row r="651" spans="1:25" ht="33.75" customHeight="1" x14ac:dyDescent="0.15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  <c r="X651" s="59"/>
      <c r="Y651" s="59"/>
    </row>
    <row r="652" spans="1:25" ht="33.75" customHeight="1" x14ac:dyDescent="0.15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  <c r="Y652" s="59"/>
    </row>
    <row r="653" spans="1:25" ht="33.75" customHeight="1" x14ac:dyDescent="0.15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  <c r="X653" s="59"/>
      <c r="Y653" s="59"/>
    </row>
    <row r="654" spans="1:25" ht="33.75" customHeight="1" x14ac:dyDescent="0.15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  <c r="Y654" s="59"/>
    </row>
    <row r="655" spans="1:25" ht="33.75" customHeight="1" x14ac:dyDescent="0.15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  <c r="X655" s="59"/>
      <c r="Y655" s="59"/>
    </row>
    <row r="656" spans="1:25" ht="33.75" customHeight="1" x14ac:dyDescent="0.15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  <c r="Y656" s="59"/>
    </row>
    <row r="657" spans="1:25" ht="33.75" customHeight="1" x14ac:dyDescent="0.15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  <c r="X657" s="59"/>
      <c r="Y657" s="59"/>
    </row>
    <row r="658" spans="1:25" ht="33.75" customHeight="1" x14ac:dyDescent="0.15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  <c r="Y658" s="59"/>
    </row>
    <row r="659" spans="1:25" ht="33.75" customHeight="1" x14ac:dyDescent="0.15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  <c r="X659" s="59"/>
      <c r="Y659" s="59"/>
    </row>
    <row r="660" spans="1:25" ht="33.75" customHeight="1" x14ac:dyDescent="0.15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  <c r="Y660" s="59"/>
    </row>
    <row r="661" spans="1:25" ht="33.75" customHeight="1" x14ac:dyDescent="0.15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  <c r="X661" s="59"/>
      <c r="Y661" s="59"/>
    </row>
    <row r="662" spans="1:25" ht="33.75" customHeight="1" x14ac:dyDescent="0.15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</row>
    <row r="663" spans="1:25" ht="33.75" customHeight="1" x14ac:dyDescent="0.15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  <c r="X663" s="59"/>
      <c r="Y663" s="59"/>
    </row>
    <row r="664" spans="1:25" ht="33.75" customHeight="1" x14ac:dyDescent="0.15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  <c r="Y664" s="59"/>
    </row>
    <row r="665" spans="1:25" ht="33.75" customHeight="1" x14ac:dyDescent="0.15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  <c r="X665" s="59"/>
      <c r="Y665" s="59"/>
    </row>
    <row r="666" spans="1:25" ht="33.75" customHeight="1" x14ac:dyDescent="0.15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  <c r="Y666" s="59"/>
    </row>
    <row r="667" spans="1:25" ht="33.75" customHeight="1" x14ac:dyDescent="0.15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  <c r="X667" s="59"/>
      <c r="Y667" s="59"/>
    </row>
    <row r="668" spans="1:25" ht="33.75" customHeight="1" x14ac:dyDescent="0.15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  <c r="Y668" s="59"/>
    </row>
    <row r="669" spans="1:25" ht="33.75" customHeight="1" x14ac:dyDescent="0.15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</row>
    <row r="670" spans="1:25" ht="33.75" customHeight="1" x14ac:dyDescent="0.15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</row>
    <row r="671" spans="1:25" ht="33.75" customHeight="1" x14ac:dyDescent="0.15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</row>
    <row r="672" spans="1:25" ht="33.75" customHeight="1" x14ac:dyDescent="0.15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  <c r="Y672" s="59"/>
    </row>
    <row r="673" spans="1:25" ht="33.75" customHeight="1" x14ac:dyDescent="0.15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  <c r="X673" s="59"/>
      <c r="Y673" s="59"/>
    </row>
    <row r="674" spans="1:25" ht="33.75" customHeight="1" x14ac:dyDescent="0.15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  <c r="Y674" s="59"/>
    </row>
    <row r="675" spans="1:25" ht="33.75" customHeight="1" x14ac:dyDescent="0.15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  <c r="X675" s="59"/>
      <c r="Y675" s="59"/>
    </row>
    <row r="676" spans="1:25" ht="33.75" customHeight="1" x14ac:dyDescent="0.15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  <c r="Y676" s="59"/>
    </row>
    <row r="677" spans="1:25" ht="33.75" customHeight="1" x14ac:dyDescent="0.15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  <c r="X677" s="59"/>
      <c r="Y677" s="59"/>
    </row>
    <row r="678" spans="1:25" ht="33.75" customHeight="1" x14ac:dyDescent="0.15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  <c r="Y678" s="59"/>
    </row>
    <row r="679" spans="1:25" ht="33.75" customHeight="1" x14ac:dyDescent="0.15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  <c r="X679" s="59"/>
      <c r="Y679" s="59"/>
    </row>
    <row r="680" spans="1:25" ht="33.75" customHeight="1" x14ac:dyDescent="0.15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  <c r="Y680" s="59"/>
    </row>
    <row r="681" spans="1:25" ht="33.75" customHeight="1" x14ac:dyDescent="0.15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  <c r="X681" s="59"/>
      <c r="Y681" s="59"/>
    </row>
    <row r="682" spans="1:25" ht="33.75" customHeight="1" x14ac:dyDescent="0.15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  <c r="Y682" s="59"/>
    </row>
    <row r="683" spans="1:25" ht="33.75" customHeight="1" x14ac:dyDescent="0.15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  <c r="X683" s="59"/>
      <c r="Y683" s="59"/>
    </row>
    <row r="684" spans="1:25" ht="33.75" customHeight="1" x14ac:dyDescent="0.15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  <c r="Y684" s="59"/>
    </row>
    <row r="685" spans="1:25" ht="33.75" customHeight="1" x14ac:dyDescent="0.15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  <c r="X685" s="59"/>
      <c r="Y685" s="59"/>
    </row>
    <row r="686" spans="1:25" ht="33.75" customHeight="1" x14ac:dyDescent="0.15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  <c r="Y686" s="59"/>
    </row>
    <row r="687" spans="1:25" ht="33.75" customHeight="1" x14ac:dyDescent="0.15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  <c r="X687" s="59"/>
      <c r="Y687" s="59"/>
    </row>
    <row r="688" spans="1:25" ht="33.75" customHeight="1" x14ac:dyDescent="0.15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  <c r="Y688" s="59"/>
    </row>
    <row r="689" spans="1:25" ht="33.75" customHeight="1" x14ac:dyDescent="0.15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  <c r="X689" s="59"/>
      <c r="Y689" s="59"/>
    </row>
    <row r="690" spans="1:25" ht="33.75" customHeight="1" x14ac:dyDescent="0.15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  <c r="Y690" s="59"/>
    </row>
    <row r="691" spans="1:25" ht="33.75" customHeight="1" x14ac:dyDescent="0.15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  <c r="X691" s="59"/>
      <c r="Y691" s="59"/>
    </row>
    <row r="692" spans="1:25" ht="33.75" customHeight="1" x14ac:dyDescent="0.15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  <c r="Y692" s="59"/>
    </row>
    <row r="693" spans="1:25" ht="33.75" customHeight="1" x14ac:dyDescent="0.15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  <c r="X693" s="59"/>
      <c r="Y693" s="59"/>
    </row>
    <row r="694" spans="1:25" ht="33.75" customHeight="1" x14ac:dyDescent="0.15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  <c r="Y694" s="59"/>
    </row>
    <row r="695" spans="1:25" ht="33.75" customHeight="1" x14ac:dyDescent="0.15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  <c r="X695" s="59"/>
      <c r="Y695" s="59"/>
    </row>
    <row r="696" spans="1:25" ht="33.75" customHeight="1" x14ac:dyDescent="0.15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  <c r="Y696" s="59"/>
    </row>
    <row r="697" spans="1:25" ht="33.75" customHeight="1" x14ac:dyDescent="0.15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  <c r="X697" s="59"/>
      <c r="Y697" s="59"/>
    </row>
    <row r="698" spans="1:25" ht="33.75" customHeight="1" x14ac:dyDescent="0.15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  <c r="Y698" s="59"/>
    </row>
    <row r="699" spans="1:25" ht="33.75" customHeight="1" x14ac:dyDescent="0.15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</row>
    <row r="700" spans="1:25" ht="33.75" customHeight="1" x14ac:dyDescent="0.15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</row>
    <row r="701" spans="1:25" ht="33.75" customHeight="1" x14ac:dyDescent="0.15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  <c r="X701" s="59"/>
      <c r="Y701" s="59"/>
    </row>
    <row r="702" spans="1:25" ht="33.75" customHeight="1" x14ac:dyDescent="0.15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  <c r="Y702" s="59"/>
    </row>
    <row r="703" spans="1:25" ht="33.75" customHeight="1" x14ac:dyDescent="0.15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  <c r="X703" s="59"/>
      <c r="Y703" s="59"/>
    </row>
    <row r="704" spans="1:25" ht="33.75" customHeight="1" x14ac:dyDescent="0.15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  <c r="Y704" s="59"/>
    </row>
    <row r="705" spans="1:25" ht="33.75" customHeight="1" x14ac:dyDescent="0.15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  <c r="X705" s="59"/>
      <c r="Y705" s="59"/>
    </row>
    <row r="706" spans="1:25" ht="33.75" customHeight="1" x14ac:dyDescent="0.15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  <c r="Y706" s="59"/>
    </row>
    <row r="707" spans="1:25" ht="33.75" customHeight="1" x14ac:dyDescent="0.15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  <c r="X707" s="59"/>
      <c r="Y707" s="59"/>
    </row>
    <row r="708" spans="1:25" ht="33.75" customHeight="1" x14ac:dyDescent="0.15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</row>
    <row r="709" spans="1:25" ht="33.75" customHeight="1" x14ac:dyDescent="0.15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</row>
    <row r="710" spans="1:25" ht="33.75" customHeight="1" x14ac:dyDescent="0.15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</row>
    <row r="711" spans="1:25" ht="33.75" customHeight="1" x14ac:dyDescent="0.15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  <c r="X711" s="59"/>
      <c r="Y711" s="59"/>
    </row>
    <row r="712" spans="1:25" ht="33.75" customHeight="1" x14ac:dyDescent="0.15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  <c r="Y712" s="59"/>
    </row>
    <row r="713" spans="1:25" ht="33.75" customHeight="1" x14ac:dyDescent="0.15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  <c r="X713" s="59"/>
      <c r="Y713" s="59"/>
    </row>
    <row r="714" spans="1:25" ht="33.75" customHeight="1" x14ac:dyDescent="0.15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  <c r="Y714" s="59"/>
    </row>
    <row r="715" spans="1:25" ht="33.75" customHeight="1" x14ac:dyDescent="0.15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  <c r="X715" s="59"/>
      <c r="Y715" s="59"/>
    </row>
    <row r="716" spans="1:25" ht="33.75" customHeight="1" x14ac:dyDescent="0.15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  <c r="Y716" s="59"/>
    </row>
    <row r="717" spans="1:25" ht="33.75" customHeight="1" x14ac:dyDescent="0.15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  <c r="X717" s="59"/>
      <c r="Y717" s="59"/>
    </row>
    <row r="718" spans="1:25" ht="33.75" customHeight="1" x14ac:dyDescent="0.15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  <c r="Y718" s="59"/>
    </row>
    <row r="719" spans="1:25" ht="33.75" customHeight="1" x14ac:dyDescent="0.15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  <c r="X719" s="59"/>
      <c r="Y719" s="59"/>
    </row>
    <row r="720" spans="1:25" ht="33.75" customHeight="1" x14ac:dyDescent="0.15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  <c r="Y720" s="59"/>
    </row>
    <row r="721" spans="1:25" ht="33.75" customHeight="1" x14ac:dyDescent="0.15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  <c r="X721" s="59"/>
      <c r="Y721" s="59"/>
    </row>
    <row r="722" spans="1:25" ht="33.75" customHeight="1" x14ac:dyDescent="0.15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  <c r="Y722" s="59"/>
    </row>
    <row r="723" spans="1:25" ht="33.75" customHeight="1" x14ac:dyDescent="0.15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  <c r="X723" s="59"/>
      <c r="Y723" s="59"/>
    </row>
    <row r="724" spans="1:25" ht="33.75" customHeight="1" x14ac:dyDescent="0.15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  <c r="Y724" s="59"/>
    </row>
    <row r="725" spans="1:25" ht="33.75" customHeight="1" x14ac:dyDescent="0.15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  <c r="X725" s="59"/>
      <c r="Y725" s="59"/>
    </row>
    <row r="726" spans="1:25" ht="33.75" customHeight="1" x14ac:dyDescent="0.15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  <c r="Y726" s="59"/>
    </row>
    <row r="727" spans="1:25" ht="33.75" customHeight="1" x14ac:dyDescent="0.15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  <c r="X727" s="59"/>
      <c r="Y727" s="59"/>
    </row>
    <row r="728" spans="1:25" ht="33.75" customHeight="1" x14ac:dyDescent="0.15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  <c r="Y728" s="59"/>
    </row>
    <row r="729" spans="1:25" ht="33.75" customHeight="1" x14ac:dyDescent="0.15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  <c r="X729" s="59"/>
      <c r="Y729" s="59"/>
    </row>
    <row r="730" spans="1:25" ht="33.75" customHeight="1" x14ac:dyDescent="0.15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  <c r="Y730" s="59"/>
    </row>
    <row r="731" spans="1:25" ht="33.75" customHeight="1" x14ac:dyDescent="0.15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  <c r="X731" s="59"/>
      <c r="Y731" s="59"/>
    </row>
    <row r="732" spans="1:25" ht="33.75" customHeight="1" x14ac:dyDescent="0.15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  <c r="Y732" s="59"/>
    </row>
    <row r="733" spans="1:25" ht="33.75" customHeight="1" x14ac:dyDescent="0.15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  <c r="X733" s="59"/>
      <c r="Y733" s="59"/>
    </row>
    <row r="734" spans="1:25" ht="33.75" customHeight="1" x14ac:dyDescent="0.15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  <c r="Y734" s="59"/>
    </row>
    <row r="735" spans="1:25" ht="33.75" customHeight="1" x14ac:dyDescent="0.15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  <c r="X735" s="59"/>
      <c r="Y735" s="59"/>
    </row>
    <row r="736" spans="1:25" ht="33.75" customHeight="1" x14ac:dyDescent="0.15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  <c r="Y736" s="59"/>
    </row>
    <row r="737" spans="1:25" ht="33.75" customHeight="1" x14ac:dyDescent="0.15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  <c r="X737" s="59"/>
      <c r="Y737" s="59"/>
    </row>
    <row r="738" spans="1:25" ht="33.75" customHeight="1" x14ac:dyDescent="0.15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  <c r="Y738" s="59"/>
    </row>
    <row r="739" spans="1:25" ht="33.75" customHeight="1" x14ac:dyDescent="0.15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</row>
    <row r="740" spans="1:25" ht="33.75" customHeight="1" x14ac:dyDescent="0.15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</row>
    <row r="741" spans="1:25" ht="33.75" customHeight="1" x14ac:dyDescent="0.15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</row>
    <row r="742" spans="1:25" ht="33.75" customHeight="1" x14ac:dyDescent="0.15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  <c r="Y742" s="59"/>
    </row>
    <row r="743" spans="1:25" ht="33.75" customHeight="1" x14ac:dyDescent="0.15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  <c r="X743" s="59"/>
      <c r="Y743" s="59"/>
    </row>
    <row r="744" spans="1:25" ht="33.75" customHeight="1" x14ac:dyDescent="0.15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  <c r="Y744" s="59"/>
    </row>
    <row r="745" spans="1:25" ht="33.75" customHeight="1" x14ac:dyDescent="0.15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  <c r="X745" s="59"/>
      <c r="Y745" s="59"/>
    </row>
    <row r="746" spans="1:25" ht="33.75" customHeight="1" x14ac:dyDescent="0.15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  <c r="Y746" s="59"/>
    </row>
    <row r="747" spans="1:25" ht="33.75" customHeight="1" x14ac:dyDescent="0.15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  <c r="X747" s="59"/>
      <c r="Y747" s="59"/>
    </row>
    <row r="748" spans="1:25" ht="33.75" customHeight="1" x14ac:dyDescent="0.15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  <c r="Y748" s="59"/>
    </row>
    <row r="749" spans="1:25" ht="33.75" customHeight="1" x14ac:dyDescent="0.15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  <c r="X749" s="59"/>
      <c r="Y749" s="59"/>
    </row>
    <row r="750" spans="1:25" ht="33.75" customHeight="1" x14ac:dyDescent="0.15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  <c r="Y750" s="59"/>
    </row>
    <row r="751" spans="1:25" ht="33.75" customHeight="1" x14ac:dyDescent="0.15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  <c r="X751" s="59"/>
      <c r="Y751" s="59"/>
    </row>
    <row r="752" spans="1:25" ht="33.75" customHeight="1" x14ac:dyDescent="0.15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  <c r="Y752" s="59"/>
    </row>
    <row r="753" spans="1:25" ht="33.75" customHeight="1" x14ac:dyDescent="0.15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  <c r="X753" s="59"/>
      <c r="Y753" s="59"/>
    </row>
    <row r="754" spans="1:25" ht="33.75" customHeight="1" x14ac:dyDescent="0.15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  <c r="Y754" s="59"/>
    </row>
    <row r="755" spans="1:25" ht="33.75" customHeight="1" x14ac:dyDescent="0.15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  <c r="X755" s="59"/>
      <c r="Y755" s="59"/>
    </row>
    <row r="756" spans="1:25" ht="33.75" customHeight="1" x14ac:dyDescent="0.15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  <c r="Y756" s="59"/>
    </row>
    <row r="757" spans="1:25" ht="33.75" customHeight="1" x14ac:dyDescent="0.15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  <c r="X757" s="59"/>
      <c r="Y757" s="59"/>
    </row>
    <row r="758" spans="1:25" ht="33.75" customHeight="1" x14ac:dyDescent="0.15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  <c r="Y758" s="59"/>
    </row>
    <row r="759" spans="1:25" ht="33.75" customHeight="1" x14ac:dyDescent="0.15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  <c r="X759" s="59"/>
      <c r="Y759" s="59"/>
    </row>
    <row r="760" spans="1:25" ht="33.75" customHeight="1" x14ac:dyDescent="0.15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  <c r="Y760" s="59"/>
    </row>
    <row r="761" spans="1:25" ht="33.75" customHeight="1" x14ac:dyDescent="0.15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  <c r="X761" s="59"/>
      <c r="Y761" s="59"/>
    </row>
    <row r="762" spans="1:25" ht="33.75" customHeight="1" x14ac:dyDescent="0.15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  <c r="Y762" s="59"/>
    </row>
    <row r="763" spans="1:25" ht="33.75" customHeight="1" x14ac:dyDescent="0.15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  <c r="X763" s="59"/>
      <c r="Y763" s="59"/>
    </row>
    <row r="764" spans="1:25" ht="33.75" customHeight="1" x14ac:dyDescent="0.15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  <c r="Y764" s="59"/>
    </row>
    <row r="765" spans="1:25" ht="33.75" customHeight="1" x14ac:dyDescent="0.15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  <c r="X765" s="59"/>
      <c r="Y765" s="59"/>
    </row>
    <row r="766" spans="1:25" ht="33.75" customHeight="1" x14ac:dyDescent="0.15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  <c r="Y766" s="59"/>
    </row>
    <row r="767" spans="1:25" ht="33.75" customHeight="1" x14ac:dyDescent="0.15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  <c r="X767" s="59"/>
      <c r="Y767" s="59"/>
    </row>
    <row r="768" spans="1:25" ht="33.75" customHeight="1" x14ac:dyDescent="0.15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  <c r="Y768" s="59"/>
    </row>
    <row r="769" spans="1:25" ht="33.75" customHeight="1" x14ac:dyDescent="0.15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  <c r="X769" s="59"/>
      <c r="Y769" s="59"/>
    </row>
    <row r="770" spans="1:25" ht="33.75" customHeight="1" x14ac:dyDescent="0.15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  <c r="Y770" s="59"/>
    </row>
    <row r="771" spans="1:25" ht="33.75" customHeight="1" x14ac:dyDescent="0.15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  <c r="X771" s="59"/>
      <c r="Y771" s="59"/>
    </row>
    <row r="772" spans="1:25" ht="33.75" customHeight="1" x14ac:dyDescent="0.15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  <c r="Y772" s="59"/>
    </row>
    <row r="773" spans="1:25" ht="33.75" customHeight="1" x14ac:dyDescent="0.15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  <c r="X773" s="59"/>
      <c r="Y773" s="59"/>
    </row>
    <row r="774" spans="1:25" ht="33.75" customHeight="1" x14ac:dyDescent="0.15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  <c r="Y774" s="59"/>
    </row>
    <row r="775" spans="1:25" ht="33.75" customHeight="1" x14ac:dyDescent="0.15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  <c r="X775" s="59"/>
      <c r="Y775" s="59"/>
    </row>
    <row r="776" spans="1:25" ht="33.75" customHeight="1" x14ac:dyDescent="0.15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  <c r="Y776" s="59"/>
    </row>
    <row r="777" spans="1:25" ht="33.75" customHeight="1" x14ac:dyDescent="0.15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  <c r="X777" s="59"/>
      <c r="Y777" s="59"/>
    </row>
    <row r="778" spans="1:25" ht="33.75" customHeight="1" x14ac:dyDescent="0.15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  <c r="Y778" s="59"/>
    </row>
    <row r="779" spans="1:25" ht="33.75" customHeight="1" x14ac:dyDescent="0.15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  <c r="X779" s="59"/>
      <c r="Y779" s="59"/>
    </row>
    <row r="780" spans="1:25" ht="33.75" customHeight="1" x14ac:dyDescent="0.15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  <c r="Y780" s="59"/>
    </row>
    <row r="781" spans="1:25" ht="33.75" customHeight="1" x14ac:dyDescent="0.15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  <c r="X781" s="59"/>
      <c r="Y781" s="59"/>
    </row>
    <row r="782" spans="1:25" ht="33.75" customHeight="1" x14ac:dyDescent="0.15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  <c r="Y782" s="59"/>
    </row>
    <row r="783" spans="1:25" ht="33.75" customHeight="1" x14ac:dyDescent="0.15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  <c r="X783" s="59"/>
      <c r="Y783" s="59"/>
    </row>
    <row r="784" spans="1:25" ht="33.75" customHeight="1" x14ac:dyDescent="0.15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  <c r="Y784" s="59"/>
    </row>
    <row r="785" spans="1:25" ht="33.75" customHeight="1" x14ac:dyDescent="0.15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  <c r="X785" s="59"/>
      <c r="Y785" s="59"/>
    </row>
    <row r="786" spans="1:25" ht="33.75" customHeight="1" x14ac:dyDescent="0.15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  <c r="Y786" s="59"/>
    </row>
    <row r="787" spans="1:25" ht="33.75" customHeight="1" x14ac:dyDescent="0.15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  <c r="X787" s="59"/>
      <c r="Y787" s="59"/>
    </row>
    <row r="788" spans="1:25" ht="33.75" customHeight="1" x14ac:dyDescent="0.15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  <c r="Y788" s="59"/>
    </row>
    <row r="789" spans="1:25" ht="33.75" customHeight="1" x14ac:dyDescent="0.15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  <c r="X789" s="59"/>
      <c r="Y789" s="59"/>
    </row>
    <row r="790" spans="1:25" ht="33.75" customHeight="1" x14ac:dyDescent="0.15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  <c r="Y790" s="59"/>
    </row>
    <row r="791" spans="1:25" ht="33.75" customHeight="1" x14ac:dyDescent="0.15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  <c r="X791" s="59"/>
      <c r="Y791" s="59"/>
    </row>
    <row r="792" spans="1:25" ht="33.75" customHeight="1" x14ac:dyDescent="0.15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  <c r="Y792" s="59"/>
    </row>
    <row r="793" spans="1:25" ht="33.75" customHeight="1" x14ac:dyDescent="0.15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  <c r="X793" s="59"/>
      <c r="Y793" s="59"/>
    </row>
    <row r="794" spans="1:25" ht="33.75" customHeight="1" x14ac:dyDescent="0.15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  <c r="Y794" s="59"/>
    </row>
    <row r="795" spans="1:25" ht="33.75" customHeight="1" x14ac:dyDescent="0.15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  <c r="X795" s="59"/>
      <c r="Y795" s="59"/>
    </row>
    <row r="796" spans="1:25" ht="33.75" customHeight="1" x14ac:dyDescent="0.15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  <c r="Y796" s="59"/>
    </row>
    <row r="797" spans="1:25" ht="33.75" customHeight="1" x14ac:dyDescent="0.15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  <c r="X797" s="59"/>
      <c r="Y797" s="59"/>
    </row>
    <row r="798" spans="1:25" ht="33.75" customHeight="1" x14ac:dyDescent="0.15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  <c r="Y798" s="59"/>
    </row>
    <row r="799" spans="1:25" ht="33.75" customHeight="1" x14ac:dyDescent="0.15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  <c r="X799" s="59"/>
      <c r="Y799" s="59"/>
    </row>
    <row r="800" spans="1:25" ht="33.75" customHeight="1" x14ac:dyDescent="0.15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  <c r="Y800" s="59"/>
    </row>
    <row r="801" spans="1:25" ht="33.75" customHeight="1" x14ac:dyDescent="0.15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  <c r="X801" s="59"/>
      <c r="Y801" s="59"/>
    </row>
    <row r="802" spans="1:25" ht="33.75" customHeight="1" x14ac:dyDescent="0.15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  <c r="Y802" s="59"/>
    </row>
    <row r="803" spans="1:25" ht="33.75" customHeight="1" x14ac:dyDescent="0.15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  <c r="X803" s="59"/>
      <c r="Y803" s="59"/>
    </row>
    <row r="804" spans="1:25" ht="33.75" customHeight="1" x14ac:dyDescent="0.15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  <c r="Y804" s="59"/>
    </row>
    <row r="805" spans="1:25" ht="33.75" customHeight="1" x14ac:dyDescent="0.15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  <c r="X805" s="59"/>
      <c r="Y805" s="59"/>
    </row>
    <row r="806" spans="1:25" ht="33.75" customHeight="1" x14ac:dyDescent="0.15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  <c r="Y806" s="59"/>
    </row>
    <row r="807" spans="1:25" ht="33.75" customHeight="1" x14ac:dyDescent="0.15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  <c r="X807" s="59"/>
      <c r="Y807" s="59"/>
    </row>
    <row r="808" spans="1:25" ht="33.75" customHeight="1" x14ac:dyDescent="0.15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  <c r="Y808" s="59"/>
    </row>
    <row r="809" spans="1:25" ht="33.75" customHeight="1" x14ac:dyDescent="0.15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  <c r="X809" s="59"/>
      <c r="Y809" s="59"/>
    </row>
    <row r="810" spans="1:25" ht="33.75" customHeight="1" x14ac:dyDescent="0.15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  <c r="Y810" s="59"/>
    </row>
    <row r="811" spans="1:25" ht="33.75" customHeight="1" x14ac:dyDescent="0.15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  <c r="X811" s="59"/>
      <c r="Y811" s="59"/>
    </row>
    <row r="812" spans="1:25" ht="33.75" customHeight="1" x14ac:dyDescent="0.15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  <c r="Y812" s="59"/>
    </row>
    <row r="813" spans="1:25" ht="33.75" customHeight="1" x14ac:dyDescent="0.15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  <c r="X813" s="59"/>
      <c r="Y813" s="59"/>
    </row>
    <row r="814" spans="1:25" ht="33.75" customHeight="1" x14ac:dyDescent="0.15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  <c r="Y814" s="59"/>
    </row>
    <row r="815" spans="1:25" ht="33.75" customHeight="1" x14ac:dyDescent="0.15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  <c r="X815" s="59"/>
      <c r="Y815" s="59"/>
    </row>
    <row r="816" spans="1:25" ht="33.75" customHeight="1" x14ac:dyDescent="0.15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  <c r="Y816" s="59"/>
    </row>
    <row r="817" spans="1:25" ht="33.75" customHeight="1" x14ac:dyDescent="0.15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  <c r="X817" s="59"/>
      <c r="Y817" s="59"/>
    </row>
    <row r="818" spans="1:25" ht="33.75" customHeight="1" x14ac:dyDescent="0.15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  <c r="Y818" s="59"/>
    </row>
    <row r="819" spans="1:25" ht="33.75" customHeight="1" x14ac:dyDescent="0.15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  <c r="X819" s="59"/>
      <c r="Y819" s="59"/>
    </row>
    <row r="820" spans="1:25" ht="33.75" customHeight="1" x14ac:dyDescent="0.15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  <c r="X820" s="59"/>
      <c r="Y820" s="59"/>
    </row>
    <row r="821" spans="1:25" ht="33.75" customHeight="1" x14ac:dyDescent="0.15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  <c r="X821" s="59"/>
      <c r="Y821" s="59"/>
    </row>
    <row r="822" spans="1:25" ht="33.75" customHeight="1" x14ac:dyDescent="0.15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  <c r="Y822" s="59"/>
    </row>
    <row r="823" spans="1:25" ht="33.75" customHeight="1" x14ac:dyDescent="0.15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  <c r="X823" s="59"/>
      <c r="Y823" s="59"/>
    </row>
    <row r="824" spans="1:25" ht="33.75" customHeight="1" x14ac:dyDescent="0.15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  <c r="Y824" s="59"/>
    </row>
    <row r="825" spans="1:25" ht="33.75" customHeight="1" x14ac:dyDescent="0.15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  <c r="X825" s="59"/>
      <c r="Y825" s="59"/>
    </row>
    <row r="826" spans="1:25" ht="33.75" customHeight="1" x14ac:dyDescent="0.15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  <c r="Y826" s="59"/>
    </row>
    <row r="827" spans="1:25" ht="33.75" customHeight="1" x14ac:dyDescent="0.15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  <c r="X827" s="59"/>
      <c r="Y827" s="59"/>
    </row>
    <row r="828" spans="1:25" ht="33.75" customHeight="1" x14ac:dyDescent="0.15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  <c r="Y828" s="59"/>
    </row>
    <row r="829" spans="1:25" ht="33.75" customHeight="1" x14ac:dyDescent="0.15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  <c r="X829" s="59"/>
      <c r="Y829" s="59"/>
    </row>
    <row r="830" spans="1:25" ht="33.75" customHeight="1" x14ac:dyDescent="0.15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  <c r="Y830" s="59"/>
    </row>
    <row r="831" spans="1:25" ht="33.75" customHeight="1" x14ac:dyDescent="0.15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  <c r="X831" s="59"/>
      <c r="Y831" s="59"/>
    </row>
    <row r="832" spans="1:25" ht="33.75" customHeight="1" x14ac:dyDescent="0.15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  <c r="Y832" s="59"/>
    </row>
    <row r="833" spans="1:25" ht="33.75" customHeight="1" x14ac:dyDescent="0.15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  <c r="X833" s="59"/>
      <c r="Y833" s="59"/>
    </row>
    <row r="834" spans="1:25" ht="33.75" customHeight="1" x14ac:dyDescent="0.15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  <c r="X834" s="59"/>
      <c r="Y834" s="59"/>
    </row>
    <row r="835" spans="1:25" ht="33.75" customHeight="1" x14ac:dyDescent="0.15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  <c r="X835" s="59"/>
      <c r="Y835" s="59"/>
    </row>
    <row r="836" spans="1:25" ht="33.75" customHeight="1" x14ac:dyDescent="0.15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  <c r="X836" s="59"/>
      <c r="Y836" s="59"/>
    </row>
    <row r="837" spans="1:25" ht="33.75" customHeight="1" x14ac:dyDescent="0.15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  <c r="X837" s="59"/>
      <c r="Y837" s="59"/>
    </row>
    <row r="838" spans="1:25" ht="33.75" customHeight="1" x14ac:dyDescent="0.15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  <c r="X838" s="59"/>
      <c r="Y838" s="59"/>
    </row>
    <row r="839" spans="1:25" ht="33.75" customHeight="1" x14ac:dyDescent="0.15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  <c r="X839" s="59"/>
      <c r="Y839" s="59"/>
    </row>
    <row r="840" spans="1:25" ht="33.75" customHeight="1" x14ac:dyDescent="0.15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  <c r="X840" s="59"/>
      <c r="Y840" s="59"/>
    </row>
    <row r="841" spans="1:25" ht="33.75" customHeight="1" x14ac:dyDescent="0.15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  <c r="X841" s="59"/>
      <c r="Y841" s="59"/>
    </row>
    <row r="842" spans="1:25" ht="33.75" customHeight="1" x14ac:dyDescent="0.15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  <c r="X842" s="59"/>
      <c r="Y842" s="59"/>
    </row>
    <row r="843" spans="1:25" ht="33.75" customHeight="1" x14ac:dyDescent="0.15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  <c r="X843" s="59"/>
      <c r="Y843" s="59"/>
    </row>
    <row r="844" spans="1:25" ht="33.75" customHeight="1" x14ac:dyDescent="0.15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  <c r="Y844" s="59"/>
    </row>
    <row r="845" spans="1:25" ht="33.75" customHeight="1" x14ac:dyDescent="0.15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  <c r="X845" s="59"/>
      <c r="Y845" s="59"/>
    </row>
    <row r="846" spans="1:25" ht="33.75" customHeight="1" x14ac:dyDescent="0.15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  <c r="Y846" s="59"/>
    </row>
    <row r="847" spans="1:25" ht="33.75" customHeight="1" x14ac:dyDescent="0.15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  <c r="X847" s="59"/>
      <c r="Y847" s="59"/>
    </row>
    <row r="848" spans="1:25" ht="33.75" customHeight="1" x14ac:dyDescent="0.15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  <c r="X848" s="59"/>
      <c r="Y848" s="59"/>
    </row>
    <row r="849" spans="1:25" ht="33.75" customHeight="1" x14ac:dyDescent="0.15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  <c r="X849" s="59"/>
      <c r="Y849" s="59"/>
    </row>
    <row r="850" spans="1:25" ht="33.75" customHeight="1" x14ac:dyDescent="0.15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  <c r="Y850" s="59"/>
    </row>
    <row r="851" spans="1:25" ht="33.75" customHeight="1" x14ac:dyDescent="0.15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  <c r="X851" s="59"/>
      <c r="Y851" s="59"/>
    </row>
    <row r="852" spans="1:25" ht="33.75" customHeight="1" x14ac:dyDescent="0.15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  <c r="X852" s="59"/>
      <c r="Y852" s="59"/>
    </row>
    <row r="853" spans="1:25" ht="33.75" customHeight="1" x14ac:dyDescent="0.15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  <c r="X853" s="59"/>
      <c r="Y853" s="59"/>
    </row>
    <row r="854" spans="1:25" ht="33.75" customHeight="1" x14ac:dyDescent="0.15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  <c r="X854" s="59"/>
      <c r="Y854" s="59"/>
    </row>
    <row r="855" spans="1:25" ht="33.75" customHeight="1" x14ac:dyDescent="0.15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  <c r="X855" s="59"/>
      <c r="Y855" s="59"/>
    </row>
    <row r="856" spans="1:25" ht="33.75" customHeight="1" x14ac:dyDescent="0.15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  <c r="X856" s="59"/>
      <c r="Y856" s="59"/>
    </row>
    <row r="857" spans="1:25" ht="33.75" customHeight="1" x14ac:dyDescent="0.15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  <c r="X857" s="59"/>
      <c r="Y857" s="59"/>
    </row>
    <row r="858" spans="1:25" ht="33.75" customHeight="1" x14ac:dyDescent="0.15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  <c r="X858" s="59"/>
      <c r="Y858" s="59"/>
    </row>
    <row r="859" spans="1:25" ht="33.75" customHeight="1" x14ac:dyDescent="0.15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  <c r="X859" s="59"/>
      <c r="Y859" s="59"/>
    </row>
    <row r="860" spans="1:25" ht="33.75" customHeight="1" x14ac:dyDescent="0.15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  <c r="X860" s="59"/>
      <c r="Y860" s="59"/>
    </row>
    <row r="861" spans="1:25" ht="33.75" customHeight="1" x14ac:dyDescent="0.15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  <c r="X861" s="59"/>
      <c r="Y861" s="59"/>
    </row>
    <row r="862" spans="1:25" ht="33.75" customHeight="1" x14ac:dyDescent="0.15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  <c r="X862" s="59"/>
      <c r="Y862" s="59"/>
    </row>
    <row r="863" spans="1:25" ht="33.75" customHeight="1" x14ac:dyDescent="0.15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  <c r="X863" s="59"/>
      <c r="Y863" s="59"/>
    </row>
    <row r="864" spans="1:25" ht="33.75" customHeight="1" x14ac:dyDescent="0.15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  <c r="X864" s="59"/>
      <c r="Y864" s="59"/>
    </row>
    <row r="865" spans="1:25" ht="33.75" customHeight="1" x14ac:dyDescent="0.15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  <c r="X865" s="59"/>
      <c r="Y865" s="59"/>
    </row>
    <row r="866" spans="1:25" ht="33.75" customHeight="1" x14ac:dyDescent="0.15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  <c r="Y866" s="59"/>
    </row>
    <row r="867" spans="1:25" ht="33.75" customHeight="1" x14ac:dyDescent="0.15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  <c r="X867" s="59"/>
      <c r="Y867" s="59"/>
    </row>
    <row r="868" spans="1:25" ht="33.75" customHeight="1" x14ac:dyDescent="0.15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  <c r="Y868" s="59"/>
    </row>
    <row r="869" spans="1:25" ht="33.75" customHeight="1" x14ac:dyDescent="0.15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  <c r="X869" s="59"/>
      <c r="Y869" s="59"/>
    </row>
    <row r="870" spans="1:25" ht="33.75" customHeight="1" x14ac:dyDescent="0.15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  <c r="Y870" s="59"/>
    </row>
    <row r="871" spans="1:25" ht="33.75" customHeight="1" x14ac:dyDescent="0.15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  <c r="X871" s="59"/>
      <c r="Y871" s="59"/>
    </row>
    <row r="872" spans="1:25" ht="33.75" customHeight="1" x14ac:dyDescent="0.15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  <c r="X872" s="59"/>
      <c r="Y872" s="59"/>
    </row>
    <row r="873" spans="1:25" ht="33.75" customHeight="1" x14ac:dyDescent="0.15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  <c r="X873" s="59"/>
      <c r="Y873" s="59"/>
    </row>
    <row r="874" spans="1:25" ht="33.75" customHeight="1" x14ac:dyDescent="0.15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  <c r="Y874" s="59"/>
    </row>
    <row r="875" spans="1:25" ht="33.75" customHeight="1" x14ac:dyDescent="0.15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  <c r="X875" s="59"/>
      <c r="Y875" s="59"/>
    </row>
    <row r="876" spans="1:25" ht="33.75" customHeight="1" x14ac:dyDescent="0.15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  <c r="Y876" s="59"/>
    </row>
    <row r="877" spans="1:25" ht="33.75" customHeight="1" x14ac:dyDescent="0.15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  <c r="X877" s="59"/>
      <c r="Y877" s="59"/>
    </row>
    <row r="878" spans="1:25" ht="33.75" customHeight="1" x14ac:dyDescent="0.15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  <c r="Y878" s="59"/>
    </row>
    <row r="879" spans="1:25" ht="33.75" customHeight="1" x14ac:dyDescent="0.15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  <c r="X879" s="59"/>
      <c r="Y879" s="59"/>
    </row>
    <row r="880" spans="1:25" ht="33.75" customHeight="1" x14ac:dyDescent="0.15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  <c r="Y880" s="59"/>
    </row>
    <row r="881" spans="1:25" ht="33.75" customHeight="1" x14ac:dyDescent="0.15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  <c r="X881" s="59"/>
      <c r="Y881" s="59"/>
    </row>
    <row r="882" spans="1:25" ht="33.75" customHeight="1" x14ac:dyDescent="0.15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  <c r="X882" s="59"/>
      <c r="Y882" s="59"/>
    </row>
    <row r="883" spans="1:25" ht="33.75" customHeight="1" x14ac:dyDescent="0.15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  <c r="X883" s="59"/>
      <c r="Y883" s="59"/>
    </row>
    <row r="884" spans="1:25" ht="33.75" customHeight="1" x14ac:dyDescent="0.15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  <c r="X884" s="59"/>
      <c r="Y884" s="59"/>
    </row>
    <row r="885" spans="1:25" ht="33.75" customHeight="1" x14ac:dyDescent="0.15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  <c r="X885" s="59"/>
      <c r="Y885" s="59"/>
    </row>
    <row r="886" spans="1:25" ht="33.75" customHeight="1" x14ac:dyDescent="0.15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  <c r="X886" s="59"/>
      <c r="Y886" s="59"/>
    </row>
    <row r="887" spans="1:25" ht="33.75" customHeight="1" x14ac:dyDescent="0.15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  <c r="X887" s="59"/>
      <c r="Y887" s="59"/>
    </row>
    <row r="888" spans="1:25" ht="33.75" customHeight="1" x14ac:dyDescent="0.15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  <c r="X888" s="59"/>
      <c r="Y888" s="59"/>
    </row>
    <row r="889" spans="1:25" ht="33.75" customHeight="1" x14ac:dyDescent="0.15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  <c r="X889" s="59"/>
      <c r="Y889" s="59"/>
    </row>
    <row r="890" spans="1:25" ht="33.75" customHeight="1" x14ac:dyDescent="0.15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  <c r="X890" s="59"/>
      <c r="Y890" s="59"/>
    </row>
    <row r="891" spans="1:25" ht="33.75" customHeight="1" x14ac:dyDescent="0.15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  <c r="X891" s="59"/>
      <c r="Y891" s="59"/>
    </row>
    <row r="892" spans="1:25" ht="33.75" customHeight="1" x14ac:dyDescent="0.15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  <c r="X892" s="59"/>
      <c r="Y892" s="59"/>
    </row>
    <row r="893" spans="1:25" ht="33.75" customHeight="1" x14ac:dyDescent="0.15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  <c r="X893" s="59"/>
      <c r="Y893" s="59"/>
    </row>
    <row r="894" spans="1:25" ht="33.75" customHeight="1" x14ac:dyDescent="0.15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  <c r="Y894" s="59"/>
    </row>
    <row r="895" spans="1:25" ht="33.75" customHeight="1" x14ac:dyDescent="0.15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  <c r="X895" s="59"/>
      <c r="Y895" s="59"/>
    </row>
    <row r="896" spans="1:25" ht="33.75" customHeight="1" x14ac:dyDescent="0.15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  <c r="Y896" s="59"/>
    </row>
    <row r="897" spans="1:25" ht="33.75" customHeight="1" x14ac:dyDescent="0.15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  <c r="X897" s="59"/>
      <c r="Y897" s="59"/>
    </row>
    <row r="898" spans="1:25" ht="33.75" customHeight="1" x14ac:dyDescent="0.15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  <c r="Y898" s="59"/>
    </row>
    <row r="899" spans="1:25" ht="33.75" customHeight="1" x14ac:dyDescent="0.15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  <c r="X899" s="59"/>
      <c r="Y899" s="59"/>
    </row>
    <row r="900" spans="1:25" ht="33.75" customHeight="1" x14ac:dyDescent="0.15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  <c r="Y900" s="59"/>
    </row>
    <row r="901" spans="1:25" ht="33.75" customHeight="1" x14ac:dyDescent="0.15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  <c r="X901" s="59"/>
      <c r="Y901" s="59"/>
    </row>
    <row r="902" spans="1:25" ht="33.75" customHeight="1" x14ac:dyDescent="0.15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  <c r="Y902" s="59"/>
    </row>
    <row r="903" spans="1:25" ht="33.75" customHeight="1" x14ac:dyDescent="0.15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  <c r="X903" s="59"/>
      <c r="Y903" s="59"/>
    </row>
    <row r="904" spans="1:25" ht="33.75" customHeight="1" x14ac:dyDescent="0.15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  <c r="Y904" s="59"/>
    </row>
    <row r="905" spans="1:25" ht="33.75" customHeight="1" x14ac:dyDescent="0.15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  <c r="X905" s="59"/>
      <c r="Y905" s="59"/>
    </row>
    <row r="906" spans="1:25" ht="33.75" customHeight="1" x14ac:dyDescent="0.15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  <c r="Y906" s="59"/>
    </row>
    <row r="907" spans="1:25" ht="33.75" customHeight="1" x14ac:dyDescent="0.15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  <c r="X907" s="59"/>
      <c r="Y907" s="59"/>
    </row>
    <row r="908" spans="1:25" ht="33.75" customHeight="1" x14ac:dyDescent="0.15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  <c r="Y908" s="59"/>
    </row>
    <row r="909" spans="1:25" ht="33.75" customHeight="1" x14ac:dyDescent="0.15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  <c r="X909" s="59"/>
      <c r="Y909" s="59"/>
    </row>
    <row r="910" spans="1:25" ht="33.75" customHeight="1" x14ac:dyDescent="0.15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  <c r="Y910" s="59"/>
    </row>
    <row r="911" spans="1:25" ht="33.75" customHeight="1" x14ac:dyDescent="0.15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  <c r="X911" s="59"/>
      <c r="Y911" s="59"/>
    </row>
    <row r="912" spans="1:25" ht="33.75" customHeight="1" x14ac:dyDescent="0.15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  <c r="Y912" s="59"/>
    </row>
    <row r="913" spans="1:25" ht="33.75" customHeight="1" x14ac:dyDescent="0.15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  <c r="X913" s="59"/>
      <c r="Y913" s="59"/>
    </row>
    <row r="914" spans="1:25" ht="33.75" customHeight="1" x14ac:dyDescent="0.15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  <c r="Y914" s="59"/>
    </row>
    <row r="915" spans="1:25" ht="33.75" customHeight="1" x14ac:dyDescent="0.15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  <c r="X915" s="59"/>
      <c r="Y915" s="59"/>
    </row>
    <row r="916" spans="1:25" ht="33.75" customHeight="1" x14ac:dyDescent="0.15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  <c r="Y916" s="59"/>
    </row>
    <row r="917" spans="1:25" ht="33.75" customHeight="1" x14ac:dyDescent="0.15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  <c r="X917" s="59"/>
      <c r="Y917" s="59"/>
    </row>
    <row r="918" spans="1:25" ht="33.75" customHeight="1" x14ac:dyDescent="0.15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  <c r="Y918" s="59"/>
    </row>
    <row r="919" spans="1:25" ht="33.75" customHeight="1" x14ac:dyDescent="0.15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  <c r="X919" s="59"/>
      <c r="Y919" s="59"/>
    </row>
    <row r="920" spans="1:25" ht="33.75" customHeight="1" x14ac:dyDescent="0.15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  <c r="Y920" s="59"/>
    </row>
    <row r="921" spans="1:25" ht="33.75" customHeight="1" x14ac:dyDescent="0.15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  <c r="X921" s="59"/>
      <c r="Y921" s="59"/>
    </row>
    <row r="922" spans="1:25" ht="33.75" customHeight="1" x14ac:dyDescent="0.15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  <c r="Y922" s="59"/>
    </row>
    <row r="923" spans="1:25" ht="33.75" customHeight="1" x14ac:dyDescent="0.15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  <c r="X923" s="59"/>
      <c r="Y923" s="59"/>
    </row>
    <row r="924" spans="1:25" ht="33.75" customHeight="1" x14ac:dyDescent="0.15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  <c r="Y924" s="59"/>
    </row>
    <row r="925" spans="1:25" ht="33.75" customHeight="1" x14ac:dyDescent="0.15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  <c r="X925" s="59"/>
      <c r="Y925" s="59"/>
    </row>
    <row r="926" spans="1:25" ht="33.75" customHeight="1" x14ac:dyDescent="0.15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  <c r="Y926" s="59"/>
    </row>
    <row r="927" spans="1:25" ht="33.75" customHeight="1" x14ac:dyDescent="0.15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  <c r="X927" s="59"/>
      <c r="Y927" s="59"/>
    </row>
    <row r="928" spans="1:25" ht="33.75" customHeight="1" x14ac:dyDescent="0.15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  <c r="Y928" s="59"/>
    </row>
    <row r="929" spans="1:25" ht="33.75" customHeight="1" x14ac:dyDescent="0.15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  <c r="X929" s="59"/>
      <c r="Y929" s="59"/>
    </row>
    <row r="930" spans="1:25" ht="33.75" customHeight="1" x14ac:dyDescent="0.15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  <c r="Y930" s="59"/>
    </row>
    <row r="931" spans="1:25" ht="33.75" customHeight="1" x14ac:dyDescent="0.15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  <c r="X931" s="59"/>
      <c r="Y931" s="59"/>
    </row>
    <row r="932" spans="1:25" ht="33.75" customHeight="1" x14ac:dyDescent="0.15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  <c r="Y932" s="59"/>
    </row>
    <row r="933" spans="1:25" ht="33.75" customHeight="1" x14ac:dyDescent="0.15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  <c r="X933" s="59"/>
      <c r="Y933" s="59"/>
    </row>
    <row r="934" spans="1:25" ht="33.75" customHeight="1" x14ac:dyDescent="0.15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  <c r="Y934" s="59"/>
    </row>
    <row r="935" spans="1:25" ht="33.75" customHeight="1" x14ac:dyDescent="0.15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  <c r="X935" s="59"/>
      <c r="Y935" s="59"/>
    </row>
    <row r="936" spans="1:25" ht="33.75" customHeight="1" x14ac:dyDescent="0.15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  <c r="Y936" s="59"/>
    </row>
    <row r="937" spans="1:25" ht="33.75" customHeight="1" x14ac:dyDescent="0.15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  <c r="X937" s="59"/>
      <c r="Y937" s="59"/>
    </row>
    <row r="938" spans="1:25" ht="33.75" customHeight="1" x14ac:dyDescent="0.15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  <c r="Y938" s="59"/>
    </row>
    <row r="939" spans="1:25" ht="33.75" customHeight="1" x14ac:dyDescent="0.15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  <c r="X939" s="59"/>
      <c r="Y939" s="59"/>
    </row>
    <row r="940" spans="1:25" ht="33.75" customHeight="1" x14ac:dyDescent="0.15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  <c r="Y940" s="59"/>
    </row>
    <row r="941" spans="1:25" ht="33.75" customHeight="1" x14ac:dyDescent="0.15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  <c r="X941" s="59"/>
      <c r="Y941" s="59"/>
    </row>
    <row r="942" spans="1:25" ht="33.75" customHeight="1" x14ac:dyDescent="0.15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  <c r="X942" s="59"/>
      <c r="Y942" s="59"/>
    </row>
    <row r="943" spans="1:25" ht="33.75" customHeight="1" x14ac:dyDescent="0.15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  <c r="X943" s="59"/>
      <c r="Y943" s="59"/>
    </row>
    <row r="944" spans="1:25" ht="33.75" customHeight="1" x14ac:dyDescent="0.15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  <c r="X944" s="59"/>
      <c r="Y944" s="59"/>
    </row>
    <row r="945" spans="1:25" ht="33.75" customHeight="1" x14ac:dyDescent="0.15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  <c r="X945" s="59"/>
      <c r="Y945" s="59"/>
    </row>
    <row r="946" spans="1:25" ht="33.75" customHeight="1" x14ac:dyDescent="0.15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  <c r="X946" s="59"/>
      <c r="Y946" s="59"/>
    </row>
    <row r="947" spans="1:25" ht="33.75" customHeight="1" x14ac:dyDescent="0.15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  <c r="X947" s="59"/>
      <c r="Y947" s="59"/>
    </row>
    <row r="948" spans="1:25" ht="33.75" customHeight="1" x14ac:dyDescent="0.15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  <c r="X948" s="59"/>
      <c r="Y948" s="59"/>
    </row>
    <row r="949" spans="1:25" ht="33.75" customHeight="1" x14ac:dyDescent="0.15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  <c r="X949" s="59"/>
      <c r="Y949" s="59"/>
    </row>
    <row r="950" spans="1:25" ht="33.75" customHeight="1" x14ac:dyDescent="0.15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  <c r="X950" s="59"/>
      <c r="Y950" s="59"/>
    </row>
    <row r="951" spans="1:25" ht="33.75" customHeight="1" x14ac:dyDescent="0.15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  <c r="X951" s="59"/>
      <c r="Y951" s="59"/>
    </row>
    <row r="952" spans="1:25" ht="33.75" customHeight="1" x14ac:dyDescent="0.15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  <c r="Y952" s="59"/>
    </row>
    <row r="953" spans="1:25" ht="33.75" customHeight="1" x14ac:dyDescent="0.15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  <c r="X953" s="59"/>
      <c r="Y953" s="59"/>
    </row>
    <row r="954" spans="1:25" ht="33.75" customHeight="1" x14ac:dyDescent="0.15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  <c r="Y954" s="59"/>
    </row>
    <row r="955" spans="1:25" ht="33.75" customHeight="1" x14ac:dyDescent="0.15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  <c r="X955" s="59"/>
      <c r="Y955" s="59"/>
    </row>
    <row r="956" spans="1:25" ht="33.75" customHeight="1" x14ac:dyDescent="0.15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  <c r="Y956" s="59"/>
    </row>
    <row r="957" spans="1:25" ht="33.75" customHeight="1" x14ac:dyDescent="0.15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  <c r="X957" s="59"/>
      <c r="Y957" s="59"/>
    </row>
    <row r="958" spans="1:25" ht="33.75" customHeight="1" x14ac:dyDescent="0.15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  <c r="Y958" s="59"/>
    </row>
    <row r="959" spans="1:25" ht="33.75" customHeight="1" x14ac:dyDescent="0.15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  <c r="X959" s="59"/>
      <c r="Y959" s="59"/>
    </row>
    <row r="960" spans="1:25" ht="33.75" customHeight="1" x14ac:dyDescent="0.15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  <c r="Y960" s="59"/>
    </row>
    <row r="961" spans="1:25" ht="33.75" customHeight="1" x14ac:dyDescent="0.15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  <c r="X961" s="59"/>
      <c r="Y961" s="59"/>
    </row>
    <row r="962" spans="1:25" ht="33.75" customHeight="1" x14ac:dyDescent="0.15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  <c r="Y962" s="59"/>
    </row>
    <row r="963" spans="1:25" ht="33.75" customHeight="1" x14ac:dyDescent="0.15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  <c r="X963" s="59"/>
      <c r="Y963" s="59"/>
    </row>
    <row r="964" spans="1:25" ht="33.75" customHeight="1" x14ac:dyDescent="0.15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  <c r="Y964" s="59"/>
    </row>
    <row r="965" spans="1:25" ht="33.75" customHeight="1" x14ac:dyDescent="0.15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</row>
    <row r="966" spans="1:25" ht="33.75" customHeight="1" x14ac:dyDescent="0.15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</row>
    <row r="967" spans="1:25" ht="33.75" customHeight="1" x14ac:dyDescent="0.15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</row>
    <row r="968" spans="1:25" ht="33.75" customHeight="1" x14ac:dyDescent="0.15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  <c r="Y968" s="59"/>
    </row>
    <row r="969" spans="1:25" ht="33.75" customHeight="1" x14ac:dyDescent="0.15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  <c r="X969" s="59"/>
      <c r="Y969" s="59"/>
    </row>
    <row r="970" spans="1:25" ht="33.75" customHeight="1" x14ac:dyDescent="0.15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  <c r="Y970" s="59"/>
    </row>
    <row r="971" spans="1:25" ht="33.75" customHeight="1" x14ac:dyDescent="0.15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  <c r="X971" s="59"/>
      <c r="Y971" s="59"/>
    </row>
    <row r="972" spans="1:25" ht="33.75" customHeight="1" x14ac:dyDescent="0.15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  <c r="Y972" s="59"/>
    </row>
    <row r="973" spans="1:25" ht="33.75" customHeight="1" x14ac:dyDescent="0.15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  <c r="X973" s="59"/>
      <c r="Y973" s="59"/>
    </row>
    <row r="974" spans="1:25" ht="33.75" customHeight="1" x14ac:dyDescent="0.15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  <c r="Y974" s="59"/>
    </row>
    <row r="975" spans="1:25" ht="33.75" customHeight="1" x14ac:dyDescent="0.15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  <c r="X975" s="59"/>
      <c r="Y975" s="59"/>
    </row>
    <row r="976" spans="1:25" ht="33.75" customHeight="1" x14ac:dyDescent="0.15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  <c r="Y976" s="59"/>
    </row>
    <row r="977" spans="1:25" ht="33.75" customHeight="1" x14ac:dyDescent="0.15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  <c r="X977" s="59"/>
      <c r="Y977" s="59"/>
    </row>
    <row r="978" spans="1:25" ht="33.75" customHeight="1" x14ac:dyDescent="0.15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  <c r="Y978" s="59"/>
    </row>
    <row r="979" spans="1:25" ht="33.75" customHeight="1" x14ac:dyDescent="0.15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  <c r="X979" s="59"/>
      <c r="Y979" s="59"/>
    </row>
    <row r="980" spans="1:25" ht="33.75" customHeight="1" x14ac:dyDescent="0.15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  <c r="Y980" s="59"/>
    </row>
    <row r="981" spans="1:25" ht="33.75" customHeight="1" x14ac:dyDescent="0.15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  <c r="X981" s="59"/>
      <c r="Y981" s="59"/>
    </row>
    <row r="982" spans="1:25" ht="33.75" customHeight="1" x14ac:dyDescent="0.15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  <c r="Y982" s="59"/>
    </row>
    <row r="983" spans="1:25" ht="33.75" customHeight="1" x14ac:dyDescent="0.15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  <c r="X983" s="59"/>
      <c r="Y983" s="59"/>
    </row>
    <row r="984" spans="1:25" ht="33.75" customHeight="1" x14ac:dyDescent="0.15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  <c r="Y984" s="59"/>
    </row>
    <row r="985" spans="1:25" ht="33.75" customHeight="1" x14ac:dyDescent="0.15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  <c r="X985" s="59"/>
      <c r="Y985" s="59"/>
    </row>
    <row r="986" spans="1:25" ht="33.75" customHeight="1" x14ac:dyDescent="0.15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  <c r="Y986" s="59"/>
    </row>
    <row r="987" spans="1:25" ht="33.75" customHeight="1" x14ac:dyDescent="0.15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  <c r="X987" s="59"/>
      <c r="Y987" s="59"/>
    </row>
    <row r="988" spans="1:25" ht="33.75" customHeight="1" x14ac:dyDescent="0.15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  <c r="Y988" s="59"/>
    </row>
    <row r="989" spans="1:25" ht="33.75" customHeight="1" x14ac:dyDescent="0.15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  <c r="X989" s="59"/>
      <c r="Y989" s="59"/>
    </row>
    <row r="990" spans="1:25" ht="33.75" customHeight="1" x14ac:dyDescent="0.15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  <c r="Y990" s="59"/>
    </row>
    <row r="991" spans="1:25" ht="33.75" customHeight="1" x14ac:dyDescent="0.15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  <c r="X991" s="59"/>
      <c r="Y991" s="59"/>
    </row>
    <row r="992" spans="1:25" ht="33.75" customHeight="1" x14ac:dyDescent="0.15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  <c r="Y992" s="59"/>
    </row>
    <row r="993" spans="1:25" ht="33.75" customHeight="1" x14ac:dyDescent="0.15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  <c r="X993" s="59"/>
      <c r="Y993" s="59"/>
    </row>
    <row r="994" spans="1:25" ht="33.75" customHeight="1" x14ac:dyDescent="0.15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  <c r="Y994" s="59"/>
    </row>
    <row r="995" spans="1:25" ht="33.75" customHeight="1" x14ac:dyDescent="0.15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</row>
    <row r="996" spans="1:25" ht="33.75" customHeight="1" x14ac:dyDescent="0.15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</row>
  </sheetData>
  <hyperlinks>
    <hyperlink ref="G2" r:id="rId1" display="https://drive.google.com/open?id=1gn3ikCIhs-dev83eRRxjViW8zJF-T-k7" xr:uid="{00000000-0004-0000-0C00-000000000000}"/>
    <hyperlink ref="G3" r:id="rId2" display="https://drive.google.com/open?id=1mtbP1QQNgrt8Quklkt73D96IAgRWsd43" xr:uid="{00000000-0004-0000-0C00-000001000000}"/>
    <hyperlink ref="G4" r:id="rId3" display="https://drive.google.com/open?id=1ePQdQjmHPiagxHQtHPNkmgkhs0CpKRVk" xr:uid="{00000000-0004-0000-0C00-000002000000}"/>
    <hyperlink ref="G5" r:id="rId4" display="https://drive.google.com/open?id=1G4WFlSvqJ_jZjUheUgUalNNZL1kQmzhN" xr:uid="{00000000-0004-0000-0C00-000003000000}"/>
    <hyperlink ref="G6" r:id="rId5" display="https://drive.google.com/open?id=1ERO6TVwxYl1AFWaNaYPJyUygy_Alj8rw" xr:uid="{00000000-0004-0000-0C00-000004000000}"/>
    <hyperlink ref="G7" r:id="rId6" display="https://drive.google.com/open?id=1bBYyu0DE3yVgrgfKcr-yZxyqJ5zXhHaF" xr:uid="{00000000-0004-0000-0C00-000005000000}"/>
    <hyperlink ref="G8" r:id="rId7" display="https://drive.google.com/open?id=1fgbpRkkKznyY-PKI5Dnda_W7Byo0CdFa" xr:uid="{00000000-0004-0000-0C00-000006000000}"/>
    <hyperlink ref="G9" r:id="rId8" display="https://drive.google.com/open?id=12KkFitX19-ii4YF7cu-Zw7LKTTP6wTY1" xr:uid="{00000000-0004-0000-0C00-000007000000}"/>
    <hyperlink ref="G10" r:id="rId9" display="https://drive.google.com/open?id=1TV9WHLuDDCpqYakrw3vT8Q4B94v1NnqP" xr:uid="{00000000-0004-0000-0C00-000008000000}"/>
    <hyperlink ref="G11" r:id="rId10" display="https://drive.google.com/open?id=1a7_i4mBy91rc-1wnj7fXUZe2lgdZ_dUp" xr:uid="{00000000-0004-0000-0C00-000009000000}"/>
    <hyperlink ref="G12" r:id="rId11" display="https://drive.google.com/open?id=1cj6KMrfRUN35LIBGgAZrYmyvlNpJT8rK" xr:uid="{00000000-0004-0000-0C00-00000A000000}"/>
    <hyperlink ref="G13" r:id="rId12" display="https://drive.google.com/open?id=13SNgW7VupL2K7SWxmqQnnrjTaqBBbZcq" xr:uid="{00000000-0004-0000-0C00-00000B000000}"/>
    <hyperlink ref="G14" r:id="rId13" display="https://drive.google.com/open?id=1CGoEV-2e8V_Lk7tS14KxSr7ESQ8kcu19" xr:uid="{00000000-0004-0000-0C00-00000C000000}"/>
    <hyperlink ref="G15" r:id="rId14" display="https://drive.google.com/open?id=1J6jQbfJk6dWBsUdK5PdL31TlD2H8n1mi" xr:uid="{00000000-0004-0000-0C00-00000D000000}"/>
    <hyperlink ref="G16" r:id="rId15" display="https://drive.google.com/open?id=1uTGVtRaRxKQKLb_Ehjblj80sg5F5loWs" xr:uid="{00000000-0004-0000-0C00-00000E000000}"/>
    <hyperlink ref="G17" r:id="rId16" display="https://drive.google.com/open?id=1GSySQ9XWzPG4_CT4scF7g4D8a1w0HNVg" xr:uid="{00000000-0004-0000-0C00-00000F000000}"/>
    <hyperlink ref="G18" r:id="rId17" display="https://drive.google.com/open?id=14qjDpxA_-qxw3L62ORAV10i6-yrPoJ82" xr:uid="{00000000-0004-0000-0C00-000010000000}"/>
    <hyperlink ref="G19" r:id="rId18" display="https://drive.google.com/open?id=1DkiGuPWNrrJ17ziZzyj9FJD6S56uqueV" xr:uid="{00000000-0004-0000-0C00-000011000000}"/>
    <hyperlink ref="G20" r:id="rId19" display="https://drive.google.com/open?id=1gSqponAO_29zt3P0egTKxJUtj0kBDxM5" xr:uid="{00000000-0004-0000-0C00-000012000000}"/>
    <hyperlink ref="G21" r:id="rId20" display="https://drive.google.com/open?id=1u4P98AFX96-DheFXYHueISXv5rFBW69n" xr:uid="{00000000-0004-0000-0C00-000013000000}"/>
    <hyperlink ref="G22" r:id="rId21" display="https://drive.google.com/open?id=1HwOWXJMOaF_1InxGLgLG3n7bJEc8Wqoy" xr:uid="{00000000-0004-0000-0C00-000014000000}"/>
    <hyperlink ref="G23" r:id="rId22" display="https://drive.google.com/open?id=1v0hWKNZmunFG-b1zOpH2nMicycDJXoC2" xr:uid="{00000000-0004-0000-0C00-000015000000}"/>
    <hyperlink ref="G24" r:id="rId23" display="https://drive.google.com/open?id=1B0HiC2xPJwhIF3MC1nGrmuBGAsKXTckG" xr:uid="{00000000-0004-0000-0C00-000016000000}"/>
    <hyperlink ref="G25" r:id="rId24" display="https://drive.google.com/open?id=1zWfCKVgNCwM-_UZ2Ju37CgfKQENuNThd" xr:uid="{00000000-0004-0000-0C00-000017000000}"/>
    <hyperlink ref="G26" r:id="rId25" display="https://drive.google.com/open?id=134UiPRoXaCxJnCMdOhg1Gql8_3OtEd_z" xr:uid="{00000000-0004-0000-0C00-000018000000}"/>
    <hyperlink ref="G27" r:id="rId26" display="https://drive.google.com/open?id=1uTswfh5k6-rIOfPskt7WzSag8mhnF2uE" xr:uid="{00000000-0004-0000-0C00-000019000000}"/>
    <hyperlink ref="G28" r:id="rId27" display="https://drive.google.com/open?id=1OZDw1MRW-j1Pk_z6DL1I2axO9gKAPHzB" xr:uid="{00000000-0004-0000-0C00-00001A000000}"/>
    <hyperlink ref="G29" r:id="rId28" display="https://drive.google.com/open?id=1WU1m7CU_TcognuKDh7Q7HrvZgSOLydXL" xr:uid="{00000000-0004-0000-0C00-00001B000000}"/>
    <hyperlink ref="G30" r:id="rId29" display="https://drive.google.com/open?id=1qP9qZmE22ppsqqe3S3RAkzkCzz1VlT7d" xr:uid="{00000000-0004-0000-0C00-00001C000000}"/>
    <hyperlink ref="G31" r:id="rId30" display="https://drive.google.com/open?id=1DUCmRPc7cYSEu1VOX3CbZFwMrxdmKmBg" xr:uid="{00000000-0004-0000-0C00-00001D000000}"/>
    <hyperlink ref="G32" r:id="rId31" display="https://drive.google.com/open?id=1G7RDq0-LLMZyM_EG-AGSwXh3R1SHMW6k" xr:uid="{00000000-0004-0000-0C00-00001E000000}"/>
    <hyperlink ref="G33" r:id="rId32" display="https://drive.google.com/open?id=1R2LLLsbXQwIwW4V-BCvJ1JlshXZWl59-" xr:uid="{00000000-0004-0000-0C00-00001F000000}"/>
    <hyperlink ref="G34" r:id="rId33" display="https://drive.google.com/open?id=1YRzFQEBgsDlYrmKJpQZK7rihv1Ts_b0I" xr:uid="{00000000-0004-0000-0C00-000020000000}"/>
    <hyperlink ref="G35" r:id="rId34" display="https://drive.google.com/open?id=11oFg23t3ZKMD-lJrDa5C7OpBFpQ9H73T" xr:uid="{00000000-0004-0000-0C00-000021000000}"/>
    <hyperlink ref="G36" r:id="rId35" display="https://drive.google.com/open?id=1_hWaWfnrw-tMxz7sGcU2vpEumtEmhwt6" xr:uid="{00000000-0004-0000-0C00-000022000000}"/>
    <hyperlink ref="G37" r:id="rId36" display="https://drive.google.com/open?id=1f5fkYcbl5lPC1KzM9l4IKPF55533wJ9L" xr:uid="{00000000-0004-0000-0C00-000023000000}"/>
    <hyperlink ref="G38" r:id="rId37" display="https://drive.google.com/open?id=1gFA1lCu4rHLk8s0vfQ6Wa3HEML6MLnnW" xr:uid="{00000000-0004-0000-0C00-000024000000}"/>
    <hyperlink ref="G39" r:id="rId38" display="https://drive.google.com/open?id=1exrzR0Tq1AAGjjixli_wHi2BLmsP9l2J" xr:uid="{00000000-0004-0000-0C00-000025000000}"/>
    <hyperlink ref="G40" r:id="rId39" display="https://drive.google.com/open?id=1VBFzDwiftdcDb4NNTOQzmJZ83ltxNxGZ" xr:uid="{00000000-0004-0000-0C00-000026000000}"/>
    <hyperlink ref="G41" r:id="rId40" display="https://drive.google.com/open?id=18DQ-a_SgSwwQNnJR71iVduvkRog5eD4i" xr:uid="{00000000-0004-0000-0C00-000027000000}"/>
    <hyperlink ref="G42" r:id="rId41" display="https://drive.google.com/open?id=12CWg_r8JF53cf3Baygsp9xmHsKumoWl6" xr:uid="{00000000-0004-0000-0C00-000028000000}"/>
    <hyperlink ref="G43" r:id="rId42" display="https://drive.google.com/open?id=1JJuiFEf9tPTTCoSLFcd05jYGhtg__3XX" xr:uid="{00000000-0004-0000-0C00-000029000000}"/>
    <hyperlink ref="G44" r:id="rId43" display="https://drive.google.com/open?id=164PkLKDM0UG_ADq-iyJk3eLt2LeK4efP" xr:uid="{00000000-0004-0000-0C00-00002A000000}"/>
    <hyperlink ref="G45" r:id="rId44" display="https://drive.google.com/open?id=1lielZ9SCE8IidGkSQqOF6wsdXvjIU3iV" xr:uid="{00000000-0004-0000-0C00-00002B000000}"/>
    <hyperlink ref="G46" r:id="rId45" display="https://drive.google.com/open?id=1zjAe8X2zfPzNCJ-qrVbm0yKxYzq2Ms1A" xr:uid="{00000000-0004-0000-0C00-00002C000000}"/>
    <hyperlink ref="G47" r:id="rId46" display="https://drive.google.com/open?id=1sDwciOtEuxq5IPhQZaT5VEoNzXGiQgdN" xr:uid="{00000000-0004-0000-0C00-00002D000000}"/>
    <hyperlink ref="G48" r:id="rId47" display="https://drive.google.com/open?id=15fShLSYa95M1CMx2QjXwiLnXqFK26po5" xr:uid="{00000000-0004-0000-0C00-00002E000000}"/>
    <hyperlink ref="G49" r:id="rId48" display="https://drive.google.com/open?id=1QhCd4X2faGs2frmeSijuspb-SsA1hgvh" xr:uid="{00000000-0004-0000-0C00-00002F000000}"/>
    <hyperlink ref="G50" r:id="rId49" display="https://drive.google.com/open?id=1dxsEMUXbJMfkH09yBl3V1nbaVPYmlu0q" xr:uid="{00000000-0004-0000-0C00-000030000000}"/>
    <hyperlink ref="G51" r:id="rId50" display="https://drive.google.com/open?id=1rur1MIBRmakoHW0PG-WRkLUbz7xGtELk" xr:uid="{00000000-0004-0000-0C00-000031000000}"/>
    <hyperlink ref="G52" r:id="rId51" display="https://drive.google.com/open?id=1SJ77RbJvhha7Ixqu9_K1Mj891gesr6jJ" xr:uid="{00000000-0004-0000-0C00-000032000000}"/>
    <hyperlink ref="G53" r:id="rId52" display="https://drive.google.com/open?id=1RqkczE9AyMhEK147VBBtVh5cSdIieWKN" xr:uid="{00000000-0004-0000-0C00-000033000000}"/>
    <hyperlink ref="G54" r:id="rId53" display="https://drive.google.com/open?id=1E8igZRSp5FI396jnkfTgwu5IJlHZfWol" xr:uid="{00000000-0004-0000-0C00-000034000000}"/>
    <hyperlink ref="G55" r:id="rId54" display="https://drive.google.com/open?id=1rFAppWC-72fQPrU4o8uPvGih8eD1oEDz" xr:uid="{00000000-0004-0000-0C00-000035000000}"/>
    <hyperlink ref="G56" r:id="rId55" display="https://drive.google.com/open?id=1YP4_waRixUhOZpsEhOc70FDSoErnVSsW" xr:uid="{00000000-0004-0000-0C00-000036000000}"/>
    <hyperlink ref="G57" r:id="rId56" display="https://drive.google.com/open?id=1hstXQ_rkvbzK5KWZpu81SJe3YLtZFkJm" xr:uid="{00000000-0004-0000-0C00-000037000000}"/>
    <hyperlink ref="G58" r:id="rId57" display="https://drive.google.com/open?id=1p5-HbiZyGgZdl2vroKQPYUKklhEWweY-" xr:uid="{00000000-0004-0000-0C00-000038000000}"/>
    <hyperlink ref="G59" r:id="rId58" display="https://drive.google.com/open?id=1-gJsyg_GwG0B9yU1z85C9j7zOc7dCjCb" xr:uid="{00000000-0004-0000-0C00-000039000000}"/>
    <hyperlink ref="G60" r:id="rId59" display="https://drive.google.com/open?id=1Q123BBUxI1L9zmyqsMZASDg90DO_z1Yz" xr:uid="{00000000-0004-0000-0C00-00003A000000}"/>
    <hyperlink ref="G61" r:id="rId60" display="https://drive.google.com/open?id=12rTU4jG8tcrAz8LiJ33uRa8PfNT2Qxpw" xr:uid="{00000000-0004-0000-0C00-00003B000000}"/>
    <hyperlink ref="G62" r:id="rId61" display="https://drive.google.com/open?id=1VqEA1AaA1YYsrUB7lhpw7VddimQkfcmN" xr:uid="{00000000-0004-0000-0C00-00003C000000}"/>
    <hyperlink ref="G63" r:id="rId62" display="https://drive.google.com/open?id=1UH4S_W_AVPs96zXmSoZ10StSHm20Vzhf" xr:uid="{00000000-0004-0000-0C00-00003D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Z1000"/>
  <sheetViews>
    <sheetView topLeftCell="N1" workbookViewId="0"/>
  </sheetViews>
  <sheetFormatPr baseColWidth="10" defaultColWidth="12.6640625" defaultRowHeight="15.75" customHeight="1" x14ac:dyDescent="0.15"/>
  <cols>
    <col min="1" max="1" width="17.1640625" customWidth="1"/>
    <col min="2" max="2" width="12.83203125" customWidth="1"/>
    <col min="3" max="3" width="17.6640625" customWidth="1"/>
    <col min="4" max="4" width="31.5" customWidth="1"/>
    <col min="5" max="5" width="26.6640625" customWidth="1"/>
    <col min="6" max="6" width="7.83203125" customWidth="1"/>
    <col min="7" max="7" width="8.5" customWidth="1"/>
    <col min="8" max="8" width="7.83203125" customWidth="1"/>
    <col min="9" max="9" width="5.1640625" customWidth="1"/>
    <col min="10" max="10" width="28.1640625" customWidth="1"/>
    <col min="11" max="11" width="24.5" customWidth="1"/>
    <col min="12" max="12" width="57.6640625" customWidth="1"/>
    <col min="13" max="13" width="28.6640625" customWidth="1"/>
    <col min="14" max="14" width="32.83203125" customWidth="1"/>
    <col min="15" max="15" width="31.83203125" customWidth="1"/>
    <col min="16" max="16" width="32.83203125" customWidth="1"/>
    <col min="17" max="17" width="10.1640625" customWidth="1"/>
  </cols>
  <sheetData>
    <row r="1" spans="1:26" ht="30.75" customHeight="1" x14ac:dyDescent="0.15">
      <c r="A1" s="92" t="s">
        <v>97</v>
      </c>
      <c r="B1" s="93" t="s">
        <v>68</v>
      </c>
      <c r="C1" s="93" t="s">
        <v>98</v>
      </c>
      <c r="D1" s="93" t="s">
        <v>99</v>
      </c>
      <c r="E1" s="93" t="s">
        <v>84</v>
      </c>
      <c r="F1" s="93" t="s">
        <v>63</v>
      </c>
      <c r="G1" s="93" t="s">
        <v>100</v>
      </c>
      <c r="H1" s="93" t="s">
        <v>101</v>
      </c>
      <c r="I1" s="93" t="s">
        <v>74</v>
      </c>
      <c r="J1" s="93" t="s">
        <v>102</v>
      </c>
      <c r="K1" s="93" t="s">
        <v>103</v>
      </c>
      <c r="L1" s="93" t="s">
        <v>104</v>
      </c>
      <c r="M1" s="93" t="s">
        <v>105</v>
      </c>
      <c r="N1" s="65" t="s">
        <v>24</v>
      </c>
      <c r="O1" s="56" t="s">
        <v>1</v>
      </c>
      <c r="P1" s="65" t="s">
        <v>113</v>
      </c>
      <c r="Q1" s="65" t="s">
        <v>114</v>
      </c>
      <c r="R1" s="59"/>
      <c r="S1" s="59"/>
      <c r="T1" s="59"/>
      <c r="U1" s="59"/>
      <c r="V1" s="59"/>
      <c r="W1" s="59"/>
      <c r="X1" s="59"/>
      <c r="Y1" s="59"/>
      <c r="Z1" s="59"/>
    </row>
    <row r="2" spans="1:26" ht="30.75" customHeight="1" x14ac:dyDescent="0.15">
      <c r="A2" s="59" t="str">
        <f ca="1">IFERROR(__xludf.DUMMYFUNCTION("QUERY(MasterData!A1:NK11244,""select EH,EI,EJ,EK,EL,EM,EN,EO,EP,EQ,ER,ES,ET,B,C,FL,FM where C='S12: Student capabilities enhancement'"",0)"),"#N/A")</f>
        <v>#N/A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 spans="1:26" ht="30.75" customHeight="1" x14ac:dyDescent="0.15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spans="1:26" ht="30.75" customHeight="1" x14ac:dyDescent="0.15">
      <c r="A4" s="59"/>
      <c r="B4" s="59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</row>
    <row r="5" spans="1:26" ht="30.75" customHeight="1" x14ac:dyDescent="0.15">
      <c r="A5" s="59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</row>
    <row r="6" spans="1:26" ht="30.75" customHeight="1" x14ac:dyDescent="0.15">
      <c r="A6" s="59"/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</row>
    <row r="7" spans="1:26" ht="30.75" customHeight="1" x14ac:dyDescent="0.15">
      <c r="A7" s="59"/>
      <c r="B7" s="59"/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</row>
    <row r="8" spans="1:26" ht="30.75" customHeight="1" x14ac:dyDescent="0.15">
      <c r="A8" s="59"/>
      <c r="B8" s="59"/>
      <c r="C8" s="59"/>
      <c r="D8" s="59"/>
      <c r="E8" s="59"/>
      <c r="F8" s="59"/>
      <c r="G8" s="59"/>
      <c r="H8" s="59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</row>
    <row r="9" spans="1:26" ht="30.75" customHeight="1" x14ac:dyDescent="0.15">
      <c r="A9" s="59"/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</row>
    <row r="10" spans="1:26" ht="30.75" customHeight="1" x14ac:dyDescent="0.15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</row>
    <row r="11" spans="1:26" ht="30.75" customHeight="1" x14ac:dyDescent="0.15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</row>
    <row r="12" spans="1:26" ht="30.75" customHeight="1" x14ac:dyDescent="0.15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</row>
    <row r="13" spans="1:26" ht="30.75" customHeight="1" x14ac:dyDescent="0.15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</row>
    <row r="14" spans="1:26" ht="30.75" customHeight="1" x14ac:dyDescent="0.15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 spans="1:26" ht="30.75" customHeight="1" x14ac:dyDescent="0.15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 spans="1:26" ht="30.75" customHeight="1" x14ac:dyDescent="0.15">
      <c r="A16" s="59"/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</row>
    <row r="17" spans="1:26" ht="30.75" customHeight="1" x14ac:dyDescent="0.15">
      <c r="A17" s="59"/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</row>
    <row r="18" spans="1:26" ht="30.75" customHeight="1" x14ac:dyDescent="0.15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</row>
    <row r="19" spans="1:26" ht="30.75" customHeight="1" x14ac:dyDescent="0.15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</row>
    <row r="20" spans="1:26" ht="30.75" customHeight="1" x14ac:dyDescent="0.15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</row>
    <row r="21" spans="1:26" ht="30.75" customHeight="1" x14ac:dyDescent="0.1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</row>
    <row r="22" spans="1:26" ht="30.75" customHeight="1" x14ac:dyDescent="0.1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</row>
    <row r="23" spans="1:26" ht="30.75" customHeight="1" x14ac:dyDescent="0.15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</row>
    <row r="24" spans="1:26" ht="30.75" customHeight="1" x14ac:dyDescent="0.15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</row>
    <row r="25" spans="1:26" ht="30.75" customHeight="1" x14ac:dyDescent="0.15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</row>
    <row r="26" spans="1:26" ht="30.75" customHeight="1" x14ac:dyDescent="0.15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 spans="1:26" ht="30.75" customHeight="1" x14ac:dyDescent="0.15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</row>
    <row r="28" spans="1:26" ht="30.75" customHeight="1" x14ac:dyDescent="0.15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</row>
    <row r="29" spans="1:26" ht="30.75" customHeight="1" x14ac:dyDescent="0.15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</row>
    <row r="30" spans="1:26" ht="30.75" customHeight="1" x14ac:dyDescent="0.15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</row>
    <row r="31" spans="1:26" ht="30.75" customHeight="1" x14ac:dyDescent="0.15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</row>
    <row r="32" spans="1:26" ht="30.75" customHeight="1" x14ac:dyDescent="0.15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</row>
    <row r="33" spans="1:26" ht="30.75" customHeight="1" x14ac:dyDescent="0.15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</row>
    <row r="34" spans="1:26" ht="30.75" customHeight="1" x14ac:dyDescent="0.15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</row>
    <row r="35" spans="1:26" ht="30.75" customHeight="1" x14ac:dyDescent="0.15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</row>
    <row r="36" spans="1:26" ht="30.75" customHeight="1" x14ac:dyDescent="0.15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</row>
    <row r="37" spans="1:26" ht="30.75" customHeight="1" x14ac:dyDescent="0.15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</row>
    <row r="38" spans="1:26" ht="30.75" customHeight="1" x14ac:dyDescent="0.15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</row>
    <row r="39" spans="1:26" ht="30.75" customHeight="1" x14ac:dyDescent="0.15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</row>
    <row r="40" spans="1:26" ht="30.75" customHeight="1" x14ac:dyDescent="0.15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</row>
    <row r="41" spans="1:26" ht="30.75" customHeight="1" x14ac:dyDescent="0.15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</row>
    <row r="42" spans="1:26" ht="30.75" customHeight="1" x14ac:dyDescent="0.15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</row>
    <row r="43" spans="1:26" ht="30.75" customHeight="1" x14ac:dyDescent="0.15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</row>
    <row r="44" spans="1:26" ht="30.75" customHeight="1" x14ac:dyDescent="0.15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 spans="1:26" ht="30.75" customHeight="1" x14ac:dyDescent="0.15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</row>
    <row r="46" spans="1:26" ht="30.75" customHeight="1" x14ac:dyDescent="0.15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</row>
    <row r="47" spans="1:26" ht="30.75" customHeight="1" x14ac:dyDescent="0.15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</row>
    <row r="48" spans="1:26" ht="30.75" customHeight="1" x14ac:dyDescent="0.15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</row>
    <row r="49" spans="1:26" ht="30.75" customHeight="1" x14ac:dyDescent="0.15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</row>
    <row r="50" spans="1:26" ht="30.75" customHeight="1" x14ac:dyDescent="0.15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</row>
    <row r="51" spans="1:26" ht="30.75" customHeight="1" x14ac:dyDescent="0.15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</row>
    <row r="52" spans="1:26" ht="30.75" customHeight="1" x14ac:dyDescent="0.15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</row>
    <row r="53" spans="1:26" ht="30.75" customHeight="1" x14ac:dyDescent="0.15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</row>
    <row r="54" spans="1:26" ht="30.75" customHeight="1" x14ac:dyDescent="0.15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</row>
    <row r="55" spans="1:26" ht="30.75" customHeight="1" x14ac:dyDescent="0.15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</row>
    <row r="56" spans="1:26" ht="30.75" customHeight="1" x14ac:dyDescent="0.15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</row>
    <row r="57" spans="1:26" ht="30.75" customHeight="1" x14ac:dyDescent="0.15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</row>
    <row r="58" spans="1:26" ht="30.75" customHeight="1" x14ac:dyDescent="0.15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</row>
    <row r="59" spans="1:26" ht="30.75" customHeight="1" x14ac:dyDescent="0.15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</row>
    <row r="60" spans="1:26" ht="30.75" customHeight="1" x14ac:dyDescent="0.15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</row>
    <row r="61" spans="1:26" ht="30.75" customHeight="1" x14ac:dyDescent="0.15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</row>
    <row r="62" spans="1:26" ht="30.75" customHeight="1" x14ac:dyDescent="0.15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</row>
    <row r="63" spans="1:26" ht="30.75" customHeight="1" x14ac:dyDescent="0.15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</row>
    <row r="64" spans="1:26" ht="30.75" customHeight="1" x14ac:dyDescent="0.15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</row>
    <row r="65" spans="1:26" ht="30.75" customHeight="1" x14ac:dyDescent="0.15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</row>
    <row r="66" spans="1:26" ht="30.75" customHeight="1" x14ac:dyDescent="0.15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</row>
    <row r="67" spans="1:26" ht="30.75" customHeight="1" x14ac:dyDescent="0.15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</row>
    <row r="68" spans="1:26" ht="30.75" customHeight="1" x14ac:dyDescent="0.15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</row>
    <row r="69" spans="1:26" ht="30.75" customHeight="1" x14ac:dyDescent="0.15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</row>
    <row r="70" spans="1:26" ht="30.75" customHeight="1" x14ac:dyDescent="0.15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</row>
    <row r="71" spans="1:26" ht="30.75" customHeight="1" x14ac:dyDescent="0.15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</row>
    <row r="72" spans="1:26" ht="30.75" customHeight="1" x14ac:dyDescent="0.15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</row>
    <row r="73" spans="1:26" ht="30.75" customHeight="1" x14ac:dyDescent="0.15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</row>
    <row r="74" spans="1:26" ht="30.75" customHeight="1" x14ac:dyDescent="0.15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</row>
    <row r="75" spans="1:26" ht="30.75" customHeight="1" x14ac:dyDescent="0.15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</row>
    <row r="76" spans="1:26" ht="30.75" customHeight="1" x14ac:dyDescent="0.15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</row>
    <row r="77" spans="1:26" ht="30.75" customHeight="1" x14ac:dyDescent="0.15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</row>
    <row r="78" spans="1:26" ht="30.75" customHeight="1" x14ac:dyDescent="0.15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</row>
    <row r="79" spans="1:26" ht="30.75" customHeight="1" x14ac:dyDescent="0.15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</row>
    <row r="80" spans="1:26" ht="30.75" customHeight="1" x14ac:dyDescent="0.15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</row>
    <row r="81" spans="1:26" ht="30.75" customHeight="1" x14ac:dyDescent="0.15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</row>
    <row r="82" spans="1:26" ht="30.75" customHeight="1" x14ac:dyDescent="0.15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</row>
    <row r="83" spans="1:26" ht="30.75" customHeight="1" x14ac:dyDescent="0.15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</row>
    <row r="84" spans="1:26" ht="30.75" customHeight="1" x14ac:dyDescent="0.15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</row>
    <row r="85" spans="1:26" ht="30.75" customHeight="1" x14ac:dyDescent="0.15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</row>
    <row r="86" spans="1:26" ht="30.75" customHeight="1" x14ac:dyDescent="0.15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</row>
    <row r="87" spans="1:26" ht="30.75" customHeight="1" x14ac:dyDescent="0.15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</row>
    <row r="88" spans="1:26" ht="30.75" customHeight="1" x14ac:dyDescent="0.15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</row>
    <row r="89" spans="1:26" ht="30.75" customHeight="1" x14ac:dyDescent="0.15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</row>
    <row r="90" spans="1:26" ht="30.75" customHeight="1" x14ac:dyDescent="0.15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</row>
    <row r="91" spans="1:26" ht="30.75" customHeight="1" x14ac:dyDescent="0.15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</row>
    <row r="92" spans="1:26" ht="30.75" customHeight="1" x14ac:dyDescent="0.15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</row>
    <row r="93" spans="1:26" ht="30.75" customHeight="1" x14ac:dyDescent="0.15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</row>
    <row r="94" spans="1:26" ht="30.75" customHeight="1" x14ac:dyDescent="0.15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</row>
    <row r="95" spans="1:26" ht="30.75" customHeight="1" x14ac:dyDescent="0.15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</row>
    <row r="96" spans="1:26" ht="30.75" customHeight="1" x14ac:dyDescent="0.15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</row>
    <row r="97" spans="1:26" ht="30.75" customHeight="1" x14ac:dyDescent="0.15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</row>
    <row r="98" spans="1:26" ht="30.75" customHeight="1" x14ac:dyDescent="0.15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</row>
    <row r="99" spans="1:26" ht="30.75" customHeight="1" x14ac:dyDescent="0.15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</row>
    <row r="100" spans="1:26" ht="30.75" customHeight="1" x14ac:dyDescent="0.15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</row>
    <row r="101" spans="1:26" ht="30.75" customHeight="1" x14ac:dyDescent="0.15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</row>
    <row r="102" spans="1:26" ht="30.75" customHeight="1" x14ac:dyDescent="0.15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</row>
    <row r="103" spans="1:26" ht="30.75" customHeight="1" x14ac:dyDescent="0.15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</row>
    <row r="104" spans="1:26" ht="30.75" customHeight="1" x14ac:dyDescent="0.15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</row>
    <row r="105" spans="1:26" ht="30.75" customHeight="1" x14ac:dyDescent="0.15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</row>
    <row r="106" spans="1:26" ht="30.75" customHeight="1" x14ac:dyDescent="0.15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</row>
    <row r="107" spans="1:26" ht="30.75" customHeight="1" x14ac:dyDescent="0.15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</row>
    <row r="108" spans="1:26" ht="30.75" customHeight="1" x14ac:dyDescent="0.15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</row>
    <row r="109" spans="1:26" ht="30.75" customHeight="1" x14ac:dyDescent="0.15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</row>
    <row r="110" spans="1:26" ht="30.75" customHeight="1" x14ac:dyDescent="0.15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</row>
    <row r="111" spans="1:26" ht="30.75" customHeight="1" x14ac:dyDescent="0.15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</row>
    <row r="112" spans="1:26" ht="30.75" customHeight="1" x14ac:dyDescent="0.15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</row>
    <row r="113" spans="1:26" ht="30.75" customHeight="1" x14ac:dyDescent="0.15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</row>
    <row r="114" spans="1:26" ht="30.75" customHeight="1" x14ac:dyDescent="0.15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</row>
    <row r="115" spans="1:26" ht="30.75" customHeight="1" x14ac:dyDescent="0.15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</row>
    <row r="116" spans="1:26" ht="30.75" customHeight="1" x14ac:dyDescent="0.15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</row>
    <row r="117" spans="1:26" ht="30.75" customHeight="1" x14ac:dyDescent="0.15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</row>
    <row r="118" spans="1:26" ht="30.75" customHeight="1" x14ac:dyDescent="0.15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</row>
    <row r="119" spans="1:26" ht="30.75" customHeight="1" x14ac:dyDescent="0.15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</row>
    <row r="120" spans="1:26" ht="30.75" customHeight="1" x14ac:dyDescent="0.15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</row>
    <row r="121" spans="1:26" ht="30.75" customHeight="1" x14ac:dyDescent="0.15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</row>
    <row r="122" spans="1:26" ht="30.75" customHeight="1" x14ac:dyDescent="0.15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</row>
    <row r="123" spans="1:26" ht="30.75" customHeight="1" x14ac:dyDescent="0.15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</row>
    <row r="124" spans="1:26" ht="30.75" customHeight="1" x14ac:dyDescent="0.15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</row>
    <row r="125" spans="1:26" ht="30.75" customHeight="1" x14ac:dyDescent="0.15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</row>
    <row r="126" spans="1:26" ht="30.75" customHeight="1" x14ac:dyDescent="0.15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</row>
    <row r="127" spans="1:26" ht="30.75" customHeight="1" x14ac:dyDescent="0.15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</row>
    <row r="128" spans="1:26" ht="30.75" customHeight="1" x14ac:dyDescent="0.15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</row>
    <row r="129" spans="1:26" ht="30.75" customHeight="1" x14ac:dyDescent="0.15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</row>
    <row r="130" spans="1:26" ht="30.75" customHeight="1" x14ac:dyDescent="0.15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</row>
    <row r="131" spans="1:26" ht="30.75" customHeight="1" x14ac:dyDescent="0.15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</row>
    <row r="132" spans="1:26" ht="30.75" customHeight="1" x14ac:dyDescent="0.15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</row>
    <row r="133" spans="1:26" ht="30.75" customHeight="1" x14ac:dyDescent="0.15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</row>
    <row r="134" spans="1:26" ht="30.75" customHeight="1" x14ac:dyDescent="0.15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</row>
    <row r="135" spans="1:26" ht="30.75" customHeight="1" x14ac:dyDescent="0.15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</row>
    <row r="136" spans="1:26" ht="30.75" customHeight="1" x14ac:dyDescent="0.15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</row>
    <row r="137" spans="1:26" ht="30.75" customHeight="1" x14ac:dyDescent="0.15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</row>
    <row r="138" spans="1:26" ht="30.75" customHeight="1" x14ac:dyDescent="0.15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</row>
    <row r="139" spans="1:26" ht="30.75" customHeight="1" x14ac:dyDescent="0.15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</row>
    <row r="140" spans="1:26" ht="30.75" customHeight="1" x14ac:dyDescent="0.15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</row>
    <row r="141" spans="1:26" ht="30.75" customHeight="1" x14ac:dyDescent="0.15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</row>
    <row r="142" spans="1:26" ht="30.75" customHeight="1" x14ac:dyDescent="0.15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</row>
    <row r="143" spans="1:26" ht="30.75" customHeight="1" x14ac:dyDescent="0.15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</row>
    <row r="144" spans="1:26" ht="30.75" customHeight="1" x14ac:dyDescent="0.15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</row>
    <row r="145" spans="1:26" ht="30.75" customHeight="1" x14ac:dyDescent="0.15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</row>
    <row r="146" spans="1:26" ht="30.75" customHeight="1" x14ac:dyDescent="0.15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</row>
    <row r="147" spans="1:26" ht="30.75" customHeight="1" x14ac:dyDescent="0.15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</row>
    <row r="148" spans="1:26" ht="30.75" customHeight="1" x14ac:dyDescent="0.15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</row>
    <row r="149" spans="1:26" ht="30.75" customHeight="1" x14ac:dyDescent="0.15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</row>
    <row r="150" spans="1:26" ht="30.75" customHeight="1" x14ac:dyDescent="0.15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</row>
    <row r="151" spans="1:26" ht="30.75" customHeight="1" x14ac:dyDescent="0.15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</row>
    <row r="152" spans="1:26" ht="30.75" customHeight="1" x14ac:dyDescent="0.15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</row>
    <row r="153" spans="1:26" ht="30.75" customHeight="1" x14ac:dyDescent="0.15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</row>
    <row r="154" spans="1:26" ht="30.75" customHeight="1" x14ac:dyDescent="0.15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</row>
    <row r="155" spans="1:26" ht="30.75" customHeight="1" x14ac:dyDescent="0.15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</row>
    <row r="156" spans="1:26" ht="30.75" customHeight="1" x14ac:dyDescent="0.15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</row>
    <row r="157" spans="1:26" ht="30.75" customHeight="1" x14ac:dyDescent="0.15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</row>
    <row r="158" spans="1:26" ht="30.75" customHeight="1" x14ac:dyDescent="0.15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</row>
    <row r="159" spans="1:26" ht="30.75" customHeight="1" x14ac:dyDescent="0.15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</row>
    <row r="160" spans="1:26" ht="30.75" customHeight="1" x14ac:dyDescent="0.15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</row>
    <row r="161" spans="1:26" ht="30.75" customHeight="1" x14ac:dyDescent="0.15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</row>
    <row r="162" spans="1:26" ht="30.75" customHeight="1" x14ac:dyDescent="0.15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</row>
    <row r="163" spans="1:26" ht="30.75" customHeight="1" x14ac:dyDescent="0.15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</row>
    <row r="164" spans="1:26" ht="30.75" customHeight="1" x14ac:dyDescent="0.15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</row>
    <row r="165" spans="1:26" ht="30.75" customHeight="1" x14ac:dyDescent="0.15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</row>
    <row r="166" spans="1:26" ht="30.75" customHeight="1" x14ac:dyDescent="0.15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</row>
    <row r="167" spans="1:26" ht="30.75" customHeight="1" x14ac:dyDescent="0.15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</row>
    <row r="168" spans="1:26" ht="30.75" customHeight="1" x14ac:dyDescent="0.15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</row>
    <row r="169" spans="1:26" ht="30.75" customHeight="1" x14ac:dyDescent="0.15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</row>
    <row r="170" spans="1:26" ht="30.75" customHeight="1" x14ac:dyDescent="0.15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</row>
    <row r="171" spans="1:26" ht="30.75" customHeight="1" x14ac:dyDescent="0.15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</row>
    <row r="172" spans="1:26" ht="30.75" customHeight="1" x14ac:dyDescent="0.15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</row>
    <row r="173" spans="1:26" ht="30.75" customHeight="1" x14ac:dyDescent="0.15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</row>
    <row r="174" spans="1:26" ht="30.75" customHeight="1" x14ac:dyDescent="0.15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</row>
    <row r="175" spans="1:26" ht="30.75" customHeight="1" x14ac:dyDescent="0.15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</row>
    <row r="176" spans="1:26" ht="30.75" customHeight="1" x14ac:dyDescent="0.15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</row>
    <row r="177" spans="1:26" ht="30.75" customHeight="1" x14ac:dyDescent="0.15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</row>
    <row r="178" spans="1:26" ht="30.75" customHeight="1" x14ac:dyDescent="0.15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</row>
    <row r="179" spans="1:26" ht="30.75" customHeight="1" x14ac:dyDescent="0.15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</row>
    <row r="180" spans="1:26" ht="30.75" customHeight="1" x14ac:dyDescent="0.15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</row>
    <row r="181" spans="1:26" ht="30.75" customHeight="1" x14ac:dyDescent="0.15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</row>
    <row r="182" spans="1:26" ht="30.75" customHeight="1" x14ac:dyDescent="0.15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</row>
    <row r="183" spans="1:26" ht="30.75" customHeight="1" x14ac:dyDescent="0.15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</row>
    <row r="184" spans="1:26" ht="30.75" customHeight="1" x14ac:dyDescent="0.15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</row>
    <row r="185" spans="1:26" ht="30.75" customHeight="1" x14ac:dyDescent="0.15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</row>
    <row r="186" spans="1:26" ht="30.75" customHeight="1" x14ac:dyDescent="0.15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</row>
    <row r="187" spans="1:26" ht="30.75" customHeight="1" x14ac:dyDescent="0.15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</row>
    <row r="188" spans="1:26" ht="30.75" customHeight="1" x14ac:dyDescent="0.15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</row>
    <row r="189" spans="1:26" ht="30.75" customHeight="1" x14ac:dyDescent="0.15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</row>
    <row r="190" spans="1:26" ht="30.75" customHeight="1" x14ac:dyDescent="0.15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</row>
    <row r="191" spans="1:26" ht="30.75" customHeight="1" x14ac:dyDescent="0.15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</row>
    <row r="192" spans="1:26" ht="30.75" customHeight="1" x14ac:dyDescent="0.15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</row>
    <row r="193" spans="1:26" ht="30.75" customHeight="1" x14ac:dyDescent="0.15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</row>
    <row r="194" spans="1:26" ht="30.75" customHeight="1" x14ac:dyDescent="0.15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</row>
    <row r="195" spans="1:26" ht="30.75" customHeight="1" x14ac:dyDescent="0.15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</row>
    <row r="196" spans="1:26" ht="30.75" customHeight="1" x14ac:dyDescent="0.15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</row>
    <row r="197" spans="1:26" ht="30.75" customHeight="1" x14ac:dyDescent="0.15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</row>
    <row r="198" spans="1:26" ht="30.75" customHeight="1" x14ac:dyDescent="0.15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</row>
    <row r="199" spans="1:26" ht="30.75" customHeight="1" x14ac:dyDescent="0.15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</row>
    <row r="200" spans="1:26" ht="30.75" customHeight="1" x14ac:dyDescent="0.15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</row>
    <row r="201" spans="1:26" ht="30.75" customHeight="1" x14ac:dyDescent="0.15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</row>
    <row r="202" spans="1:26" ht="30.75" customHeight="1" x14ac:dyDescent="0.15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</row>
    <row r="203" spans="1:26" ht="30.75" customHeight="1" x14ac:dyDescent="0.15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</row>
    <row r="204" spans="1:26" ht="30.75" customHeight="1" x14ac:dyDescent="0.15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</row>
    <row r="205" spans="1:26" ht="30.75" customHeight="1" x14ac:dyDescent="0.15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</row>
    <row r="206" spans="1:26" ht="30.75" customHeight="1" x14ac:dyDescent="0.15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</row>
    <row r="207" spans="1:26" ht="30.75" customHeight="1" x14ac:dyDescent="0.15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</row>
    <row r="208" spans="1:26" ht="30.75" customHeight="1" x14ac:dyDescent="0.15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</row>
    <row r="209" spans="1:26" ht="30.75" customHeight="1" x14ac:dyDescent="0.15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</row>
    <row r="210" spans="1:26" ht="30.75" customHeight="1" x14ac:dyDescent="0.15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</row>
    <row r="211" spans="1:26" ht="30.75" customHeight="1" x14ac:dyDescent="0.15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</row>
    <row r="212" spans="1:26" ht="30.75" customHeight="1" x14ac:dyDescent="0.15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</row>
    <row r="213" spans="1:26" ht="30.75" customHeight="1" x14ac:dyDescent="0.15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</row>
    <row r="214" spans="1:26" ht="30.75" customHeight="1" x14ac:dyDescent="0.15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</row>
    <row r="215" spans="1:26" ht="30.75" customHeight="1" x14ac:dyDescent="0.15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</row>
    <row r="216" spans="1:26" ht="30.75" customHeight="1" x14ac:dyDescent="0.15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</row>
    <row r="217" spans="1:26" ht="30.75" customHeight="1" x14ac:dyDescent="0.15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</row>
    <row r="218" spans="1:26" ht="30.75" customHeight="1" x14ac:dyDescent="0.15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</row>
    <row r="219" spans="1:26" ht="30.75" customHeight="1" x14ac:dyDescent="0.15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</row>
    <row r="220" spans="1:26" ht="30.75" customHeight="1" x14ac:dyDescent="0.15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</row>
    <row r="221" spans="1:26" ht="30.75" customHeight="1" x14ac:dyDescent="0.15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</row>
    <row r="222" spans="1:26" ht="30.75" customHeight="1" x14ac:dyDescent="0.15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</row>
    <row r="223" spans="1:26" ht="30.75" customHeight="1" x14ac:dyDescent="0.15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</row>
    <row r="224" spans="1:26" ht="30.75" customHeight="1" x14ac:dyDescent="0.15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</row>
    <row r="225" spans="1:26" ht="30.75" customHeight="1" x14ac:dyDescent="0.15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</row>
    <row r="226" spans="1:26" ht="30.75" customHeight="1" x14ac:dyDescent="0.15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</row>
    <row r="227" spans="1:26" ht="30.75" customHeight="1" x14ac:dyDescent="0.15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</row>
    <row r="228" spans="1:26" ht="30.75" customHeight="1" x14ac:dyDescent="0.15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</row>
    <row r="229" spans="1:26" ht="30.75" customHeight="1" x14ac:dyDescent="0.15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</row>
    <row r="230" spans="1:26" ht="30.75" customHeight="1" x14ac:dyDescent="0.15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</row>
    <row r="231" spans="1:26" ht="30.75" customHeight="1" x14ac:dyDescent="0.15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</row>
    <row r="232" spans="1:26" ht="30.75" customHeight="1" x14ac:dyDescent="0.15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</row>
    <row r="233" spans="1:26" ht="30.75" customHeight="1" x14ac:dyDescent="0.15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</row>
    <row r="234" spans="1:26" ht="30.75" customHeight="1" x14ac:dyDescent="0.15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</row>
    <row r="235" spans="1:26" ht="30.75" customHeight="1" x14ac:dyDescent="0.15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</row>
    <row r="236" spans="1:26" ht="30.75" customHeight="1" x14ac:dyDescent="0.15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</row>
    <row r="237" spans="1:26" ht="30.75" customHeight="1" x14ac:dyDescent="0.15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</row>
    <row r="238" spans="1:26" ht="30.75" customHeight="1" x14ac:dyDescent="0.15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</row>
    <row r="239" spans="1:26" ht="30.75" customHeight="1" x14ac:dyDescent="0.15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</row>
    <row r="240" spans="1:26" ht="30.75" customHeight="1" x14ac:dyDescent="0.15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</row>
    <row r="241" spans="1:26" ht="30.75" customHeight="1" x14ac:dyDescent="0.15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</row>
    <row r="242" spans="1:26" ht="30.75" customHeight="1" x14ac:dyDescent="0.15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</row>
    <row r="243" spans="1:26" ht="30.75" customHeight="1" x14ac:dyDescent="0.15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</row>
    <row r="244" spans="1:26" ht="30.75" customHeight="1" x14ac:dyDescent="0.15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</row>
    <row r="245" spans="1:26" ht="30.75" customHeight="1" x14ac:dyDescent="0.15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</row>
    <row r="246" spans="1:26" ht="30.75" customHeight="1" x14ac:dyDescent="0.15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</row>
    <row r="247" spans="1:26" ht="30.75" customHeight="1" x14ac:dyDescent="0.15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</row>
    <row r="248" spans="1:26" ht="30.75" customHeight="1" x14ac:dyDescent="0.15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</row>
    <row r="249" spans="1:26" ht="30.75" customHeight="1" x14ac:dyDescent="0.15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</row>
    <row r="250" spans="1:26" ht="30.75" customHeight="1" x14ac:dyDescent="0.15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</row>
    <row r="251" spans="1:26" ht="30.75" customHeight="1" x14ac:dyDescent="0.15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</row>
    <row r="252" spans="1:26" ht="30.75" customHeight="1" x14ac:dyDescent="0.15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</row>
    <row r="253" spans="1:26" ht="30.75" customHeight="1" x14ac:dyDescent="0.15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</row>
    <row r="254" spans="1:26" ht="30.75" customHeight="1" x14ac:dyDescent="0.15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</row>
    <row r="255" spans="1:26" ht="30.75" customHeight="1" x14ac:dyDescent="0.15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</row>
    <row r="256" spans="1:26" ht="30.75" customHeight="1" x14ac:dyDescent="0.15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</row>
    <row r="257" spans="1:26" ht="30.75" customHeight="1" x14ac:dyDescent="0.15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</row>
    <row r="258" spans="1:26" ht="30.75" customHeight="1" x14ac:dyDescent="0.15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</row>
    <row r="259" spans="1:26" ht="30.75" customHeight="1" x14ac:dyDescent="0.15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</row>
    <row r="260" spans="1:26" ht="30.75" customHeight="1" x14ac:dyDescent="0.15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</row>
    <row r="261" spans="1:26" ht="30.75" customHeight="1" x14ac:dyDescent="0.15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</row>
    <row r="262" spans="1:26" ht="30.75" customHeight="1" x14ac:dyDescent="0.15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</row>
    <row r="263" spans="1:26" ht="30.75" customHeight="1" x14ac:dyDescent="0.15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</row>
    <row r="264" spans="1:26" ht="30.75" customHeight="1" x14ac:dyDescent="0.15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</row>
    <row r="265" spans="1:26" ht="30.75" customHeight="1" x14ac:dyDescent="0.15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</row>
    <row r="266" spans="1:26" ht="30.75" customHeight="1" x14ac:dyDescent="0.15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</row>
    <row r="267" spans="1:26" ht="30.75" customHeight="1" x14ac:dyDescent="0.15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</row>
    <row r="268" spans="1:26" ht="30.75" customHeight="1" x14ac:dyDescent="0.15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</row>
    <row r="269" spans="1:26" ht="30.75" customHeight="1" x14ac:dyDescent="0.15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</row>
    <row r="270" spans="1:26" ht="30.75" customHeight="1" x14ac:dyDescent="0.15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</row>
    <row r="271" spans="1:26" ht="30.75" customHeight="1" x14ac:dyDescent="0.15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</row>
    <row r="272" spans="1:26" ht="30.75" customHeight="1" x14ac:dyDescent="0.15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</row>
    <row r="273" spans="1:26" ht="30.75" customHeight="1" x14ac:dyDescent="0.15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</row>
    <row r="274" spans="1:26" ht="30.75" customHeight="1" x14ac:dyDescent="0.15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</row>
    <row r="275" spans="1:26" ht="30.75" customHeight="1" x14ac:dyDescent="0.15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</row>
    <row r="276" spans="1:26" ht="30.75" customHeight="1" x14ac:dyDescent="0.15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</row>
    <row r="277" spans="1:26" ht="30.75" customHeight="1" x14ac:dyDescent="0.15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</row>
    <row r="278" spans="1:26" ht="30.75" customHeight="1" x14ac:dyDescent="0.15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</row>
    <row r="279" spans="1:26" ht="30.75" customHeight="1" x14ac:dyDescent="0.15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</row>
    <row r="280" spans="1:26" ht="30.75" customHeight="1" x14ac:dyDescent="0.15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</row>
    <row r="281" spans="1:26" ht="30.75" customHeight="1" x14ac:dyDescent="0.15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</row>
    <row r="282" spans="1:26" ht="30.75" customHeight="1" x14ac:dyDescent="0.15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</row>
    <row r="283" spans="1:26" ht="30.75" customHeight="1" x14ac:dyDescent="0.15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</row>
    <row r="284" spans="1:26" ht="30.75" customHeight="1" x14ac:dyDescent="0.15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</row>
    <row r="285" spans="1:26" ht="30.75" customHeight="1" x14ac:dyDescent="0.15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</row>
    <row r="286" spans="1:26" ht="30.75" customHeight="1" x14ac:dyDescent="0.15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</row>
    <row r="287" spans="1:26" ht="30.75" customHeight="1" x14ac:dyDescent="0.15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</row>
    <row r="288" spans="1:26" ht="30.75" customHeight="1" x14ac:dyDescent="0.15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</row>
    <row r="289" spans="1:26" ht="30.75" customHeight="1" x14ac:dyDescent="0.15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</row>
    <row r="290" spans="1:26" ht="30.75" customHeight="1" x14ac:dyDescent="0.15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</row>
    <row r="291" spans="1:26" ht="30.75" customHeight="1" x14ac:dyDescent="0.15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</row>
    <row r="292" spans="1:26" ht="30.75" customHeight="1" x14ac:dyDescent="0.15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</row>
    <row r="293" spans="1:26" ht="30.75" customHeight="1" x14ac:dyDescent="0.15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</row>
    <row r="294" spans="1:26" ht="30.75" customHeight="1" x14ac:dyDescent="0.15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</row>
    <row r="295" spans="1:26" ht="30.75" customHeight="1" x14ac:dyDescent="0.15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</row>
    <row r="296" spans="1:26" ht="30.75" customHeight="1" x14ac:dyDescent="0.15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</row>
    <row r="297" spans="1:26" ht="30.75" customHeight="1" x14ac:dyDescent="0.15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</row>
    <row r="298" spans="1:26" ht="30.75" customHeight="1" x14ac:dyDescent="0.15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</row>
    <row r="299" spans="1:26" ht="30.75" customHeight="1" x14ac:dyDescent="0.15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</row>
    <row r="300" spans="1:26" ht="30.75" customHeight="1" x14ac:dyDescent="0.15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</row>
    <row r="301" spans="1:26" ht="30.75" customHeight="1" x14ac:dyDescent="0.15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</row>
    <row r="302" spans="1:26" ht="30.75" customHeight="1" x14ac:dyDescent="0.15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</row>
    <row r="303" spans="1:26" ht="30.75" customHeight="1" x14ac:dyDescent="0.15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</row>
    <row r="304" spans="1:26" ht="30.75" customHeight="1" x14ac:dyDescent="0.15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</row>
    <row r="305" spans="1:26" ht="30.75" customHeight="1" x14ac:dyDescent="0.15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</row>
    <row r="306" spans="1:26" ht="30.75" customHeight="1" x14ac:dyDescent="0.15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</row>
    <row r="307" spans="1:26" ht="30.75" customHeight="1" x14ac:dyDescent="0.15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</row>
    <row r="308" spans="1:26" ht="30.75" customHeight="1" x14ac:dyDescent="0.15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</row>
    <row r="309" spans="1:26" ht="30.75" customHeight="1" x14ac:dyDescent="0.15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</row>
    <row r="310" spans="1:26" ht="30.75" customHeight="1" x14ac:dyDescent="0.15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</row>
    <row r="311" spans="1:26" ht="30.75" customHeight="1" x14ac:dyDescent="0.15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</row>
    <row r="312" spans="1:26" ht="30.75" customHeight="1" x14ac:dyDescent="0.15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</row>
    <row r="313" spans="1:26" ht="30.75" customHeight="1" x14ac:dyDescent="0.15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</row>
    <row r="314" spans="1:26" ht="30.75" customHeight="1" x14ac:dyDescent="0.15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</row>
    <row r="315" spans="1:26" ht="30.75" customHeight="1" x14ac:dyDescent="0.15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</row>
    <row r="316" spans="1:26" ht="30.75" customHeight="1" x14ac:dyDescent="0.15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</row>
    <row r="317" spans="1:26" ht="30.75" customHeight="1" x14ac:dyDescent="0.15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</row>
    <row r="318" spans="1:26" ht="30.75" customHeight="1" x14ac:dyDescent="0.15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</row>
    <row r="319" spans="1:26" ht="30.75" customHeight="1" x14ac:dyDescent="0.15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</row>
    <row r="320" spans="1:26" ht="30.75" customHeight="1" x14ac:dyDescent="0.15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</row>
    <row r="321" spans="1:26" ht="30.75" customHeight="1" x14ac:dyDescent="0.15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</row>
    <row r="322" spans="1:26" ht="30.75" customHeight="1" x14ac:dyDescent="0.15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</row>
    <row r="323" spans="1:26" ht="30.75" customHeight="1" x14ac:dyDescent="0.15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</row>
    <row r="324" spans="1:26" ht="30.75" customHeight="1" x14ac:dyDescent="0.15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</row>
    <row r="325" spans="1:26" ht="30.75" customHeight="1" x14ac:dyDescent="0.15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</row>
    <row r="326" spans="1:26" ht="30.75" customHeight="1" x14ac:dyDescent="0.15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</row>
    <row r="327" spans="1:26" ht="30.75" customHeight="1" x14ac:dyDescent="0.15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</row>
    <row r="328" spans="1:26" ht="30.75" customHeight="1" x14ac:dyDescent="0.15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</row>
    <row r="329" spans="1:26" ht="30.75" customHeight="1" x14ac:dyDescent="0.15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</row>
    <row r="330" spans="1:26" ht="30.75" customHeight="1" x14ac:dyDescent="0.15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</row>
    <row r="331" spans="1:26" ht="30.75" customHeight="1" x14ac:dyDescent="0.15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</row>
    <row r="332" spans="1:26" ht="30.75" customHeight="1" x14ac:dyDescent="0.15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</row>
    <row r="333" spans="1:26" ht="30.75" customHeight="1" x14ac:dyDescent="0.15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</row>
    <row r="334" spans="1:26" ht="30.75" customHeight="1" x14ac:dyDescent="0.15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</row>
    <row r="335" spans="1:26" ht="30.75" customHeight="1" x14ac:dyDescent="0.15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</row>
    <row r="336" spans="1:26" ht="30.75" customHeight="1" x14ac:dyDescent="0.15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</row>
    <row r="337" spans="1:26" ht="30.75" customHeight="1" x14ac:dyDescent="0.15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</row>
    <row r="338" spans="1:26" ht="30.75" customHeight="1" x14ac:dyDescent="0.15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</row>
    <row r="339" spans="1:26" ht="30.75" customHeight="1" x14ac:dyDescent="0.15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</row>
    <row r="340" spans="1:26" ht="30.75" customHeight="1" x14ac:dyDescent="0.15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</row>
    <row r="341" spans="1:26" ht="30.75" customHeight="1" x14ac:dyDescent="0.15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</row>
    <row r="342" spans="1:26" ht="30.75" customHeight="1" x14ac:dyDescent="0.15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</row>
    <row r="343" spans="1:26" ht="30.75" customHeight="1" x14ac:dyDescent="0.15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</row>
    <row r="344" spans="1:26" ht="30.75" customHeight="1" x14ac:dyDescent="0.15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</row>
    <row r="345" spans="1:26" ht="30.75" customHeight="1" x14ac:dyDescent="0.15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</row>
    <row r="346" spans="1:26" ht="30.75" customHeight="1" x14ac:dyDescent="0.15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</row>
    <row r="347" spans="1:26" ht="30.75" customHeight="1" x14ac:dyDescent="0.15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</row>
    <row r="348" spans="1:26" ht="30.75" customHeight="1" x14ac:dyDescent="0.15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</row>
    <row r="349" spans="1:26" ht="30.75" customHeight="1" x14ac:dyDescent="0.15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</row>
    <row r="350" spans="1:26" ht="30.75" customHeight="1" x14ac:dyDescent="0.15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</row>
    <row r="351" spans="1:26" ht="30.75" customHeight="1" x14ac:dyDescent="0.15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</row>
    <row r="352" spans="1:26" ht="30.75" customHeight="1" x14ac:dyDescent="0.15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</row>
    <row r="353" spans="1:26" ht="30.75" customHeight="1" x14ac:dyDescent="0.15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</row>
    <row r="354" spans="1:26" ht="30.75" customHeight="1" x14ac:dyDescent="0.15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</row>
    <row r="355" spans="1:26" ht="30.75" customHeight="1" x14ac:dyDescent="0.15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</row>
    <row r="356" spans="1:26" ht="30.75" customHeight="1" x14ac:dyDescent="0.15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</row>
    <row r="357" spans="1:26" ht="30.75" customHeight="1" x14ac:dyDescent="0.15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</row>
    <row r="358" spans="1:26" ht="30.75" customHeight="1" x14ac:dyDescent="0.15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</row>
    <row r="359" spans="1:26" ht="30.75" customHeight="1" x14ac:dyDescent="0.15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</row>
    <row r="360" spans="1:26" ht="30.75" customHeight="1" x14ac:dyDescent="0.15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</row>
    <row r="361" spans="1:26" ht="30.75" customHeight="1" x14ac:dyDescent="0.15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</row>
    <row r="362" spans="1:26" ht="30.75" customHeight="1" x14ac:dyDescent="0.15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</row>
    <row r="363" spans="1:26" ht="30.75" customHeight="1" x14ac:dyDescent="0.15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</row>
    <row r="364" spans="1:26" ht="30.75" customHeight="1" x14ac:dyDescent="0.15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</row>
    <row r="365" spans="1:26" ht="30.75" customHeight="1" x14ac:dyDescent="0.15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</row>
    <row r="366" spans="1:26" ht="30.75" customHeight="1" x14ac:dyDescent="0.15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</row>
    <row r="367" spans="1:26" ht="30.75" customHeight="1" x14ac:dyDescent="0.15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</row>
    <row r="368" spans="1:26" ht="30.75" customHeight="1" x14ac:dyDescent="0.15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</row>
    <row r="369" spans="1:26" ht="30.75" customHeight="1" x14ac:dyDescent="0.15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</row>
    <row r="370" spans="1:26" ht="30.75" customHeight="1" x14ac:dyDescent="0.15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</row>
    <row r="371" spans="1:26" ht="30.75" customHeight="1" x14ac:dyDescent="0.15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</row>
    <row r="372" spans="1:26" ht="30.75" customHeight="1" x14ac:dyDescent="0.15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</row>
    <row r="373" spans="1:26" ht="30.75" customHeight="1" x14ac:dyDescent="0.15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</row>
    <row r="374" spans="1:26" ht="30.75" customHeight="1" x14ac:dyDescent="0.15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</row>
    <row r="375" spans="1:26" ht="30.75" customHeight="1" x14ac:dyDescent="0.15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</row>
    <row r="376" spans="1:26" ht="30.75" customHeight="1" x14ac:dyDescent="0.15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</row>
    <row r="377" spans="1:26" ht="30.75" customHeight="1" x14ac:dyDescent="0.15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</row>
    <row r="378" spans="1:26" ht="30.75" customHeight="1" x14ac:dyDescent="0.15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</row>
    <row r="379" spans="1:26" ht="30.75" customHeight="1" x14ac:dyDescent="0.15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</row>
    <row r="380" spans="1:26" ht="30.75" customHeight="1" x14ac:dyDescent="0.15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</row>
    <row r="381" spans="1:26" ht="30.75" customHeight="1" x14ac:dyDescent="0.15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</row>
    <row r="382" spans="1:26" ht="30.75" customHeight="1" x14ac:dyDescent="0.15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  <c r="Z382" s="59"/>
    </row>
    <row r="383" spans="1:26" ht="30.75" customHeight="1" x14ac:dyDescent="0.15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</row>
    <row r="384" spans="1:26" ht="30.75" customHeight="1" x14ac:dyDescent="0.15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</row>
    <row r="385" spans="1:26" ht="30.75" customHeight="1" x14ac:dyDescent="0.15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</row>
    <row r="386" spans="1:26" ht="30.75" customHeight="1" x14ac:dyDescent="0.15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</row>
    <row r="387" spans="1:26" ht="30.75" customHeight="1" x14ac:dyDescent="0.15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</row>
    <row r="388" spans="1:26" ht="30.75" customHeight="1" x14ac:dyDescent="0.15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</row>
    <row r="389" spans="1:26" ht="30.75" customHeight="1" x14ac:dyDescent="0.15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</row>
    <row r="390" spans="1:26" ht="30.75" customHeight="1" x14ac:dyDescent="0.15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</row>
    <row r="391" spans="1:26" ht="30.75" customHeight="1" x14ac:dyDescent="0.15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</row>
    <row r="392" spans="1:26" ht="30.75" customHeight="1" x14ac:dyDescent="0.15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  <c r="X392" s="59"/>
      <c r="Y392" s="59"/>
      <c r="Z392" s="59"/>
    </row>
    <row r="393" spans="1:26" ht="30.75" customHeight="1" x14ac:dyDescent="0.15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  <c r="X393" s="59"/>
      <c r="Y393" s="59"/>
      <c r="Z393" s="59"/>
    </row>
    <row r="394" spans="1:26" ht="30.75" customHeight="1" x14ac:dyDescent="0.15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  <c r="X394" s="59"/>
      <c r="Y394" s="59"/>
      <c r="Z394" s="59"/>
    </row>
    <row r="395" spans="1:26" ht="30.75" customHeight="1" x14ac:dyDescent="0.15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  <c r="X395" s="59"/>
      <c r="Y395" s="59"/>
      <c r="Z395" s="59"/>
    </row>
    <row r="396" spans="1:26" ht="30.75" customHeight="1" x14ac:dyDescent="0.15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  <c r="X396" s="59"/>
      <c r="Y396" s="59"/>
      <c r="Z396" s="59"/>
    </row>
    <row r="397" spans="1:26" ht="30.75" customHeight="1" x14ac:dyDescent="0.15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  <c r="X397" s="59"/>
      <c r="Y397" s="59"/>
      <c r="Z397" s="59"/>
    </row>
    <row r="398" spans="1:26" ht="30.75" customHeight="1" x14ac:dyDescent="0.15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  <c r="X398" s="59"/>
      <c r="Y398" s="59"/>
      <c r="Z398" s="59"/>
    </row>
    <row r="399" spans="1:26" ht="30.75" customHeight="1" x14ac:dyDescent="0.15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  <c r="X399" s="59"/>
      <c r="Y399" s="59"/>
      <c r="Z399" s="59"/>
    </row>
    <row r="400" spans="1:26" ht="30.75" customHeight="1" x14ac:dyDescent="0.15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  <c r="X400" s="59"/>
      <c r="Y400" s="59"/>
      <c r="Z400" s="59"/>
    </row>
    <row r="401" spans="1:26" ht="30.75" customHeight="1" x14ac:dyDescent="0.15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  <c r="X401" s="59"/>
      <c r="Y401" s="59"/>
      <c r="Z401" s="59"/>
    </row>
    <row r="402" spans="1:26" ht="30.75" customHeight="1" x14ac:dyDescent="0.15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  <c r="X402" s="59"/>
      <c r="Y402" s="59"/>
      <c r="Z402" s="59"/>
    </row>
    <row r="403" spans="1:26" ht="30.75" customHeight="1" x14ac:dyDescent="0.15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  <c r="X403" s="59"/>
      <c r="Y403" s="59"/>
      <c r="Z403" s="59"/>
    </row>
    <row r="404" spans="1:26" ht="30.75" customHeight="1" x14ac:dyDescent="0.15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  <c r="X404" s="59"/>
      <c r="Y404" s="59"/>
      <c r="Z404" s="59"/>
    </row>
    <row r="405" spans="1:26" ht="30.75" customHeight="1" x14ac:dyDescent="0.15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  <c r="X405" s="59"/>
      <c r="Y405" s="59"/>
      <c r="Z405" s="59"/>
    </row>
    <row r="406" spans="1:26" ht="30.75" customHeight="1" x14ac:dyDescent="0.15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  <c r="X406" s="59"/>
      <c r="Y406" s="59"/>
      <c r="Z406" s="59"/>
    </row>
    <row r="407" spans="1:26" ht="30.75" customHeight="1" x14ac:dyDescent="0.15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  <c r="Z407" s="59"/>
    </row>
    <row r="408" spans="1:26" ht="30.75" customHeight="1" x14ac:dyDescent="0.15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  <c r="X408" s="59"/>
      <c r="Y408" s="59"/>
      <c r="Z408" s="59"/>
    </row>
    <row r="409" spans="1:26" ht="30.75" customHeight="1" x14ac:dyDescent="0.15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  <c r="X409" s="59"/>
      <c r="Y409" s="59"/>
      <c r="Z409" s="59"/>
    </row>
    <row r="410" spans="1:26" ht="30.75" customHeight="1" x14ac:dyDescent="0.15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  <c r="X410" s="59"/>
      <c r="Y410" s="59"/>
      <c r="Z410" s="59"/>
    </row>
    <row r="411" spans="1:26" ht="30.75" customHeight="1" x14ac:dyDescent="0.15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  <c r="X411" s="59"/>
      <c r="Y411" s="59"/>
      <c r="Z411" s="59"/>
    </row>
    <row r="412" spans="1:26" ht="30.75" customHeight="1" x14ac:dyDescent="0.15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  <c r="X412" s="59"/>
      <c r="Y412" s="59"/>
      <c r="Z412" s="59"/>
    </row>
    <row r="413" spans="1:26" ht="30.75" customHeight="1" x14ac:dyDescent="0.15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  <c r="X413" s="59"/>
      <c r="Y413" s="59"/>
      <c r="Z413" s="59"/>
    </row>
    <row r="414" spans="1:26" ht="30.75" customHeight="1" x14ac:dyDescent="0.15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  <c r="X414" s="59"/>
      <c r="Y414" s="59"/>
      <c r="Z414" s="59"/>
    </row>
    <row r="415" spans="1:26" ht="30.75" customHeight="1" x14ac:dyDescent="0.15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  <c r="X415" s="59"/>
      <c r="Y415" s="59"/>
      <c r="Z415" s="59"/>
    </row>
    <row r="416" spans="1:26" ht="30.75" customHeight="1" x14ac:dyDescent="0.15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  <c r="X416" s="59"/>
      <c r="Y416" s="59"/>
      <c r="Z416" s="59"/>
    </row>
    <row r="417" spans="1:26" ht="30.75" customHeight="1" x14ac:dyDescent="0.15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  <c r="X417" s="59"/>
      <c r="Y417" s="59"/>
      <c r="Z417" s="59"/>
    </row>
    <row r="418" spans="1:26" ht="30.75" customHeight="1" x14ac:dyDescent="0.15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  <c r="X418" s="59"/>
      <c r="Y418" s="59"/>
      <c r="Z418" s="59"/>
    </row>
    <row r="419" spans="1:26" ht="30.75" customHeight="1" x14ac:dyDescent="0.15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</row>
    <row r="420" spans="1:26" ht="30.75" customHeight="1" x14ac:dyDescent="0.15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  <c r="X420" s="59"/>
      <c r="Y420" s="59"/>
      <c r="Z420" s="59"/>
    </row>
    <row r="421" spans="1:26" ht="30.75" customHeight="1" x14ac:dyDescent="0.15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  <c r="X421" s="59"/>
      <c r="Y421" s="59"/>
      <c r="Z421" s="59"/>
    </row>
    <row r="422" spans="1:26" ht="30.75" customHeight="1" x14ac:dyDescent="0.15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  <c r="X422" s="59"/>
      <c r="Y422" s="59"/>
      <c r="Z422" s="59"/>
    </row>
    <row r="423" spans="1:26" ht="30.75" customHeight="1" x14ac:dyDescent="0.15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  <c r="X423" s="59"/>
      <c r="Y423" s="59"/>
      <c r="Z423" s="59"/>
    </row>
    <row r="424" spans="1:26" ht="30.75" customHeight="1" x14ac:dyDescent="0.15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  <c r="X424" s="59"/>
      <c r="Y424" s="59"/>
      <c r="Z424" s="59"/>
    </row>
    <row r="425" spans="1:26" ht="30.75" customHeight="1" x14ac:dyDescent="0.15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  <c r="X425" s="59"/>
      <c r="Y425" s="59"/>
      <c r="Z425" s="59"/>
    </row>
    <row r="426" spans="1:26" ht="30.75" customHeight="1" x14ac:dyDescent="0.15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  <c r="X426" s="59"/>
      <c r="Y426" s="59"/>
      <c r="Z426" s="59"/>
    </row>
    <row r="427" spans="1:26" ht="30.75" customHeight="1" x14ac:dyDescent="0.15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  <c r="X427" s="59"/>
      <c r="Y427" s="59"/>
      <c r="Z427" s="59"/>
    </row>
    <row r="428" spans="1:26" ht="30.75" customHeight="1" x14ac:dyDescent="0.15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  <c r="X428" s="59"/>
      <c r="Y428" s="59"/>
      <c r="Z428" s="59"/>
    </row>
    <row r="429" spans="1:26" ht="30.75" customHeight="1" x14ac:dyDescent="0.15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  <c r="X429" s="59"/>
      <c r="Y429" s="59"/>
      <c r="Z429" s="59"/>
    </row>
    <row r="430" spans="1:26" ht="30.75" customHeight="1" x14ac:dyDescent="0.15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  <c r="X430" s="59"/>
      <c r="Y430" s="59"/>
      <c r="Z430" s="59"/>
    </row>
    <row r="431" spans="1:26" ht="30.75" customHeight="1" x14ac:dyDescent="0.15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  <c r="X431" s="59"/>
      <c r="Y431" s="59"/>
      <c r="Z431" s="59"/>
    </row>
    <row r="432" spans="1:26" ht="30.75" customHeight="1" x14ac:dyDescent="0.15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  <c r="X432" s="59"/>
      <c r="Y432" s="59"/>
      <c r="Z432" s="59"/>
    </row>
    <row r="433" spans="1:26" ht="30.75" customHeight="1" x14ac:dyDescent="0.15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  <c r="X433" s="59"/>
      <c r="Y433" s="59"/>
      <c r="Z433" s="59"/>
    </row>
    <row r="434" spans="1:26" ht="30.75" customHeight="1" x14ac:dyDescent="0.15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  <c r="X434" s="59"/>
      <c r="Y434" s="59"/>
      <c r="Z434" s="59"/>
    </row>
    <row r="435" spans="1:26" ht="30.75" customHeight="1" x14ac:dyDescent="0.15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  <c r="X435" s="59"/>
      <c r="Y435" s="59"/>
      <c r="Z435" s="59"/>
    </row>
    <row r="436" spans="1:26" ht="30.75" customHeight="1" x14ac:dyDescent="0.15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  <c r="X436" s="59"/>
      <c r="Y436" s="59"/>
      <c r="Z436" s="59"/>
    </row>
    <row r="437" spans="1:26" ht="30.75" customHeight="1" x14ac:dyDescent="0.15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/>
      <c r="Z437" s="59"/>
    </row>
    <row r="438" spans="1:26" ht="30.75" customHeight="1" x14ac:dyDescent="0.15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  <c r="X438" s="59"/>
      <c r="Y438" s="59"/>
      <c r="Z438" s="59"/>
    </row>
    <row r="439" spans="1:26" ht="30.75" customHeight="1" x14ac:dyDescent="0.15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  <c r="X439" s="59"/>
      <c r="Y439" s="59"/>
      <c r="Z439" s="59"/>
    </row>
    <row r="440" spans="1:26" ht="30.75" customHeight="1" x14ac:dyDescent="0.15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  <c r="X440" s="59"/>
      <c r="Y440" s="59"/>
      <c r="Z440" s="59"/>
    </row>
    <row r="441" spans="1:26" ht="30.75" customHeight="1" x14ac:dyDescent="0.15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  <c r="X441" s="59"/>
      <c r="Y441" s="59"/>
      <c r="Z441" s="59"/>
    </row>
    <row r="442" spans="1:26" ht="30.75" customHeight="1" x14ac:dyDescent="0.15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  <c r="X442" s="59"/>
      <c r="Y442" s="59"/>
      <c r="Z442" s="59"/>
    </row>
    <row r="443" spans="1:26" ht="30.75" customHeight="1" x14ac:dyDescent="0.15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  <c r="X443" s="59"/>
      <c r="Y443" s="59"/>
      <c r="Z443" s="59"/>
    </row>
    <row r="444" spans="1:26" ht="30.75" customHeight="1" x14ac:dyDescent="0.15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  <c r="X444" s="59"/>
      <c r="Y444" s="59"/>
      <c r="Z444" s="59"/>
    </row>
    <row r="445" spans="1:26" ht="30.75" customHeight="1" x14ac:dyDescent="0.15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  <c r="X445" s="59"/>
      <c r="Y445" s="59"/>
      <c r="Z445" s="59"/>
    </row>
    <row r="446" spans="1:26" ht="30.75" customHeight="1" x14ac:dyDescent="0.15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/>
      <c r="Y446" s="59"/>
      <c r="Z446" s="59"/>
    </row>
    <row r="447" spans="1:26" ht="30.75" customHeight="1" x14ac:dyDescent="0.15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  <c r="X447" s="59"/>
      <c r="Y447" s="59"/>
      <c r="Z447" s="59"/>
    </row>
    <row r="448" spans="1:26" ht="30.75" customHeight="1" x14ac:dyDescent="0.15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  <c r="X448" s="59"/>
      <c r="Y448" s="59"/>
      <c r="Z448" s="59"/>
    </row>
    <row r="449" spans="1:26" ht="30.75" customHeight="1" x14ac:dyDescent="0.15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  <c r="X449" s="59"/>
      <c r="Y449" s="59"/>
      <c r="Z449" s="59"/>
    </row>
    <row r="450" spans="1:26" ht="30.75" customHeight="1" x14ac:dyDescent="0.15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  <c r="X450" s="59"/>
      <c r="Y450" s="59"/>
      <c r="Z450" s="59"/>
    </row>
    <row r="451" spans="1:26" ht="30.75" customHeight="1" x14ac:dyDescent="0.15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</row>
    <row r="452" spans="1:26" ht="30.75" customHeight="1" x14ac:dyDescent="0.15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</row>
    <row r="453" spans="1:26" ht="30.75" customHeight="1" x14ac:dyDescent="0.15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  <c r="Z453" s="59"/>
    </row>
    <row r="454" spans="1:26" ht="30.75" customHeight="1" x14ac:dyDescent="0.15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  <c r="X454" s="59"/>
      <c r="Y454" s="59"/>
      <c r="Z454" s="59"/>
    </row>
    <row r="455" spans="1:26" ht="30.75" customHeight="1" x14ac:dyDescent="0.15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  <c r="X455" s="59"/>
      <c r="Y455" s="59"/>
      <c r="Z455" s="59"/>
    </row>
    <row r="456" spans="1:26" ht="30.75" customHeight="1" x14ac:dyDescent="0.15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  <c r="X456" s="59"/>
      <c r="Y456" s="59"/>
      <c r="Z456" s="59"/>
    </row>
    <row r="457" spans="1:26" ht="30.75" customHeight="1" x14ac:dyDescent="0.15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  <c r="X457" s="59"/>
      <c r="Y457" s="59"/>
      <c r="Z457" s="59"/>
    </row>
    <row r="458" spans="1:26" ht="30.75" customHeight="1" x14ac:dyDescent="0.15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  <c r="Y458" s="59"/>
      <c r="Z458" s="59"/>
    </row>
    <row r="459" spans="1:26" ht="30.75" customHeight="1" x14ac:dyDescent="0.15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  <c r="X459" s="59"/>
      <c r="Y459" s="59"/>
      <c r="Z459" s="59"/>
    </row>
    <row r="460" spans="1:26" ht="30.75" customHeight="1" x14ac:dyDescent="0.15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  <c r="Y460" s="59"/>
      <c r="Z460" s="59"/>
    </row>
    <row r="461" spans="1:26" ht="30.75" customHeight="1" x14ac:dyDescent="0.15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  <c r="X461" s="59"/>
      <c r="Y461" s="59"/>
      <c r="Z461" s="59"/>
    </row>
    <row r="462" spans="1:26" ht="30.75" customHeight="1" x14ac:dyDescent="0.15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  <c r="Y462" s="59"/>
      <c r="Z462" s="59"/>
    </row>
    <row r="463" spans="1:26" ht="30.75" customHeight="1" x14ac:dyDescent="0.15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  <c r="X463" s="59"/>
      <c r="Y463" s="59"/>
      <c r="Z463" s="59"/>
    </row>
    <row r="464" spans="1:26" ht="30.75" customHeight="1" x14ac:dyDescent="0.15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  <c r="Z464" s="59"/>
    </row>
    <row r="465" spans="1:26" ht="30.75" customHeight="1" x14ac:dyDescent="0.15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  <c r="X465" s="59"/>
      <c r="Y465" s="59"/>
      <c r="Z465" s="59"/>
    </row>
    <row r="466" spans="1:26" ht="30.75" customHeight="1" x14ac:dyDescent="0.15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  <c r="Y466" s="59"/>
      <c r="Z466" s="59"/>
    </row>
    <row r="467" spans="1:26" ht="30.75" customHeight="1" x14ac:dyDescent="0.15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  <c r="X467" s="59"/>
      <c r="Y467" s="59"/>
      <c r="Z467" s="59"/>
    </row>
    <row r="468" spans="1:26" ht="30.75" customHeight="1" x14ac:dyDescent="0.15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  <c r="Y468" s="59"/>
      <c r="Z468" s="59"/>
    </row>
    <row r="469" spans="1:26" ht="30.75" customHeight="1" x14ac:dyDescent="0.15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  <c r="X469" s="59"/>
      <c r="Y469" s="59"/>
      <c r="Z469" s="59"/>
    </row>
    <row r="470" spans="1:26" ht="30.75" customHeight="1" x14ac:dyDescent="0.15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  <c r="Z470" s="59"/>
    </row>
    <row r="471" spans="1:26" ht="30.75" customHeight="1" x14ac:dyDescent="0.15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  <c r="X471" s="59"/>
      <c r="Y471" s="59"/>
      <c r="Z471" s="59"/>
    </row>
    <row r="472" spans="1:26" ht="30.75" customHeight="1" x14ac:dyDescent="0.15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  <c r="Y472" s="59"/>
      <c r="Z472" s="59"/>
    </row>
    <row r="473" spans="1:26" ht="30.75" customHeight="1" x14ac:dyDescent="0.15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  <c r="X473" s="59"/>
      <c r="Y473" s="59"/>
      <c r="Z473" s="59"/>
    </row>
    <row r="474" spans="1:26" ht="30.75" customHeight="1" x14ac:dyDescent="0.15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  <c r="Y474" s="59"/>
      <c r="Z474" s="59"/>
    </row>
    <row r="475" spans="1:26" ht="30.75" customHeight="1" x14ac:dyDescent="0.15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  <c r="X475" s="59"/>
      <c r="Y475" s="59"/>
      <c r="Z475" s="59"/>
    </row>
    <row r="476" spans="1:26" ht="30.75" customHeight="1" x14ac:dyDescent="0.15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  <c r="Y476" s="59"/>
      <c r="Z476" s="59"/>
    </row>
    <row r="477" spans="1:26" ht="30.75" customHeight="1" x14ac:dyDescent="0.15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  <c r="X477" s="59"/>
      <c r="Y477" s="59"/>
      <c r="Z477" s="59"/>
    </row>
    <row r="478" spans="1:26" ht="30.75" customHeight="1" x14ac:dyDescent="0.15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  <c r="Y478" s="59"/>
      <c r="Z478" s="59"/>
    </row>
    <row r="479" spans="1:26" ht="30.75" customHeight="1" x14ac:dyDescent="0.15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  <c r="X479" s="59"/>
      <c r="Y479" s="59"/>
      <c r="Z479" s="59"/>
    </row>
    <row r="480" spans="1:26" ht="30.75" customHeight="1" x14ac:dyDescent="0.15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  <c r="Y480" s="59"/>
      <c r="Z480" s="59"/>
    </row>
    <row r="481" spans="1:26" ht="30.75" customHeight="1" x14ac:dyDescent="0.15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  <c r="X481" s="59"/>
      <c r="Y481" s="59"/>
      <c r="Z481" s="59"/>
    </row>
    <row r="482" spans="1:26" ht="30.75" customHeight="1" x14ac:dyDescent="0.15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  <c r="Z482" s="59"/>
    </row>
    <row r="483" spans="1:26" ht="30.75" customHeight="1" x14ac:dyDescent="0.15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  <c r="X483" s="59"/>
      <c r="Y483" s="59"/>
      <c r="Z483" s="59"/>
    </row>
    <row r="484" spans="1:26" ht="30.75" customHeight="1" x14ac:dyDescent="0.15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  <c r="Y484" s="59"/>
      <c r="Z484" s="59"/>
    </row>
    <row r="485" spans="1:26" ht="30.75" customHeight="1" x14ac:dyDescent="0.15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  <c r="X485" s="59"/>
      <c r="Y485" s="59"/>
      <c r="Z485" s="59"/>
    </row>
    <row r="486" spans="1:26" ht="30.75" customHeight="1" x14ac:dyDescent="0.15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  <c r="Y486" s="59"/>
      <c r="Z486" s="59"/>
    </row>
    <row r="487" spans="1:26" ht="30.75" customHeight="1" x14ac:dyDescent="0.15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  <c r="X487" s="59"/>
      <c r="Y487" s="59"/>
      <c r="Z487" s="59"/>
    </row>
    <row r="488" spans="1:26" ht="30.75" customHeight="1" x14ac:dyDescent="0.15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  <c r="Y488" s="59"/>
      <c r="Z488" s="59"/>
    </row>
    <row r="489" spans="1:26" ht="30.75" customHeight="1" x14ac:dyDescent="0.15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  <c r="X489" s="59"/>
      <c r="Y489" s="59"/>
      <c r="Z489" s="59"/>
    </row>
    <row r="490" spans="1:26" ht="30.75" customHeight="1" x14ac:dyDescent="0.15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  <c r="Y490" s="59"/>
      <c r="Z490" s="59"/>
    </row>
    <row r="491" spans="1:26" ht="30.75" customHeight="1" x14ac:dyDescent="0.15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  <c r="X491" s="59"/>
      <c r="Y491" s="59"/>
      <c r="Z491" s="59"/>
    </row>
    <row r="492" spans="1:26" ht="30.75" customHeight="1" x14ac:dyDescent="0.15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  <c r="Y492" s="59"/>
      <c r="Z492" s="59"/>
    </row>
    <row r="493" spans="1:26" ht="30.75" customHeight="1" x14ac:dyDescent="0.15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  <c r="X493" s="59"/>
      <c r="Y493" s="59"/>
      <c r="Z493" s="59"/>
    </row>
    <row r="494" spans="1:26" ht="30.75" customHeight="1" x14ac:dyDescent="0.15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  <c r="Y494" s="59"/>
      <c r="Z494" s="59"/>
    </row>
    <row r="495" spans="1:26" ht="30.75" customHeight="1" x14ac:dyDescent="0.15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  <c r="X495" s="59"/>
      <c r="Y495" s="59"/>
      <c r="Z495" s="59"/>
    </row>
    <row r="496" spans="1:26" ht="30.75" customHeight="1" x14ac:dyDescent="0.15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  <c r="Y496" s="59"/>
      <c r="Z496" s="59"/>
    </row>
    <row r="497" spans="1:26" ht="30.75" customHeight="1" x14ac:dyDescent="0.15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  <c r="Z497" s="59"/>
    </row>
    <row r="498" spans="1:26" ht="30.75" customHeight="1" x14ac:dyDescent="0.15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  <c r="Y498" s="59"/>
      <c r="Z498" s="59"/>
    </row>
    <row r="499" spans="1:26" ht="30.75" customHeight="1" x14ac:dyDescent="0.15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  <c r="X499" s="59"/>
      <c r="Y499" s="59"/>
      <c r="Z499" s="59"/>
    </row>
    <row r="500" spans="1:26" ht="30.75" customHeight="1" x14ac:dyDescent="0.15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  <c r="Y500" s="59"/>
      <c r="Z500" s="59"/>
    </row>
    <row r="501" spans="1:26" ht="30.75" customHeight="1" x14ac:dyDescent="0.15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  <c r="X501" s="59"/>
      <c r="Y501" s="59"/>
      <c r="Z501" s="59"/>
    </row>
    <row r="502" spans="1:26" ht="30.75" customHeight="1" x14ac:dyDescent="0.15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  <c r="Y502" s="59"/>
      <c r="Z502" s="59"/>
    </row>
    <row r="503" spans="1:26" ht="30.75" customHeight="1" x14ac:dyDescent="0.15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  <c r="X503" s="59"/>
      <c r="Y503" s="59"/>
      <c r="Z503" s="59"/>
    </row>
    <row r="504" spans="1:26" ht="30.75" customHeight="1" x14ac:dyDescent="0.15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  <c r="Y504" s="59"/>
      <c r="Z504" s="59"/>
    </row>
    <row r="505" spans="1:26" ht="30.75" customHeight="1" x14ac:dyDescent="0.15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  <c r="X505" s="59"/>
      <c r="Y505" s="59"/>
      <c r="Z505" s="59"/>
    </row>
    <row r="506" spans="1:26" ht="30.75" customHeight="1" x14ac:dyDescent="0.15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  <c r="Y506" s="59"/>
      <c r="Z506" s="59"/>
    </row>
    <row r="507" spans="1:26" ht="30.75" customHeight="1" x14ac:dyDescent="0.15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  <c r="X507" s="59"/>
      <c r="Y507" s="59"/>
      <c r="Z507" s="59"/>
    </row>
    <row r="508" spans="1:26" ht="30.75" customHeight="1" x14ac:dyDescent="0.15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  <c r="Y508" s="59"/>
      <c r="Z508" s="59"/>
    </row>
    <row r="509" spans="1:26" ht="30.75" customHeight="1" x14ac:dyDescent="0.15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  <c r="X509" s="59"/>
      <c r="Y509" s="59"/>
      <c r="Z509" s="59"/>
    </row>
    <row r="510" spans="1:26" ht="30.75" customHeight="1" x14ac:dyDescent="0.15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  <c r="Y510" s="59"/>
      <c r="Z510" s="59"/>
    </row>
    <row r="511" spans="1:26" ht="30.75" customHeight="1" x14ac:dyDescent="0.15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  <c r="X511" s="59"/>
      <c r="Y511" s="59"/>
      <c r="Z511" s="59"/>
    </row>
    <row r="512" spans="1:26" ht="30.75" customHeight="1" x14ac:dyDescent="0.15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  <c r="Z512" s="59"/>
    </row>
    <row r="513" spans="1:26" ht="30.75" customHeight="1" x14ac:dyDescent="0.15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  <c r="X513" s="59"/>
      <c r="Y513" s="59"/>
      <c r="Z513" s="59"/>
    </row>
    <row r="514" spans="1:26" ht="30.75" customHeight="1" x14ac:dyDescent="0.15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  <c r="Y514" s="59"/>
      <c r="Z514" s="59"/>
    </row>
    <row r="515" spans="1:26" ht="30.75" customHeight="1" x14ac:dyDescent="0.15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  <c r="X515" s="59"/>
      <c r="Y515" s="59"/>
      <c r="Z515" s="59"/>
    </row>
    <row r="516" spans="1:26" ht="30.75" customHeight="1" x14ac:dyDescent="0.15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  <c r="Y516" s="59"/>
      <c r="Z516" s="59"/>
    </row>
    <row r="517" spans="1:26" ht="30.75" customHeight="1" x14ac:dyDescent="0.15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  <c r="X517" s="59"/>
      <c r="Y517" s="59"/>
      <c r="Z517" s="59"/>
    </row>
    <row r="518" spans="1:26" ht="30.75" customHeight="1" x14ac:dyDescent="0.15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  <c r="Z518" s="59"/>
    </row>
    <row r="519" spans="1:26" ht="30.75" customHeight="1" x14ac:dyDescent="0.15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  <c r="X519" s="59"/>
      <c r="Y519" s="59"/>
      <c r="Z519" s="59"/>
    </row>
    <row r="520" spans="1:26" ht="30.75" customHeight="1" x14ac:dyDescent="0.15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</row>
    <row r="521" spans="1:26" ht="30.75" customHeight="1" x14ac:dyDescent="0.15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</row>
    <row r="522" spans="1:26" ht="30.75" customHeight="1" x14ac:dyDescent="0.15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59"/>
    </row>
    <row r="523" spans="1:26" ht="30.75" customHeight="1" x14ac:dyDescent="0.15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  <c r="X523" s="59"/>
      <c r="Y523" s="59"/>
      <c r="Z523" s="59"/>
    </row>
    <row r="524" spans="1:26" ht="30.75" customHeight="1" x14ac:dyDescent="0.15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  <c r="Y524" s="59"/>
      <c r="Z524" s="59"/>
    </row>
    <row r="525" spans="1:26" ht="30.75" customHeight="1" x14ac:dyDescent="0.15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  <c r="X525" s="59"/>
      <c r="Y525" s="59"/>
      <c r="Z525" s="59"/>
    </row>
    <row r="526" spans="1:26" ht="30.75" customHeight="1" x14ac:dyDescent="0.15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  <c r="Y526" s="59"/>
      <c r="Z526" s="59"/>
    </row>
    <row r="527" spans="1:26" ht="30.75" customHeight="1" x14ac:dyDescent="0.15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  <c r="X527" s="59"/>
      <c r="Y527" s="59"/>
      <c r="Z527" s="59"/>
    </row>
    <row r="528" spans="1:26" ht="30.75" customHeight="1" x14ac:dyDescent="0.15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  <c r="Y528" s="59"/>
      <c r="Z528" s="59"/>
    </row>
    <row r="529" spans="1:26" ht="30.75" customHeight="1" x14ac:dyDescent="0.15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  <c r="X529" s="59"/>
      <c r="Y529" s="59"/>
      <c r="Z529" s="59"/>
    </row>
    <row r="530" spans="1:26" ht="30.75" customHeight="1" x14ac:dyDescent="0.15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  <c r="Y530" s="59"/>
      <c r="Z530" s="59"/>
    </row>
    <row r="531" spans="1:26" ht="30.75" customHeight="1" x14ac:dyDescent="0.15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  <c r="X531" s="59"/>
      <c r="Y531" s="59"/>
      <c r="Z531" s="59"/>
    </row>
    <row r="532" spans="1:26" ht="30.75" customHeight="1" x14ac:dyDescent="0.15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  <c r="Y532" s="59"/>
      <c r="Z532" s="59"/>
    </row>
    <row r="533" spans="1:26" ht="30.75" customHeight="1" x14ac:dyDescent="0.15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  <c r="X533" s="59"/>
      <c r="Y533" s="59"/>
      <c r="Z533" s="59"/>
    </row>
    <row r="534" spans="1:26" ht="30.75" customHeight="1" x14ac:dyDescent="0.15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  <c r="Y534" s="59"/>
      <c r="Z534" s="59"/>
    </row>
    <row r="535" spans="1:26" ht="30.75" customHeight="1" x14ac:dyDescent="0.15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  <c r="X535" s="59"/>
      <c r="Y535" s="59"/>
      <c r="Z535" s="59"/>
    </row>
    <row r="536" spans="1:26" ht="30.75" customHeight="1" x14ac:dyDescent="0.15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  <c r="Z536" s="59"/>
    </row>
    <row r="537" spans="1:26" ht="30.75" customHeight="1" x14ac:dyDescent="0.15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  <c r="X537" s="59"/>
      <c r="Y537" s="59"/>
      <c r="Z537" s="59"/>
    </row>
    <row r="538" spans="1:26" ht="30.75" customHeight="1" x14ac:dyDescent="0.15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  <c r="Y538" s="59"/>
      <c r="Z538" s="59"/>
    </row>
    <row r="539" spans="1:26" ht="30.75" customHeight="1" x14ac:dyDescent="0.15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  <c r="X539" s="59"/>
      <c r="Y539" s="59"/>
      <c r="Z539" s="59"/>
    </row>
    <row r="540" spans="1:26" ht="30.75" customHeight="1" x14ac:dyDescent="0.15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  <c r="Y540" s="59"/>
      <c r="Z540" s="59"/>
    </row>
    <row r="541" spans="1:26" ht="30.75" customHeight="1" x14ac:dyDescent="0.15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  <c r="X541" s="59"/>
      <c r="Y541" s="59"/>
      <c r="Z541" s="59"/>
    </row>
    <row r="542" spans="1:26" ht="30.75" customHeight="1" x14ac:dyDescent="0.15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  <c r="Y542" s="59"/>
      <c r="Z542" s="59"/>
    </row>
    <row r="543" spans="1:26" ht="30.75" customHeight="1" x14ac:dyDescent="0.15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  <c r="X543" s="59"/>
      <c r="Y543" s="59"/>
      <c r="Z543" s="59"/>
    </row>
    <row r="544" spans="1:26" ht="30.75" customHeight="1" x14ac:dyDescent="0.15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  <c r="Y544" s="59"/>
      <c r="Z544" s="59"/>
    </row>
    <row r="545" spans="1:26" ht="30.75" customHeight="1" x14ac:dyDescent="0.15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  <c r="X545" s="59"/>
      <c r="Y545" s="59"/>
      <c r="Z545" s="59"/>
    </row>
    <row r="546" spans="1:26" ht="30.75" customHeight="1" x14ac:dyDescent="0.15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  <c r="Y546" s="59"/>
      <c r="Z546" s="59"/>
    </row>
    <row r="547" spans="1:26" ht="30.75" customHeight="1" x14ac:dyDescent="0.15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  <c r="X547" s="59"/>
      <c r="Y547" s="59"/>
      <c r="Z547" s="59"/>
    </row>
    <row r="548" spans="1:26" ht="30.75" customHeight="1" x14ac:dyDescent="0.15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  <c r="Y548" s="59"/>
      <c r="Z548" s="59"/>
    </row>
    <row r="549" spans="1:26" ht="30.75" customHeight="1" x14ac:dyDescent="0.15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  <c r="X549" s="59"/>
      <c r="Y549" s="59"/>
      <c r="Z549" s="59"/>
    </row>
    <row r="550" spans="1:26" ht="30.75" customHeight="1" x14ac:dyDescent="0.15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  <c r="Y550" s="59"/>
      <c r="Z550" s="59"/>
    </row>
    <row r="551" spans="1:26" ht="30.75" customHeight="1" x14ac:dyDescent="0.15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59"/>
    </row>
    <row r="552" spans="1:26" ht="30.75" customHeight="1" x14ac:dyDescent="0.15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  <c r="Z552" s="59"/>
    </row>
    <row r="553" spans="1:26" ht="30.75" customHeight="1" x14ac:dyDescent="0.15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  <c r="Z553" s="59"/>
    </row>
    <row r="554" spans="1:26" ht="30.75" customHeight="1" x14ac:dyDescent="0.15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  <c r="Y554" s="59"/>
      <c r="Z554" s="59"/>
    </row>
    <row r="555" spans="1:26" ht="30.75" customHeight="1" x14ac:dyDescent="0.15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  <c r="X555" s="59"/>
      <c r="Y555" s="59"/>
      <c r="Z555" s="59"/>
    </row>
    <row r="556" spans="1:26" ht="30.75" customHeight="1" x14ac:dyDescent="0.15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  <c r="Y556" s="59"/>
      <c r="Z556" s="59"/>
    </row>
    <row r="557" spans="1:26" ht="30.75" customHeight="1" x14ac:dyDescent="0.15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  <c r="X557" s="59"/>
      <c r="Y557" s="59"/>
      <c r="Z557" s="59"/>
    </row>
    <row r="558" spans="1:26" ht="30.75" customHeight="1" x14ac:dyDescent="0.15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  <c r="Y558" s="59"/>
      <c r="Z558" s="59"/>
    </row>
    <row r="559" spans="1:26" ht="30.75" customHeight="1" x14ac:dyDescent="0.15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  <c r="X559" s="59"/>
      <c r="Y559" s="59"/>
      <c r="Z559" s="59"/>
    </row>
    <row r="560" spans="1:26" ht="30.75" customHeight="1" x14ac:dyDescent="0.15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  <c r="Y560" s="59"/>
      <c r="Z560" s="59"/>
    </row>
    <row r="561" spans="1:26" ht="30.75" customHeight="1" x14ac:dyDescent="0.15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  <c r="X561" s="59"/>
      <c r="Y561" s="59"/>
      <c r="Z561" s="59"/>
    </row>
    <row r="562" spans="1:26" ht="30.75" customHeight="1" x14ac:dyDescent="0.15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  <c r="Y562" s="59"/>
      <c r="Z562" s="59"/>
    </row>
    <row r="563" spans="1:26" ht="30.75" customHeight="1" x14ac:dyDescent="0.15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  <c r="X563" s="59"/>
      <c r="Y563" s="59"/>
      <c r="Z563" s="59"/>
    </row>
    <row r="564" spans="1:26" ht="30.75" customHeight="1" x14ac:dyDescent="0.15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  <c r="Y564" s="59"/>
      <c r="Z564" s="59"/>
    </row>
    <row r="565" spans="1:26" ht="30.75" customHeight="1" x14ac:dyDescent="0.15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  <c r="X565" s="59"/>
      <c r="Y565" s="59"/>
      <c r="Z565" s="59"/>
    </row>
    <row r="566" spans="1:26" ht="30.75" customHeight="1" x14ac:dyDescent="0.15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  <c r="Y566" s="59"/>
      <c r="Z566" s="59"/>
    </row>
    <row r="567" spans="1:26" ht="30.75" customHeight="1" x14ac:dyDescent="0.15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  <c r="X567" s="59"/>
      <c r="Y567" s="59"/>
      <c r="Z567" s="59"/>
    </row>
    <row r="568" spans="1:26" ht="30.75" customHeight="1" x14ac:dyDescent="0.15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  <c r="Y568" s="59"/>
      <c r="Z568" s="59"/>
    </row>
    <row r="569" spans="1:26" ht="30.75" customHeight="1" x14ac:dyDescent="0.15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  <c r="X569" s="59"/>
      <c r="Y569" s="59"/>
      <c r="Z569" s="59"/>
    </row>
    <row r="570" spans="1:26" ht="30.75" customHeight="1" x14ac:dyDescent="0.15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  <c r="Y570" s="59"/>
      <c r="Z570" s="59"/>
    </row>
    <row r="571" spans="1:26" ht="30.75" customHeight="1" x14ac:dyDescent="0.15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  <c r="X571" s="59"/>
      <c r="Y571" s="59"/>
      <c r="Z571" s="59"/>
    </row>
    <row r="572" spans="1:26" ht="30.75" customHeight="1" x14ac:dyDescent="0.15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  <c r="Y572" s="59"/>
      <c r="Z572" s="59"/>
    </row>
    <row r="573" spans="1:26" ht="30.75" customHeight="1" x14ac:dyDescent="0.15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  <c r="X573" s="59"/>
      <c r="Y573" s="59"/>
      <c r="Z573" s="59"/>
    </row>
    <row r="574" spans="1:26" ht="30.75" customHeight="1" x14ac:dyDescent="0.15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  <c r="Y574" s="59"/>
      <c r="Z574" s="59"/>
    </row>
    <row r="575" spans="1:26" ht="30.75" customHeight="1" x14ac:dyDescent="0.15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  <c r="X575" s="59"/>
      <c r="Y575" s="59"/>
      <c r="Z575" s="59"/>
    </row>
    <row r="576" spans="1:26" ht="30.75" customHeight="1" x14ac:dyDescent="0.15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  <c r="Y576" s="59"/>
      <c r="Z576" s="59"/>
    </row>
    <row r="577" spans="1:26" ht="30.75" customHeight="1" x14ac:dyDescent="0.15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  <c r="X577" s="59"/>
      <c r="Y577" s="59"/>
      <c r="Z577" s="59"/>
    </row>
    <row r="578" spans="1:26" ht="30.75" customHeight="1" x14ac:dyDescent="0.15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  <c r="Y578" s="59"/>
      <c r="Z578" s="59"/>
    </row>
    <row r="579" spans="1:26" ht="30.75" customHeight="1" x14ac:dyDescent="0.15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  <c r="X579" s="59"/>
      <c r="Y579" s="59"/>
      <c r="Z579" s="59"/>
    </row>
    <row r="580" spans="1:26" ht="30.75" customHeight="1" x14ac:dyDescent="0.15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  <c r="Y580" s="59"/>
      <c r="Z580" s="59"/>
    </row>
    <row r="581" spans="1:26" ht="30.75" customHeight="1" x14ac:dyDescent="0.15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  <c r="Z581" s="59"/>
    </row>
    <row r="582" spans="1:26" ht="30.75" customHeight="1" x14ac:dyDescent="0.15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  <c r="Y582" s="59"/>
      <c r="Z582" s="59"/>
    </row>
    <row r="583" spans="1:26" ht="30.75" customHeight="1" x14ac:dyDescent="0.15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  <c r="X583" s="59"/>
      <c r="Y583" s="59"/>
      <c r="Z583" s="59"/>
    </row>
    <row r="584" spans="1:26" ht="30.75" customHeight="1" x14ac:dyDescent="0.15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  <c r="Y584" s="59"/>
      <c r="Z584" s="59"/>
    </row>
    <row r="585" spans="1:26" ht="30.75" customHeight="1" x14ac:dyDescent="0.15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  <c r="X585" s="59"/>
      <c r="Y585" s="59"/>
      <c r="Z585" s="59"/>
    </row>
    <row r="586" spans="1:26" ht="30.75" customHeight="1" x14ac:dyDescent="0.15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  <c r="Y586" s="59"/>
      <c r="Z586" s="59"/>
    </row>
    <row r="587" spans="1:26" ht="30.75" customHeight="1" x14ac:dyDescent="0.15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  <c r="X587" s="59"/>
      <c r="Y587" s="59"/>
      <c r="Z587" s="59"/>
    </row>
    <row r="588" spans="1:26" ht="30.75" customHeight="1" x14ac:dyDescent="0.15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  <c r="Y588" s="59"/>
      <c r="Z588" s="59"/>
    </row>
    <row r="589" spans="1:26" ht="30.75" customHeight="1" x14ac:dyDescent="0.15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  <c r="X589" s="59"/>
      <c r="Y589" s="59"/>
      <c r="Z589" s="59"/>
    </row>
    <row r="590" spans="1:26" ht="30.75" customHeight="1" x14ac:dyDescent="0.15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  <c r="Y590" s="59"/>
      <c r="Z590" s="59"/>
    </row>
    <row r="591" spans="1:26" ht="30.75" customHeight="1" x14ac:dyDescent="0.15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  <c r="X591" s="59"/>
      <c r="Y591" s="59"/>
      <c r="Z591" s="59"/>
    </row>
    <row r="592" spans="1:26" ht="30.75" customHeight="1" x14ac:dyDescent="0.15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  <c r="Y592" s="59"/>
      <c r="Z592" s="59"/>
    </row>
    <row r="593" spans="1:26" ht="30.75" customHeight="1" x14ac:dyDescent="0.15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  <c r="X593" s="59"/>
      <c r="Y593" s="59"/>
      <c r="Z593" s="59"/>
    </row>
    <row r="594" spans="1:26" ht="30.75" customHeight="1" x14ac:dyDescent="0.15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  <c r="Y594" s="59"/>
      <c r="Z594" s="59"/>
    </row>
    <row r="595" spans="1:26" ht="30.75" customHeight="1" x14ac:dyDescent="0.15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  <c r="X595" s="59"/>
      <c r="Y595" s="59"/>
      <c r="Z595" s="59"/>
    </row>
    <row r="596" spans="1:26" ht="30.75" customHeight="1" x14ac:dyDescent="0.15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  <c r="Y596" s="59"/>
      <c r="Z596" s="59"/>
    </row>
    <row r="597" spans="1:26" ht="30.75" customHeight="1" x14ac:dyDescent="0.15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  <c r="X597" s="59"/>
      <c r="Y597" s="59"/>
      <c r="Z597" s="59"/>
    </row>
    <row r="598" spans="1:26" ht="30.75" customHeight="1" x14ac:dyDescent="0.15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  <c r="Y598" s="59"/>
      <c r="Z598" s="59"/>
    </row>
    <row r="599" spans="1:26" ht="30.75" customHeight="1" x14ac:dyDescent="0.15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  <c r="X599" s="59"/>
      <c r="Y599" s="59"/>
      <c r="Z599" s="59"/>
    </row>
    <row r="600" spans="1:26" ht="30.75" customHeight="1" x14ac:dyDescent="0.15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  <c r="Z600" s="59"/>
    </row>
    <row r="601" spans="1:26" ht="30.75" customHeight="1" x14ac:dyDescent="0.15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  <c r="Z601" s="59"/>
    </row>
    <row r="602" spans="1:26" ht="30.75" customHeight="1" x14ac:dyDescent="0.15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  <c r="Z602" s="59"/>
    </row>
    <row r="603" spans="1:26" ht="30.75" customHeight="1" x14ac:dyDescent="0.15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  <c r="X603" s="59"/>
      <c r="Y603" s="59"/>
      <c r="Z603" s="59"/>
    </row>
    <row r="604" spans="1:26" ht="30.75" customHeight="1" x14ac:dyDescent="0.15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  <c r="Y604" s="59"/>
      <c r="Z604" s="59"/>
    </row>
    <row r="605" spans="1:26" ht="30.75" customHeight="1" x14ac:dyDescent="0.15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  <c r="X605" s="59"/>
      <c r="Y605" s="59"/>
      <c r="Z605" s="59"/>
    </row>
    <row r="606" spans="1:26" ht="30.75" customHeight="1" x14ac:dyDescent="0.15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  <c r="Y606" s="59"/>
      <c r="Z606" s="59"/>
    </row>
    <row r="607" spans="1:26" ht="30.75" customHeight="1" x14ac:dyDescent="0.15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  <c r="X607" s="59"/>
      <c r="Y607" s="59"/>
      <c r="Z607" s="59"/>
    </row>
    <row r="608" spans="1:26" ht="30.75" customHeight="1" x14ac:dyDescent="0.15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  <c r="Y608" s="59"/>
      <c r="Z608" s="59"/>
    </row>
    <row r="609" spans="1:26" ht="30.75" customHeight="1" x14ac:dyDescent="0.15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  <c r="X609" s="59"/>
      <c r="Y609" s="59"/>
      <c r="Z609" s="59"/>
    </row>
    <row r="610" spans="1:26" ht="30.75" customHeight="1" x14ac:dyDescent="0.15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  <c r="Z610" s="59"/>
    </row>
    <row r="611" spans="1:26" ht="30.75" customHeight="1" x14ac:dyDescent="0.15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  <c r="Z611" s="59"/>
    </row>
    <row r="612" spans="1:26" ht="30.75" customHeight="1" x14ac:dyDescent="0.15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  <c r="Z612" s="59"/>
    </row>
    <row r="613" spans="1:26" ht="30.75" customHeight="1" x14ac:dyDescent="0.15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  <c r="X613" s="59"/>
      <c r="Y613" s="59"/>
      <c r="Z613" s="59"/>
    </row>
    <row r="614" spans="1:26" ht="30.75" customHeight="1" x14ac:dyDescent="0.15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  <c r="Y614" s="59"/>
      <c r="Z614" s="59"/>
    </row>
    <row r="615" spans="1:26" ht="30.75" customHeight="1" x14ac:dyDescent="0.15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  <c r="X615" s="59"/>
      <c r="Y615" s="59"/>
      <c r="Z615" s="59"/>
    </row>
    <row r="616" spans="1:26" ht="30.75" customHeight="1" x14ac:dyDescent="0.15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  <c r="Y616" s="59"/>
      <c r="Z616" s="59"/>
    </row>
    <row r="617" spans="1:26" ht="30.75" customHeight="1" x14ac:dyDescent="0.15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  <c r="X617" s="59"/>
      <c r="Y617" s="59"/>
      <c r="Z617" s="59"/>
    </row>
    <row r="618" spans="1:26" ht="30.75" customHeight="1" x14ac:dyDescent="0.15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  <c r="Y618" s="59"/>
      <c r="Z618" s="59"/>
    </row>
    <row r="619" spans="1:26" ht="30.75" customHeight="1" x14ac:dyDescent="0.15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  <c r="X619" s="59"/>
      <c r="Y619" s="59"/>
      <c r="Z619" s="59"/>
    </row>
    <row r="620" spans="1:26" ht="30.75" customHeight="1" x14ac:dyDescent="0.15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  <c r="Y620" s="59"/>
      <c r="Z620" s="59"/>
    </row>
    <row r="621" spans="1:26" ht="30.75" customHeight="1" x14ac:dyDescent="0.15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  <c r="X621" s="59"/>
      <c r="Y621" s="59"/>
      <c r="Z621" s="59"/>
    </row>
    <row r="622" spans="1:26" ht="30.75" customHeight="1" x14ac:dyDescent="0.15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  <c r="Y622" s="59"/>
      <c r="Z622" s="59"/>
    </row>
    <row r="623" spans="1:26" ht="30.75" customHeight="1" x14ac:dyDescent="0.15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  <c r="X623" s="59"/>
      <c r="Y623" s="59"/>
      <c r="Z623" s="59"/>
    </row>
    <row r="624" spans="1:26" ht="30.75" customHeight="1" x14ac:dyDescent="0.15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  <c r="Y624" s="59"/>
      <c r="Z624" s="59"/>
    </row>
    <row r="625" spans="1:26" ht="30.75" customHeight="1" x14ac:dyDescent="0.15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  <c r="X625" s="59"/>
      <c r="Y625" s="59"/>
      <c r="Z625" s="59"/>
    </row>
    <row r="626" spans="1:26" ht="30.75" customHeight="1" x14ac:dyDescent="0.15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  <c r="Y626" s="59"/>
      <c r="Z626" s="59"/>
    </row>
    <row r="627" spans="1:26" ht="30.75" customHeight="1" x14ac:dyDescent="0.15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  <c r="X627" s="59"/>
      <c r="Y627" s="59"/>
      <c r="Z627" s="59"/>
    </row>
    <row r="628" spans="1:26" ht="30.75" customHeight="1" x14ac:dyDescent="0.15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  <c r="Y628" s="59"/>
      <c r="Z628" s="59"/>
    </row>
    <row r="629" spans="1:26" ht="30.75" customHeight="1" x14ac:dyDescent="0.15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  <c r="X629" s="59"/>
      <c r="Y629" s="59"/>
      <c r="Z629" s="59"/>
    </row>
    <row r="630" spans="1:26" ht="30.75" customHeight="1" x14ac:dyDescent="0.15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  <c r="Y630" s="59"/>
      <c r="Z630" s="59"/>
    </row>
    <row r="631" spans="1:26" ht="30.75" customHeight="1" x14ac:dyDescent="0.15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  <c r="Z631" s="59"/>
    </row>
    <row r="632" spans="1:26" ht="30.75" customHeight="1" x14ac:dyDescent="0.15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  <c r="Z632" s="59"/>
    </row>
    <row r="633" spans="1:26" ht="30.75" customHeight="1" x14ac:dyDescent="0.15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  <c r="Z633" s="59"/>
    </row>
    <row r="634" spans="1:26" ht="30.75" customHeight="1" x14ac:dyDescent="0.15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  <c r="Y634" s="59"/>
      <c r="Z634" s="59"/>
    </row>
    <row r="635" spans="1:26" ht="30.75" customHeight="1" x14ac:dyDescent="0.15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  <c r="X635" s="59"/>
      <c r="Y635" s="59"/>
      <c r="Z635" s="59"/>
    </row>
    <row r="636" spans="1:26" ht="30.75" customHeight="1" x14ac:dyDescent="0.15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  <c r="Y636" s="59"/>
      <c r="Z636" s="59"/>
    </row>
    <row r="637" spans="1:26" ht="30.75" customHeight="1" x14ac:dyDescent="0.15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  <c r="X637" s="59"/>
      <c r="Y637" s="59"/>
      <c r="Z637" s="59"/>
    </row>
    <row r="638" spans="1:26" ht="30.75" customHeight="1" x14ac:dyDescent="0.15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  <c r="Z638" s="59"/>
    </row>
    <row r="639" spans="1:26" ht="30.75" customHeight="1" x14ac:dyDescent="0.15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  <c r="Z639" s="59"/>
    </row>
    <row r="640" spans="1:26" ht="30.75" customHeight="1" x14ac:dyDescent="0.15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  <c r="Z640" s="59"/>
    </row>
    <row r="641" spans="1:26" ht="30.75" customHeight="1" x14ac:dyDescent="0.15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</row>
    <row r="642" spans="1:26" ht="30.75" customHeight="1" x14ac:dyDescent="0.15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</row>
    <row r="643" spans="1:26" ht="30.75" customHeight="1" x14ac:dyDescent="0.15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</row>
    <row r="644" spans="1:26" ht="30.75" customHeight="1" x14ac:dyDescent="0.15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  <c r="Y644" s="59"/>
      <c r="Z644" s="59"/>
    </row>
    <row r="645" spans="1:26" ht="30.75" customHeight="1" x14ac:dyDescent="0.15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  <c r="X645" s="59"/>
      <c r="Y645" s="59"/>
      <c r="Z645" s="59"/>
    </row>
    <row r="646" spans="1:26" ht="30.75" customHeight="1" x14ac:dyDescent="0.15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  <c r="Y646" s="59"/>
      <c r="Z646" s="59"/>
    </row>
    <row r="647" spans="1:26" ht="30.75" customHeight="1" x14ac:dyDescent="0.15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  <c r="X647" s="59"/>
      <c r="Y647" s="59"/>
      <c r="Z647" s="59"/>
    </row>
    <row r="648" spans="1:26" ht="30.75" customHeight="1" x14ac:dyDescent="0.15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  <c r="Y648" s="59"/>
      <c r="Z648" s="59"/>
    </row>
    <row r="649" spans="1:26" ht="30.75" customHeight="1" x14ac:dyDescent="0.15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  <c r="X649" s="59"/>
      <c r="Y649" s="59"/>
      <c r="Z649" s="59"/>
    </row>
    <row r="650" spans="1:26" ht="30.75" customHeight="1" x14ac:dyDescent="0.15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  <c r="Y650" s="59"/>
      <c r="Z650" s="59"/>
    </row>
    <row r="651" spans="1:26" ht="30.75" customHeight="1" x14ac:dyDescent="0.15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  <c r="X651" s="59"/>
      <c r="Y651" s="59"/>
      <c r="Z651" s="59"/>
    </row>
    <row r="652" spans="1:26" ht="30.75" customHeight="1" x14ac:dyDescent="0.15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  <c r="Y652" s="59"/>
      <c r="Z652" s="59"/>
    </row>
    <row r="653" spans="1:26" ht="30.75" customHeight="1" x14ac:dyDescent="0.15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  <c r="X653" s="59"/>
      <c r="Y653" s="59"/>
      <c r="Z653" s="59"/>
    </row>
    <row r="654" spans="1:26" ht="30.75" customHeight="1" x14ac:dyDescent="0.15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  <c r="Y654" s="59"/>
      <c r="Z654" s="59"/>
    </row>
    <row r="655" spans="1:26" ht="30.75" customHeight="1" x14ac:dyDescent="0.15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  <c r="X655" s="59"/>
      <c r="Y655" s="59"/>
      <c r="Z655" s="59"/>
    </row>
    <row r="656" spans="1:26" ht="30.75" customHeight="1" x14ac:dyDescent="0.15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  <c r="Y656" s="59"/>
      <c r="Z656" s="59"/>
    </row>
    <row r="657" spans="1:26" ht="30.75" customHeight="1" x14ac:dyDescent="0.15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  <c r="X657" s="59"/>
      <c r="Y657" s="59"/>
      <c r="Z657" s="59"/>
    </row>
    <row r="658" spans="1:26" ht="30.75" customHeight="1" x14ac:dyDescent="0.15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  <c r="Y658" s="59"/>
      <c r="Z658" s="59"/>
    </row>
    <row r="659" spans="1:26" ht="30.75" customHeight="1" x14ac:dyDescent="0.15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  <c r="X659" s="59"/>
      <c r="Y659" s="59"/>
      <c r="Z659" s="59"/>
    </row>
    <row r="660" spans="1:26" ht="30.75" customHeight="1" x14ac:dyDescent="0.15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  <c r="Y660" s="59"/>
      <c r="Z660" s="59"/>
    </row>
    <row r="661" spans="1:26" ht="30.75" customHeight="1" x14ac:dyDescent="0.15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  <c r="X661" s="59"/>
      <c r="Y661" s="59"/>
      <c r="Z661" s="59"/>
    </row>
    <row r="662" spans="1:26" ht="30.75" customHeight="1" x14ac:dyDescent="0.15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  <c r="Z662" s="59"/>
    </row>
    <row r="663" spans="1:26" ht="30.75" customHeight="1" x14ac:dyDescent="0.15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  <c r="X663" s="59"/>
      <c r="Y663" s="59"/>
      <c r="Z663" s="59"/>
    </row>
    <row r="664" spans="1:26" ht="30.75" customHeight="1" x14ac:dyDescent="0.15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  <c r="Y664" s="59"/>
      <c r="Z664" s="59"/>
    </row>
    <row r="665" spans="1:26" ht="30.75" customHeight="1" x14ac:dyDescent="0.15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  <c r="X665" s="59"/>
      <c r="Y665" s="59"/>
      <c r="Z665" s="59"/>
    </row>
    <row r="666" spans="1:26" ht="30.75" customHeight="1" x14ac:dyDescent="0.15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  <c r="Y666" s="59"/>
      <c r="Z666" s="59"/>
    </row>
    <row r="667" spans="1:26" ht="30.75" customHeight="1" x14ac:dyDescent="0.15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  <c r="X667" s="59"/>
      <c r="Y667" s="59"/>
      <c r="Z667" s="59"/>
    </row>
    <row r="668" spans="1:26" ht="30.75" customHeight="1" x14ac:dyDescent="0.15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  <c r="Y668" s="59"/>
      <c r="Z668" s="59"/>
    </row>
    <row r="669" spans="1:26" ht="30.75" customHeight="1" x14ac:dyDescent="0.15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  <c r="Z669" s="59"/>
    </row>
    <row r="670" spans="1:26" ht="30.75" customHeight="1" x14ac:dyDescent="0.15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  <c r="Z670" s="59"/>
    </row>
    <row r="671" spans="1:26" ht="30.75" customHeight="1" x14ac:dyDescent="0.15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  <c r="Z671" s="59"/>
    </row>
    <row r="672" spans="1:26" ht="30.75" customHeight="1" x14ac:dyDescent="0.15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  <c r="Y672" s="59"/>
      <c r="Z672" s="59"/>
    </row>
    <row r="673" spans="1:26" ht="30.75" customHeight="1" x14ac:dyDescent="0.15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  <c r="X673" s="59"/>
      <c r="Y673" s="59"/>
      <c r="Z673" s="59"/>
    </row>
    <row r="674" spans="1:26" ht="30.75" customHeight="1" x14ac:dyDescent="0.15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  <c r="Y674" s="59"/>
      <c r="Z674" s="59"/>
    </row>
    <row r="675" spans="1:26" ht="30.75" customHeight="1" x14ac:dyDescent="0.15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  <c r="X675" s="59"/>
      <c r="Y675" s="59"/>
      <c r="Z675" s="59"/>
    </row>
    <row r="676" spans="1:26" ht="30.75" customHeight="1" x14ac:dyDescent="0.15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  <c r="Y676" s="59"/>
      <c r="Z676" s="59"/>
    </row>
    <row r="677" spans="1:26" ht="30.75" customHeight="1" x14ac:dyDescent="0.15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  <c r="X677" s="59"/>
      <c r="Y677" s="59"/>
      <c r="Z677" s="59"/>
    </row>
    <row r="678" spans="1:26" ht="30.75" customHeight="1" x14ac:dyDescent="0.15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  <c r="Y678" s="59"/>
      <c r="Z678" s="59"/>
    </row>
    <row r="679" spans="1:26" ht="30.75" customHeight="1" x14ac:dyDescent="0.15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  <c r="X679" s="59"/>
      <c r="Y679" s="59"/>
      <c r="Z679" s="59"/>
    </row>
    <row r="680" spans="1:26" ht="30.75" customHeight="1" x14ac:dyDescent="0.15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  <c r="Y680" s="59"/>
      <c r="Z680" s="59"/>
    </row>
    <row r="681" spans="1:26" ht="30.75" customHeight="1" x14ac:dyDescent="0.15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  <c r="X681" s="59"/>
      <c r="Y681" s="59"/>
      <c r="Z681" s="59"/>
    </row>
    <row r="682" spans="1:26" ht="30.75" customHeight="1" x14ac:dyDescent="0.15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  <c r="Y682" s="59"/>
      <c r="Z682" s="59"/>
    </row>
    <row r="683" spans="1:26" ht="30.75" customHeight="1" x14ac:dyDescent="0.15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  <c r="X683" s="59"/>
      <c r="Y683" s="59"/>
      <c r="Z683" s="59"/>
    </row>
    <row r="684" spans="1:26" ht="30.75" customHeight="1" x14ac:dyDescent="0.15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  <c r="Y684" s="59"/>
      <c r="Z684" s="59"/>
    </row>
    <row r="685" spans="1:26" ht="30.75" customHeight="1" x14ac:dyDescent="0.15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  <c r="X685" s="59"/>
      <c r="Y685" s="59"/>
      <c r="Z685" s="59"/>
    </row>
    <row r="686" spans="1:26" ht="30.75" customHeight="1" x14ac:dyDescent="0.15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  <c r="Y686" s="59"/>
      <c r="Z686" s="59"/>
    </row>
    <row r="687" spans="1:26" ht="30.75" customHeight="1" x14ac:dyDescent="0.15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  <c r="X687" s="59"/>
      <c r="Y687" s="59"/>
      <c r="Z687" s="59"/>
    </row>
    <row r="688" spans="1:26" ht="30.75" customHeight="1" x14ac:dyDescent="0.15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  <c r="Y688" s="59"/>
      <c r="Z688" s="59"/>
    </row>
    <row r="689" spans="1:26" ht="30.75" customHeight="1" x14ac:dyDescent="0.15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  <c r="X689" s="59"/>
      <c r="Y689" s="59"/>
      <c r="Z689" s="59"/>
    </row>
    <row r="690" spans="1:26" ht="30.75" customHeight="1" x14ac:dyDescent="0.15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  <c r="Y690" s="59"/>
      <c r="Z690" s="59"/>
    </row>
    <row r="691" spans="1:26" ht="30.75" customHeight="1" x14ac:dyDescent="0.15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  <c r="X691" s="59"/>
      <c r="Y691" s="59"/>
      <c r="Z691" s="59"/>
    </row>
    <row r="692" spans="1:26" ht="30.75" customHeight="1" x14ac:dyDescent="0.15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  <c r="Y692" s="59"/>
      <c r="Z692" s="59"/>
    </row>
    <row r="693" spans="1:26" ht="30.75" customHeight="1" x14ac:dyDescent="0.15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  <c r="X693" s="59"/>
      <c r="Y693" s="59"/>
      <c r="Z693" s="59"/>
    </row>
    <row r="694" spans="1:26" ht="30.75" customHeight="1" x14ac:dyDescent="0.15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  <c r="Y694" s="59"/>
      <c r="Z694" s="59"/>
    </row>
    <row r="695" spans="1:26" ht="30.75" customHeight="1" x14ac:dyDescent="0.15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  <c r="X695" s="59"/>
      <c r="Y695" s="59"/>
      <c r="Z695" s="59"/>
    </row>
    <row r="696" spans="1:26" ht="30.75" customHeight="1" x14ac:dyDescent="0.15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  <c r="Y696" s="59"/>
      <c r="Z696" s="59"/>
    </row>
    <row r="697" spans="1:26" ht="30.75" customHeight="1" x14ac:dyDescent="0.15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  <c r="X697" s="59"/>
      <c r="Y697" s="59"/>
      <c r="Z697" s="59"/>
    </row>
    <row r="698" spans="1:26" ht="30.75" customHeight="1" x14ac:dyDescent="0.15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  <c r="Y698" s="59"/>
      <c r="Z698" s="59"/>
    </row>
    <row r="699" spans="1:26" ht="30.75" customHeight="1" x14ac:dyDescent="0.15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  <c r="Z699" s="59"/>
    </row>
    <row r="700" spans="1:26" ht="30.75" customHeight="1" x14ac:dyDescent="0.15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  <c r="Z700" s="59"/>
    </row>
    <row r="701" spans="1:26" ht="30.75" customHeight="1" x14ac:dyDescent="0.15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  <c r="X701" s="59"/>
      <c r="Y701" s="59"/>
      <c r="Z701" s="59"/>
    </row>
    <row r="702" spans="1:26" ht="30.75" customHeight="1" x14ac:dyDescent="0.15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  <c r="Y702" s="59"/>
      <c r="Z702" s="59"/>
    </row>
    <row r="703" spans="1:26" ht="30.75" customHeight="1" x14ac:dyDescent="0.15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  <c r="X703" s="59"/>
      <c r="Y703" s="59"/>
      <c r="Z703" s="59"/>
    </row>
    <row r="704" spans="1:26" ht="30.75" customHeight="1" x14ac:dyDescent="0.15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  <c r="Y704" s="59"/>
      <c r="Z704" s="59"/>
    </row>
    <row r="705" spans="1:26" ht="30.75" customHeight="1" x14ac:dyDescent="0.15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  <c r="X705" s="59"/>
      <c r="Y705" s="59"/>
      <c r="Z705" s="59"/>
    </row>
    <row r="706" spans="1:26" ht="30.75" customHeight="1" x14ac:dyDescent="0.15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  <c r="Y706" s="59"/>
      <c r="Z706" s="59"/>
    </row>
    <row r="707" spans="1:26" ht="30.75" customHeight="1" x14ac:dyDescent="0.15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  <c r="X707" s="59"/>
      <c r="Y707" s="59"/>
      <c r="Z707" s="59"/>
    </row>
    <row r="708" spans="1:26" ht="30.75" customHeight="1" x14ac:dyDescent="0.15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</row>
    <row r="709" spans="1:26" ht="30.75" customHeight="1" x14ac:dyDescent="0.15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</row>
    <row r="710" spans="1:26" ht="30.75" customHeight="1" x14ac:dyDescent="0.15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</row>
    <row r="711" spans="1:26" ht="30.75" customHeight="1" x14ac:dyDescent="0.15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  <c r="X711" s="59"/>
      <c r="Y711" s="59"/>
      <c r="Z711" s="59"/>
    </row>
    <row r="712" spans="1:26" ht="30.75" customHeight="1" x14ac:dyDescent="0.15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  <c r="Y712" s="59"/>
      <c r="Z712" s="59"/>
    </row>
    <row r="713" spans="1:26" ht="30.75" customHeight="1" x14ac:dyDescent="0.15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  <c r="X713" s="59"/>
      <c r="Y713" s="59"/>
      <c r="Z713" s="59"/>
    </row>
    <row r="714" spans="1:26" ht="30.75" customHeight="1" x14ac:dyDescent="0.15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  <c r="Y714" s="59"/>
      <c r="Z714" s="59"/>
    </row>
    <row r="715" spans="1:26" ht="30.75" customHeight="1" x14ac:dyDescent="0.15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  <c r="X715" s="59"/>
      <c r="Y715" s="59"/>
      <c r="Z715" s="59"/>
    </row>
    <row r="716" spans="1:26" ht="30.75" customHeight="1" x14ac:dyDescent="0.15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  <c r="Y716" s="59"/>
      <c r="Z716" s="59"/>
    </row>
    <row r="717" spans="1:26" ht="30.75" customHeight="1" x14ac:dyDescent="0.15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  <c r="X717" s="59"/>
      <c r="Y717" s="59"/>
      <c r="Z717" s="59"/>
    </row>
    <row r="718" spans="1:26" ht="30.75" customHeight="1" x14ac:dyDescent="0.15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  <c r="Y718" s="59"/>
      <c r="Z718" s="59"/>
    </row>
    <row r="719" spans="1:26" ht="30.75" customHeight="1" x14ac:dyDescent="0.15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  <c r="X719" s="59"/>
      <c r="Y719" s="59"/>
      <c r="Z719" s="59"/>
    </row>
    <row r="720" spans="1:26" ht="30.75" customHeight="1" x14ac:dyDescent="0.15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  <c r="Y720" s="59"/>
      <c r="Z720" s="59"/>
    </row>
    <row r="721" spans="1:26" ht="30.75" customHeight="1" x14ac:dyDescent="0.15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  <c r="X721" s="59"/>
      <c r="Y721" s="59"/>
      <c r="Z721" s="59"/>
    </row>
    <row r="722" spans="1:26" ht="30.75" customHeight="1" x14ac:dyDescent="0.15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  <c r="Y722" s="59"/>
      <c r="Z722" s="59"/>
    </row>
    <row r="723" spans="1:26" ht="30.75" customHeight="1" x14ac:dyDescent="0.15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  <c r="X723" s="59"/>
      <c r="Y723" s="59"/>
      <c r="Z723" s="59"/>
    </row>
    <row r="724" spans="1:26" ht="30.75" customHeight="1" x14ac:dyDescent="0.15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  <c r="Y724" s="59"/>
      <c r="Z724" s="59"/>
    </row>
    <row r="725" spans="1:26" ht="30.75" customHeight="1" x14ac:dyDescent="0.15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  <c r="X725" s="59"/>
      <c r="Y725" s="59"/>
      <c r="Z725" s="59"/>
    </row>
    <row r="726" spans="1:26" ht="30.75" customHeight="1" x14ac:dyDescent="0.15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  <c r="Y726" s="59"/>
      <c r="Z726" s="59"/>
    </row>
    <row r="727" spans="1:26" ht="30.75" customHeight="1" x14ac:dyDescent="0.15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  <c r="X727" s="59"/>
      <c r="Y727" s="59"/>
      <c r="Z727" s="59"/>
    </row>
    <row r="728" spans="1:26" ht="30.75" customHeight="1" x14ac:dyDescent="0.15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  <c r="Y728" s="59"/>
      <c r="Z728" s="59"/>
    </row>
    <row r="729" spans="1:26" ht="30.75" customHeight="1" x14ac:dyDescent="0.15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  <c r="X729" s="59"/>
      <c r="Y729" s="59"/>
      <c r="Z729" s="59"/>
    </row>
    <row r="730" spans="1:26" ht="30.75" customHeight="1" x14ac:dyDescent="0.15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  <c r="Y730" s="59"/>
      <c r="Z730" s="59"/>
    </row>
    <row r="731" spans="1:26" ht="30.75" customHeight="1" x14ac:dyDescent="0.15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  <c r="X731" s="59"/>
      <c r="Y731" s="59"/>
      <c r="Z731" s="59"/>
    </row>
    <row r="732" spans="1:26" ht="30.75" customHeight="1" x14ac:dyDescent="0.15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  <c r="Y732" s="59"/>
      <c r="Z732" s="59"/>
    </row>
    <row r="733" spans="1:26" ht="30.75" customHeight="1" x14ac:dyDescent="0.15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  <c r="X733" s="59"/>
      <c r="Y733" s="59"/>
      <c r="Z733" s="59"/>
    </row>
    <row r="734" spans="1:26" ht="30.75" customHeight="1" x14ac:dyDescent="0.15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  <c r="Y734" s="59"/>
      <c r="Z734" s="59"/>
    </row>
    <row r="735" spans="1:26" ht="30.75" customHeight="1" x14ac:dyDescent="0.15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  <c r="X735" s="59"/>
      <c r="Y735" s="59"/>
      <c r="Z735" s="59"/>
    </row>
    <row r="736" spans="1:26" ht="30.75" customHeight="1" x14ac:dyDescent="0.15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  <c r="Y736" s="59"/>
      <c r="Z736" s="59"/>
    </row>
    <row r="737" spans="1:26" ht="30.75" customHeight="1" x14ac:dyDescent="0.15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  <c r="X737" s="59"/>
      <c r="Y737" s="59"/>
      <c r="Z737" s="59"/>
    </row>
    <row r="738" spans="1:26" ht="30.75" customHeight="1" x14ac:dyDescent="0.15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  <c r="Y738" s="59"/>
      <c r="Z738" s="59"/>
    </row>
    <row r="739" spans="1:26" ht="30.75" customHeight="1" x14ac:dyDescent="0.15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</row>
    <row r="740" spans="1:26" ht="30.75" customHeight="1" x14ac:dyDescent="0.15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</row>
    <row r="741" spans="1:26" ht="30.75" customHeight="1" x14ac:dyDescent="0.15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</row>
    <row r="742" spans="1:26" ht="30.75" customHeight="1" x14ac:dyDescent="0.15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  <c r="Y742" s="59"/>
      <c r="Z742" s="59"/>
    </row>
    <row r="743" spans="1:26" ht="30.75" customHeight="1" x14ac:dyDescent="0.15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  <c r="X743" s="59"/>
      <c r="Y743" s="59"/>
      <c r="Z743" s="59"/>
    </row>
    <row r="744" spans="1:26" ht="30.75" customHeight="1" x14ac:dyDescent="0.15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  <c r="Y744" s="59"/>
      <c r="Z744" s="59"/>
    </row>
    <row r="745" spans="1:26" ht="30.75" customHeight="1" x14ac:dyDescent="0.15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  <c r="X745" s="59"/>
      <c r="Y745" s="59"/>
      <c r="Z745" s="59"/>
    </row>
    <row r="746" spans="1:26" ht="30.75" customHeight="1" x14ac:dyDescent="0.15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  <c r="Y746" s="59"/>
      <c r="Z746" s="59"/>
    </row>
    <row r="747" spans="1:26" ht="30.75" customHeight="1" x14ac:dyDescent="0.15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  <c r="X747" s="59"/>
      <c r="Y747" s="59"/>
      <c r="Z747" s="59"/>
    </row>
    <row r="748" spans="1:26" ht="30.75" customHeight="1" x14ac:dyDescent="0.15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  <c r="Y748" s="59"/>
      <c r="Z748" s="59"/>
    </row>
    <row r="749" spans="1:26" ht="30.75" customHeight="1" x14ac:dyDescent="0.15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  <c r="X749" s="59"/>
      <c r="Y749" s="59"/>
      <c r="Z749" s="59"/>
    </row>
    <row r="750" spans="1:26" ht="30.75" customHeight="1" x14ac:dyDescent="0.15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  <c r="Y750" s="59"/>
      <c r="Z750" s="59"/>
    </row>
    <row r="751" spans="1:26" ht="30.75" customHeight="1" x14ac:dyDescent="0.15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  <c r="X751" s="59"/>
      <c r="Y751" s="59"/>
      <c r="Z751" s="59"/>
    </row>
    <row r="752" spans="1:26" ht="30.75" customHeight="1" x14ac:dyDescent="0.15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  <c r="Y752" s="59"/>
      <c r="Z752" s="59"/>
    </row>
    <row r="753" spans="1:26" ht="30.75" customHeight="1" x14ac:dyDescent="0.15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  <c r="X753" s="59"/>
      <c r="Y753" s="59"/>
      <c r="Z753" s="59"/>
    </row>
    <row r="754" spans="1:26" ht="30.75" customHeight="1" x14ac:dyDescent="0.15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  <c r="Y754" s="59"/>
      <c r="Z754" s="59"/>
    </row>
    <row r="755" spans="1:26" ht="30.75" customHeight="1" x14ac:dyDescent="0.15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  <c r="X755" s="59"/>
      <c r="Y755" s="59"/>
      <c r="Z755" s="59"/>
    </row>
    <row r="756" spans="1:26" ht="30.75" customHeight="1" x14ac:dyDescent="0.15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  <c r="Y756" s="59"/>
      <c r="Z756" s="59"/>
    </row>
    <row r="757" spans="1:26" ht="30.75" customHeight="1" x14ac:dyDescent="0.15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  <c r="X757" s="59"/>
      <c r="Y757" s="59"/>
      <c r="Z757" s="59"/>
    </row>
    <row r="758" spans="1:26" ht="30.75" customHeight="1" x14ac:dyDescent="0.15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  <c r="Y758" s="59"/>
      <c r="Z758" s="59"/>
    </row>
    <row r="759" spans="1:26" ht="30.75" customHeight="1" x14ac:dyDescent="0.15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  <c r="X759" s="59"/>
      <c r="Y759" s="59"/>
      <c r="Z759" s="59"/>
    </row>
    <row r="760" spans="1:26" ht="30.75" customHeight="1" x14ac:dyDescent="0.15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  <c r="Y760" s="59"/>
      <c r="Z760" s="59"/>
    </row>
    <row r="761" spans="1:26" ht="30.75" customHeight="1" x14ac:dyDescent="0.15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  <c r="X761" s="59"/>
      <c r="Y761" s="59"/>
      <c r="Z761" s="59"/>
    </row>
    <row r="762" spans="1:26" ht="30.75" customHeight="1" x14ac:dyDescent="0.15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  <c r="Y762" s="59"/>
      <c r="Z762" s="59"/>
    </row>
    <row r="763" spans="1:26" ht="30.75" customHeight="1" x14ac:dyDescent="0.15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  <c r="X763" s="59"/>
      <c r="Y763" s="59"/>
      <c r="Z763" s="59"/>
    </row>
    <row r="764" spans="1:26" ht="30.75" customHeight="1" x14ac:dyDescent="0.15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  <c r="Y764" s="59"/>
      <c r="Z764" s="59"/>
    </row>
    <row r="765" spans="1:26" ht="30.75" customHeight="1" x14ac:dyDescent="0.15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  <c r="X765" s="59"/>
      <c r="Y765" s="59"/>
      <c r="Z765" s="59"/>
    </row>
    <row r="766" spans="1:26" ht="30.75" customHeight="1" x14ac:dyDescent="0.15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  <c r="Y766" s="59"/>
      <c r="Z766" s="59"/>
    </row>
    <row r="767" spans="1:26" ht="30.75" customHeight="1" x14ac:dyDescent="0.15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  <c r="X767" s="59"/>
      <c r="Y767" s="59"/>
      <c r="Z767" s="59"/>
    </row>
    <row r="768" spans="1:26" ht="30.75" customHeight="1" x14ac:dyDescent="0.15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  <c r="Y768" s="59"/>
      <c r="Z768" s="59"/>
    </row>
    <row r="769" spans="1:26" ht="30.75" customHeight="1" x14ac:dyDescent="0.15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  <c r="X769" s="59"/>
      <c r="Y769" s="59"/>
      <c r="Z769" s="59"/>
    </row>
    <row r="770" spans="1:26" ht="30.75" customHeight="1" x14ac:dyDescent="0.15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  <c r="Y770" s="59"/>
      <c r="Z770" s="59"/>
    </row>
    <row r="771" spans="1:26" ht="30.75" customHeight="1" x14ac:dyDescent="0.15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  <c r="X771" s="59"/>
      <c r="Y771" s="59"/>
      <c r="Z771" s="59"/>
    </row>
    <row r="772" spans="1:26" ht="30.75" customHeight="1" x14ac:dyDescent="0.15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  <c r="Y772" s="59"/>
      <c r="Z772" s="59"/>
    </row>
    <row r="773" spans="1:26" ht="30.75" customHeight="1" x14ac:dyDescent="0.15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  <c r="X773" s="59"/>
      <c r="Y773" s="59"/>
      <c r="Z773" s="59"/>
    </row>
    <row r="774" spans="1:26" ht="30.75" customHeight="1" x14ac:dyDescent="0.15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  <c r="Y774" s="59"/>
      <c r="Z774" s="59"/>
    </row>
    <row r="775" spans="1:26" ht="30.75" customHeight="1" x14ac:dyDescent="0.15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  <c r="X775" s="59"/>
      <c r="Y775" s="59"/>
      <c r="Z775" s="59"/>
    </row>
    <row r="776" spans="1:26" ht="30.75" customHeight="1" x14ac:dyDescent="0.15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  <c r="Y776" s="59"/>
      <c r="Z776" s="59"/>
    </row>
    <row r="777" spans="1:26" ht="30.75" customHeight="1" x14ac:dyDescent="0.15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  <c r="X777" s="59"/>
      <c r="Y777" s="59"/>
      <c r="Z777" s="59"/>
    </row>
    <row r="778" spans="1:26" ht="30.75" customHeight="1" x14ac:dyDescent="0.15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  <c r="Y778" s="59"/>
      <c r="Z778" s="59"/>
    </row>
    <row r="779" spans="1:26" ht="30.75" customHeight="1" x14ac:dyDescent="0.15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  <c r="X779" s="59"/>
      <c r="Y779" s="59"/>
      <c r="Z779" s="59"/>
    </row>
    <row r="780" spans="1:26" ht="30.75" customHeight="1" x14ac:dyDescent="0.15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  <c r="Y780" s="59"/>
      <c r="Z780" s="59"/>
    </row>
    <row r="781" spans="1:26" ht="30.75" customHeight="1" x14ac:dyDescent="0.15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  <c r="X781" s="59"/>
      <c r="Y781" s="59"/>
      <c r="Z781" s="59"/>
    </row>
    <row r="782" spans="1:26" ht="30.75" customHeight="1" x14ac:dyDescent="0.15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  <c r="Y782" s="59"/>
      <c r="Z782" s="59"/>
    </row>
    <row r="783" spans="1:26" ht="30.75" customHeight="1" x14ac:dyDescent="0.15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  <c r="X783" s="59"/>
      <c r="Y783" s="59"/>
      <c r="Z783" s="59"/>
    </row>
    <row r="784" spans="1:26" ht="30.75" customHeight="1" x14ac:dyDescent="0.15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  <c r="Y784" s="59"/>
      <c r="Z784" s="59"/>
    </row>
    <row r="785" spans="1:26" ht="30.75" customHeight="1" x14ac:dyDescent="0.15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  <c r="X785" s="59"/>
      <c r="Y785" s="59"/>
      <c r="Z785" s="59"/>
    </row>
    <row r="786" spans="1:26" ht="30.75" customHeight="1" x14ac:dyDescent="0.15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  <c r="Y786" s="59"/>
      <c r="Z786" s="59"/>
    </row>
    <row r="787" spans="1:26" ht="30.75" customHeight="1" x14ac:dyDescent="0.15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  <c r="X787" s="59"/>
      <c r="Y787" s="59"/>
      <c r="Z787" s="59"/>
    </row>
    <row r="788" spans="1:26" ht="30.75" customHeight="1" x14ac:dyDescent="0.15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  <c r="Y788" s="59"/>
      <c r="Z788" s="59"/>
    </row>
    <row r="789" spans="1:26" ht="30.75" customHeight="1" x14ac:dyDescent="0.15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  <c r="X789" s="59"/>
      <c r="Y789" s="59"/>
      <c r="Z789" s="59"/>
    </row>
    <row r="790" spans="1:26" ht="30.75" customHeight="1" x14ac:dyDescent="0.15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  <c r="Y790" s="59"/>
      <c r="Z790" s="59"/>
    </row>
    <row r="791" spans="1:26" ht="30.75" customHeight="1" x14ac:dyDescent="0.15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  <c r="X791" s="59"/>
      <c r="Y791" s="59"/>
      <c r="Z791" s="59"/>
    </row>
    <row r="792" spans="1:26" ht="30.75" customHeight="1" x14ac:dyDescent="0.15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  <c r="Y792" s="59"/>
      <c r="Z792" s="59"/>
    </row>
    <row r="793" spans="1:26" ht="30.75" customHeight="1" x14ac:dyDescent="0.15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  <c r="X793" s="59"/>
      <c r="Y793" s="59"/>
      <c r="Z793" s="59"/>
    </row>
    <row r="794" spans="1:26" ht="30.75" customHeight="1" x14ac:dyDescent="0.15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  <c r="Y794" s="59"/>
      <c r="Z794" s="59"/>
    </row>
    <row r="795" spans="1:26" ht="30.75" customHeight="1" x14ac:dyDescent="0.15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  <c r="X795" s="59"/>
      <c r="Y795" s="59"/>
      <c r="Z795" s="59"/>
    </row>
    <row r="796" spans="1:26" ht="30.75" customHeight="1" x14ac:dyDescent="0.15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  <c r="Y796" s="59"/>
      <c r="Z796" s="59"/>
    </row>
    <row r="797" spans="1:26" ht="30.75" customHeight="1" x14ac:dyDescent="0.15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  <c r="X797" s="59"/>
      <c r="Y797" s="59"/>
      <c r="Z797" s="59"/>
    </row>
    <row r="798" spans="1:26" ht="30.75" customHeight="1" x14ac:dyDescent="0.15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  <c r="Y798" s="59"/>
      <c r="Z798" s="59"/>
    </row>
    <row r="799" spans="1:26" ht="30.75" customHeight="1" x14ac:dyDescent="0.15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  <c r="X799" s="59"/>
      <c r="Y799" s="59"/>
      <c r="Z799" s="59"/>
    </row>
    <row r="800" spans="1:26" ht="30.75" customHeight="1" x14ac:dyDescent="0.15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  <c r="Y800" s="59"/>
      <c r="Z800" s="59"/>
    </row>
    <row r="801" spans="1:26" ht="30.75" customHeight="1" x14ac:dyDescent="0.15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  <c r="X801" s="59"/>
      <c r="Y801" s="59"/>
      <c r="Z801" s="59"/>
    </row>
    <row r="802" spans="1:26" ht="30.75" customHeight="1" x14ac:dyDescent="0.15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  <c r="Y802" s="59"/>
      <c r="Z802" s="59"/>
    </row>
    <row r="803" spans="1:26" ht="30.75" customHeight="1" x14ac:dyDescent="0.15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  <c r="X803" s="59"/>
      <c r="Y803" s="59"/>
      <c r="Z803" s="59"/>
    </row>
    <row r="804" spans="1:26" ht="30.75" customHeight="1" x14ac:dyDescent="0.15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  <c r="Y804" s="59"/>
      <c r="Z804" s="59"/>
    </row>
    <row r="805" spans="1:26" ht="30.75" customHeight="1" x14ac:dyDescent="0.15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  <c r="X805" s="59"/>
      <c r="Y805" s="59"/>
      <c r="Z805" s="59"/>
    </row>
    <row r="806" spans="1:26" ht="30.75" customHeight="1" x14ac:dyDescent="0.15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  <c r="Y806" s="59"/>
      <c r="Z806" s="59"/>
    </row>
    <row r="807" spans="1:26" ht="30.75" customHeight="1" x14ac:dyDescent="0.15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  <c r="X807" s="59"/>
      <c r="Y807" s="59"/>
      <c r="Z807" s="59"/>
    </row>
    <row r="808" spans="1:26" ht="30.75" customHeight="1" x14ac:dyDescent="0.15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  <c r="Y808" s="59"/>
      <c r="Z808" s="59"/>
    </row>
    <row r="809" spans="1:26" ht="30.75" customHeight="1" x14ac:dyDescent="0.15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  <c r="X809" s="59"/>
      <c r="Y809" s="59"/>
      <c r="Z809" s="59"/>
    </row>
    <row r="810" spans="1:26" ht="30.75" customHeight="1" x14ac:dyDescent="0.15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  <c r="Y810" s="59"/>
      <c r="Z810" s="59"/>
    </row>
    <row r="811" spans="1:26" ht="30.75" customHeight="1" x14ac:dyDescent="0.15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  <c r="X811" s="59"/>
      <c r="Y811" s="59"/>
      <c r="Z811" s="59"/>
    </row>
    <row r="812" spans="1:26" ht="30.75" customHeight="1" x14ac:dyDescent="0.15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  <c r="Y812" s="59"/>
      <c r="Z812" s="59"/>
    </row>
    <row r="813" spans="1:26" ht="30.75" customHeight="1" x14ac:dyDescent="0.15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  <c r="X813" s="59"/>
      <c r="Y813" s="59"/>
      <c r="Z813" s="59"/>
    </row>
    <row r="814" spans="1:26" ht="30.75" customHeight="1" x14ac:dyDescent="0.15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  <c r="Y814" s="59"/>
      <c r="Z814" s="59"/>
    </row>
    <row r="815" spans="1:26" ht="30.75" customHeight="1" x14ac:dyDescent="0.15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  <c r="X815" s="59"/>
      <c r="Y815" s="59"/>
      <c r="Z815" s="59"/>
    </row>
    <row r="816" spans="1:26" ht="30.75" customHeight="1" x14ac:dyDescent="0.15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  <c r="Y816" s="59"/>
      <c r="Z816" s="59"/>
    </row>
    <row r="817" spans="1:26" ht="30.75" customHeight="1" x14ac:dyDescent="0.15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  <c r="X817" s="59"/>
      <c r="Y817" s="59"/>
      <c r="Z817" s="59"/>
    </row>
    <row r="818" spans="1:26" ht="30.75" customHeight="1" x14ac:dyDescent="0.15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  <c r="Y818" s="59"/>
      <c r="Z818" s="59"/>
    </row>
    <row r="819" spans="1:26" ht="30.75" customHeight="1" x14ac:dyDescent="0.15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  <c r="X819" s="59"/>
      <c r="Y819" s="59"/>
      <c r="Z819" s="59"/>
    </row>
    <row r="820" spans="1:26" ht="30.75" customHeight="1" x14ac:dyDescent="0.15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  <c r="X820" s="59"/>
      <c r="Y820" s="59"/>
      <c r="Z820" s="59"/>
    </row>
    <row r="821" spans="1:26" ht="30.75" customHeight="1" x14ac:dyDescent="0.15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  <c r="X821" s="59"/>
      <c r="Y821" s="59"/>
      <c r="Z821" s="59"/>
    </row>
    <row r="822" spans="1:26" ht="30.75" customHeight="1" x14ac:dyDescent="0.15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  <c r="Y822" s="59"/>
      <c r="Z822" s="59"/>
    </row>
    <row r="823" spans="1:26" ht="30.75" customHeight="1" x14ac:dyDescent="0.15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  <c r="X823" s="59"/>
      <c r="Y823" s="59"/>
      <c r="Z823" s="59"/>
    </row>
    <row r="824" spans="1:26" ht="30.75" customHeight="1" x14ac:dyDescent="0.15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  <c r="Y824" s="59"/>
      <c r="Z824" s="59"/>
    </row>
    <row r="825" spans="1:26" ht="30.75" customHeight="1" x14ac:dyDescent="0.15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  <c r="X825" s="59"/>
      <c r="Y825" s="59"/>
      <c r="Z825" s="59"/>
    </row>
    <row r="826" spans="1:26" ht="30.75" customHeight="1" x14ac:dyDescent="0.15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  <c r="Y826" s="59"/>
      <c r="Z826" s="59"/>
    </row>
    <row r="827" spans="1:26" ht="30.75" customHeight="1" x14ac:dyDescent="0.15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  <c r="X827" s="59"/>
      <c r="Y827" s="59"/>
      <c r="Z827" s="59"/>
    </row>
    <row r="828" spans="1:26" ht="30.75" customHeight="1" x14ac:dyDescent="0.15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  <c r="Y828" s="59"/>
      <c r="Z828" s="59"/>
    </row>
    <row r="829" spans="1:26" ht="30.75" customHeight="1" x14ac:dyDescent="0.15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  <c r="X829" s="59"/>
      <c r="Y829" s="59"/>
      <c r="Z829" s="59"/>
    </row>
    <row r="830" spans="1:26" ht="30.75" customHeight="1" x14ac:dyDescent="0.15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  <c r="Y830" s="59"/>
      <c r="Z830" s="59"/>
    </row>
    <row r="831" spans="1:26" ht="30.75" customHeight="1" x14ac:dyDescent="0.15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  <c r="X831" s="59"/>
      <c r="Y831" s="59"/>
      <c r="Z831" s="59"/>
    </row>
    <row r="832" spans="1:26" ht="30.75" customHeight="1" x14ac:dyDescent="0.15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  <c r="Y832" s="59"/>
      <c r="Z832" s="59"/>
    </row>
    <row r="833" spans="1:26" ht="30.75" customHeight="1" x14ac:dyDescent="0.15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  <c r="X833" s="59"/>
      <c r="Y833" s="59"/>
      <c r="Z833" s="59"/>
    </row>
    <row r="834" spans="1:26" ht="30.75" customHeight="1" x14ac:dyDescent="0.15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  <c r="X834" s="59"/>
      <c r="Y834" s="59"/>
      <c r="Z834" s="59"/>
    </row>
    <row r="835" spans="1:26" ht="30.75" customHeight="1" x14ac:dyDescent="0.15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  <c r="X835" s="59"/>
      <c r="Y835" s="59"/>
      <c r="Z835" s="59"/>
    </row>
    <row r="836" spans="1:26" ht="30.75" customHeight="1" x14ac:dyDescent="0.15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  <c r="X836" s="59"/>
      <c r="Y836" s="59"/>
      <c r="Z836" s="59"/>
    </row>
    <row r="837" spans="1:26" ht="30.75" customHeight="1" x14ac:dyDescent="0.15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  <c r="X837" s="59"/>
      <c r="Y837" s="59"/>
      <c r="Z837" s="59"/>
    </row>
    <row r="838" spans="1:26" ht="30.75" customHeight="1" x14ac:dyDescent="0.15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  <c r="X838" s="59"/>
      <c r="Y838" s="59"/>
      <c r="Z838" s="59"/>
    </row>
    <row r="839" spans="1:26" ht="30.75" customHeight="1" x14ac:dyDescent="0.15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  <c r="X839" s="59"/>
      <c r="Y839" s="59"/>
      <c r="Z839" s="59"/>
    </row>
    <row r="840" spans="1:26" ht="30.75" customHeight="1" x14ac:dyDescent="0.15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  <c r="X840" s="59"/>
      <c r="Y840" s="59"/>
      <c r="Z840" s="59"/>
    </row>
    <row r="841" spans="1:26" ht="30.75" customHeight="1" x14ac:dyDescent="0.15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  <c r="X841" s="59"/>
      <c r="Y841" s="59"/>
      <c r="Z841" s="59"/>
    </row>
    <row r="842" spans="1:26" ht="30.75" customHeight="1" x14ac:dyDescent="0.15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  <c r="X842" s="59"/>
      <c r="Y842" s="59"/>
      <c r="Z842" s="59"/>
    </row>
    <row r="843" spans="1:26" ht="30.75" customHeight="1" x14ac:dyDescent="0.15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  <c r="X843" s="59"/>
      <c r="Y843" s="59"/>
      <c r="Z843" s="59"/>
    </row>
    <row r="844" spans="1:26" ht="30.75" customHeight="1" x14ac:dyDescent="0.15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  <c r="Y844" s="59"/>
      <c r="Z844" s="59"/>
    </row>
    <row r="845" spans="1:26" ht="30.75" customHeight="1" x14ac:dyDescent="0.15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  <c r="X845" s="59"/>
      <c r="Y845" s="59"/>
      <c r="Z845" s="59"/>
    </row>
    <row r="846" spans="1:26" ht="30.75" customHeight="1" x14ac:dyDescent="0.15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  <c r="Y846" s="59"/>
      <c r="Z846" s="59"/>
    </row>
    <row r="847" spans="1:26" ht="30.75" customHeight="1" x14ac:dyDescent="0.15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  <c r="X847" s="59"/>
      <c r="Y847" s="59"/>
      <c r="Z847" s="59"/>
    </row>
    <row r="848" spans="1:26" ht="30.75" customHeight="1" x14ac:dyDescent="0.15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  <c r="X848" s="59"/>
      <c r="Y848" s="59"/>
      <c r="Z848" s="59"/>
    </row>
    <row r="849" spans="1:26" ht="30.75" customHeight="1" x14ac:dyDescent="0.15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  <c r="X849" s="59"/>
      <c r="Y849" s="59"/>
      <c r="Z849" s="59"/>
    </row>
    <row r="850" spans="1:26" ht="30.75" customHeight="1" x14ac:dyDescent="0.15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  <c r="Y850" s="59"/>
      <c r="Z850" s="59"/>
    </row>
    <row r="851" spans="1:26" ht="30.75" customHeight="1" x14ac:dyDescent="0.15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  <c r="X851" s="59"/>
      <c r="Y851" s="59"/>
      <c r="Z851" s="59"/>
    </row>
    <row r="852" spans="1:26" ht="30.75" customHeight="1" x14ac:dyDescent="0.15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  <c r="X852" s="59"/>
      <c r="Y852" s="59"/>
      <c r="Z852" s="59"/>
    </row>
    <row r="853" spans="1:26" ht="30.75" customHeight="1" x14ac:dyDescent="0.15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  <c r="X853" s="59"/>
      <c r="Y853" s="59"/>
      <c r="Z853" s="59"/>
    </row>
    <row r="854" spans="1:26" ht="30.75" customHeight="1" x14ac:dyDescent="0.15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  <c r="X854" s="59"/>
      <c r="Y854" s="59"/>
      <c r="Z854" s="59"/>
    </row>
    <row r="855" spans="1:26" ht="30.75" customHeight="1" x14ac:dyDescent="0.15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  <c r="X855" s="59"/>
      <c r="Y855" s="59"/>
      <c r="Z855" s="59"/>
    </row>
    <row r="856" spans="1:26" ht="30.75" customHeight="1" x14ac:dyDescent="0.15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  <c r="X856" s="59"/>
      <c r="Y856" s="59"/>
      <c r="Z856" s="59"/>
    </row>
    <row r="857" spans="1:26" ht="30.75" customHeight="1" x14ac:dyDescent="0.15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  <c r="X857" s="59"/>
      <c r="Y857" s="59"/>
      <c r="Z857" s="59"/>
    </row>
    <row r="858" spans="1:26" ht="30.75" customHeight="1" x14ac:dyDescent="0.15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  <c r="X858" s="59"/>
      <c r="Y858" s="59"/>
      <c r="Z858" s="59"/>
    </row>
    <row r="859" spans="1:26" ht="30.75" customHeight="1" x14ac:dyDescent="0.15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  <c r="X859" s="59"/>
      <c r="Y859" s="59"/>
      <c r="Z859" s="59"/>
    </row>
    <row r="860" spans="1:26" ht="30.75" customHeight="1" x14ac:dyDescent="0.15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  <c r="X860" s="59"/>
      <c r="Y860" s="59"/>
      <c r="Z860" s="59"/>
    </row>
    <row r="861" spans="1:26" ht="30.75" customHeight="1" x14ac:dyDescent="0.15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  <c r="X861" s="59"/>
      <c r="Y861" s="59"/>
      <c r="Z861" s="59"/>
    </row>
    <row r="862" spans="1:26" ht="30.75" customHeight="1" x14ac:dyDescent="0.15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  <c r="X862" s="59"/>
      <c r="Y862" s="59"/>
      <c r="Z862" s="59"/>
    </row>
    <row r="863" spans="1:26" ht="30.75" customHeight="1" x14ac:dyDescent="0.15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  <c r="X863" s="59"/>
      <c r="Y863" s="59"/>
      <c r="Z863" s="59"/>
    </row>
    <row r="864" spans="1:26" ht="30.75" customHeight="1" x14ac:dyDescent="0.15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  <c r="X864" s="59"/>
      <c r="Y864" s="59"/>
      <c r="Z864" s="59"/>
    </row>
    <row r="865" spans="1:26" ht="30.75" customHeight="1" x14ac:dyDescent="0.15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  <c r="X865" s="59"/>
      <c r="Y865" s="59"/>
      <c r="Z865" s="59"/>
    </row>
    <row r="866" spans="1:26" ht="30.75" customHeight="1" x14ac:dyDescent="0.15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  <c r="Y866" s="59"/>
      <c r="Z866" s="59"/>
    </row>
    <row r="867" spans="1:26" ht="30.75" customHeight="1" x14ac:dyDescent="0.15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  <c r="X867" s="59"/>
      <c r="Y867" s="59"/>
      <c r="Z867" s="59"/>
    </row>
    <row r="868" spans="1:26" ht="30.75" customHeight="1" x14ac:dyDescent="0.15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  <c r="Y868" s="59"/>
      <c r="Z868" s="59"/>
    </row>
    <row r="869" spans="1:26" ht="30.75" customHeight="1" x14ac:dyDescent="0.15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  <c r="X869" s="59"/>
      <c r="Y869" s="59"/>
      <c r="Z869" s="59"/>
    </row>
    <row r="870" spans="1:26" ht="30.75" customHeight="1" x14ac:dyDescent="0.15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  <c r="Y870" s="59"/>
      <c r="Z870" s="59"/>
    </row>
    <row r="871" spans="1:26" ht="30.75" customHeight="1" x14ac:dyDescent="0.15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  <c r="X871" s="59"/>
      <c r="Y871" s="59"/>
      <c r="Z871" s="59"/>
    </row>
    <row r="872" spans="1:26" ht="30.75" customHeight="1" x14ac:dyDescent="0.15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  <c r="X872" s="59"/>
      <c r="Y872" s="59"/>
      <c r="Z872" s="59"/>
    </row>
    <row r="873" spans="1:26" ht="30.75" customHeight="1" x14ac:dyDescent="0.15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  <c r="X873" s="59"/>
      <c r="Y873" s="59"/>
      <c r="Z873" s="59"/>
    </row>
    <row r="874" spans="1:26" ht="30.75" customHeight="1" x14ac:dyDescent="0.15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  <c r="Y874" s="59"/>
      <c r="Z874" s="59"/>
    </row>
    <row r="875" spans="1:26" ht="30.75" customHeight="1" x14ac:dyDescent="0.15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  <c r="X875" s="59"/>
      <c r="Y875" s="59"/>
      <c r="Z875" s="59"/>
    </row>
    <row r="876" spans="1:26" ht="30.75" customHeight="1" x14ac:dyDescent="0.15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  <c r="Y876" s="59"/>
      <c r="Z876" s="59"/>
    </row>
    <row r="877" spans="1:26" ht="30.75" customHeight="1" x14ac:dyDescent="0.15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  <c r="X877" s="59"/>
      <c r="Y877" s="59"/>
      <c r="Z877" s="59"/>
    </row>
    <row r="878" spans="1:26" ht="30.75" customHeight="1" x14ac:dyDescent="0.15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  <c r="Y878" s="59"/>
      <c r="Z878" s="59"/>
    </row>
    <row r="879" spans="1:26" ht="30.75" customHeight="1" x14ac:dyDescent="0.15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  <c r="X879" s="59"/>
      <c r="Y879" s="59"/>
      <c r="Z879" s="59"/>
    </row>
    <row r="880" spans="1:26" ht="30.75" customHeight="1" x14ac:dyDescent="0.15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  <c r="Y880" s="59"/>
      <c r="Z880" s="59"/>
    </row>
    <row r="881" spans="1:26" ht="30.75" customHeight="1" x14ac:dyDescent="0.15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  <c r="X881" s="59"/>
      <c r="Y881" s="59"/>
      <c r="Z881" s="59"/>
    </row>
    <row r="882" spans="1:26" ht="30.75" customHeight="1" x14ac:dyDescent="0.15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  <c r="X882" s="59"/>
      <c r="Y882" s="59"/>
      <c r="Z882" s="59"/>
    </row>
    <row r="883" spans="1:26" ht="30.75" customHeight="1" x14ac:dyDescent="0.15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  <c r="X883" s="59"/>
      <c r="Y883" s="59"/>
      <c r="Z883" s="59"/>
    </row>
    <row r="884" spans="1:26" ht="30.75" customHeight="1" x14ac:dyDescent="0.15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  <c r="X884" s="59"/>
      <c r="Y884" s="59"/>
      <c r="Z884" s="59"/>
    </row>
    <row r="885" spans="1:26" ht="30.75" customHeight="1" x14ac:dyDescent="0.15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  <c r="X885" s="59"/>
      <c r="Y885" s="59"/>
      <c r="Z885" s="59"/>
    </row>
    <row r="886" spans="1:26" ht="30.75" customHeight="1" x14ac:dyDescent="0.15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  <c r="X886" s="59"/>
      <c r="Y886" s="59"/>
      <c r="Z886" s="59"/>
    </row>
    <row r="887" spans="1:26" ht="30.75" customHeight="1" x14ac:dyDescent="0.15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  <c r="X887" s="59"/>
      <c r="Y887" s="59"/>
      <c r="Z887" s="59"/>
    </row>
    <row r="888" spans="1:26" ht="30.75" customHeight="1" x14ac:dyDescent="0.15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  <c r="X888" s="59"/>
      <c r="Y888" s="59"/>
      <c r="Z888" s="59"/>
    </row>
    <row r="889" spans="1:26" ht="30.75" customHeight="1" x14ac:dyDescent="0.15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  <c r="X889" s="59"/>
      <c r="Y889" s="59"/>
      <c r="Z889" s="59"/>
    </row>
    <row r="890" spans="1:26" ht="30.75" customHeight="1" x14ac:dyDescent="0.15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  <c r="X890" s="59"/>
      <c r="Y890" s="59"/>
      <c r="Z890" s="59"/>
    </row>
    <row r="891" spans="1:26" ht="30.75" customHeight="1" x14ac:dyDescent="0.15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  <c r="X891" s="59"/>
      <c r="Y891" s="59"/>
      <c r="Z891" s="59"/>
    </row>
    <row r="892" spans="1:26" ht="30.75" customHeight="1" x14ac:dyDescent="0.15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  <c r="X892" s="59"/>
      <c r="Y892" s="59"/>
      <c r="Z892" s="59"/>
    </row>
    <row r="893" spans="1:26" ht="30.75" customHeight="1" x14ac:dyDescent="0.15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  <c r="X893" s="59"/>
      <c r="Y893" s="59"/>
      <c r="Z893" s="59"/>
    </row>
    <row r="894" spans="1:26" ht="30.75" customHeight="1" x14ac:dyDescent="0.15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  <c r="Y894" s="59"/>
      <c r="Z894" s="59"/>
    </row>
    <row r="895" spans="1:26" ht="30.75" customHeight="1" x14ac:dyDescent="0.15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  <c r="X895" s="59"/>
      <c r="Y895" s="59"/>
      <c r="Z895" s="59"/>
    </row>
    <row r="896" spans="1:26" ht="30.75" customHeight="1" x14ac:dyDescent="0.15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  <c r="Y896" s="59"/>
      <c r="Z896" s="59"/>
    </row>
    <row r="897" spans="1:26" ht="30.75" customHeight="1" x14ac:dyDescent="0.15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  <c r="X897" s="59"/>
      <c r="Y897" s="59"/>
      <c r="Z897" s="59"/>
    </row>
    <row r="898" spans="1:26" ht="30.75" customHeight="1" x14ac:dyDescent="0.15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  <c r="Y898" s="59"/>
      <c r="Z898" s="59"/>
    </row>
    <row r="899" spans="1:26" ht="30.75" customHeight="1" x14ac:dyDescent="0.15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  <c r="X899" s="59"/>
      <c r="Y899" s="59"/>
      <c r="Z899" s="59"/>
    </row>
    <row r="900" spans="1:26" ht="30.75" customHeight="1" x14ac:dyDescent="0.15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  <c r="Y900" s="59"/>
      <c r="Z900" s="59"/>
    </row>
    <row r="901" spans="1:26" ht="30.75" customHeight="1" x14ac:dyDescent="0.15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  <c r="X901" s="59"/>
      <c r="Y901" s="59"/>
      <c r="Z901" s="59"/>
    </row>
    <row r="902" spans="1:26" ht="30.75" customHeight="1" x14ac:dyDescent="0.15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  <c r="Y902" s="59"/>
      <c r="Z902" s="59"/>
    </row>
    <row r="903" spans="1:26" ht="30.75" customHeight="1" x14ac:dyDescent="0.15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  <c r="X903" s="59"/>
      <c r="Y903" s="59"/>
      <c r="Z903" s="59"/>
    </row>
    <row r="904" spans="1:26" ht="30.75" customHeight="1" x14ac:dyDescent="0.15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  <c r="Y904" s="59"/>
      <c r="Z904" s="59"/>
    </row>
    <row r="905" spans="1:26" ht="30.75" customHeight="1" x14ac:dyDescent="0.15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  <c r="X905" s="59"/>
      <c r="Y905" s="59"/>
      <c r="Z905" s="59"/>
    </row>
    <row r="906" spans="1:26" ht="30.75" customHeight="1" x14ac:dyDescent="0.15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  <c r="Y906" s="59"/>
      <c r="Z906" s="59"/>
    </row>
    <row r="907" spans="1:26" ht="30.75" customHeight="1" x14ac:dyDescent="0.15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  <c r="X907" s="59"/>
      <c r="Y907" s="59"/>
      <c r="Z907" s="59"/>
    </row>
    <row r="908" spans="1:26" ht="30.75" customHeight="1" x14ac:dyDescent="0.15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  <c r="Y908" s="59"/>
      <c r="Z908" s="59"/>
    </row>
    <row r="909" spans="1:26" ht="30.75" customHeight="1" x14ac:dyDescent="0.15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  <c r="X909" s="59"/>
      <c r="Y909" s="59"/>
      <c r="Z909" s="59"/>
    </row>
    <row r="910" spans="1:26" ht="30.75" customHeight="1" x14ac:dyDescent="0.15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  <c r="Y910" s="59"/>
      <c r="Z910" s="59"/>
    </row>
    <row r="911" spans="1:26" ht="30.75" customHeight="1" x14ac:dyDescent="0.15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  <c r="X911" s="59"/>
      <c r="Y911" s="59"/>
      <c r="Z911" s="59"/>
    </row>
    <row r="912" spans="1:26" ht="30.75" customHeight="1" x14ac:dyDescent="0.15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  <c r="Y912" s="59"/>
      <c r="Z912" s="59"/>
    </row>
    <row r="913" spans="1:26" ht="30.75" customHeight="1" x14ac:dyDescent="0.15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  <c r="X913" s="59"/>
      <c r="Y913" s="59"/>
      <c r="Z913" s="59"/>
    </row>
    <row r="914" spans="1:26" ht="30.75" customHeight="1" x14ac:dyDescent="0.15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  <c r="Y914" s="59"/>
      <c r="Z914" s="59"/>
    </row>
    <row r="915" spans="1:26" ht="30.75" customHeight="1" x14ac:dyDescent="0.15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  <c r="X915" s="59"/>
      <c r="Y915" s="59"/>
      <c r="Z915" s="59"/>
    </row>
    <row r="916" spans="1:26" ht="30.75" customHeight="1" x14ac:dyDescent="0.15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  <c r="Y916" s="59"/>
      <c r="Z916" s="59"/>
    </row>
    <row r="917" spans="1:26" ht="30.75" customHeight="1" x14ac:dyDescent="0.15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  <c r="X917" s="59"/>
      <c r="Y917" s="59"/>
      <c r="Z917" s="59"/>
    </row>
    <row r="918" spans="1:26" ht="30.75" customHeight="1" x14ac:dyDescent="0.15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  <c r="Y918" s="59"/>
      <c r="Z918" s="59"/>
    </row>
    <row r="919" spans="1:26" ht="30.75" customHeight="1" x14ac:dyDescent="0.15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  <c r="X919" s="59"/>
      <c r="Y919" s="59"/>
      <c r="Z919" s="59"/>
    </row>
    <row r="920" spans="1:26" ht="30.75" customHeight="1" x14ac:dyDescent="0.15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  <c r="Y920" s="59"/>
      <c r="Z920" s="59"/>
    </row>
    <row r="921" spans="1:26" ht="30.75" customHeight="1" x14ac:dyDescent="0.15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  <c r="X921" s="59"/>
      <c r="Y921" s="59"/>
      <c r="Z921" s="59"/>
    </row>
    <row r="922" spans="1:26" ht="30.75" customHeight="1" x14ac:dyDescent="0.15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  <c r="Y922" s="59"/>
      <c r="Z922" s="59"/>
    </row>
    <row r="923" spans="1:26" ht="30.75" customHeight="1" x14ac:dyDescent="0.15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  <c r="X923" s="59"/>
      <c r="Y923" s="59"/>
      <c r="Z923" s="59"/>
    </row>
    <row r="924" spans="1:26" ht="30.75" customHeight="1" x14ac:dyDescent="0.15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  <c r="Y924" s="59"/>
      <c r="Z924" s="59"/>
    </row>
    <row r="925" spans="1:26" ht="30.75" customHeight="1" x14ac:dyDescent="0.15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  <c r="X925" s="59"/>
      <c r="Y925" s="59"/>
      <c r="Z925" s="59"/>
    </row>
    <row r="926" spans="1:26" ht="30.75" customHeight="1" x14ac:dyDescent="0.15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  <c r="Y926" s="59"/>
      <c r="Z926" s="59"/>
    </row>
    <row r="927" spans="1:26" ht="30.75" customHeight="1" x14ac:dyDescent="0.15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  <c r="X927" s="59"/>
      <c r="Y927" s="59"/>
      <c r="Z927" s="59"/>
    </row>
    <row r="928" spans="1:26" ht="30.75" customHeight="1" x14ac:dyDescent="0.15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  <c r="Y928" s="59"/>
      <c r="Z928" s="59"/>
    </row>
    <row r="929" spans="1:26" ht="30.75" customHeight="1" x14ac:dyDescent="0.15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  <c r="X929" s="59"/>
      <c r="Y929" s="59"/>
      <c r="Z929" s="59"/>
    </row>
    <row r="930" spans="1:26" ht="30.75" customHeight="1" x14ac:dyDescent="0.15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  <c r="Y930" s="59"/>
      <c r="Z930" s="59"/>
    </row>
    <row r="931" spans="1:26" ht="30.75" customHeight="1" x14ac:dyDescent="0.15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  <c r="X931" s="59"/>
      <c r="Y931" s="59"/>
      <c r="Z931" s="59"/>
    </row>
    <row r="932" spans="1:26" ht="30.75" customHeight="1" x14ac:dyDescent="0.15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  <c r="Y932" s="59"/>
      <c r="Z932" s="59"/>
    </row>
    <row r="933" spans="1:26" ht="30.75" customHeight="1" x14ac:dyDescent="0.15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  <c r="X933" s="59"/>
      <c r="Y933" s="59"/>
      <c r="Z933" s="59"/>
    </row>
    <row r="934" spans="1:26" ht="30.75" customHeight="1" x14ac:dyDescent="0.15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  <c r="Y934" s="59"/>
      <c r="Z934" s="59"/>
    </row>
    <row r="935" spans="1:26" ht="30.75" customHeight="1" x14ac:dyDescent="0.15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  <c r="X935" s="59"/>
      <c r="Y935" s="59"/>
      <c r="Z935" s="59"/>
    </row>
    <row r="936" spans="1:26" ht="30.75" customHeight="1" x14ac:dyDescent="0.15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  <c r="Y936" s="59"/>
      <c r="Z936" s="59"/>
    </row>
    <row r="937" spans="1:26" ht="30.75" customHeight="1" x14ac:dyDescent="0.15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  <c r="X937" s="59"/>
      <c r="Y937" s="59"/>
      <c r="Z937" s="59"/>
    </row>
    <row r="938" spans="1:26" ht="30.75" customHeight="1" x14ac:dyDescent="0.15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  <c r="Y938" s="59"/>
      <c r="Z938" s="59"/>
    </row>
    <row r="939" spans="1:26" ht="30.75" customHeight="1" x14ac:dyDescent="0.15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  <c r="X939" s="59"/>
      <c r="Y939" s="59"/>
      <c r="Z939" s="59"/>
    </row>
    <row r="940" spans="1:26" ht="30.75" customHeight="1" x14ac:dyDescent="0.15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  <c r="Y940" s="59"/>
      <c r="Z940" s="59"/>
    </row>
    <row r="941" spans="1:26" ht="30.75" customHeight="1" x14ac:dyDescent="0.15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  <c r="X941" s="59"/>
      <c r="Y941" s="59"/>
      <c r="Z941" s="59"/>
    </row>
    <row r="942" spans="1:26" ht="30.75" customHeight="1" x14ac:dyDescent="0.15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  <c r="X942" s="59"/>
      <c r="Y942" s="59"/>
      <c r="Z942" s="59"/>
    </row>
    <row r="943" spans="1:26" ht="30.75" customHeight="1" x14ac:dyDescent="0.15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  <c r="X943" s="59"/>
      <c r="Y943" s="59"/>
      <c r="Z943" s="59"/>
    </row>
    <row r="944" spans="1:26" ht="30.75" customHeight="1" x14ac:dyDescent="0.15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  <c r="X944" s="59"/>
      <c r="Y944" s="59"/>
      <c r="Z944" s="59"/>
    </row>
    <row r="945" spans="1:26" ht="30.75" customHeight="1" x14ac:dyDescent="0.15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  <c r="X945" s="59"/>
      <c r="Y945" s="59"/>
      <c r="Z945" s="59"/>
    </row>
    <row r="946" spans="1:26" ht="30.75" customHeight="1" x14ac:dyDescent="0.15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  <c r="X946" s="59"/>
      <c r="Y946" s="59"/>
      <c r="Z946" s="59"/>
    </row>
    <row r="947" spans="1:26" ht="30.75" customHeight="1" x14ac:dyDescent="0.15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  <c r="X947" s="59"/>
      <c r="Y947" s="59"/>
      <c r="Z947" s="59"/>
    </row>
    <row r="948" spans="1:26" ht="30.75" customHeight="1" x14ac:dyDescent="0.15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  <c r="X948" s="59"/>
      <c r="Y948" s="59"/>
      <c r="Z948" s="59"/>
    </row>
    <row r="949" spans="1:26" ht="30.75" customHeight="1" x14ac:dyDescent="0.15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  <c r="X949" s="59"/>
      <c r="Y949" s="59"/>
      <c r="Z949" s="59"/>
    </row>
    <row r="950" spans="1:26" ht="30.75" customHeight="1" x14ac:dyDescent="0.15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  <c r="X950" s="59"/>
      <c r="Y950" s="59"/>
      <c r="Z950" s="59"/>
    </row>
    <row r="951" spans="1:26" ht="30.75" customHeight="1" x14ac:dyDescent="0.15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  <c r="X951" s="59"/>
      <c r="Y951" s="59"/>
      <c r="Z951" s="59"/>
    </row>
    <row r="952" spans="1:26" ht="30.75" customHeight="1" x14ac:dyDescent="0.15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  <c r="Y952" s="59"/>
      <c r="Z952" s="59"/>
    </row>
    <row r="953" spans="1:26" ht="30.75" customHeight="1" x14ac:dyDescent="0.15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  <c r="X953" s="59"/>
      <c r="Y953" s="59"/>
      <c r="Z953" s="59"/>
    </row>
    <row r="954" spans="1:26" ht="30.75" customHeight="1" x14ac:dyDescent="0.15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  <c r="Y954" s="59"/>
      <c r="Z954" s="59"/>
    </row>
    <row r="955" spans="1:26" ht="30.75" customHeight="1" x14ac:dyDescent="0.15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  <c r="X955" s="59"/>
      <c r="Y955" s="59"/>
      <c r="Z955" s="59"/>
    </row>
    <row r="956" spans="1:26" ht="30.75" customHeight="1" x14ac:dyDescent="0.15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  <c r="Y956" s="59"/>
      <c r="Z956" s="59"/>
    </row>
    <row r="957" spans="1:26" ht="30.75" customHeight="1" x14ac:dyDescent="0.15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  <c r="X957" s="59"/>
      <c r="Y957" s="59"/>
      <c r="Z957" s="59"/>
    </row>
    <row r="958" spans="1:26" ht="30.75" customHeight="1" x14ac:dyDescent="0.15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  <c r="Y958" s="59"/>
      <c r="Z958" s="59"/>
    </row>
    <row r="959" spans="1:26" ht="30.75" customHeight="1" x14ac:dyDescent="0.15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  <c r="X959" s="59"/>
      <c r="Y959" s="59"/>
      <c r="Z959" s="59"/>
    </row>
    <row r="960" spans="1:26" ht="30.75" customHeight="1" x14ac:dyDescent="0.15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  <c r="Y960" s="59"/>
      <c r="Z960" s="59"/>
    </row>
    <row r="961" spans="1:26" ht="30.75" customHeight="1" x14ac:dyDescent="0.15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  <c r="X961" s="59"/>
      <c r="Y961" s="59"/>
      <c r="Z961" s="59"/>
    </row>
    <row r="962" spans="1:26" ht="30.75" customHeight="1" x14ac:dyDescent="0.15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  <c r="Y962" s="59"/>
      <c r="Z962" s="59"/>
    </row>
    <row r="963" spans="1:26" ht="30.75" customHeight="1" x14ac:dyDescent="0.15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  <c r="X963" s="59"/>
      <c r="Y963" s="59"/>
      <c r="Z963" s="59"/>
    </row>
    <row r="964" spans="1:26" ht="30.75" customHeight="1" x14ac:dyDescent="0.15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  <c r="Y964" s="59"/>
      <c r="Z964" s="59"/>
    </row>
    <row r="965" spans="1:26" ht="30.75" customHeight="1" x14ac:dyDescent="0.15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  <c r="Z965" s="59"/>
    </row>
    <row r="966" spans="1:26" ht="30.75" customHeight="1" x14ac:dyDescent="0.15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  <c r="Z966" s="59"/>
    </row>
    <row r="967" spans="1:26" ht="30.75" customHeight="1" x14ac:dyDescent="0.15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  <c r="Z967" s="59"/>
    </row>
    <row r="968" spans="1:26" ht="30.75" customHeight="1" x14ac:dyDescent="0.15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  <c r="Y968" s="59"/>
      <c r="Z968" s="59"/>
    </row>
    <row r="969" spans="1:26" ht="30.75" customHeight="1" x14ac:dyDescent="0.15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  <c r="X969" s="59"/>
      <c r="Y969" s="59"/>
      <c r="Z969" s="59"/>
    </row>
    <row r="970" spans="1:26" ht="30.75" customHeight="1" x14ac:dyDescent="0.15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  <c r="Y970" s="59"/>
      <c r="Z970" s="59"/>
    </row>
    <row r="971" spans="1:26" ht="30.75" customHeight="1" x14ac:dyDescent="0.15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  <c r="X971" s="59"/>
      <c r="Y971" s="59"/>
      <c r="Z971" s="59"/>
    </row>
    <row r="972" spans="1:26" ht="30.75" customHeight="1" x14ac:dyDescent="0.15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  <c r="Y972" s="59"/>
      <c r="Z972" s="59"/>
    </row>
    <row r="973" spans="1:26" ht="30.75" customHeight="1" x14ac:dyDescent="0.15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  <c r="X973" s="59"/>
      <c r="Y973" s="59"/>
      <c r="Z973" s="59"/>
    </row>
    <row r="974" spans="1:26" ht="30.75" customHeight="1" x14ac:dyDescent="0.15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  <c r="Y974" s="59"/>
      <c r="Z974" s="59"/>
    </row>
    <row r="975" spans="1:26" ht="30.75" customHeight="1" x14ac:dyDescent="0.15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  <c r="X975" s="59"/>
      <c r="Y975" s="59"/>
      <c r="Z975" s="59"/>
    </row>
    <row r="976" spans="1:26" ht="30.75" customHeight="1" x14ac:dyDescent="0.15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  <c r="Y976" s="59"/>
      <c r="Z976" s="59"/>
    </row>
    <row r="977" spans="1:26" ht="30.75" customHeight="1" x14ac:dyDescent="0.15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  <c r="X977" s="59"/>
      <c r="Y977" s="59"/>
      <c r="Z977" s="59"/>
    </row>
    <row r="978" spans="1:26" ht="30.75" customHeight="1" x14ac:dyDescent="0.15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  <c r="Y978" s="59"/>
      <c r="Z978" s="59"/>
    </row>
    <row r="979" spans="1:26" ht="30.75" customHeight="1" x14ac:dyDescent="0.15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  <c r="X979" s="59"/>
      <c r="Y979" s="59"/>
      <c r="Z979" s="59"/>
    </row>
    <row r="980" spans="1:26" ht="30.75" customHeight="1" x14ac:dyDescent="0.15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  <c r="Y980" s="59"/>
      <c r="Z980" s="59"/>
    </row>
    <row r="981" spans="1:26" ht="30.75" customHeight="1" x14ac:dyDescent="0.15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  <c r="X981" s="59"/>
      <c r="Y981" s="59"/>
      <c r="Z981" s="59"/>
    </row>
    <row r="982" spans="1:26" ht="30.75" customHeight="1" x14ac:dyDescent="0.15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  <c r="Y982" s="59"/>
      <c r="Z982" s="59"/>
    </row>
    <row r="983" spans="1:26" ht="30.75" customHeight="1" x14ac:dyDescent="0.15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  <c r="X983" s="59"/>
      <c r="Y983" s="59"/>
      <c r="Z983" s="59"/>
    </row>
    <row r="984" spans="1:26" ht="30.75" customHeight="1" x14ac:dyDescent="0.15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  <c r="Y984" s="59"/>
      <c r="Z984" s="59"/>
    </row>
    <row r="985" spans="1:26" ht="30.75" customHeight="1" x14ac:dyDescent="0.15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  <c r="X985" s="59"/>
      <c r="Y985" s="59"/>
      <c r="Z985" s="59"/>
    </row>
    <row r="986" spans="1:26" ht="30.75" customHeight="1" x14ac:dyDescent="0.15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  <c r="Y986" s="59"/>
      <c r="Z986" s="59"/>
    </row>
    <row r="987" spans="1:26" ht="30.75" customHeight="1" x14ac:dyDescent="0.15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  <c r="X987" s="59"/>
      <c r="Y987" s="59"/>
      <c r="Z987" s="59"/>
    </row>
    <row r="988" spans="1:26" ht="30.75" customHeight="1" x14ac:dyDescent="0.15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  <c r="Y988" s="59"/>
      <c r="Z988" s="59"/>
    </row>
    <row r="989" spans="1:26" ht="30.75" customHeight="1" x14ac:dyDescent="0.15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  <c r="X989" s="59"/>
      <c r="Y989" s="59"/>
      <c r="Z989" s="59"/>
    </row>
    <row r="990" spans="1:26" ht="30.75" customHeight="1" x14ac:dyDescent="0.15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  <c r="Y990" s="59"/>
      <c r="Z990" s="59"/>
    </row>
    <row r="991" spans="1:26" ht="30.75" customHeight="1" x14ac:dyDescent="0.15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  <c r="X991" s="59"/>
      <c r="Y991" s="59"/>
      <c r="Z991" s="59"/>
    </row>
    <row r="992" spans="1:26" ht="30.75" customHeight="1" x14ac:dyDescent="0.15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  <c r="Y992" s="59"/>
      <c r="Z992" s="59"/>
    </row>
    <row r="993" spans="1:26" ht="30.75" customHeight="1" x14ac:dyDescent="0.15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  <c r="X993" s="59"/>
      <c r="Y993" s="59"/>
      <c r="Z993" s="59"/>
    </row>
    <row r="994" spans="1:26" ht="30.75" customHeight="1" x14ac:dyDescent="0.15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  <c r="Y994" s="59"/>
      <c r="Z994" s="59"/>
    </row>
    <row r="995" spans="1:26" ht="30.75" customHeight="1" x14ac:dyDescent="0.15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  <c r="Z995" s="59"/>
    </row>
    <row r="996" spans="1:26" ht="30.75" customHeight="1" x14ac:dyDescent="0.15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  <c r="Z996" s="59"/>
    </row>
    <row r="997" spans="1:26" ht="30.75" customHeight="1" x14ac:dyDescent="0.15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  <c r="X997" s="59"/>
      <c r="Y997" s="59"/>
      <c r="Z997" s="59"/>
    </row>
    <row r="998" spans="1:26" ht="30.75" customHeight="1" x14ac:dyDescent="0.15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  <c r="X998" s="59"/>
      <c r="Y998" s="59"/>
      <c r="Z998" s="59"/>
    </row>
    <row r="999" spans="1:26" ht="30.75" customHeight="1" x14ac:dyDescent="0.15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  <c r="X999" s="59"/>
      <c r="Y999" s="59"/>
      <c r="Z999" s="59"/>
    </row>
    <row r="1000" spans="1:26" ht="30.75" customHeight="1" x14ac:dyDescent="0.15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  <c r="X1000" s="59"/>
      <c r="Y1000" s="59"/>
      <c r="Z1000" s="59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Z1000"/>
  <sheetViews>
    <sheetView workbookViewId="0"/>
  </sheetViews>
  <sheetFormatPr baseColWidth="10" defaultColWidth="12.6640625" defaultRowHeight="15.75" customHeight="1" x14ac:dyDescent="0.15"/>
  <cols>
    <col min="1" max="1" width="22.6640625" customWidth="1"/>
    <col min="2" max="2" width="10.83203125" customWidth="1"/>
    <col min="3" max="3" width="34.5" customWidth="1"/>
    <col min="4" max="4" width="45.83203125" customWidth="1"/>
    <col min="5" max="5" width="12.6640625" customWidth="1"/>
    <col min="6" max="6" width="62.33203125" customWidth="1"/>
    <col min="7" max="7" width="19.6640625" customWidth="1"/>
    <col min="8" max="8" width="21.83203125" customWidth="1"/>
    <col min="9" max="9" width="27.1640625" customWidth="1"/>
    <col min="10" max="10" width="10.1640625" customWidth="1"/>
  </cols>
  <sheetData>
    <row r="1" spans="1:26" ht="28.5" customHeight="1" x14ac:dyDescent="0.15">
      <c r="A1" s="94" t="s">
        <v>25</v>
      </c>
      <c r="B1" s="94" t="s">
        <v>26</v>
      </c>
      <c r="C1" s="94" t="s">
        <v>106</v>
      </c>
      <c r="D1" s="94" t="s">
        <v>107</v>
      </c>
      <c r="E1" s="94" t="s">
        <v>108</v>
      </c>
      <c r="F1" s="94" t="s">
        <v>3892</v>
      </c>
      <c r="G1" s="15" t="s">
        <v>24</v>
      </c>
      <c r="H1" s="14" t="s">
        <v>1</v>
      </c>
      <c r="I1" s="15" t="s">
        <v>113</v>
      </c>
      <c r="J1" s="15" t="s">
        <v>114</v>
      </c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28.5" customHeight="1" x14ac:dyDescent="0.15">
      <c r="A2" s="69" t="str">
        <f ca="1">IFERROR(__xludf.DUMMYFUNCTION("QUERY(MasterData!A1:NK11244,""select EU,EW,EX,EY,FA,FF,B,C,FL,FM where C='S13: Students Higher Edu.'"",0)"),"Meghana Pusapati ")</f>
        <v xml:space="preserve">Meghana Pusapati </v>
      </c>
      <c r="B2" s="69" t="str">
        <f ca="1">IFERROR(__xludf.DUMMYFUNCTION("""COMPUTED_VALUE"""),"16331A05D4")</f>
        <v>16331A05D4</v>
      </c>
      <c r="C2" s="69" t="str">
        <f ca="1">IFERROR(__xludf.DUMMYFUNCTION("""COMPUTED_VALUE"""),"MS in Computer and Information Sciences")</f>
        <v>MS in Computer and Information Sciences</v>
      </c>
      <c r="D2" s="69" t="str">
        <f ca="1">IFERROR(__xludf.DUMMYFUNCTION("""COMPUTED_VALUE"""),"Syracuse University,  New York")</f>
        <v>Syracuse University,  New York</v>
      </c>
      <c r="E2" s="74">
        <f ca="1">IFERROR(__xludf.DUMMYFUNCTION("""COMPUTED_VALUE"""),44579)</f>
        <v>44579</v>
      </c>
      <c r="F2" s="75" t="str">
        <f ca="1">IFERROR(__xludf.DUMMYFUNCTION("""COMPUTED_VALUE"""),"https://drive.google.com/open?id=1PjR39K2HwkwQPNZ5t-nniB3dOKXMOnAs")</f>
        <v>https://drive.google.com/open?id=1PjR39K2HwkwQPNZ5t-nniB3dOKXMOnAs</v>
      </c>
      <c r="G2" s="69" t="str">
        <f ca="1">IFERROR(__xludf.DUMMYFUNCTION("""COMPUTED_VALUE"""),"2016-2020")</f>
        <v>2016-2020</v>
      </c>
      <c r="H2" s="69" t="str">
        <f ca="1">IFERROR(__xludf.DUMMYFUNCTION("""COMPUTED_VALUE"""),"S13: Students Higher Edu.")</f>
        <v>S13: Students Higher Edu.</v>
      </c>
      <c r="I2" s="69" t="str">
        <f ca="1">IFERROR(__xludf.DUMMYFUNCTION("""COMPUTED_VALUE"""),"pusapatimeghana@gmail.com")</f>
        <v>pusapatimeghana@gmail.com</v>
      </c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spans="1:26" ht="28.5" customHeight="1" x14ac:dyDescent="0.15">
      <c r="A3" s="69" t="str">
        <f ca="1">IFERROR(__xludf.DUMMYFUNCTION("""COMPUTED_VALUE"""),"Prudhvi teja bandaru")</f>
        <v>Prudhvi teja bandaru</v>
      </c>
      <c r="B3" s="69" t="str">
        <f ca="1">IFERROR(__xludf.DUMMYFUNCTION("""COMPUTED_VALUE"""),"17331A0509")</f>
        <v>17331A0509</v>
      </c>
      <c r="C3" s="69" t="str">
        <f ca="1">IFERROR(__xludf.DUMMYFUNCTION("""COMPUTED_VALUE"""),"MBA")</f>
        <v>MBA</v>
      </c>
      <c r="D3" s="69" t="str">
        <f ca="1">IFERROR(__xludf.DUMMYFUNCTION("""COMPUTED_VALUE"""),"Amity University Lucknow")</f>
        <v>Amity University Lucknow</v>
      </c>
      <c r="E3" s="74">
        <f ca="1">IFERROR(__xludf.DUMMYFUNCTION("""COMPUTED_VALUE"""),44445)</f>
        <v>44445</v>
      </c>
      <c r="F3" s="75" t="str">
        <f ca="1">IFERROR(__xludf.DUMMYFUNCTION("""COMPUTED_VALUE"""),"https://drive.google.com/open?id=1c_dom1yBEfrg7AcSOQr54fVgwxMKaGJK")</f>
        <v>https://drive.google.com/open?id=1c_dom1yBEfrg7AcSOQr54fVgwxMKaGJK</v>
      </c>
      <c r="G3" s="69" t="str">
        <f ca="1">IFERROR(__xludf.DUMMYFUNCTION("""COMPUTED_VALUE"""),"2017-2021")</f>
        <v>2017-2021</v>
      </c>
      <c r="H3" s="69" t="str">
        <f ca="1">IFERROR(__xludf.DUMMYFUNCTION("""COMPUTED_VALUE"""),"S13: Students Higher Edu.")</f>
        <v>S13: Students Higher Edu.</v>
      </c>
      <c r="I3" s="69" t="str">
        <f ca="1">IFERROR(__xludf.DUMMYFUNCTION("""COMPUTED_VALUE"""),"prudhvibandaru1990@gmail.com")</f>
        <v>prudhvibandaru1990@gmail.com</v>
      </c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28.5" customHeight="1" x14ac:dyDescent="0.15">
      <c r="A4" s="69" t="str">
        <f ca="1">IFERROR(__xludf.DUMMYFUNCTION("""COMPUTED_VALUE"""),"VVNS Sai Kiriti")</f>
        <v>VVNS Sai Kiriti</v>
      </c>
      <c r="B4" s="69" t="str">
        <f ca="1">IFERROR(__xludf.DUMMYFUNCTION("""COMPUTED_VALUE"""),"17331A05G7")</f>
        <v>17331A05G7</v>
      </c>
      <c r="C4" s="69" t="str">
        <f ca="1">IFERROR(__xludf.DUMMYFUNCTION("""COMPUTED_VALUE"""),"MS")</f>
        <v>MS</v>
      </c>
      <c r="D4" s="69" t="str">
        <f ca="1">IFERROR(__xludf.DUMMYFUNCTION("""COMPUTED_VALUE"""),"Vanderbilt University, Nashville, TN, USA")</f>
        <v>Vanderbilt University, Nashville, TN, USA</v>
      </c>
      <c r="E4" s="74">
        <f ca="1">IFERROR(__xludf.DUMMYFUNCTION("""COMPUTED_VALUE"""),44434)</f>
        <v>44434</v>
      </c>
      <c r="F4" s="75" t="str">
        <f ca="1">IFERROR(__xludf.DUMMYFUNCTION("""COMPUTED_VALUE"""),"https://drive.google.com/open?id=1lmrb71Nm-41_5xPCanOYRZqI2qrZVI5Q")</f>
        <v>https://drive.google.com/open?id=1lmrb71Nm-41_5xPCanOYRZqI2qrZVI5Q</v>
      </c>
      <c r="G4" s="69" t="str">
        <f ca="1">IFERROR(__xludf.DUMMYFUNCTION("""COMPUTED_VALUE"""),"2017-2021")</f>
        <v>2017-2021</v>
      </c>
      <c r="H4" s="69" t="str">
        <f ca="1">IFERROR(__xludf.DUMMYFUNCTION("""COMPUTED_VALUE"""),"S13: Students Higher Edu.")</f>
        <v>S13: Students Higher Edu.</v>
      </c>
      <c r="I4" s="69" t="str">
        <f ca="1">IFERROR(__xludf.DUMMYFUNCTION("""COMPUTED_VALUE"""),"skischaos@gmail.com")</f>
        <v>skischaos@gmail.com</v>
      </c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</row>
    <row r="5" spans="1:26" ht="28.5" customHeight="1" x14ac:dyDescent="0.15">
      <c r="A5" s="69" t="str">
        <f ca="1">IFERROR(__xludf.DUMMYFUNCTION("""COMPUTED_VALUE"""),"Shaik abdul khayyam sahib")</f>
        <v>Shaik abdul khayyam sahib</v>
      </c>
      <c r="B5" s="69" t="str">
        <f ca="1">IFERROR(__xludf.DUMMYFUNCTION("""COMPUTED_VALUE"""),"14331A05E9")</f>
        <v>14331A05E9</v>
      </c>
      <c r="C5" s="69" t="str">
        <f ca="1">IFERROR(__xludf.DUMMYFUNCTION("""COMPUTED_VALUE"""),"MS")</f>
        <v>MS</v>
      </c>
      <c r="D5" s="69" t="str">
        <f ca="1">IFERROR(__xludf.DUMMYFUNCTION("""COMPUTED_VALUE"""),"Northwest Missouri State University/ Maryville, Missouri ")</f>
        <v xml:space="preserve">Northwest Missouri State University/ Maryville, Missouri </v>
      </c>
      <c r="E5" s="74">
        <f ca="1">IFERROR(__xludf.DUMMYFUNCTION("""COMPUTED_VALUE"""),44567)</f>
        <v>44567</v>
      </c>
      <c r="F5" s="75" t="str">
        <f ca="1">IFERROR(__xludf.DUMMYFUNCTION("""COMPUTED_VALUE"""),"https://drive.google.com/open?id=1QIXtVuPtDJ-tn8Cng1QKSSt3CNyRaikQ")</f>
        <v>https://drive.google.com/open?id=1QIXtVuPtDJ-tn8Cng1QKSSt3CNyRaikQ</v>
      </c>
      <c r="G5" s="69" t="str">
        <f ca="1">IFERROR(__xludf.DUMMYFUNCTION("""COMPUTED_VALUE"""),"2014-2018")</f>
        <v>2014-2018</v>
      </c>
      <c r="H5" s="69" t="str">
        <f ca="1">IFERROR(__xludf.DUMMYFUNCTION("""COMPUTED_VALUE"""),"S13: Students Higher Edu.")</f>
        <v>S13: Students Higher Edu.</v>
      </c>
      <c r="I5" s="69" t="str">
        <f ca="1">IFERROR(__xludf.DUMMYFUNCTION("""COMPUTED_VALUE"""),"abdulkhayyum38@gmail.com")</f>
        <v>abdulkhayyum38@gmail.com</v>
      </c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</row>
    <row r="6" spans="1:26" ht="28.5" customHeight="1" x14ac:dyDescent="0.15">
      <c r="A6" s="95"/>
      <c r="B6" s="95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5"/>
    </row>
    <row r="7" spans="1:26" ht="28.5" customHeight="1" x14ac:dyDescent="0.15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28.5" customHeight="1" x14ac:dyDescent="0.15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28.5" customHeight="1" x14ac:dyDescent="0.15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8.5" customHeight="1" x14ac:dyDescent="0.15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28.5" customHeight="1" x14ac:dyDescent="0.15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28.5" customHeight="1" x14ac:dyDescent="0.15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28.5" customHeight="1" x14ac:dyDescent="0.15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28.5" customHeight="1" x14ac:dyDescent="0.15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28.5" customHeight="1" x14ac:dyDescent="0.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28.5" customHeight="1" x14ac:dyDescent="0.15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28.5" customHeight="1" x14ac:dyDescent="0.15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28.5" customHeight="1" x14ac:dyDescent="0.15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28.5" customHeight="1" x14ac:dyDescent="0.15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8.5" customHeight="1" x14ac:dyDescent="0.15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28.5" customHeight="1" x14ac:dyDescent="0.15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28.5" customHeight="1" x14ac:dyDescent="0.15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28.5" customHeight="1" x14ac:dyDescent="0.15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28.5" customHeight="1" x14ac:dyDescent="0.15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28.5" customHeight="1" x14ac:dyDescent="0.1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28.5" customHeight="1" x14ac:dyDescent="0.15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28.5" customHeight="1" x14ac:dyDescent="0.15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28.5" customHeight="1" x14ac:dyDescent="0.15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28.5" customHeight="1" x14ac:dyDescent="0.15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28.5" customHeight="1" x14ac:dyDescent="0.15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28.5" customHeight="1" x14ac:dyDescent="0.1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28.5" customHeight="1" x14ac:dyDescent="0.1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28.5" customHeight="1" x14ac:dyDescent="0.1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28.5" customHeight="1" x14ac:dyDescent="0.1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28.5" customHeight="1" x14ac:dyDescent="0.1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28.5" customHeight="1" x14ac:dyDescent="0.1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28.5" customHeight="1" x14ac:dyDescent="0.1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28.5" customHeight="1" x14ac:dyDescent="0.1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28.5" customHeight="1" x14ac:dyDescent="0.1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28.5" customHeight="1" x14ac:dyDescent="0.1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28.5" customHeight="1" x14ac:dyDescent="0.1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28.5" customHeight="1" x14ac:dyDescent="0.1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28.5" customHeight="1" x14ac:dyDescent="0.1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28.5" customHeight="1" x14ac:dyDescent="0.1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28.5" customHeight="1" x14ac:dyDescent="0.1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28.5" customHeight="1" x14ac:dyDescent="0.1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28.5" customHeight="1" x14ac:dyDescent="0.1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28.5" customHeight="1" x14ac:dyDescent="0.1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28.5" customHeight="1" x14ac:dyDescent="0.1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28.5" customHeight="1" x14ac:dyDescent="0.1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28.5" customHeight="1" x14ac:dyDescent="0.1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28.5" customHeight="1" x14ac:dyDescent="0.1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28.5" customHeight="1" x14ac:dyDescent="0.1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28.5" customHeight="1" x14ac:dyDescent="0.1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28.5" customHeight="1" x14ac:dyDescent="0.1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28.5" customHeight="1" x14ac:dyDescent="0.1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28.5" customHeight="1" x14ac:dyDescent="0.1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28.5" customHeight="1" x14ac:dyDescent="0.1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28.5" customHeight="1" x14ac:dyDescent="0.1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28.5" customHeight="1" x14ac:dyDescent="0.1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28.5" customHeight="1" x14ac:dyDescent="0.1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28.5" customHeight="1" x14ac:dyDescent="0.1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28.5" customHeight="1" x14ac:dyDescent="0.1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28.5" customHeight="1" x14ac:dyDescent="0.1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28.5" customHeight="1" x14ac:dyDescent="0.1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28.5" customHeight="1" x14ac:dyDescent="0.1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28.5" customHeight="1" x14ac:dyDescent="0.1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28.5" customHeight="1" x14ac:dyDescent="0.1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28.5" customHeight="1" x14ac:dyDescent="0.1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28.5" customHeight="1" x14ac:dyDescent="0.1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28.5" customHeight="1" x14ac:dyDescent="0.1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28.5" customHeight="1" x14ac:dyDescent="0.1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28.5" customHeight="1" x14ac:dyDescent="0.1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28.5" customHeight="1" x14ac:dyDescent="0.1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28.5" customHeight="1" x14ac:dyDescent="0.1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28.5" customHeight="1" x14ac:dyDescent="0.1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28.5" customHeight="1" x14ac:dyDescent="0.1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28.5" customHeight="1" x14ac:dyDescent="0.1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28.5" customHeight="1" x14ac:dyDescent="0.1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28.5" customHeight="1" x14ac:dyDescent="0.1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28.5" customHeight="1" x14ac:dyDescent="0.1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28.5" customHeight="1" x14ac:dyDescent="0.1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28.5" customHeight="1" x14ac:dyDescent="0.1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28.5" customHeight="1" x14ac:dyDescent="0.1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28.5" customHeight="1" x14ac:dyDescent="0.1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28.5" customHeight="1" x14ac:dyDescent="0.1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28.5" customHeight="1" x14ac:dyDescent="0.1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28.5" customHeight="1" x14ac:dyDescent="0.1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28.5" customHeight="1" x14ac:dyDescent="0.1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28.5" customHeight="1" x14ac:dyDescent="0.1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28.5" customHeight="1" x14ac:dyDescent="0.1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28.5" customHeight="1" x14ac:dyDescent="0.1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28.5" customHeight="1" x14ac:dyDescent="0.1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28.5" customHeight="1" x14ac:dyDescent="0.1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28.5" customHeight="1" x14ac:dyDescent="0.1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28.5" customHeight="1" x14ac:dyDescent="0.1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28.5" customHeight="1" x14ac:dyDescent="0.1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28.5" customHeight="1" x14ac:dyDescent="0.1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28.5" customHeight="1" x14ac:dyDescent="0.1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28.5" customHeight="1" x14ac:dyDescent="0.1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28.5" customHeight="1" x14ac:dyDescent="0.1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28.5" customHeight="1" x14ac:dyDescent="0.1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28.5" customHeight="1" x14ac:dyDescent="0.1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28.5" customHeight="1" x14ac:dyDescent="0.1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28.5" customHeight="1" x14ac:dyDescent="0.1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28.5" customHeight="1" x14ac:dyDescent="0.1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28.5" customHeight="1" x14ac:dyDescent="0.1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28.5" customHeight="1" x14ac:dyDescent="0.1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28.5" customHeight="1" x14ac:dyDescent="0.1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28.5" customHeight="1" x14ac:dyDescent="0.1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28.5" customHeight="1" x14ac:dyDescent="0.1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28.5" customHeight="1" x14ac:dyDescent="0.1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28.5" customHeight="1" x14ac:dyDescent="0.1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28.5" customHeight="1" x14ac:dyDescent="0.1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28.5" customHeight="1" x14ac:dyDescent="0.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28.5" customHeight="1" x14ac:dyDescent="0.1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28.5" customHeight="1" x14ac:dyDescent="0.1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28.5" customHeight="1" x14ac:dyDescent="0.1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28.5" customHeight="1" x14ac:dyDescent="0.1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28.5" customHeight="1" x14ac:dyDescent="0.1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28.5" customHeight="1" x14ac:dyDescent="0.1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28.5" customHeight="1" x14ac:dyDescent="0.1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28.5" customHeight="1" x14ac:dyDescent="0.1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28.5" customHeight="1" x14ac:dyDescent="0.1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28.5" customHeight="1" x14ac:dyDescent="0.1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28.5" customHeight="1" x14ac:dyDescent="0.1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28.5" customHeight="1" x14ac:dyDescent="0.1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28.5" customHeight="1" x14ac:dyDescent="0.1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28.5" customHeight="1" x14ac:dyDescent="0.1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28.5" customHeight="1" x14ac:dyDescent="0.1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28.5" customHeight="1" x14ac:dyDescent="0.1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28.5" customHeight="1" x14ac:dyDescent="0.1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28.5" customHeight="1" x14ac:dyDescent="0.1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28.5" customHeight="1" x14ac:dyDescent="0.1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28.5" customHeight="1" x14ac:dyDescent="0.1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28.5" customHeight="1" x14ac:dyDescent="0.1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28.5" customHeight="1" x14ac:dyDescent="0.1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28.5" customHeight="1" x14ac:dyDescent="0.1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28.5" customHeight="1" x14ac:dyDescent="0.1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28.5" customHeight="1" x14ac:dyDescent="0.1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28.5" customHeight="1" x14ac:dyDescent="0.1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28.5" customHeight="1" x14ac:dyDescent="0.1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28.5" customHeight="1" x14ac:dyDescent="0.1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28.5" customHeight="1" x14ac:dyDescent="0.1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28.5" customHeight="1" x14ac:dyDescent="0.1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28.5" customHeight="1" x14ac:dyDescent="0.1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28.5" customHeight="1" x14ac:dyDescent="0.1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28.5" customHeight="1" x14ac:dyDescent="0.1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28.5" customHeight="1" x14ac:dyDescent="0.1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28.5" customHeight="1" x14ac:dyDescent="0.1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28.5" customHeight="1" x14ac:dyDescent="0.1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28.5" customHeight="1" x14ac:dyDescent="0.1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28.5" customHeight="1" x14ac:dyDescent="0.1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28.5" customHeight="1" x14ac:dyDescent="0.1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28.5" customHeight="1" x14ac:dyDescent="0.1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28.5" customHeight="1" x14ac:dyDescent="0.1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28.5" customHeight="1" x14ac:dyDescent="0.1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28.5" customHeight="1" x14ac:dyDescent="0.1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28.5" customHeight="1" x14ac:dyDescent="0.1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28.5" customHeight="1" x14ac:dyDescent="0.1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28.5" customHeight="1" x14ac:dyDescent="0.1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28.5" customHeight="1" x14ac:dyDescent="0.1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28.5" customHeight="1" x14ac:dyDescent="0.1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28.5" customHeight="1" x14ac:dyDescent="0.1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28.5" customHeight="1" x14ac:dyDescent="0.1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28.5" customHeight="1" x14ac:dyDescent="0.1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28.5" customHeight="1" x14ac:dyDescent="0.1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28.5" customHeight="1" x14ac:dyDescent="0.1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28.5" customHeight="1" x14ac:dyDescent="0.1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28.5" customHeight="1" x14ac:dyDescent="0.1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28.5" customHeight="1" x14ac:dyDescent="0.1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28.5" customHeight="1" x14ac:dyDescent="0.1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28.5" customHeight="1" x14ac:dyDescent="0.1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28.5" customHeight="1" x14ac:dyDescent="0.1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28.5" customHeight="1" x14ac:dyDescent="0.1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28.5" customHeight="1" x14ac:dyDescent="0.1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28.5" customHeight="1" x14ac:dyDescent="0.1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28.5" customHeight="1" x14ac:dyDescent="0.1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28.5" customHeight="1" x14ac:dyDescent="0.1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28.5" customHeight="1" x14ac:dyDescent="0.1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28.5" customHeight="1" x14ac:dyDescent="0.1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28.5" customHeight="1" x14ac:dyDescent="0.1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28.5" customHeight="1" x14ac:dyDescent="0.1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28.5" customHeight="1" x14ac:dyDescent="0.1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28.5" customHeight="1" x14ac:dyDescent="0.1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28.5" customHeight="1" x14ac:dyDescent="0.1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28.5" customHeight="1" x14ac:dyDescent="0.1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28.5" customHeight="1" x14ac:dyDescent="0.1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28.5" customHeight="1" x14ac:dyDescent="0.1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28.5" customHeight="1" x14ac:dyDescent="0.1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28.5" customHeight="1" x14ac:dyDescent="0.1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28.5" customHeight="1" x14ac:dyDescent="0.1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28.5" customHeight="1" x14ac:dyDescent="0.1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28.5" customHeight="1" x14ac:dyDescent="0.1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28.5" customHeight="1" x14ac:dyDescent="0.1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28.5" customHeight="1" x14ac:dyDescent="0.1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28.5" customHeight="1" x14ac:dyDescent="0.1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28.5" customHeight="1" x14ac:dyDescent="0.1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28.5" customHeight="1" x14ac:dyDescent="0.1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28.5" customHeight="1" x14ac:dyDescent="0.1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28.5" customHeight="1" x14ac:dyDescent="0.1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28.5" customHeight="1" x14ac:dyDescent="0.1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28.5" customHeight="1" x14ac:dyDescent="0.1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28.5" customHeight="1" x14ac:dyDescent="0.1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28.5" customHeight="1" x14ac:dyDescent="0.1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28.5" customHeight="1" x14ac:dyDescent="0.1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28.5" customHeight="1" x14ac:dyDescent="0.1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28.5" customHeight="1" x14ac:dyDescent="0.1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28.5" customHeight="1" x14ac:dyDescent="0.1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28.5" customHeight="1" x14ac:dyDescent="0.1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28.5" customHeight="1" x14ac:dyDescent="0.1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28.5" customHeight="1" x14ac:dyDescent="0.1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28.5" customHeight="1" x14ac:dyDescent="0.1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28.5" customHeight="1" x14ac:dyDescent="0.1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28.5" customHeight="1" x14ac:dyDescent="0.1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28.5" customHeight="1" x14ac:dyDescent="0.1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28.5" customHeight="1" x14ac:dyDescent="0.1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28.5" customHeight="1" x14ac:dyDescent="0.1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28.5" customHeight="1" x14ac:dyDescent="0.1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28.5" customHeight="1" x14ac:dyDescent="0.1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28.5" customHeight="1" x14ac:dyDescent="0.1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28.5" customHeight="1" x14ac:dyDescent="0.1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28.5" customHeight="1" x14ac:dyDescent="0.1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28.5" customHeight="1" x14ac:dyDescent="0.1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28.5" customHeight="1" x14ac:dyDescent="0.1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28.5" customHeight="1" x14ac:dyDescent="0.1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28.5" customHeight="1" x14ac:dyDescent="0.1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28.5" customHeight="1" x14ac:dyDescent="0.1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28.5" customHeight="1" x14ac:dyDescent="0.1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28.5" customHeight="1" x14ac:dyDescent="0.1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28.5" customHeight="1" x14ac:dyDescent="0.1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28.5" customHeight="1" x14ac:dyDescent="0.1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28.5" customHeight="1" x14ac:dyDescent="0.1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28.5" customHeight="1" x14ac:dyDescent="0.1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28.5" customHeight="1" x14ac:dyDescent="0.1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28.5" customHeight="1" x14ac:dyDescent="0.1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28.5" customHeight="1" x14ac:dyDescent="0.1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28.5" customHeight="1" x14ac:dyDescent="0.1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28.5" customHeight="1" x14ac:dyDescent="0.1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28.5" customHeight="1" x14ac:dyDescent="0.1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28.5" customHeight="1" x14ac:dyDescent="0.1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28.5" customHeight="1" x14ac:dyDescent="0.1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28.5" customHeight="1" x14ac:dyDescent="0.1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28.5" customHeight="1" x14ac:dyDescent="0.1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28.5" customHeight="1" x14ac:dyDescent="0.1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28.5" customHeight="1" x14ac:dyDescent="0.1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28.5" customHeight="1" x14ac:dyDescent="0.1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28.5" customHeight="1" x14ac:dyDescent="0.1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28.5" customHeight="1" x14ac:dyDescent="0.1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28.5" customHeight="1" x14ac:dyDescent="0.1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28.5" customHeight="1" x14ac:dyDescent="0.1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28.5" customHeight="1" x14ac:dyDescent="0.1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28.5" customHeight="1" x14ac:dyDescent="0.1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28.5" customHeight="1" x14ac:dyDescent="0.1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28.5" customHeight="1" x14ac:dyDescent="0.1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28.5" customHeight="1" x14ac:dyDescent="0.1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28.5" customHeight="1" x14ac:dyDescent="0.1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28.5" customHeight="1" x14ac:dyDescent="0.1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28.5" customHeight="1" x14ac:dyDescent="0.1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28.5" customHeight="1" x14ac:dyDescent="0.1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28.5" customHeight="1" x14ac:dyDescent="0.1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28.5" customHeight="1" x14ac:dyDescent="0.1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28.5" customHeight="1" x14ac:dyDescent="0.1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28.5" customHeight="1" x14ac:dyDescent="0.1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28.5" customHeight="1" x14ac:dyDescent="0.1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28.5" customHeight="1" x14ac:dyDescent="0.1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28.5" customHeight="1" x14ac:dyDescent="0.1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28.5" customHeight="1" x14ac:dyDescent="0.1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28.5" customHeight="1" x14ac:dyDescent="0.1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28.5" customHeight="1" x14ac:dyDescent="0.1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28.5" customHeight="1" x14ac:dyDescent="0.1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28.5" customHeight="1" x14ac:dyDescent="0.1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28.5" customHeight="1" x14ac:dyDescent="0.1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28.5" customHeight="1" x14ac:dyDescent="0.1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28.5" customHeight="1" x14ac:dyDescent="0.1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28.5" customHeight="1" x14ac:dyDescent="0.1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28.5" customHeight="1" x14ac:dyDescent="0.1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28.5" customHeight="1" x14ac:dyDescent="0.1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28.5" customHeight="1" x14ac:dyDescent="0.1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28.5" customHeight="1" x14ac:dyDescent="0.1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28.5" customHeight="1" x14ac:dyDescent="0.1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28.5" customHeight="1" x14ac:dyDescent="0.1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28.5" customHeight="1" x14ac:dyDescent="0.1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28.5" customHeight="1" x14ac:dyDescent="0.1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28.5" customHeight="1" x14ac:dyDescent="0.1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28.5" customHeight="1" x14ac:dyDescent="0.1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28.5" customHeight="1" x14ac:dyDescent="0.1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28.5" customHeight="1" x14ac:dyDescent="0.1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28.5" customHeight="1" x14ac:dyDescent="0.1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28.5" customHeight="1" x14ac:dyDescent="0.1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28.5" customHeight="1" x14ac:dyDescent="0.1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28.5" customHeight="1" x14ac:dyDescent="0.1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28.5" customHeight="1" x14ac:dyDescent="0.1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28.5" customHeight="1" x14ac:dyDescent="0.1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28.5" customHeight="1" x14ac:dyDescent="0.1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28.5" customHeight="1" x14ac:dyDescent="0.1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28.5" customHeight="1" x14ac:dyDescent="0.1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28.5" customHeight="1" x14ac:dyDescent="0.1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28.5" customHeight="1" x14ac:dyDescent="0.1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28.5" customHeight="1" x14ac:dyDescent="0.1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28.5" customHeight="1" x14ac:dyDescent="0.1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28.5" customHeight="1" x14ac:dyDescent="0.1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28.5" customHeight="1" x14ac:dyDescent="0.1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28.5" customHeight="1" x14ac:dyDescent="0.1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28.5" customHeight="1" x14ac:dyDescent="0.1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28.5" customHeight="1" x14ac:dyDescent="0.1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28.5" customHeight="1" x14ac:dyDescent="0.1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28.5" customHeight="1" x14ac:dyDescent="0.1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28.5" customHeight="1" x14ac:dyDescent="0.1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28.5" customHeight="1" x14ac:dyDescent="0.1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28.5" customHeight="1" x14ac:dyDescent="0.1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28.5" customHeight="1" x14ac:dyDescent="0.1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28.5" customHeight="1" x14ac:dyDescent="0.1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28.5" customHeight="1" x14ac:dyDescent="0.1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28.5" customHeight="1" x14ac:dyDescent="0.1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28.5" customHeight="1" x14ac:dyDescent="0.1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28.5" customHeight="1" x14ac:dyDescent="0.1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28.5" customHeight="1" x14ac:dyDescent="0.1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28.5" customHeight="1" x14ac:dyDescent="0.1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28.5" customHeight="1" x14ac:dyDescent="0.1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28.5" customHeight="1" x14ac:dyDescent="0.1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28.5" customHeight="1" x14ac:dyDescent="0.1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28.5" customHeight="1" x14ac:dyDescent="0.1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28.5" customHeight="1" x14ac:dyDescent="0.1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28.5" customHeight="1" x14ac:dyDescent="0.1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28.5" customHeight="1" x14ac:dyDescent="0.1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28.5" customHeight="1" x14ac:dyDescent="0.1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28.5" customHeight="1" x14ac:dyDescent="0.1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28.5" customHeight="1" x14ac:dyDescent="0.1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28.5" customHeight="1" x14ac:dyDescent="0.1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28.5" customHeight="1" x14ac:dyDescent="0.1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28.5" customHeight="1" x14ac:dyDescent="0.1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28.5" customHeight="1" x14ac:dyDescent="0.1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28.5" customHeight="1" x14ac:dyDescent="0.1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28.5" customHeight="1" x14ac:dyDescent="0.1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28.5" customHeight="1" x14ac:dyDescent="0.1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28.5" customHeight="1" x14ac:dyDescent="0.1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28.5" customHeight="1" x14ac:dyDescent="0.1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28.5" customHeight="1" x14ac:dyDescent="0.1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28.5" customHeight="1" x14ac:dyDescent="0.1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28.5" customHeight="1" x14ac:dyDescent="0.1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28.5" customHeight="1" x14ac:dyDescent="0.1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28.5" customHeight="1" x14ac:dyDescent="0.1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28.5" customHeight="1" x14ac:dyDescent="0.1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28.5" customHeight="1" x14ac:dyDescent="0.1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28.5" customHeight="1" x14ac:dyDescent="0.1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28.5" customHeight="1" x14ac:dyDescent="0.1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28.5" customHeight="1" x14ac:dyDescent="0.1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28.5" customHeight="1" x14ac:dyDescent="0.1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28.5" customHeight="1" x14ac:dyDescent="0.1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28.5" customHeight="1" x14ac:dyDescent="0.1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28.5" customHeight="1" x14ac:dyDescent="0.1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28.5" customHeight="1" x14ac:dyDescent="0.1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28.5" customHeight="1" x14ac:dyDescent="0.1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28.5" customHeight="1" x14ac:dyDescent="0.1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28.5" customHeight="1" x14ac:dyDescent="0.1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28.5" customHeight="1" x14ac:dyDescent="0.1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28.5" customHeight="1" x14ac:dyDescent="0.1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28.5" customHeight="1" x14ac:dyDescent="0.1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28.5" customHeight="1" x14ac:dyDescent="0.1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28.5" customHeight="1" x14ac:dyDescent="0.1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28.5" customHeight="1" x14ac:dyDescent="0.1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28.5" customHeight="1" x14ac:dyDescent="0.1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28.5" customHeight="1" x14ac:dyDescent="0.1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28.5" customHeight="1" x14ac:dyDescent="0.1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28.5" customHeight="1" x14ac:dyDescent="0.1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28.5" customHeight="1" x14ac:dyDescent="0.1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28.5" customHeight="1" x14ac:dyDescent="0.1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28.5" customHeight="1" x14ac:dyDescent="0.1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28.5" customHeight="1" x14ac:dyDescent="0.1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28.5" customHeight="1" x14ac:dyDescent="0.1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28.5" customHeight="1" x14ac:dyDescent="0.1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28.5" customHeight="1" x14ac:dyDescent="0.1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28.5" customHeight="1" x14ac:dyDescent="0.1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28.5" customHeight="1" x14ac:dyDescent="0.1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28.5" customHeight="1" x14ac:dyDescent="0.1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28.5" customHeight="1" x14ac:dyDescent="0.1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28.5" customHeight="1" x14ac:dyDescent="0.1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28.5" customHeight="1" x14ac:dyDescent="0.1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28.5" customHeight="1" x14ac:dyDescent="0.1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28.5" customHeight="1" x14ac:dyDescent="0.1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28.5" customHeight="1" x14ac:dyDescent="0.1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28.5" customHeight="1" x14ac:dyDescent="0.1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28.5" customHeight="1" x14ac:dyDescent="0.1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28.5" customHeight="1" x14ac:dyDescent="0.1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28.5" customHeight="1" x14ac:dyDescent="0.1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28.5" customHeight="1" x14ac:dyDescent="0.1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28.5" customHeight="1" x14ac:dyDescent="0.1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28.5" customHeight="1" x14ac:dyDescent="0.1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28.5" customHeight="1" x14ac:dyDescent="0.1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28.5" customHeight="1" x14ac:dyDescent="0.1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28.5" customHeight="1" x14ac:dyDescent="0.1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28.5" customHeight="1" x14ac:dyDescent="0.1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28.5" customHeight="1" x14ac:dyDescent="0.1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28.5" customHeight="1" x14ac:dyDescent="0.1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28.5" customHeight="1" x14ac:dyDescent="0.1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28.5" customHeight="1" x14ac:dyDescent="0.1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28.5" customHeight="1" x14ac:dyDescent="0.1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28.5" customHeight="1" x14ac:dyDescent="0.1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28.5" customHeight="1" x14ac:dyDescent="0.1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28.5" customHeight="1" x14ac:dyDescent="0.1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28.5" customHeight="1" x14ac:dyDescent="0.1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28.5" customHeight="1" x14ac:dyDescent="0.1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28.5" customHeight="1" x14ac:dyDescent="0.1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28.5" customHeight="1" x14ac:dyDescent="0.1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28.5" customHeight="1" x14ac:dyDescent="0.1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28.5" customHeight="1" x14ac:dyDescent="0.1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28.5" customHeight="1" x14ac:dyDescent="0.1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28.5" customHeight="1" x14ac:dyDescent="0.1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28.5" customHeight="1" x14ac:dyDescent="0.1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28.5" customHeight="1" x14ac:dyDescent="0.1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28.5" customHeight="1" x14ac:dyDescent="0.1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28.5" customHeight="1" x14ac:dyDescent="0.1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28.5" customHeight="1" x14ac:dyDescent="0.1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28.5" customHeight="1" x14ac:dyDescent="0.1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28.5" customHeight="1" x14ac:dyDescent="0.1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28.5" customHeight="1" x14ac:dyDescent="0.1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28.5" customHeight="1" x14ac:dyDescent="0.1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28.5" customHeight="1" x14ac:dyDescent="0.1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28.5" customHeight="1" x14ac:dyDescent="0.1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28.5" customHeight="1" x14ac:dyDescent="0.1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28.5" customHeight="1" x14ac:dyDescent="0.1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28.5" customHeight="1" x14ac:dyDescent="0.1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28.5" customHeight="1" x14ac:dyDescent="0.1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28.5" customHeight="1" x14ac:dyDescent="0.1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28.5" customHeight="1" x14ac:dyDescent="0.1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28.5" customHeight="1" x14ac:dyDescent="0.1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28.5" customHeight="1" x14ac:dyDescent="0.1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28.5" customHeight="1" x14ac:dyDescent="0.1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28.5" customHeight="1" x14ac:dyDescent="0.1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28.5" customHeight="1" x14ac:dyDescent="0.1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28.5" customHeight="1" x14ac:dyDescent="0.1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28.5" customHeight="1" x14ac:dyDescent="0.1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28.5" customHeight="1" x14ac:dyDescent="0.1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28.5" customHeight="1" x14ac:dyDescent="0.1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28.5" customHeight="1" x14ac:dyDescent="0.1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28.5" customHeight="1" x14ac:dyDescent="0.1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28.5" customHeight="1" x14ac:dyDescent="0.1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28.5" customHeight="1" x14ac:dyDescent="0.1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28.5" customHeight="1" x14ac:dyDescent="0.1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28.5" customHeight="1" x14ac:dyDescent="0.1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28.5" customHeight="1" x14ac:dyDescent="0.1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28.5" customHeight="1" x14ac:dyDescent="0.1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28.5" customHeight="1" x14ac:dyDescent="0.1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28.5" customHeight="1" x14ac:dyDescent="0.1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28.5" customHeight="1" x14ac:dyDescent="0.1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28.5" customHeight="1" x14ac:dyDescent="0.1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28.5" customHeight="1" x14ac:dyDescent="0.1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28.5" customHeight="1" x14ac:dyDescent="0.1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28.5" customHeight="1" x14ac:dyDescent="0.1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28.5" customHeight="1" x14ac:dyDescent="0.1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28.5" customHeight="1" x14ac:dyDescent="0.1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28.5" customHeight="1" x14ac:dyDescent="0.1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28.5" customHeight="1" x14ac:dyDescent="0.1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28.5" customHeight="1" x14ac:dyDescent="0.1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28.5" customHeight="1" x14ac:dyDescent="0.1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28.5" customHeight="1" x14ac:dyDescent="0.1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28.5" customHeight="1" x14ac:dyDescent="0.1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28.5" customHeight="1" x14ac:dyDescent="0.1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28.5" customHeight="1" x14ac:dyDescent="0.1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28.5" customHeight="1" x14ac:dyDescent="0.1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28.5" customHeight="1" x14ac:dyDescent="0.1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28.5" customHeight="1" x14ac:dyDescent="0.1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28.5" customHeight="1" x14ac:dyDescent="0.1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28.5" customHeight="1" x14ac:dyDescent="0.1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28.5" customHeight="1" x14ac:dyDescent="0.1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28.5" customHeight="1" x14ac:dyDescent="0.1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28.5" customHeight="1" x14ac:dyDescent="0.1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28.5" customHeight="1" x14ac:dyDescent="0.1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28.5" customHeight="1" x14ac:dyDescent="0.1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28.5" customHeight="1" x14ac:dyDescent="0.1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28.5" customHeight="1" x14ac:dyDescent="0.1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28.5" customHeight="1" x14ac:dyDescent="0.1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28.5" customHeight="1" x14ac:dyDescent="0.1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28.5" customHeight="1" x14ac:dyDescent="0.1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28.5" customHeight="1" x14ac:dyDescent="0.1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28.5" customHeight="1" x14ac:dyDescent="0.1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28.5" customHeight="1" x14ac:dyDescent="0.1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28.5" customHeight="1" x14ac:dyDescent="0.1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28.5" customHeight="1" x14ac:dyDescent="0.1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28.5" customHeight="1" x14ac:dyDescent="0.1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28.5" customHeight="1" x14ac:dyDescent="0.1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28.5" customHeight="1" x14ac:dyDescent="0.1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28.5" customHeight="1" x14ac:dyDescent="0.1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28.5" customHeight="1" x14ac:dyDescent="0.1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28.5" customHeight="1" x14ac:dyDescent="0.1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28.5" customHeight="1" x14ac:dyDescent="0.1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28.5" customHeight="1" x14ac:dyDescent="0.1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28.5" customHeight="1" x14ac:dyDescent="0.1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28.5" customHeight="1" x14ac:dyDescent="0.1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28.5" customHeight="1" x14ac:dyDescent="0.1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28.5" customHeight="1" x14ac:dyDescent="0.1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28.5" customHeight="1" x14ac:dyDescent="0.1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28.5" customHeight="1" x14ac:dyDescent="0.1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28.5" customHeight="1" x14ac:dyDescent="0.1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28.5" customHeight="1" x14ac:dyDescent="0.1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28.5" customHeight="1" x14ac:dyDescent="0.1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28.5" customHeight="1" x14ac:dyDescent="0.1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28.5" customHeight="1" x14ac:dyDescent="0.1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28.5" customHeight="1" x14ac:dyDescent="0.1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28.5" customHeight="1" x14ac:dyDescent="0.1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28.5" customHeight="1" x14ac:dyDescent="0.1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28.5" customHeight="1" x14ac:dyDescent="0.1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28.5" customHeight="1" x14ac:dyDescent="0.1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28.5" customHeight="1" x14ac:dyDescent="0.1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28.5" customHeight="1" x14ac:dyDescent="0.1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28.5" customHeight="1" x14ac:dyDescent="0.1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28.5" customHeight="1" x14ac:dyDescent="0.1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28.5" customHeight="1" x14ac:dyDescent="0.1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28.5" customHeight="1" x14ac:dyDescent="0.1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28.5" customHeight="1" x14ac:dyDescent="0.1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28.5" customHeight="1" x14ac:dyDescent="0.1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28.5" customHeight="1" x14ac:dyDescent="0.1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28.5" customHeight="1" x14ac:dyDescent="0.1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28.5" customHeight="1" x14ac:dyDescent="0.1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28.5" customHeight="1" x14ac:dyDescent="0.1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28.5" customHeight="1" x14ac:dyDescent="0.1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28.5" customHeight="1" x14ac:dyDescent="0.1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28.5" customHeight="1" x14ac:dyDescent="0.1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28.5" customHeight="1" x14ac:dyDescent="0.1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28.5" customHeight="1" x14ac:dyDescent="0.1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28.5" customHeight="1" x14ac:dyDescent="0.1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28.5" customHeight="1" x14ac:dyDescent="0.1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28.5" customHeight="1" x14ac:dyDescent="0.1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28.5" customHeight="1" x14ac:dyDescent="0.1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28.5" customHeight="1" x14ac:dyDescent="0.1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28.5" customHeight="1" x14ac:dyDescent="0.1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28.5" customHeight="1" x14ac:dyDescent="0.1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28.5" customHeight="1" x14ac:dyDescent="0.1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28.5" customHeight="1" x14ac:dyDescent="0.1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28.5" customHeight="1" x14ac:dyDescent="0.1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28.5" customHeight="1" x14ac:dyDescent="0.1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28.5" customHeight="1" x14ac:dyDescent="0.1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28.5" customHeight="1" x14ac:dyDescent="0.1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28.5" customHeight="1" x14ac:dyDescent="0.1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28.5" customHeight="1" x14ac:dyDescent="0.1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28.5" customHeight="1" x14ac:dyDescent="0.1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28.5" customHeight="1" x14ac:dyDescent="0.1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28.5" customHeight="1" x14ac:dyDescent="0.1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28.5" customHeight="1" x14ac:dyDescent="0.1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28.5" customHeight="1" x14ac:dyDescent="0.1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28.5" customHeight="1" x14ac:dyDescent="0.1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28.5" customHeight="1" x14ac:dyDescent="0.1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28.5" customHeight="1" x14ac:dyDescent="0.1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28.5" customHeight="1" x14ac:dyDescent="0.1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28.5" customHeight="1" x14ac:dyDescent="0.1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28.5" customHeight="1" x14ac:dyDescent="0.1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28.5" customHeight="1" x14ac:dyDescent="0.1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28.5" customHeight="1" x14ac:dyDescent="0.1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28.5" customHeight="1" x14ac:dyDescent="0.1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28.5" customHeight="1" x14ac:dyDescent="0.1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28.5" customHeight="1" x14ac:dyDescent="0.1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28.5" customHeight="1" x14ac:dyDescent="0.1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28.5" customHeight="1" x14ac:dyDescent="0.1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28.5" customHeight="1" x14ac:dyDescent="0.1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28.5" customHeight="1" x14ac:dyDescent="0.1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28.5" customHeight="1" x14ac:dyDescent="0.1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28.5" customHeight="1" x14ac:dyDescent="0.1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28.5" customHeight="1" x14ac:dyDescent="0.1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28.5" customHeight="1" x14ac:dyDescent="0.1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28.5" customHeight="1" x14ac:dyDescent="0.1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28.5" customHeight="1" x14ac:dyDescent="0.1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28.5" customHeight="1" x14ac:dyDescent="0.1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28.5" customHeight="1" x14ac:dyDescent="0.1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28.5" customHeight="1" x14ac:dyDescent="0.1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28.5" customHeight="1" x14ac:dyDescent="0.1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28.5" customHeight="1" x14ac:dyDescent="0.1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28.5" customHeight="1" x14ac:dyDescent="0.1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28.5" customHeight="1" x14ac:dyDescent="0.1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28.5" customHeight="1" x14ac:dyDescent="0.1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28.5" customHeight="1" x14ac:dyDescent="0.1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28.5" customHeight="1" x14ac:dyDescent="0.1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28.5" customHeight="1" x14ac:dyDescent="0.1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28.5" customHeight="1" x14ac:dyDescent="0.1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28.5" customHeight="1" x14ac:dyDescent="0.1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28.5" customHeight="1" x14ac:dyDescent="0.1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28.5" customHeight="1" x14ac:dyDescent="0.1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28.5" customHeight="1" x14ac:dyDescent="0.1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28.5" customHeight="1" x14ac:dyDescent="0.1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28.5" customHeight="1" x14ac:dyDescent="0.1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28.5" customHeight="1" x14ac:dyDescent="0.1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28.5" customHeight="1" x14ac:dyDescent="0.1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28.5" customHeight="1" x14ac:dyDescent="0.1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28.5" customHeight="1" x14ac:dyDescent="0.1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28.5" customHeight="1" x14ac:dyDescent="0.1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28.5" customHeight="1" x14ac:dyDescent="0.1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28.5" customHeight="1" x14ac:dyDescent="0.1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28.5" customHeight="1" x14ac:dyDescent="0.1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28.5" customHeight="1" x14ac:dyDescent="0.1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28.5" customHeight="1" x14ac:dyDescent="0.1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28.5" customHeight="1" x14ac:dyDescent="0.1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28.5" customHeight="1" x14ac:dyDescent="0.1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28.5" customHeight="1" x14ac:dyDescent="0.1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28.5" customHeight="1" x14ac:dyDescent="0.1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28.5" customHeight="1" x14ac:dyDescent="0.1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28.5" customHeight="1" x14ac:dyDescent="0.1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28.5" customHeight="1" x14ac:dyDescent="0.1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28.5" customHeight="1" x14ac:dyDescent="0.1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28.5" customHeight="1" x14ac:dyDescent="0.1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28.5" customHeight="1" x14ac:dyDescent="0.1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28.5" customHeight="1" x14ac:dyDescent="0.1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28.5" customHeight="1" x14ac:dyDescent="0.1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28.5" customHeight="1" x14ac:dyDescent="0.1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28.5" customHeight="1" x14ac:dyDescent="0.1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28.5" customHeight="1" x14ac:dyDescent="0.1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28.5" customHeight="1" x14ac:dyDescent="0.1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28.5" customHeight="1" x14ac:dyDescent="0.1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28.5" customHeight="1" x14ac:dyDescent="0.1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28.5" customHeight="1" x14ac:dyDescent="0.1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28.5" customHeight="1" x14ac:dyDescent="0.1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28.5" customHeight="1" x14ac:dyDescent="0.1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28.5" customHeight="1" x14ac:dyDescent="0.1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28.5" customHeight="1" x14ac:dyDescent="0.1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28.5" customHeight="1" x14ac:dyDescent="0.1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28.5" customHeight="1" x14ac:dyDescent="0.1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28.5" customHeight="1" x14ac:dyDescent="0.1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28.5" customHeight="1" x14ac:dyDescent="0.1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28.5" customHeight="1" x14ac:dyDescent="0.1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28.5" customHeight="1" x14ac:dyDescent="0.1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28.5" customHeight="1" x14ac:dyDescent="0.1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28.5" customHeight="1" x14ac:dyDescent="0.1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28.5" customHeight="1" x14ac:dyDescent="0.1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28.5" customHeight="1" x14ac:dyDescent="0.1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28.5" customHeight="1" x14ac:dyDescent="0.1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28.5" customHeight="1" x14ac:dyDescent="0.1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28.5" customHeight="1" x14ac:dyDescent="0.1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28.5" customHeight="1" x14ac:dyDescent="0.1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28.5" customHeight="1" x14ac:dyDescent="0.1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28.5" customHeight="1" x14ac:dyDescent="0.1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28.5" customHeight="1" x14ac:dyDescent="0.1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28.5" customHeight="1" x14ac:dyDescent="0.1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28.5" customHeight="1" x14ac:dyDescent="0.1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28.5" customHeight="1" x14ac:dyDescent="0.1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28.5" customHeight="1" x14ac:dyDescent="0.1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28.5" customHeight="1" x14ac:dyDescent="0.1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28.5" customHeight="1" x14ac:dyDescent="0.1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28.5" customHeight="1" x14ac:dyDescent="0.1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28.5" customHeight="1" x14ac:dyDescent="0.1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28.5" customHeight="1" x14ac:dyDescent="0.1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28.5" customHeight="1" x14ac:dyDescent="0.1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28.5" customHeight="1" x14ac:dyDescent="0.1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28.5" customHeight="1" x14ac:dyDescent="0.1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28.5" customHeight="1" x14ac:dyDescent="0.1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28.5" customHeight="1" x14ac:dyDescent="0.1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28.5" customHeight="1" x14ac:dyDescent="0.1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28.5" customHeight="1" x14ac:dyDescent="0.1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28.5" customHeight="1" x14ac:dyDescent="0.1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28.5" customHeight="1" x14ac:dyDescent="0.1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28.5" customHeight="1" x14ac:dyDescent="0.1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28.5" customHeight="1" x14ac:dyDescent="0.1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28.5" customHeight="1" x14ac:dyDescent="0.1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28.5" customHeight="1" x14ac:dyDescent="0.1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28.5" customHeight="1" x14ac:dyDescent="0.1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28.5" customHeight="1" x14ac:dyDescent="0.1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28.5" customHeight="1" x14ac:dyDescent="0.1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28.5" customHeight="1" x14ac:dyDescent="0.1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28.5" customHeight="1" x14ac:dyDescent="0.1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28.5" customHeight="1" x14ac:dyDescent="0.1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28.5" customHeight="1" x14ac:dyDescent="0.1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28.5" customHeight="1" x14ac:dyDescent="0.1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28.5" customHeight="1" x14ac:dyDescent="0.1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28.5" customHeight="1" x14ac:dyDescent="0.1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28.5" customHeight="1" x14ac:dyDescent="0.1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28.5" customHeight="1" x14ac:dyDescent="0.1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28.5" customHeight="1" x14ac:dyDescent="0.1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28.5" customHeight="1" x14ac:dyDescent="0.1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28.5" customHeight="1" x14ac:dyDescent="0.1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28.5" customHeight="1" x14ac:dyDescent="0.1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28.5" customHeight="1" x14ac:dyDescent="0.1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28.5" customHeight="1" x14ac:dyDescent="0.1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28.5" customHeight="1" x14ac:dyDescent="0.1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28.5" customHeight="1" x14ac:dyDescent="0.1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28.5" customHeight="1" x14ac:dyDescent="0.1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28.5" customHeight="1" x14ac:dyDescent="0.1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28.5" customHeight="1" x14ac:dyDescent="0.1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28.5" customHeight="1" x14ac:dyDescent="0.1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28.5" customHeight="1" x14ac:dyDescent="0.1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28.5" customHeight="1" x14ac:dyDescent="0.1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28.5" customHeight="1" x14ac:dyDescent="0.1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28.5" customHeight="1" x14ac:dyDescent="0.1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28.5" customHeight="1" x14ac:dyDescent="0.1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28.5" customHeight="1" x14ac:dyDescent="0.1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28.5" customHeight="1" x14ac:dyDescent="0.1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28.5" customHeight="1" x14ac:dyDescent="0.1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28.5" customHeight="1" x14ac:dyDescent="0.1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28.5" customHeight="1" x14ac:dyDescent="0.1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28.5" customHeight="1" x14ac:dyDescent="0.1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28.5" customHeight="1" x14ac:dyDescent="0.1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28.5" customHeight="1" x14ac:dyDescent="0.1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28.5" customHeight="1" x14ac:dyDescent="0.1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28.5" customHeight="1" x14ac:dyDescent="0.1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28.5" customHeight="1" x14ac:dyDescent="0.1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28.5" customHeight="1" x14ac:dyDescent="0.1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28.5" customHeight="1" x14ac:dyDescent="0.1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28.5" customHeight="1" x14ac:dyDescent="0.1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28.5" customHeight="1" x14ac:dyDescent="0.1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28.5" customHeight="1" x14ac:dyDescent="0.1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28.5" customHeight="1" x14ac:dyDescent="0.1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28.5" customHeight="1" x14ac:dyDescent="0.1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28.5" customHeight="1" x14ac:dyDescent="0.1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28.5" customHeight="1" x14ac:dyDescent="0.1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28.5" customHeight="1" x14ac:dyDescent="0.1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28.5" customHeight="1" x14ac:dyDescent="0.1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28.5" customHeight="1" x14ac:dyDescent="0.1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28.5" customHeight="1" x14ac:dyDescent="0.1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28.5" customHeight="1" x14ac:dyDescent="0.1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28.5" customHeight="1" x14ac:dyDescent="0.1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28.5" customHeight="1" x14ac:dyDescent="0.1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28.5" customHeight="1" x14ac:dyDescent="0.1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28.5" customHeight="1" x14ac:dyDescent="0.1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28.5" customHeight="1" x14ac:dyDescent="0.1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28.5" customHeight="1" x14ac:dyDescent="0.1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28.5" customHeight="1" x14ac:dyDescent="0.1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28.5" customHeight="1" x14ac:dyDescent="0.1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28.5" customHeight="1" x14ac:dyDescent="0.1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28.5" customHeight="1" x14ac:dyDescent="0.1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28.5" customHeight="1" x14ac:dyDescent="0.1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28.5" customHeight="1" x14ac:dyDescent="0.1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28.5" customHeight="1" x14ac:dyDescent="0.1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28.5" customHeight="1" x14ac:dyDescent="0.1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28.5" customHeight="1" x14ac:dyDescent="0.1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28.5" customHeight="1" x14ac:dyDescent="0.1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28.5" customHeight="1" x14ac:dyDescent="0.1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28.5" customHeight="1" x14ac:dyDescent="0.1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28.5" customHeight="1" x14ac:dyDescent="0.1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28.5" customHeight="1" x14ac:dyDescent="0.1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28.5" customHeight="1" x14ac:dyDescent="0.1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28.5" customHeight="1" x14ac:dyDescent="0.1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28.5" customHeight="1" x14ac:dyDescent="0.1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28.5" customHeight="1" x14ac:dyDescent="0.1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28.5" customHeight="1" x14ac:dyDescent="0.1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28.5" customHeight="1" x14ac:dyDescent="0.1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28.5" customHeight="1" x14ac:dyDescent="0.1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28.5" customHeight="1" x14ac:dyDescent="0.1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28.5" customHeight="1" x14ac:dyDescent="0.1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28.5" customHeight="1" x14ac:dyDescent="0.1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28.5" customHeight="1" x14ac:dyDescent="0.1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28.5" customHeight="1" x14ac:dyDescent="0.1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28.5" customHeight="1" x14ac:dyDescent="0.1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28.5" customHeight="1" x14ac:dyDescent="0.1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28.5" customHeight="1" x14ac:dyDescent="0.1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28.5" customHeight="1" x14ac:dyDescent="0.1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28.5" customHeight="1" x14ac:dyDescent="0.1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28.5" customHeight="1" x14ac:dyDescent="0.1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28.5" customHeight="1" x14ac:dyDescent="0.1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28.5" customHeight="1" x14ac:dyDescent="0.1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28.5" customHeight="1" x14ac:dyDescent="0.1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28.5" customHeight="1" x14ac:dyDescent="0.1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28.5" customHeight="1" x14ac:dyDescent="0.1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28.5" customHeight="1" x14ac:dyDescent="0.1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28.5" customHeight="1" x14ac:dyDescent="0.1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28.5" customHeight="1" x14ac:dyDescent="0.1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28.5" customHeight="1" x14ac:dyDescent="0.1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28.5" customHeight="1" x14ac:dyDescent="0.1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28.5" customHeight="1" x14ac:dyDescent="0.1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28.5" customHeight="1" x14ac:dyDescent="0.1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28.5" customHeight="1" x14ac:dyDescent="0.1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28.5" customHeight="1" x14ac:dyDescent="0.1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28.5" customHeight="1" x14ac:dyDescent="0.1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28.5" customHeight="1" x14ac:dyDescent="0.1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28.5" customHeight="1" x14ac:dyDescent="0.1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28.5" customHeight="1" x14ac:dyDescent="0.1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28.5" customHeight="1" x14ac:dyDescent="0.1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28.5" customHeight="1" x14ac:dyDescent="0.1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28.5" customHeight="1" x14ac:dyDescent="0.1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28.5" customHeight="1" x14ac:dyDescent="0.1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28.5" customHeight="1" x14ac:dyDescent="0.1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28.5" customHeight="1" x14ac:dyDescent="0.1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28.5" customHeight="1" x14ac:dyDescent="0.1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28.5" customHeight="1" x14ac:dyDescent="0.1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28.5" customHeight="1" x14ac:dyDescent="0.1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28.5" customHeight="1" x14ac:dyDescent="0.1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28.5" customHeight="1" x14ac:dyDescent="0.1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28.5" customHeight="1" x14ac:dyDescent="0.1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28.5" customHeight="1" x14ac:dyDescent="0.1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28.5" customHeight="1" x14ac:dyDescent="0.1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28.5" customHeight="1" x14ac:dyDescent="0.1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28.5" customHeight="1" x14ac:dyDescent="0.1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28.5" customHeight="1" x14ac:dyDescent="0.1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28.5" customHeight="1" x14ac:dyDescent="0.1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28.5" customHeight="1" x14ac:dyDescent="0.1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28.5" customHeight="1" x14ac:dyDescent="0.1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28.5" customHeight="1" x14ac:dyDescent="0.1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28.5" customHeight="1" x14ac:dyDescent="0.1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28.5" customHeight="1" x14ac:dyDescent="0.1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28.5" customHeight="1" x14ac:dyDescent="0.1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28.5" customHeight="1" x14ac:dyDescent="0.1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28.5" customHeight="1" x14ac:dyDescent="0.1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28.5" customHeight="1" x14ac:dyDescent="0.1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28.5" customHeight="1" x14ac:dyDescent="0.1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28.5" customHeight="1" x14ac:dyDescent="0.1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28.5" customHeight="1" x14ac:dyDescent="0.1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28.5" customHeight="1" x14ac:dyDescent="0.1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28.5" customHeight="1" x14ac:dyDescent="0.1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28.5" customHeight="1" x14ac:dyDescent="0.1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28.5" customHeight="1" x14ac:dyDescent="0.1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28.5" customHeight="1" x14ac:dyDescent="0.1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28.5" customHeight="1" x14ac:dyDescent="0.1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28.5" customHeight="1" x14ac:dyDescent="0.1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28.5" customHeight="1" x14ac:dyDescent="0.1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28.5" customHeight="1" x14ac:dyDescent="0.1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28.5" customHeight="1" x14ac:dyDescent="0.1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28.5" customHeight="1" x14ac:dyDescent="0.1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28.5" customHeight="1" x14ac:dyDescent="0.1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28.5" customHeight="1" x14ac:dyDescent="0.1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28.5" customHeight="1" x14ac:dyDescent="0.1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28.5" customHeight="1" x14ac:dyDescent="0.1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28.5" customHeight="1" x14ac:dyDescent="0.1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28.5" customHeight="1" x14ac:dyDescent="0.1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28.5" customHeight="1" x14ac:dyDescent="0.1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28.5" customHeight="1" x14ac:dyDescent="0.1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28.5" customHeight="1" x14ac:dyDescent="0.1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28.5" customHeight="1" x14ac:dyDescent="0.1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28.5" customHeight="1" x14ac:dyDescent="0.1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28.5" customHeight="1" x14ac:dyDescent="0.1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28.5" customHeight="1" x14ac:dyDescent="0.1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28.5" customHeight="1" x14ac:dyDescent="0.1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28.5" customHeight="1" x14ac:dyDescent="0.1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28.5" customHeight="1" x14ac:dyDescent="0.1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28.5" customHeight="1" x14ac:dyDescent="0.1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28.5" customHeight="1" x14ac:dyDescent="0.1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28.5" customHeight="1" x14ac:dyDescent="0.1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28.5" customHeight="1" x14ac:dyDescent="0.1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28.5" customHeight="1" x14ac:dyDescent="0.1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28.5" customHeight="1" x14ac:dyDescent="0.1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28.5" customHeight="1" x14ac:dyDescent="0.1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28.5" customHeight="1" x14ac:dyDescent="0.1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28.5" customHeight="1" x14ac:dyDescent="0.1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28.5" customHeight="1" x14ac:dyDescent="0.1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28.5" customHeight="1" x14ac:dyDescent="0.1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28.5" customHeight="1" x14ac:dyDescent="0.1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28.5" customHeight="1" x14ac:dyDescent="0.1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28.5" customHeight="1" x14ac:dyDescent="0.1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28.5" customHeight="1" x14ac:dyDescent="0.1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28.5" customHeight="1" x14ac:dyDescent="0.1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28.5" customHeight="1" x14ac:dyDescent="0.1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28.5" customHeight="1" x14ac:dyDescent="0.1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28.5" customHeight="1" x14ac:dyDescent="0.1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28.5" customHeight="1" x14ac:dyDescent="0.1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28.5" customHeight="1" x14ac:dyDescent="0.1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28.5" customHeight="1" x14ac:dyDescent="0.1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28.5" customHeight="1" x14ac:dyDescent="0.1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28.5" customHeight="1" x14ac:dyDescent="0.1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28.5" customHeight="1" x14ac:dyDescent="0.1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28.5" customHeight="1" x14ac:dyDescent="0.1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28.5" customHeight="1" x14ac:dyDescent="0.1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28.5" customHeight="1" x14ac:dyDescent="0.1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28.5" customHeight="1" x14ac:dyDescent="0.1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28.5" customHeight="1" x14ac:dyDescent="0.1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28.5" customHeight="1" x14ac:dyDescent="0.1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28.5" customHeight="1" x14ac:dyDescent="0.1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28.5" customHeight="1" x14ac:dyDescent="0.1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28.5" customHeight="1" x14ac:dyDescent="0.1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28.5" customHeight="1" x14ac:dyDescent="0.1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28.5" customHeight="1" x14ac:dyDescent="0.1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28.5" customHeight="1" x14ac:dyDescent="0.1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28.5" customHeight="1" x14ac:dyDescent="0.1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28.5" customHeight="1" x14ac:dyDescent="0.1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28.5" customHeight="1" x14ac:dyDescent="0.1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28.5" customHeight="1" x14ac:dyDescent="0.1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28.5" customHeight="1" x14ac:dyDescent="0.1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28.5" customHeight="1" x14ac:dyDescent="0.1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28.5" customHeight="1" x14ac:dyDescent="0.1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28.5" customHeight="1" x14ac:dyDescent="0.1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28.5" customHeight="1" x14ac:dyDescent="0.1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28.5" customHeight="1" x14ac:dyDescent="0.1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28.5" customHeight="1" x14ac:dyDescent="0.1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28.5" customHeight="1" x14ac:dyDescent="0.1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28.5" customHeight="1" x14ac:dyDescent="0.1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28.5" customHeight="1" x14ac:dyDescent="0.1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28.5" customHeight="1" x14ac:dyDescent="0.1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28.5" customHeight="1" x14ac:dyDescent="0.1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28.5" customHeight="1" x14ac:dyDescent="0.1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28.5" customHeight="1" x14ac:dyDescent="0.1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28.5" customHeight="1" x14ac:dyDescent="0.1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28.5" customHeight="1" x14ac:dyDescent="0.1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28.5" customHeight="1" x14ac:dyDescent="0.1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28.5" customHeight="1" x14ac:dyDescent="0.1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28.5" customHeight="1" x14ac:dyDescent="0.1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28.5" customHeight="1" x14ac:dyDescent="0.1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28.5" customHeight="1" x14ac:dyDescent="0.1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28.5" customHeight="1" x14ac:dyDescent="0.1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28.5" customHeight="1" x14ac:dyDescent="0.1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28.5" customHeight="1" x14ac:dyDescent="0.1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28.5" customHeight="1" x14ac:dyDescent="0.1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28.5" customHeight="1" x14ac:dyDescent="0.1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28.5" customHeight="1" x14ac:dyDescent="0.1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28.5" customHeight="1" x14ac:dyDescent="0.1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28.5" customHeight="1" x14ac:dyDescent="0.1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28.5" customHeight="1" x14ac:dyDescent="0.1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28.5" customHeight="1" x14ac:dyDescent="0.1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28.5" customHeight="1" x14ac:dyDescent="0.1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28.5" customHeight="1" x14ac:dyDescent="0.1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28.5" customHeight="1" x14ac:dyDescent="0.1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28.5" customHeight="1" x14ac:dyDescent="0.1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28.5" customHeight="1" x14ac:dyDescent="0.1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28.5" customHeight="1" x14ac:dyDescent="0.1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28.5" customHeight="1" x14ac:dyDescent="0.1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28.5" customHeight="1" x14ac:dyDescent="0.1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28.5" customHeight="1" x14ac:dyDescent="0.1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28.5" customHeight="1" x14ac:dyDescent="0.1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28.5" customHeight="1" x14ac:dyDescent="0.1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28.5" customHeight="1" x14ac:dyDescent="0.1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28.5" customHeight="1" x14ac:dyDescent="0.1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28.5" customHeight="1" x14ac:dyDescent="0.1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28.5" customHeight="1" x14ac:dyDescent="0.1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28.5" customHeight="1" x14ac:dyDescent="0.1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28.5" customHeight="1" x14ac:dyDescent="0.1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28.5" customHeight="1" x14ac:dyDescent="0.1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28.5" customHeight="1" x14ac:dyDescent="0.1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28.5" customHeight="1" x14ac:dyDescent="0.1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28.5" customHeight="1" x14ac:dyDescent="0.1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28.5" customHeight="1" x14ac:dyDescent="0.1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28.5" customHeight="1" x14ac:dyDescent="0.1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28.5" customHeight="1" x14ac:dyDescent="0.1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28.5" customHeight="1" x14ac:dyDescent="0.1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28.5" customHeight="1" x14ac:dyDescent="0.1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28.5" customHeight="1" x14ac:dyDescent="0.1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28.5" customHeight="1" x14ac:dyDescent="0.1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28.5" customHeight="1" x14ac:dyDescent="0.1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28.5" customHeight="1" x14ac:dyDescent="0.1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28.5" customHeight="1" x14ac:dyDescent="0.1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28.5" customHeight="1" x14ac:dyDescent="0.1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28.5" customHeight="1" x14ac:dyDescent="0.1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28.5" customHeight="1" x14ac:dyDescent="0.1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28.5" customHeight="1" x14ac:dyDescent="0.1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28.5" customHeight="1" x14ac:dyDescent="0.1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28.5" customHeight="1" x14ac:dyDescent="0.1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28.5" customHeight="1" x14ac:dyDescent="0.1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28.5" customHeight="1" x14ac:dyDescent="0.1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28.5" customHeight="1" x14ac:dyDescent="0.1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28.5" customHeight="1" x14ac:dyDescent="0.1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28.5" customHeight="1" x14ac:dyDescent="0.1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28.5" customHeight="1" x14ac:dyDescent="0.1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28.5" customHeight="1" x14ac:dyDescent="0.1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28.5" customHeight="1" x14ac:dyDescent="0.1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28.5" customHeight="1" x14ac:dyDescent="0.1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28.5" customHeight="1" x14ac:dyDescent="0.1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28.5" customHeight="1" x14ac:dyDescent="0.1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28.5" customHeight="1" x14ac:dyDescent="0.1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28.5" customHeight="1" x14ac:dyDescent="0.1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28.5" customHeight="1" x14ac:dyDescent="0.1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28.5" customHeight="1" x14ac:dyDescent="0.1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28.5" customHeight="1" x14ac:dyDescent="0.1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28.5" customHeight="1" x14ac:dyDescent="0.1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28.5" customHeight="1" x14ac:dyDescent="0.1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28.5" customHeight="1" x14ac:dyDescent="0.1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28.5" customHeight="1" x14ac:dyDescent="0.1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28.5" customHeight="1" x14ac:dyDescent="0.1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28.5" customHeight="1" x14ac:dyDescent="0.1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28.5" customHeight="1" x14ac:dyDescent="0.1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28.5" customHeight="1" x14ac:dyDescent="0.1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28.5" customHeight="1" x14ac:dyDescent="0.1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28.5" customHeight="1" x14ac:dyDescent="0.1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28.5" customHeight="1" x14ac:dyDescent="0.1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28.5" customHeight="1" x14ac:dyDescent="0.1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28.5" customHeight="1" x14ac:dyDescent="0.1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28.5" customHeight="1" x14ac:dyDescent="0.1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28.5" customHeight="1" x14ac:dyDescent="0.1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28.5" customHeight="1" x14ac:dyDescent="0.1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28.5" customHeight="1" x14ac:dyDescent="0.1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28.5" customHeight="1" x14ac:dyDescent="0.1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28.5" customHeight="1" x14ac:dyDescent="0.1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28.5" customHeight="1" x14ac:dyDescent="0.1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28.5" customHeight="1" x14ac:dyDescent="0.1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28.5" customHeight="1" x14ac:dyDescent="0.1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28.5" customHeight="1" x14ac:dyDescent="0.1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28.5" customHeight="1" x14ac:dyDescent="0.1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28.5" customHeight="1" x14ac:dyDescent="0.1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28.5" customHeight="1" x14ac:dyDescent="0.1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28.5" customHeight="1" x14ac:dyDescent="0.1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28.5" customHeight="1" x14ac:dyDescent="0.1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28.5" customHeight="1" x14ac:dyDescent="0.1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28.5" customHeight="1" x14ac:dyDescent="0.1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28.5" customHeight="1" x14ac:dyDescent="0.1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28.5" customHeight="1" x14ac:dyDescent="0.1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28.5" customHeight="1" x14ac:dyDescent="0.1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28.5" customHeight="1" x14ac:dyDescent="0.1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28.5" customHeight="1" x14ac:dyDescent="0.1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28.5" customHeight="1" x14ac:dyDescent="0.1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28.5" customHeight="1" x14ac:dyDescent="0.1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28.5" customHeight="1" x14ac:dyDescent="0.1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28.5" customHeight="1" x14ac:dyDescent="0.1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28.5" customHeight="1" x14ac:dyDescent="0.1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28.5" customHeight="1" x14ac:dyDescent="0.1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28.5" customHeight="1" x14ac:dyDescent="0.1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28.5" customHeight="1" x14ac:dyDescent="0.1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28.5" customHeight="1" x14ac:dyDescent="0.1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28.5" customHeight="1" x14ac:dyDescent="0.1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28.5" customHeight="1" x14ac:dyDescent="0.1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28.5" customHeight="1" x14ac:dyDescent="0.1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28.5" customHeight="1" x14ac:dyDescent="0.1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28.5" customHeight="1" x14ac:dyDescent="0.1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28.5" customHeight="1" x14ac:dyDescent="0.1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28.5" customHeight="1" x14ac:dyDescent="0.1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28.5" customHeight="1" x14ac:dyDescent="0.1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28.5" customHeight="1" x14ac:dyDescent="0.1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28.5" customHeight="1" x14ac:dyDescent="0.1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28.5" customHeight="1" x14ac:dyDescent="0.1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28.5" customHeight="1" x14ac:dyDescent="0.1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hyperlinks>
    <hyperlink ref="F2" r:id="rId1" display="https://drive.google.com/open?id=1PjR39K2HwkwQPNZ5t-nniB3dOKXMOnAs" xr:uid="{00000000-0004-0000-0E00-000000000000}"/>
    <hyperlink ref="F3" r:id="rId2" display="https://drive.google.com/open?id=1c_dom1yBEfrg7AcSOQr54fVgwxMKaGJK" xr:uid="{00000000-0004-0000-0E00-000001000000}"/>
    <hyperlink ref="F4" r:id="rId3" display="https://drive.google.com/open?id=1lmrb71Nm-41_5xPCanOYRZqI2qrZVI5Q" xr:uid="{00000000-0004-0000-0E00-000002000000}"/>
    <hyperlink ref="F5" r:id="rId4" display="https://drive.google.com/open?id=1QIXtVuPtDJ-tn8Cng1QKSSt3CNyRaikQ" xr:uid="{00000000-0004-0000-0E00-000003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Z1000"/>
  <sheetViews>
    <sheetView workbookViewId="0"/>
  </sheetViews>
  <sheetFormatPr baseColWidth="10" defaultColWidth="12.6640625" defaultRowHeight="15.75" customHeight="1" x14ac:dyDescent="0.15"/>
  <cols>
    <col min="1" max="1" width="26.33203125" customWidth="1"/>
    <col min="2" max="2" width="10.83203125" customWidth="1"/>
    <col min="3" max="3" width="66.83203125" customWidth="1"/>
    <col min="4" max="4" width="15" customWidth="1"/>
    <col min="5" max="5" width="63.33203125" customWidth="1"/>
    <col min="6" max="6" width="15.1640625" customWidth="1"/>
    <col min="7" max="7" width="28" customWidth="1"/>
    <col min="8" max="8" width="31.1640625" customWidth="1"/>
    <col min="9" max="9" width="10.1640625" customWidth="1"/>
  </cols>
  <sheetData>
    <row r="1" spans="1:26" ht="26.25" customHeight="1" x14ac:dyDescent="0.15">
      <c r="A1" s="94" t="s">
        <v>25</v>
      </c>
      <c r="B1" s="94" t="s">
        <v>26</v>
      </c>
      <c r="C1" s="94" t="s">
        <v>110</v>
      </c>
      <c r="D1" s="94" t="s">
        <v>111</v>
      </c>
      <c r="E1" s="94" t="s">
        <v>112</v>
      </c>
      <c r="F1" s="15" t="s">
        <v>24</v>
      </c>
      <c r="G1" s="14" t="s">
        <v>1</v>
      </c>
      <c r="H1" s="15" t="s">
        <v>113</v>
      </c>
      <c r="I1" s="15" t="s">
        <v>114</v>
      </c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26.25" customHeight="1" x14ac:dyDescent="0.15">
      <c r="A2" s="69" t="str">
        <f ca="1">IFERROR(__xludf.DUMMYFUNCTION("QUERY(MasterData!A1:NK11244,""select FG,FH,FI,FJ,FK,B,C,FL,FM where C='S14: Students Competitive Exams'"",0)"),"Boddapati Rajesh")</f>
        <v>Boddapati Rajesh</v>
      </c>
      <c r="B2" s="69" t="str">
        <f ca="1">IFERROR(__xludf.DUMMYFUNCTION("""COMPUTED_VALUE"""),"18331A0515")</f>
        <v>18331A0515</v>
      </c>
      <c r="C2" s="69" t="str">
        <f ca="1">IFERROR(__xludf.DUMMYFUNCTION("""COMPUTED_VALUE"""),"GATE")</f>
        <v>GATE</v>
      </c>
      <c r="D2" s="74">
        <f ca="1">IFERROR(__xludf.DUMMYFUNCTION("""COMPUTED_VALUE"""),44637)</f>
        <v>44637</v>
      </c>
      <c r="E2" s="75" t="str">
        <f ca="1">IFERROR(__xludf.DUMMYFUNCTION("""COMPUTED_VALUE"""),"https://drive.google.com/open?id=1RxQJURGeMsrUZuJpXuO9L3e9voYAgdDo")</f>
        <v>https://drive.google.com/open?id=1RxQJURGeMsrUZuJpXuO9L3e9voYAgdDo</v>
      </c>
      <c r="F2" s="69" t="str">
        <f ca="1">IFERROR(__xludf.DUMMYFUNCTION("""COMPUTED_VALUE"""),"2018-2022")</f>
        <v>2018-2022</v>
      </c>
      <c r="G2" s="69" t="str">
        <f ca="1">IFERROR(__xludf.DUMMYFUNCTION("""COMPUTED_VALUE"""),"S14: Students Competitive Exams")</f>
        <v>S14: Students Competitive Exams</v>
      </c>
      <c r="H2" s="69" t="str">
        <f ca="1">IFERROR(__xludf.DUMMYFUNCTION("""COMPUTED_VALUE"""),"rajeshboddapati37@gmail.com")</f>
        <v>rajeshboddapati37@gmail.com</v>
      </c>
      <c r="I2" s="69" t="str">
        <f ca="1">IFERROR(__xludf.DUMMYFUNCTION("""COMPUTED_VALUE"""),"SEM-8")</f>
        <v>SEM-8</v>
      </c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spans="1:26" ht="26.25" customHeight="1" x14ac:dyDescent="0.15">
      <c r="A3" s="69" t="str">
        <f ca="1">IFERROR(__xludf.DUMMYFUNCTION("""COMPUTED_VALUE"""),"B.Samiksha")</f>
        <v>B.Samiksha</v>
      </c>
      <c r="B3" s="69" t="str">
        <f ca="1">IFERROR(__xludf.DUMMYFUNCTION("""COMPUTED_VALUE"""),"18331A0510")</f>
        <v>18331A0510</v>
      </c>
      <c r="C3" s="69" t="str">
        <f ca="1">IFERROR(__xludf.DUMMYFUNCTION("""COMPUTED_VALUE"""),"GATE")</f>
        <v>GATE</v>
      </c>
      <c r="D3" s="74">
        <f ca="1">IFERROR(__xludf.DUMMYFUNCTION("""COMPUTED_VALUE"""),44637)</f>
        <v>44637</v>
      </c>
      <c r="E3" s="75" t="str">
        <f ca="1">IFERROR(__xludf.DUMMYFUNCTION("""COMPUTED_VALUE"""),"https://drive.google.com/open?id=1lCQIP6NcvtwOI3Qp-ygztSrRYNle8Fno")</f>
        <v>https://drive.google.com/open?id=1lCQIP6NcvtwOI3Qp-ygztSrRYNle8Fno</v>
      </c>
      <c r="F3" s="69" t="str">
        <f ca="1">IFERROR(__xludf.DUMMYFUNCTION("""COMPUTED_VALUE"""),"2018-2022")</f>
        <v>2018-2022</v>
      </c>
      <c r="G3" s="69" t="str">
        <f ca="1">IFERROR(__xludf.DUMMYFUNCTION("""COMPUTED_VALUE"""),"S14: Students Competitive Exams")</f>
        <v>S14: Students Competitive Exams</v>
      </c>
      <c r="H3" s="69" t="str">
        <f ca="1">IFERROR(__xludf.DUMMYFUNCTION("""COMPUTED_VALUE"""),"bsamiksha1469@gmail.com")</f>
        <v>bsamiksha1469@gmail.com</v>
      </c>
      <c r="I3" s="69" t="str">
        <f ca="1">IFERROR(__xludf.DUMMYFUNCTION("""COMPUTED_VALUE"""),"SEM-7")</f>
        <v>SEM-7</v>
      </c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ht="26.25" customHeight="1" x14ac:dyDescent="0.15">
      <c r="A4" s="69" t="str">
        <f ca="1">IFERROR(__xludf.DUMMYFUNCTION("""COMPUTED_VALUE"""),"Yasaswi Dendukuri ")</f>
        <v xml:space="preserve">Yasaswi Dendukuri </v>
      </c>
      <c r="B4" s="69" t="str">
        <f ca="1">IFERROR(__xludf.DUMMYFUNCTION("""COMPUTED_VALUE"""),"18331A0531")</f>
        <v>18331A0531</v>
      </c>
      <c r="C4" s="69" t="str">
        <f ca="1">IFERROR(__xludf.DUMMYFUNCTION("""COMPUTED_VALUE"""),"GRE")</f>
        <v>GRE</v>
      </c>
      <c r="D4" s="74">
        <f ca="1">IFERROR(__xludf.DUMMYFUNCTION("""COMPUTED_VALUE"""),44506)</f>
        <v>44506</v>
      </c>
      <c r="E4" s="75" t="str">
        <f ca="1">IFERROR(__xludf.DUMMYFUNCTION("""COMPUTED_VALUE"""),"https://drive.google.com/open?id=1pXi0t5byqcGcH9faXaSFlImJi7ZXoM8S")</f>
        <v>https://drive.google.com/open?id=1pXi0t5byqcGcH9faXaSFlImJi7ZXoM8S</v>
      </c>
      <c r="F4" s="69" t="str">
        <f ca="1">IFERROR(__xludf.DUMMYFUNCTION("""COMPUTED_VALUE"""),"2018-2022")</f>
        <v>2018-2022</v>
      </c>
      <c r="G4" s="69" t="str">
        <f ca="1">IFERROR(__xludf.DUMMYFUNCTION("""COMPUTED_VALUE"""),"S14: Students Competitive Exams")</f>
        <v>S14: Students Competitive Exams</v>
      </c>
      <c r="H4" s="69" t="str">
        <f ca="1">IFERROR(__xludf.DUMMYFUNCTION("""COMPUTED_VALUE"""),"dendukuri.16@gmail.com")</f>
        <v>dendukuri.16@gmail.com</v>
      </c>
      <c r="I4" s="69" t="str">
        <f ca="1">IFERROR(__xludf.DUMMYFUNCTION("""COMPUTED_VALUE"""),"SEM-8")</f>
        <v>SEM-8</v>
      </c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</row>
    <row r="5" spans="1:26" ht="26.25" customHeight="1" x14ac:dyDescent="0.15">
      <c r="A5" s="69" t="str">
        <f ca="1">IFERROR(__xludf.DUMMYFUNCTION("""COMPUTED_VALUE"""),"BUDIDI SURYA SAI MAHESWAR")</f>
        <v>BUDIDI SURYA SAI MAHESWAR</v>
      </c>
      <c r="B5" s="69" t="str">
        <f ca="1">IFERROR(__xludf.DUMMYFUNCTION("""COMPUTED_VALUE"""),"18331A0521")</f>
        <v>18331A0521</v>
      </c>
      <c r="C5" s="69" t="str">
        <f ca="1">IFERROR(__xludf.DUMMYFUNCTION("""COMPUTED_VALUE"""),"GATE")</f>
        <v>GATE</v>
      </c>
      <c r="D5" s="74">
        <f ca="1">IFERROR(__xludf.DUMMYFUNCTION("""COMPUTED_VALUE"""),44219)</f>
        <v>44219</v>
      </c>
      <c r="E5" s="75" t="str">
        <f ca="1">IFERROR(__xludf.DUMMYFUNCTION("""COMPUTED_VALUE"""),"https://drive.google.com/open?id=1AeoCf75DFmus-547YYjYZdDtYHiUXCrr")</f>
        <v>https://drive.google.com/open?id=1AeoCf75DFmus-547YYjYZdDtYHiUXCrr</v>
      </c>
      <c r="F5" s="69" t="str">
        <f ca="1">IFERROR(__xludf.DUMMYFUNCTION("""COMPUTED_VALUE"""),"2018-2022")</f>
        <v>2018-2022</v>
      </c>
      <c r="G5" s="69" t="str">
        <f ca="1">IFERROR(__xludf.DUMMYFUNCTION("""COMPUTED_VALUE"""),"S14: Students Competitive Exams")</f>
        <v>S14: Students Competitive Exams</v>
      </c>
      <c r="H5" s="69" t="str">
        <f ca="1">IFERROR(__xludf.DUMMYFUNCTION("""COMPUTED_VALUE"""),"suryamahesh2000@gmail.com")</f>
        <v>suryamahesh2000@gmail.com</v>
      </c>
      <c r="I5" s="69" t="str">
        <f ca="1">IFERROR(__xludf.DUMMYFUNCTION("""COMPUTED_VALUE"""),"SEM-8")</f>
        <v>SEM-8</v>
      </c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</row>
    <row r="6" spans="1:26" ht="26.25" customHeight="1" x14ac:dyDescent="0.15">
      <c r="A6" s="69" t="str">
        <f ca="1">IFERROR(__xludf.DUMMYFUNCTION("""COMPUTED_VALUE"""),"Yasaswi Dendukuri ")</f>
        <v xml:space="preserve">Yasaswi Dendukuri </v>
      </c>
      <c r="B6" s="69" t="str">
        <f ca="1">IFERROR(__xludf.DUMMYFUNCTION("""COMPUTED_VALUE"""),"18331A0531")</f>
        <v>18331A0531</v>
      </c>
      <c r="C6" s="69" t="str">
        <f ca="1">IFERROR(__xludf.DUMMYFUNCTION("""COMPUTED_VALUE"""),"IELTS")</f>
        <v>IELTS</v>
      </c>
      <c r="D6" s="74">
        <f ca="1">IFERROR(__xludf.DUMMYFUNCTION("""COMPUTED_VALUE"""),44581)</f>
        <v>44581</v>
      </c>
      <c r="E6" s="75" t="str">
        <f ca="1">IFERROR(__xludf.DUMMYFUNCTION("""COMPUTED_VALUE"""),"https://drive.google.com/open?id=1kQAU-tOs-0tvu_Vylj2B4e_FYdYkkup4")</f>
        <v>https://drive.google.com/open?id=1kQAU-tOs-0tvu_Vylj2B4e_FYdYkkup4</v>
      </c>
      <c r="F6" s="69" t="str">
        <f ca="1">IFERROR(__xludf.DUMMYFUNCTION("""COMPUTED_VALUE"""),"2018-2022")</f>
        <v>2018-2022</v>
      </c>
      <c r="G6" s="69" t="str">
        <f ca="1">IFERROR(__xludf.DUMMYFUNCTION("""COMPUTED_VALUE"""),"S14: Students Competitive Exams")</f>
        <v>S14: Students Competitive Exams</v>
      </c>
      <c r="H6" s="69" t="str">
        <f ca="1">IFERROR(__xludf.DUMMYFUNCTION("""COMPUTED_VALUE"""),"dendukuri.16@gmail.com")</f>
        <v>dendukuri.16@gmail.com</v>
      </c>
      <c r="I6" s="69" t="str">
        <f ca="1">IFERROR(__xludf.DUMMYFUNCTION("""COMPUTED_VALUE"""),"SEM-8")</f>
        <v>SEM-8</v>
      </c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</row>
    <row r="7" spans="1:26" ht="26.25" customHeight="1" x14ac:dyDescent="0.15">
      <c r="A7" s="69" t="str">
        <f ca="1">IFERROR(__xludf.DUMMYFUNCTION("""COMPUTED_VALUE"""),"Gulla Sai Bhavana")</f>
        <v>Gulla Sai Bhavana</v>
      </c>
      <c r="B7" s="69" t="str">
        <f ca="1">IFERROR(__xludf.DUMMYFUNCTION("""COMPUTED_VALUE"""),"18331A0552")</f>
        <v>18331A0552</v>
      </c>
      <c r="C7" s="69" t="str">
        <f ca="1">IFERROR(__xludf.DUMMYFUNCTION("""COMPUTED_VALUE"""),"Gre")</f>
        <v>Gre</v>
      </c>
      <c r="D7" s="74">
        <f ca="1">IFERROR(__xludf.DUMMYFUNCTION("""COMPUTED_VALUE"""),44486)</f>
        <v>44486</v>
      </c>
      <c r="E7" s="75" t="str">
        <f ca="1">IFERROR(__xludf.DUMMYFUNCTION("""COMPUTED_VALUE"""),"https://drive.google.com/open?id=1stKWQG_enFOYdDbP2puflITk4RHtpwWk")</f>
        <v>https://drive.google.com/open?id=1stKWQG_enFOYdDbP2puflITk4RHtpwWk</v>
      </c>
      <c r="F7" s="69" t="str">
        <f ca="1">IFERROR(__xludf.DUMMYFUNCTION("""COMPUTED_VALUE"""),"2018-2022")</f>
        <v>2018-2022</v>
      </c>
      <c r="G7" s="69" t="str">
        <f ca="1">IFERROR(__xludf.DUMMYFUNCTION("""COMPUTED_VALUE"""),"S14: Students Competitive Exams")</f>
        <v>S14: Students Competitive Exams</v>
      </c>
      <c r="H7" s="69" t="str">
        <f ca="1">IFERROR(__xludf.DUMMYFUNCTION("""COMPUTED_VALUE"""),"saibhavana.as16@gmail.com")</f>
        <v>saibhavana.as16@gmail.com</v>
      </c>
      <c r="I7" s="69" t="str">
        <f ca="1">IFERROR(__xludf.DUMMYFUNCTION("""COMPUTED_VALUE"""),"SEM-8")</f>
        <v>SEM-8</v>
      </c>
      <c r="J7" s="69"/>
      <c r="K7" s="69"/>
      <c r="L7" s="69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spans="1:26" ht="26.25" customHeight="1" x14ac:dyDescent="0.15">
      <c r="A8" s="69" t="str">
        <f ca="1">IFERROR(__xludf.DUMMYFUNCTION("""COMPUTED_VALUE"""),"Sai Yogesh Bhasuru")</f>
        <v>Sai Yogesh Bhasuru</v>
      </c>
      <c r="B8" s="69" t="str">
        <f ca="1">IFERROR(__xludf.DUMMYFUNCTION("""COMPUTED_VALUE"""),"18331A05D4")</f>
        <v>18331A05D4</v>
      </c>
      <c r="C8" s="69" t="str">
        <f ca="1">IFERROR(__xludf.DUMMYFUNCTION("""COMPUTED_VALUE"""),"GATE 2022")</f>
        <v>GATE 2022</v>
      </c>
      <c r="D8" s="74">
        <f ca="1">IFERROR(__xludf.DUMMYFUNCTION("""COMPUTED_VALUE"""),44636)</f>
        <v>44636</v>
      </c>
      <c r="E8" s="75" t="str">
        <f ca="1">IFERROR(__xludf.DUMMYFUNCTION("""COMPUTED_VALUE"""),"https://drive.google.com/open?id=1dSDVLhcrt7gnGStAc0MGnLY3tlUVTYjV")</f>
        <v>https://drive.google.com/open?id=1dSDVLhcrt7gnGStAc0MGnLY3tlUVTYjV</v>
      </c>
      <c r="F8" s="69" t="str">
        <f ca="1">IFERROR(__xludf.DUMMYFUNCTION("""COMPUTED_VALUE"""),"2018-2022")</f>
        <v>2018-2022</v>
      </c>
      <c r="G8" s="69" t="str">
        <f ca="1">IFERROR(__xludf.DUMMYFUNCTION("""COMPUTED_VALUE"""),"S14: Students Competitive Exams")</f>
        <v>S14: Students Competitive Exams</v>
      </c>
      <c r="H8" s="69" t="str">
        <f ca="1">IFERROR(__xludf.DUMMYFUNCTION("""COMPUTED_VALUE"""),"saiyogeshbhasuru16@gmail.com")</f>
        <v>saiyogeshbhasuru16@gmail.com</v>
      </c>
      <c r="I8" s="69" t="str">
        <f ca="1">IFERROR(__xludf.DUMMYFUNCTION("""COMPUTED_VALUE"""),"SEM-8")</f>
        <v>SEM-8</v>
      </c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spans="1:26" ht="26.25" customHeight="1" x14ac:dyDescent="0.15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6.25" customHeight="1" x14ac:dyDescent="0.15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26.25" customHeight="1" x14ac:dyDescent="0.15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26.25" customHeight="1" x14ac:dyDescent="0.15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26.25" customHeight="1" x14ac:dyDescent="0.15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26.25" customHeight="1" x14ac:dyDescent="0.15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26.25" customHeight="1" x14ac:dyDescent="0.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26.25" customHeight="1" x14ac:dyDescent="0.15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26.25" customHeight="1" x14ac:dyDescent="0.15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26.25" customHeight="1" x14ac:dyDescent="0.15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26.25" customHeight="1" x14ac:dyDescent="0.15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15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26.25" customHeight="1" x14ac:dyDescent="0.15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26.25" customHeight="1" x14ac:dyDescent="0.15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26.25" customHeight="1" x14ac:dyDescent="0.15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26.25" customHeight="1" x14ac:dyDescent="0.15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26.25" customHeight="1" x14ac:dyDescent="0.1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26.25" customHeight="1" x14ac:dyDescent="0.15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26.25" customHeight="1" x14ac:dyDescent="0.15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26.25" customHeight="1" x14ac:dyDescent="0.15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26.25" customHeight="1" x14ac:dyDescent="0.15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26.25" customHeight="1" x14ac:dyDescent="0.15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26.25" customHeight="1" x14ac:dyDescent="0.1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26.25" customHeight="1" x14ac:dyDescent="0.1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26.25" customHeight="1" x14ac:dyDescent="0.1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26.25" customHeight="1" x14ac:dyDescent="0.1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26.25" customHeight="1" x14ac:dyDescent="0.1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26.25" customHeight="1" x14ac:dyDescent="0.1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26.25" customHeight="1" x14ac:dyDescent="0.1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26.25" customHeight="1" x14ac:dyDescent="0.1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26.25" customHeight="1" x14ac:dyDescent="0.1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26.25" customHeight="1" x14ac:dyDescent="0.1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26.25" customHeight="1" x14ac:dyDescent="0.1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26.25" customHeight="1" x14ac:dyDescent="0.1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26.25" customHeight="1" x14ac:dyDescent="0.1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26.25" customHeight="1" x14ac:dyDescent="0.1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26.25" customHeight="1" x14ac:dyDescent="0.1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26.25" customHeight="1" x14ac:dyDescent="0.1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26.25" customHeight="1" x14ac:dyDescent="0.1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26.25" customHeight="1" x14ac:dyDescent="0.1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26.25" customHeight="1" x14ac:dyDescent="0.1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26.25" customHeight="1" x14ac:dyDescent="0.1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26.25" customHeight="1" x14ac:dyDescent="0.1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26.25" customHeight="1" x14ac:dyDescent="0.1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26.25" customHeight="1" x14ac:dyDescent="0.1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26.25" customHeight="1" x14ac:dyDescent="0.1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26.25" customHeight="1" x14ac:dyDescent="0.1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26.25" customHeight="1" x14ac:dyDescent="0.1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26.25" customHeight="1" x14ac:dyDescent="0.1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26.25" customHeight="1" x14ac:dyDescent="0.1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26.25" customHeight="1" x14ac:dyDescent="0.1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26.25" customHeight="1" x14ac:dyDescent="0.1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26.25" customHeight="1" x14ac:dyDescent="0.1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26.25" customHeight="1" x14ac:dyDescent="0.1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26.25" customHeight="1" x14ac:dyDescent="0.1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26.25" customHeight="1" x14ac:dyDescent="0.1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26.25" customHeight="1" x14ac:dyDescent="0.1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26.25" customHeight="1" x14ac:dyDescent="0.1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26.25" customHeight="1" x14ac:dyDescent="0.1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26.25" customHeight="1" x14ac:dyDescent="0.1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26.25" customHeight="1" x14ac:dyDescent="0.1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26.25" customHeight="1" x14ac:dyDescent="0.1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26.25" customHeight="1" x14ac:dyDescent="0.1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26.25" customHeight="1" x14ac:dyDescent="0.1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26.25" customHeight="1" x14ac:dyDescent="0.1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26.25" customHeight="1" x14ac:dyDescent="0.1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26.25" customHeight="1" x14ac:dyDescent="0.1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26.25" customHeight="1" x14ac:dyDescent="0.1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26.25" customHeight="1" x14ac:dyDescent="0.1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26.25" customHeight="1" x14ac:dyDescent="0.1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26.25" customHeight="1" x14ac:dyDescent="0.1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26.25" customHeight="1" x14ac:dyDescent="0.1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26.25" customHeight="1" x14ac:dyDescent="0.1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26.25" customHeight="1" x14ac:dyDescent="0.1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26.25" customHeight="1" x14ac:dyDescent="0.1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26.25" customHeight="1" x14ac:dyDescent="0.1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26.25" customHeight="1" x14ac:dyDescent="0.1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26.25" customHeight="1" x14ac:dyDescent="0.1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26.25" customHeight="1" x14ac:dyDescent="0.1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26.25" customHeight="1" x14ac:dyDescent="0.1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26.25" customHeight="1" x14ac:dyDescent="0.1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26.25" customHeight="1" x14ac:dyDescent="0.1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26.25" customHeight="1" x14ac:dyDescent="0.1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26.25" customHeight="1" x14ac:dyDescent="0.1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26.25" customHeight="1" x14ac:dyDescent="0.1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26.25" customHeight="1" x14ac:dyDescent="0.1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26.25" customHeight="1" x14ac:dyDescent="0.1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26.25" customHeight="1" x14ac:dyDescent="0.1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26.25" customHeight="1" x14ac:dyDescent="0.1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26.25" customHeight="1" x14ac:dyDescent="0.1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26.25" customHeight="1" x14ac:dyDescent="0.1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26.25" customHeight="1" x14ac:dyDescent="0.1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26.25" customHeight="1" x14ac:dyDescent="0.1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26.25" customHeight="1" x14ac:dyDescent="0.1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26.25" customHeight="1" x14ac:dyDescent="0.1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26.25" customHeight="1" x14ac:dyDescent="0.1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26.25" customHeight="1" x14ac:dyDescent="0.1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26.25" customHeight="1" x14ac:dyDescent="0.1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26.25" customHeight="1" x14ac:dyDescent="0.1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26.25" customHeight="1" x14ac:dyDescent="0.1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26.25" customHeight="1" x14ac:dyDescent="0.1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26.25" customHeight="1" x14ac:dyDescent="0.1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26.25" customHeight="1" x14ac:dyDescent="0.1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26.25" customHeight="1" x14ac:dyDescent="0.1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26.25" customHeight="1" x14ac:dyDescent="0.1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26.25" customHeight="1" x14ac:dyDescent="0.1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26.25" customHeight="1" x14ac:dyDescent="0.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26.25" customHeight="1" x14ac:dyDescent="0.1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26.25" customHeight="1" x14ac:dyDescent="0.1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26.25" customHeight="1" x14ac:dyDescent="0.1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26.25" customHeight="1" x14ac:dyDescent="0.1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26.25" customHeight="1" x14ac:dyDescent="0.1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26.25" customHeight="1" x14ac:dyDescent="0.1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26.25" customHeight="1" x14ac:dyDescent="0.1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26.25" customHeight="1" x14ac:dyDescent="0.1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26.25" customHeight="1" x14ac:dyDescent="0.1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26.25" customHeight="1" x14ac:dyDescent="0.1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26.25" customHeight="1" x14ac:dyDescent="0.1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26.25" customHeight="1" x14ac:dyDescent="0.1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26.25" customHeight="1" x14ac:dyDescent="0.1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26.25" customHeight="1" x14ac:dyDescent="0.1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26.25" customHeight="1" x14ac:dyDescent="0.1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26.25" customHeight="1" x14ac:dyDescent="0.1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26.25" customHeight="1" x14ac:dyDescent="0.1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26.25" customHeight="1" x14ac:dyDescent="0.1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26.25" customHeight="1" x14ac:dyDescent="0.1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26.25" customHeight="1" x14ac:dyDescent="0.1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26.25" customHeight="1" x14ac:dyDescent="0.1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26.25" customHeight="1" x14ac:dyDescent="0.1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26.25" customHeight="1" x14ac:dyDescent="0.1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26.25" customHeight="1" x14ac:dyDescent="0.1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26.25" customHeight="1" x14ac:dyDescent="0.1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26.25" customHeight="1" x14ac:dyDescent="0.1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26.25" customHeight="1" x14ac:dyDescent="0.1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26.25" customHeight="1" x14ac:dyDescent="0.1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26.25" customHeight="1" x14ac:dyDescent="0.1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26.25" customHeight="1" x14ac:dyDescent="0.1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26.25" customHeight="1" x14ac:dyDescent="0.1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26.25" customHeight="1" x14ac:dyDescent="0.1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26.25" customHeight="1" x14ac:dyDescent="0.1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26.25" customHeight="1" x14ac:dyDescent="0.1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26.25" customHeight="1" x14ac:dyDescent="0.1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26.25" customHeight="1" x14ac:dyDescent="0.1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26.25" customHeight="1" x14ac:dyDescent="0.1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26.25" customHeight="1" x14ac:dyDescent="0.1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26.25" customHeight="1" x14ac:dyDescent="0.1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26.25" customHeight="1" x14ac:dyDescent="0.1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26.25" customHeight="1" x14ac:dyDescent="0.1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26.25" customHeight="1" x14ac:dyDescent="0.1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26.25" customHeight="1" x14ac:dyDescent="0.1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26.25" customHeight="1" x14ac:dyDescent="0.1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26.25" customHeight="1" x14ac:dyDescent="0.1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26.25" customHeight="1" x14ac:dyDescent="0.1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26.25" customHeight="1" x14ac:dyDescent="0.1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26.25" customHeight="1" x14ac:dyDescent="0.1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26.25" customHeight="1" x14ac:dyDescent="0.1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26.25" customHeight="1" x14ac:dyDescent="0.1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26.25" customHeight="1" x14ac:dyDescent="0.1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26.25" customHeight="1" x14ac:dyDescent="0.1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26.25" customHeight="1" x14ac:dyDescent="0.1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26.25" customHeight="1" x14ac:dyDescent="0.1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26.25" customHeight="1" x14ac:dyDescent="0.1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26.25" customHeight="1" x14ac:dyDescent="0.1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26.25" customHeight="1" x14ac:dyDescent="0.1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26.25" customHeight="1" x14ac:dyDescent="0.1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26.25" customHeight="1" x14ac:dyDescent="0.1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26.25" customHeight="1" x14ac:dyDescent="0.1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26.25" customHeight="1" x14ac:dyDescent="0.1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26.25" customHeight="1" x14ac:dyDescent="0.1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26.25" customHeight="1" x14ac:dyDescent="0.1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26.25" customHeight="1" x14ac:dyDescent="0.1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26.25" customHeight="1" x14ac:dyDescent="0.1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26.25" customHeight="1" x14ac:dyDescent="0.1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26.25" customHeight="1" x14ac:dyDescent="0.1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26.25" customHeight="1" x14ac:dyDescent="0.1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26.25" customHeight="1" x14ac:dyDescent="0.1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26.25" customHeight="1" x14ac:dyDescent="0.1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26.25" customHeight="1" x14ac:dyDescent="0.1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26.25" customHeight="1" x14ac:dyDescent="0.1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26.25" customHeight="1" x14ac:dyDescent="0.1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26.25" customHeight="1" x14ac:dyDescent="0.1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26.25" customHeight="1" x14ac:dyDescent="0.1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26.25" customHeight="1" x14ac:dyDescent="0.1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26.25" customHeight="1" x14ac:dyDescent="0.1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26.25" customHeight="1" x14ac:dyDescent="0.1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26.25" customHeight="1" x14ac:dyDescent="0.1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26.25" customHeight="1" x14ac:dyDescent="0.1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26.25" customHeight="1" x14ac:dyDescent="0.1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26.25" customHeight="1" x14ac:dyDescent="0.1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26.25" customHeight="1" x14ac:dyDescent="0.1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26.25" customHeight="1" x14ac:dyDescent="0.1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26.25" customHeight="1" x14ac:dyDescent="0.1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26.25" customHeight="1" x14ac:dyDescent="0.1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26.25" customHeight="1" x14ac:dyDescent="0.1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26.25" customHeight="1" x14ac:dyDescent="0.1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26.25" customHeight="1" x14ac:dyDescent="0.1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26.25" customHeight="1" x14ac:dyDescent="0.1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26.25" customHeight="1" x14ac:dyDescent="0.1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26.25" customHeight="1" x14ac:dyDescent="0.1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26.25" customHeight="1" x14ac:dyDescent="0.1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26.25" customHeight="1" x14ac:dyDescent="0.1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26.25" customHeight="1" x14ac:dyDescent="0.1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26.25" customHeight="1" x14ac:dyDescent="0.1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26.25" customHeight="1" x14ac:dyDescent="0.1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26.25" customHeight="1" x14ac:dyDescent="0.1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26.25" customHeight="1" x14ac:dyDescent="0.1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26.25" customHeight="1" x14ac:dyDescent="0.1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26.25" customHeight="1" x14ac:dyDescent="0.1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26.25" customHeight="1" x14ac:dyDescent="0.1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26.25" customHeight="1" x14ac:dyDescent="0.1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26.25" customHeight="1" x14ac:dyDescent="0.1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26.25" customHeight="1" x14ac:dyDescent="0.1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26.25" customHeight="1" x14ac:dyDescent="0.1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26.25" customHeight="1" x14ac:dyDescent="0.1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26.25" customHeight="1" x14ac:dyDescent="0.1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26.25" customHeight="1" x14ac:dyDescent="0.1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26.25" customHeight="1" x14ac:dyDescent="0.1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26.25" customHeight="1" x14ac:dyDescent="0.1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26.25" customHeight="1" x14ac:dyDescent="0.1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26.25" customHeight="1" x14ac:dyDescent="0.1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26.25" customHeight="1" x14ac:dyDescent="0.1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26.25" customHeight="1" x14ac:dyDescent="0.1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26.25" customHeight="1" x14ac:dyDescent="0.1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26.25" customHeight="1" x14ac:dyDescent="0.1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26.25" customHeight="1" x14ac:dyDescent="0.1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26.25" customHeight="1" x14ac:dyDescent="0.1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26.25" customHeight="1" x14ac:dyDescent="0.1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26.25" customHeight="1" x14ac:dyDescent="0.1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26.25" customHeight="1" x14ac:dyDescent="0.1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26.25" customHeight="1" x14ac:dyDescent="0.1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26.25" customHeight="1" x14ac:dyDescent="0.1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26.25" customHeight="1" x14ac:dyDescent="0.1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26.25" customHeight="1" x14ac:dyDescent="0.1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26.25" customHeight="1" x14ac:dyDescent="0.1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26.25" customHeight="1" x14ac:dyDescent="0.1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26.25" customHeight="1" x14ac:dyDescent="0.1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26.25" customHeight="1" x14ac:dyDescent="0.1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26.25" customHeight="1" x14ac:dyDescent="0.1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26.25" customHeight="1" x14ac:dyDescent="0.1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26.25" customHeight="1" x14ac:dyDescent="0.1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26.25" customHeight="1" x14ac:dyDescent="0.1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26.25" customHeight="1" x14ac:dyDescent="0.1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26.25" customHeight="1" x14ac:dyDescent="0.1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26.25" customHeight="1" x14ac:dyDescent="0.1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26.25" customHeight="1" x14ac:dyDescent="0.1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26.25" customHeight="1" x14ac:dyDescent="0.1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26.25" customHeight="1" x14ac:dyDescent="0.1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26.25" customHeight="1" x14ac:dyDescent="0.1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26.25" customHeight="1" x14ac:dyDescent="0.1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26.25" customHeight="1" x14ac:dyDescent="0.1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26.25" customHeight="1" x14ac:dyDescent="0.1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26.25" customHeight="1" x14ac:dyDescent="0.1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26.25" customHeight="1" x14ac:dyDescent="0.1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26.25" customHeight="1" x14ac:dyDescent="0.1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26.25" customHeight="1" x14ac:dyDescent="0.1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26.25" customHeight="1" x14ac:dyDescent="0.1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26.25" customHeight="1" x14ac:dyDescent="0.1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26.25" customHeight="1" x14ac:dyDescent="0.1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26.25" customHeight="1" x14ac:dyDescent="0.1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26.25" customHeight="1" x14ac:dyDescent="0.1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26.25" customHeight="1" x14ac:dyDescent="0.1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26.25" customHeight="1" x14ac:dyDescent="0.1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26.25" customHeight="1" x14ac:dyDescent="0.1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26.25" customHeight="1" x14ac:dyDescent="0.1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26.25" customHeight="1" x14ac:dyDescent="0.1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26.25" customHeight="1" x14ac:dyDescent="0.1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26.25" customHeight="1" x14ac:dyDescent="0.1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26.25" customHeight="1" x14ac:dyDescent="0.1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26.25" customHeight="1" x14ac:dyDescent="0.1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26.25" customHeight="1" x14ac:dyDescent="0.1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26.25" customHeight="1" x14ac:dyDescent="0.1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26.25" customHeight="1" x14ac:dyDescent="0.1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26.25" customHeight="1" x14ac:dyDescent="0.1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26.25" customHeight="1" x14ac:dyDescent="0.1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26.25" customHeight="1" x14ac:dyDescent="0.1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26.25" customHeight="1" x14ac:dyDescent="0.1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26.25" customHeight="1" x14ac:dyDescent="0.1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26.25" customHeight="1" x14ac:dyDescent="0.1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26.25" customHeight="1" x14ac:dyDescent="0.1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26.25" customHeight="1" x14ac:dyDescent="0.1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26.25" customHeight="1" x14ac:dyDescent="0.1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26.25" customHeight="1" x14ac:dyDescent="0.1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26.25" customHeight="1" x14ac:dyDescent="0.1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26.25" customHeight="1" x14ac:dyDescent="0.1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26.25" customHeight="1" x14ac:dyDescent="0.1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26.25" customHeight="1" x14ac:dyDescent="0.1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26.25" customHeight="1" x14ac:dyDescent="0.1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26.25" customHeight="1" x14ac:dyDescent="0.1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26.25" customHeight="1" x14ac:dyDescent="0.1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26.25" customHeight="1" x14ac:dyDescent="0.1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26.25" customHeight="1" x14ac:dyDescent="0.1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26.25" customHeight="1" x14ac:dyDescent="0.1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26.25" customHeight="1" x14ac:dyDescent="0.1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26.25" customHeight="1" x14ac:dyDescent="0.1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26.25" customHeight="1" x14ac:dyDescent="0.1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26.25" customHeight="1" x14ac:dyDescent="0.1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26.25" customHeight="1" x14ac:dyDescent="0.1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26.25" customHeight="1" x14ac:dyDescent="0.1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26.25" customHeight="1" x14ac:dyDescent="0.1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26.25" customHeight="1" x14ac:dyDescent="0.1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26.25" customHeight="1" x14ac:dyDescent="0.1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26.25" customHeight="1" x14ac:dyDescent="0.1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26.25" customHeight="1" x14ac:dyDescent="0.1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26.25" customHeight="1" x14ac:dyDescent="0.1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26.25" customHeight="1" x14ac:dyDescent="0.1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26.25" customHeight="1" x14ac:dyDescent="0.1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26.25" customHeight="1" x14ac:dyDescent="0.1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26.25" customHeight="1" x14ac:dyDescent="0.1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26.25" customHeight="1" x14ac:dyDescent="0.1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26.25" customHeight="1" x14ac:dyDescent="0.1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26.25" customHeight="1" x14ac:dyDescent="0.1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26.25" customHeight="1" x14ac:dyDescent="0.1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26.25" customHeight="1" x14ac:dyDescent="0.1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26.25" customHeight="1" x14ac:dyDescent="0.1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26.25" customHeight="1" x14ac:dyDescent="0.1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26.25" customHeight="1" x14ac:dyDescent="0.1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26.25" customHeight="1" x14ac:dyDescent="0.1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26.25" customHeight="1" x14ac:dyDescent="0.1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26.25" customHeight="1" x14ac:dyDescent="0.1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26.25" customHeight="1" x14ac:dyDescent="0.1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26.25" customHeight="1" x14ac:dyDescent="0.1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26.25" customHeight="1" x14ac:dyDescent="0.1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26.25" customHeight="1" x14ac:dyDescent="0.1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26.25" customHeight="1" x14ac:dyDescent="0.1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26.25" customHeight="1" x14ac:dyDescent="0.1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26.25" customHeight="1" x14ac:dyDescent="0.1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26.25" customHeight="1" x14ac:dyDescent="0.1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26.25" customHeight="1" x14ac:dyDescent="0.1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26.25" customHeight="1" x14ac:dyDescent="0.1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26.25" customHeight="1" x14ac:dyDescent="0.1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26.25" customHeight="1" x14ac:dyDescent="0.1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26.25" customHeight="1" x14ac:dyDescent="0.1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26.25" customHeight="1" x14ac:dyDescent="0.1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26.25" customHeight="1" x14ac:dyDescent="0.1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26.25" customHeight="1" x14ac:dyDescent="0.1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26.25" customHeight="1" x14ac:dyDescent="0.1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26.25" customHeight="1" x14ac:dyDescent="0.1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26.25" customHeight="1" x14ac:dyDescent="0.1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26.25" customHeight="1" x14ac:dyDescent="0.1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26.25" customHeight="1" x14ac:dyDescent="0.1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26.25" customHeight="1" x14ac:dyDescent="0.1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26.25" customHeight="1" x14ac:dyDescent="0.1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26.25" customHeight="1" x14ac:dyDescent="0.1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26.25" customHeight="1" x14ac:dyDescent="0.1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26.25" customHeight="1" x14ac:dyDescent="0.1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26.25" customHeight="1" x14ac:dyDescent="0.1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26.25" customHeight="1" x14ac:dyDescent="0.1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26.25" customHeight="1" x14ac:dyDescent="0.1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26.25" customHeight="1" x14ac:dyDescent="0.1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26.25" customHeight="1" x14ac:dyDescent="0.1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26.25" customHeight="1" x14ac:dyDescent="0.1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26.25" customHeight="1" x14ac:dyDescent="0.1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26.25" customHeight="1" x14ac:dyDescent="0.1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26.25" customHeight="1" x14ac:dyDescent="0.1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26.25" customHeight="1" x14ac:dyDescent="0.1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26.25" customHeight="1" x14ac:dyDescent="0.1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26.25" customHeight="1" x14ac:dyDescent="0.1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26.25" customHeight="1" x14ac:dyDescent="0.1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26.25" customHeight="1" x14ac:dyDescent="0.1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26.25" customHeight="1" x14ac:dyDescent="0.1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26.25" customHeight="1" x14ac:dyDescent="0.1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26.25" customHeight="1" x14ac:dyDescent="0.1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26.25" customHeight="1" x14ac:dyDescent="0.1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26.25" customHeight="1" x14ac:dyDescent="0.1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26.25" customHeight="1" x14ac:dyDescent="0.1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26.25" customHeight="1" x14ac:dyDescent="0.1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26.25" customHeight="1" x14ac:dyDescent="0.1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26.25" customHeight="1" x14ac:dyDescent="0.1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26.25" customHeight="1" x14ac:dyDescent="0.1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26.25" customHeight="1" x14ac:dyDescent="0.1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26.25" customHeight="1" x14ac:dyDescent="0.1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26.25" customHeight="1" x14ac:dyDescent="0.1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26.25" customHeight="1" x14ac:dyDescent="0.1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26.25" customHeight="1" x14ac:dyDescent="0.1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26.25" customHeight="1" x14ac:dyDescent="0.1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26.25" customHeight="1" x14ac:dyDescent="0.1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26.25" customHeight="1" x14ac:dyDescent="0.1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26.25" customHeight="1" x14ac:dyDescent="0.1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26.25" customHeight="1" x14ac:dyDescent="0.1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26.25" customHeight="1" x14ac:dyDescent="0.1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26.25" customHeight="1" x14ac:dyDescent="0.1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26.25" customHeight="1" x14ac:dyDescent="0.1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26.25" customHeight="1" x14ac:dyDescent="0.1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26.25" customHeight="1" x14ac:dyDescent="0.1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26.25" customHeight="1" x14ac:dyDescent="0.1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26.25" customHeight="1" x14ac:dyDescent="0.1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26.25" customHeight="1" x14ac:dyDescent="0.1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26.25" customHeight="1" x14ac:dyDescent="0.1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26.25" customHeight="1" x14ac:dyDescent="0.1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26.25" customHeight="1" x14ac:dyDescent="0.1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26.25" customHeight="1" x14ac:dyDescent="0.1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26.25" customHeight="1" x14ac:dyDescent="0.1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26.25" customHeight="1" x14ac:dyDescent="0.1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26.25" customHeight="1" x14ac:dyDescent="0.1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26.25" customHeight="1" x14ac:dyDescent="0.1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26.25" customHeight="1" x14ac:dyDescent="0.1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26.25" customHeight="1" x14ac:dyDescent="0.1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26.25" customHeight="1" x14ac:dyDescent="0.1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26.25" customHeight="1" x14ac:dyDescent="0.1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26.25" customHeight="1" x14ac:dyDescent="0.1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26.25" customHeight="1" x14ac:dyDescent="0.1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26.25" customHeight="1" x14ac:dyDescent="0.1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26.25" customHeight="1" x14ac:dyDescent="0.1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26.25" customHeight="1" x14ac:dyDescent="0.1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26.25" customHeight="1" x14ac:dyDescent="0.1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26.25" customHeight="1" x14ac:dyDescent="0.1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26.25" customHeight="1" x14ac:dyDescent="0.1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26.25" customHeight="1" x14ac:dyDescent="0.1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26.25" customHeight="1" x14ac:dyDescent="0.1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26.25" customHeight="1" x14ac:dyDescent="0.1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26.25" customHeight="1" x14ac:dyDescent="0.1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26.25" customHeight="1" x14ac:dyDescent="0.1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26.25" customHeight="1" x14ac:dyDescent="0.1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26.25" customHeight="1" x14ac:dyDescent="0.1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26.25" customHeight="1" x14ac:dyDescent="0.1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26.25" customHeight="1" x14ac:dyDescent="0.1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26.25" customHeight="1" x14ac:dyDescent="0.1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26.25" customHeight="1" x14ac:dyDescent="0.1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26.25" customHeight="1" x14ac:dyDescent="0.1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26.25" customHeight="1" x14ac:dyDescent="0.1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26.25" customHeight="1" x14ac:dyDescent="0.1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26.25" customHeight="1" x14ac:dyDescent="0.1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26.25" customHeight="1" x14ac:dyDescent="0.1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26.25" customHeight="1" x14ac:dyDescent="0.1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26.25" customHeight="1" x14ac:dyDescent="0.1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26.25" customHeight="1" x14ac:dyDescent="0.1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26.25" customHeight="1" x14ac:dyDescent="0.1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26.25" customHeight="1" x14ac:dyDescent="0.1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26.25" customHeight="1" x14ac:dyDescent="0.1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26.25" customHeight="1" x14ac:dyDescent="0.1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26.25" customHeight="1" x14ac:dyDescent="0.1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26.25" customHeight="1" x14ac:dyDescent="0.1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26.25" customHeight="1" x14ac:dyDescent="0.1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26.25" customHeight="1" x14ac:dyDescent="0.1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26.25" customHeight="1" x14ac:dyDescent="0.1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26.25" customHeight="1" x14ac:dyDescent="0.1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26.25" customHeight="1" x14ac:dyDescent="0.1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26.25" customHeight="1" x14ac:dyDescent="0.1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26.25" customHeight="1" x14ac:dyDescent="0.1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26.25" customHeight="1" x14ac:dyDescent="0.1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26.25" customHeight="1" x14ac:dyDescent="0.1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26.25" customHeight="1" x14ac:dyDescent="0.1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26.25" customHeight="1" x14ac:dyDescent="0.1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26.25" customHeight="1" x14ac:dyDescent="0.1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26.25" customHeight="1" x14ac:dyDescent="0.1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26.25" customHeight="1" x14ac:dyDescent="0.1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26.25" customHeight="1" x14ac:dyDescent="0.1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26.25" customHeight="1" x14ac:dyDescent="0.1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26.25" customHeight="1" x14ac:dyDescent="0.1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26.25" customHeight="1" x14ac:dyDescent="0.1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26.25" customHeight="1" x14ac:dyDescent="0.1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26.25" customHeight="1" x14ac:dyDescent="0.1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26.25" customHeight="1" x14ac:dyDescent="0.1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26.25" customHeight="1" x14ac:dyDescent="0.1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26.25" customHeight="1" x14ac:dyDescent="0.1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26.25" customHeight="1" x14ac:dyDescent="0.1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26.25" customHeight="1" x14ac:dyDescent="0.1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26.25" customHeight="1" x14ac:dyDescent="0.1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26.25" customHeight="1" x14ac:dyDescent="0.1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26.25" customHeight="1" x14ac:dyDescent="0.1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26.25" customHeight="1" x14ac:dyDescent="0.1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26.25" customHeight="1" x14ac:dyDescent="0.1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26.25" customHeight="1" x14ac:dyDescent="0.1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26.25" customHeight="1" x14ac:dyDescent="0.1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26.25" customHeight="1" x14ac:dyDescent="0.1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26.25" customHeight="1" x14ac:dyDescent="0.1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26.25" customHeight="1" x14ac:dyDescent="0.1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26.25" customHeight="1" x14ac:dyDescent="0.1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26.25" customHeight="1" x14ac:dyDescent="0.1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26.25" customHeight="1" x14ac:dyDescent="0.1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26.25" customHeight="1" x14ac:dyDescent="0.1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26.25" customHeight="1" x14ac:dyDescent="0.1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26.25" customHeight="1" x14ac:dyDescent="0.1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26.25" customHeight="1" x14ac:dyDescent="0.1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26.25" customHeight="1" x14ac:dyDescent="0.1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26.25" customHeight="1" x14ac:dyDescent="0.1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26.25" customHeight="1" x14ac:dyDescent="0.1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26.25" customHeight="1" x14ac:dyDescent="0.1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26.25" customHeight="1" x14ac:dyDescent="0.1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26.25" customHeight="1" x14ac:dyDescent="0.1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26.25" customHeight="1" x14ac:dyDescent="0.1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26.25" customHeight="1" x14ac:dyDescent="0.1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26.25" customHeight="1" x14ac:dyDescent="0.1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26.25" customHeight="1" x14ac:dyDescent="0.1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26.25" customHeight="1" x14ac:dyDescent="0.1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26.25" customHeight="1" x14ac:dyDescent="0.1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26.25" customHeight="1" x14ac:dyDescent="0.1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26.25" customHeight="1" x14ac:dyDescent="0.1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26.25" customHeight="1" x14ac:dyDescent="0.1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26.25" customHeight="1" x14ac:dyDescent="0.1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26.25" customHeight="1" x14ac:dyDescent="0.1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26.25" customHeight="1" x14ac:dyDescent="0.1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26.25" customHeight="1" x14ac:dyDescent="0.1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26.25" customHeight="1" x14ac:dyDescent="0.1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26.25" customHeight="1" x14ac:dyDescent="0.1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26.25" customHeight="1" x14ac:dyDescent="0.1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26.25" customHeight="1" x14ac:dyDescent="0.1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26.25" customHeight="1" x14ac:dyDescent="0.1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26.25" customHeight="1" x14ac:dyDescent="0.1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26.25" customHeight="1" x14ac:dyDescent="0.1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26.25" customHeight="1" x14ac:dyDescent="0.1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26.25" customHeight="1" x14ac:dyDescent="0.1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26.25" customHeight="1" x14ac:dyDescent="0.1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26.25" customHeight="1" x14ac:dyDescent="0.1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26.25" customHeight="1" x14ac:dyDescent="0.1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26.25" customHeight="1" x14ac:dyDescent="0.1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26.25" customHeight="1" x14ac:dyDescent="0.1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26.25" customHeight="1" x14ac:dyDescent="0.1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26.25" customHeight="1" x14ac:dyDescent="0.1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26.25" customHeight="1" x14ac:dyDescent="0.1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26.25" customHeight="1" x14ac:dyDescent="0.1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26.25" customHeight="1" x14ac:dyDescent="0.1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26.25" customHeight="1" x14ac:dyDescent="0.1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26.25" customHeight="1" x14ac:dyDescent="0.1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26.25" customHeight="1" x14ac:dyDescent="0.1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26.25" customHeight="1" x14ac:dyDescent="0.1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26.25" customHeight="1" x14ac:dyDescent="0.1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26.25" customHeight="1" x14ac:dyDescent="0.1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26.25" customHeight="1" x14ac:dyDescent="0.1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26.25" customHeight="1" x14ac:dyDescent="0.1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26.25" customHeight="1" x14ac:dyDescent="0.1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26.25" customHeight="1" x14ac:dyDescent="0.1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26.25" customHeight="1" x14ac:dyDescent="0.1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26.25" customHeight="1" x14ac:dyDescent="0.1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26.25" customHeight="1" x14ac:dyDescent="0.1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26.25" customHeight="1" x14ac:dyDescent="0.1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26.25" customHeight="1" x14ac:dyDescent="0.1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26.25" customHeight="1" x14ac:dyDescent="0.1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26.25" customHeight="1" x14ac:dyDescent="0.1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26.25" customHeight="1" x14ac:dyDescent="0.1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26.25" customHeight="1" x14ac:dyDescent="0.1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26.25" customHeight="1" x14ac:dyDescent="0.1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26.25" customHeight="1" x14ac:dyDescent="0.1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26.25" customHeight="1" x14ac:dyDescent="0.1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26.25" customHeight="1" x14ac:dyDescent="0.1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26.25" customHeight="1" x14ac:dyDescent="0.1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26.25" customHeight="1" x14ac:dyDescent="0.1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26.25" customHeight="1" x14ac:dyDescent="0.1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26.25" customHeight="1" x14ac:dyDescent="0.1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26.25" customHeight="1" x14ac:dyDescent="0.1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26.25" customHeight="1" x14ac:dyDescent="0.1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26.25" customHeight="1" x14ac:dyDescent="0.1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26.25" customHeight="1" x14ac:dyDescent="0.1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26.25" customHeight="1" x14ac:dyDescent="0.1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26.25" customHeight="1" x14ac:dyDescent="0.1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26.25" customHeight="1" x14ac:dyDescent="0.1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26.25" customHeight="1" x14ac:dyDescent="0.1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26.25" customHeight="1" x14ac:dyDescent="0.1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26.25" customHeight="1" x14ac:dyDescent="0.1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26.25" customHeight="1" x14ac:dyDescent="0.1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26.25" customHeight="1" x14ac:dyDescent="0.1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26.25" customHeight="1" x14ac:dyDescent="0.1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26.25" customHeight="1" x14ac:dyDescent="0.1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26.25" customHeight="1" x14ac:dyDescent="0.1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26.25" customHeight="1" x14ac:dyDescent="0.1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26.25" customHeight="1" x14ac:dyDescent="0.1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26.25" customHeight="1" x14ac:dyDescent="0.1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26.25" customHeight="1" x14ac:dyDescent="0.1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26.25" customHeight="1" x14ac:dyDescent="0.1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26.25" customHeight="1" x14ac:dyDescent="0.1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26.25" customHeight="1" x14ac:dyDescent="0.1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26.25" customHeight="1" x14ac:dyDescent="0.1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26.25" customHeight="1" x14ac:dyDescent="0.1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26.25" customHeight="1" x14ac:dyDescent="0.1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26.25" customHeight="1" x14ac:dyDescent="0.1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26.25" customHeight="1" x14ac:dyDescent="0.1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26.25" customHeight="1" x14ac:dyDescent="0.1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26.25" customHeight="1" x14ac:dyDescent="0.1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26.25" customHeight="1" x14ac:dyDescent="0.1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26.25" customHeight="1" x14ac:dyDescent="0.1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26.25" customHeight="1" x14ac:dyDescent="0.1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26.25" customHeight="1" x14ac:dyDescent="0.1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26.25" customHeight="1" x14ac:dyDescent="0.1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26.25" customHeight="1" x14ac:dyDescent="0.1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26.25" customHeight="1" x14ac:dyDescent="0.1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26.25" customHeight="1" x14ac:dyDescent="0.1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26.25" customHeight="1" x14ac:dyDescent="0.1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26.25" customHeight="1" x14ac:dyDescent="0.1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26.25" customHeight="1" x14ac:dyDescent="0.1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26.25" customHeight="1" x14ac:dyDescent="0.1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26.25" customHeight="1" x14ac:dyDescent="0.1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26.25" customHeight="1" x14ac:dyDescent="0.1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26.25" customHeight="1" x14ac:dyDescent="0.1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26.25" customHeight="1" x14ac:dyDescent="0.1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26.25" customHeight="1" x14ac:dyDescent="0.1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26.25" customHeight="1" x14ac:dyDescent="0.1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26.25" customHeight="1" x14ac:dyDescent="0.1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26.25" customHeight="1" x14ac:dyDescent="0.1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26.25" customHeight="1" x14ac:dyDescent="0.1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26.25" customHeight="1" x14ac:dyDescent="0.1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26.25" customHeight="1" x14ac:dyDescent="0.1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26.25" customHeight="1" x14ac:dyDescent="0.1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26.25" customHeight="1" x14ac:dyDescent="0.1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26.25" customHeight="1" x14ac:dyDescent="0.1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26.25" customHeight="1" x14ac:dyDescent="0.1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26.25" customHeight="1" x14ac:dyDescent="0.1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26.25" customHeight="1" x14ac:dyDescent="0.1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26.25" customHeight="1" x14ac:dyDescent="0.1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26.25" customHeight="1" x14ac:dyDescent="0.1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26.25" customHeight="1" x14ac:dyDescent="0.1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26.25" customHeight="1" x14ac:dyDescent="0.1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26.25" customHeight="1" x14ac:dyDescent="0.1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26.25" customHeight="1" x14ac:dyDescent="0.1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26.25" customHeight="1" x14ac:dyDescent="0.1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26.25" customHeight="1" x14ac:dyDescent="0.1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26.25" customHeight="1" x14ac:dyDescent="0.1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26.25" customHeight="1" x14ac:dyDescent="0.1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26.25" customHeight="1" x14ac:dyDescent="0.1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26.25" customHeight="1" x14ac:dyDescent="0.1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26.25" customHeight="1" x14ac:dyDescent="0.1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26.25" customHeight="1" x14ac:dyDescent="0.1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26.25" customHeight="1" x14ac:dyDescent="0.1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26.25" customHeight="1" x14ac:dyDescent="0.1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26.25" customHeight="1" x14ac:dyDescent="0.1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26.25" customHeight="1" x14ac:dyDescent="0.1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26.25" customHeight="1" x14ac:dyDescent="0.1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26.25" customHeight="1" x14ac:dyDescent="0.1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26.25" customHeight="1" x14ac:dyDescent="0.1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26.25" customHeight="1" x14ac:dyDescent="0.1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26.25" customHeight="1" x14ac:dyDescent="0.1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26.25" customHeight="1" x14ac:dyDescent="0.1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26.25" customHeight="1" x14ac:dyDescent="0.1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26.25" customHeight="1" x14ac:dyDescent="0.1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26.25" customHeight="1" x14ac:dyDescent="0.1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26.25" customHeight="1" x14ac:dyDescent="0.1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26.25" customHeight="1" x14ac:dyDescent="0.1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26.25" customHeight="1" x14ac:dyDescent="0.1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26.25" customHeight="1" x14ac:dyDescent="0.1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26.25" customHeight="1" x14ac:dyDescent="0.1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26.25" customHeight="1" x14ac:dyDescent="0.1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26.25" customHeight="1" x14ac:dyDescent="0.1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26.25" customHeight="1" x14ac:dyDescent="0.1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26.25" customHeight="1" x14ac:dyDescent="0.1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26.25" customHeight="1" x14ac:dyDescent="0.1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26.25" customHeight="1" x14ac:dyDescent="0.1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26.25" customHeight="1" x14ac:dyDescent="0.1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26.25" customHeight="1" x14ac:dyDescent="0.1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26.25" customHeight="1" x14ac:dyDescent="0.1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26.25" customHeight="1" x14ac:dyDescent="0.1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26.25" customHeight="1" x14ac:dyDescent="0.1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26.25" customHeight="1" x14ac:dyDescent="0.1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26.25" customHeight="1" x14ac:dyDescent="0.1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26.25" customHeight="1" x14ac:dyDescent="0.1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26.25" customHeight="1" x14ac:dyDescent="0.1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26.25" customHeight="1" x14ac:dyDescent="0.1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26.25" customHeight="1" x14ac:dyDescent="0.1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26.25" customHeight="1" x14ac:dyDescent="0.1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26.25" customHeight="1" x14ac:dyDescent="0.1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26.25" customHeight="1" x14ac:dyDescent="0.1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26.25" customHeight="1" x14ac:dyDescent="0.1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26.25" customHeight="1" x14ac:dyDescent="0.1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26.25" customHeight="1" x14ac:dyDescent="0.1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26.25" customHeight="1" x14ac:dyDescent="0.1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26.25" customHeight="1" x14ac:dyDescent="0.1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26.25" customHeight="1" x14ac:dyDescent="0.1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26.25" customHeight="1" x14ac:dyDescent="0.1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26.25" customHeight="1" x14ac:dyDescent="0.1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26.25" customHeight="1" x14ac:dyDescent="0.1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26.25" customHeight="1" x14ac:dyDescent="0.1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26.25" customHeight="1" x14ac:dyDescent="0.1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26.25" customHeight="1" x14ac:dyDescent="0.1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26.25" customHeight="1" x14ac:dyDescent="0.1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26.25" customHeight="1" x14ac:dyDescent="0.1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26.25" customHeight="1" x14ac:dyDescent="0.1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26.25" customHeight="1" x14ac:dyDescent="0.1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26.25" customHeight="1" x14ac:dyDescent="0.1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26.25" customHeight="1" x14ac:dyDescent="0.1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26.25" customHeight="1" x14ac:dyDescent="0.1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26.25" customHeight="1" x14ac:dyDescent="0.1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26.25" customHeight="1" x14ac:dyDescent="0.1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26.25" customHeight="1" x14ac:dyDescent="0.1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26.25" customHeight="1" x14ac:dyDescent="0.1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26.25" customHeight="1" x14ac:dyDescent="0.1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26.25" customHeight="1" x14ac:dyDescent="0.1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26.25" customHeight="1" x14ac:dyDescent="0.1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26.25" customHeight="1" x14ac:dyDescent="0.1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26.25" customHeight="1" x14ac:dyDescent="0.1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26.25" customHeight="1" x14ac:dyDescent="0.1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26.25" customHeight="1" x14ac:dyDescent="0.1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26.25" customHeight="1" x14ac:dyDescent="0.1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26.25" customHeight="1" x14ac:dyDescent="0.1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26.25" customHeight="1" x14ac:dyDescent="0.1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26.25" customHeight="1" x14ac:dyDescent="0.1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26.25" customHeight="1" x14ac:dyDescent="0.1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26.25" customHeight="1" x14ac:dyDescent="0.1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26.25" customHeight="1" x14ac:dyDescent="0.1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26.25" customHeight="1" x14ac:dyDescent="0.1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26.25" customHeight="1" x14ac:dyDescent="0.1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26.25" customHeight="1" x14ac:dyDescent="0.1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26.25" customHeight="1" x14ac:dyDescent="0.1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26.25" customHeight="1" x14ac:dyDescent="0.1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26.25" customHeight="1" x14ac:dyDescent="0.1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26.25" customHeight="1" x14ac:dyDescent="0.1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26.25" customHeight="1" x14ac:dyDescent="0.1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26.25" customHeight="1" x14ac:dyDescent="0.1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26.25" customHeight="1" x14ac:dyDescent="0.1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26.25" customHeight="1" x14ac:dyDescent="0.1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26.25" customHeight="1" x14ac:dyDescent="0.1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26.25" customHeight="1" x14ac:dyDescent="0.1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26.25" customHeight="1" x14ac:dyDescent="0.1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26.25" customHeight="1" x14ac:dyDescent="0.1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26.25" customHeight="1" x14ac:dyDescent="0.1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26.25" customHeight="1" x14ac:dyDescent="0.1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26.25" customHeight="1" x14ac:dyDescent="0.1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26.25" customHeight="1" x14ac:dyDescent="0.1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26.25" customHeight="1" x14ac:dyDescent="0.1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26.25" customHeight="1" x14ac:dyDescent="0.1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26.25" customHeight="1" x14ac:dyDescent="0.1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26.25" customHeight="1" x14ac:dyDescent="0.1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26.25" customHeight="1" x14ac:dyDescent="0.1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26.25" customHeight="1" x14ac:dyDescent="0.1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26.25" customHeight="1" x14ac:dyDescent="0.1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26.25" customHeight="1" x14ac:dyDescent="0.1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26.25" customHeight="1" x14ac:dyDescent="0.1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26.25" customHeight="1" x14ac:dyDescent="0.1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26.25" customHeight="1" x14ac:dyDescent="0.1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26.25" customHeight="1" x14ac:dyDescent="0.1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26.25" customHeight="1" x14ac:dyDescent="0.1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26.25" customHeight="1" x14ac:dyDescent="0.1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26.25" customHeight="1" x14ac:dyDescent="0.1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26.25" customHeight="1" x14ac:dyDescent="0.1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26.25" customHeight="1" x14ac:dyDescent="0.1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26.25" customHeight="1" x14ac:dyDescent="0.1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26.25" customHeight="1" x14ac:dyDescent="0.1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26.25" customHeight="1" x14ac:dyDescent="0.1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26.25" customHeight="1" x14ac:dyDescent="0.1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26.25" customHeight="1" x14ac:dyDescent="0.1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26.25" customHeight="1" x14ac:dyDescent="0.1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26.25" customHeight="1" x14ac:dyDescent="0.1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26.25" customHeight="1" x14ac:dyDescent="0.1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26.25" customHeight="1" x14ac:dyDescent="0.1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26.25" customHeight="1" x14ac:dyDescent="0.1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26.25" customHeight="1" x14ac:dyDescent="0.1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26.25" customHeight="1" x14ac:dyDescent="0.1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26.25" customHeight="1" x14ac:dyDescent="0.1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26.25" customHeight="1" x14ac:dyDescent="0.1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26.25" customHeight="1" x14ac:dyDescent="0.1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26.25" customHeight="1" x14ac:dyDescent="0.1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26.25" customHeight="1" x14ac:dyDescent="0.1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26.25" customHeight="1" x14ac:dyDescent="0.1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26.25" customHeight="1" x14ac:dyDescent="0.1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26.25" customHeight="1" x14ac:dyDescent="0.1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26.25" customHeight="1" x14ac:dyDescent="0.1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26.25" customHeight="1" x14ac:dyDescent="0.1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26.25" customHeight="1" x14ac:dyDescent="0.1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26.25" customHeight="1" x14ac:dyDescent="0.1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26.25" customHeight="1" x14ac:dyDescent="0.1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26.25" customHeight="1" x14ac:dyDescent="0.1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26.25" customHeight="1" x14ac:dyDescent="0.1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26.25" customHeight="1" x14ac:dyDescent="0.1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26.25" customHeight="1" x14ac:dyDescent="0.1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26.25" customHeight="1" x14ac:dyDescent="0.1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26.25" customHeight="1" x14ac:dyDescent="0.1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26.25" customHeight="1" x14ac:dyDescent="0.1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26.25" customHeight="1" x14ac:dyDescent="0.1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26.25" customHeight="1" x14ac:dyDescent="0.1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26.25" customHeight="1" x14ac:dyDescent="0.1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26.25" customHeight="1" x14ac:dyDescent="0.1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26.25" customHeight="1" x14ac:dyDescent="0.1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26.25" customHeight="1" x14ac:dyDescent="0.1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26.25" customHeight="1" x14ac:dyDescent="0.1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26.25" customHeight="1" x14ac:dyDescent="0.1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26.25" customHeight="1" x14ac:dyDescent="0.1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26.25" customHeight="1" x14ac:dyDescent="0.1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26.25" customHeight="1" x14ac:dyDescent="0.1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26.25" customHeight="1" x14ac:dyDescent="0.1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26.25" customHeight="1" x14ac:dyDescent="0.1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26.25" customHeight="1" x14ac:dyDescent="0.1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26.25" customHeight="1" x14ac:dyDescent="0.1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26.25" customHeight="1" x14ac:dyDescent="0.1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26.25" customHeight="1" x14ac:dyDescent="0.1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26.25" customHeight="1" x14ac:dyDescent="0.1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26.25" customHeight="1" x14ac:dyDescent="0.1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26.25" customHeight="1" x14ac:dyDescent="0.1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26.25" customHeight="1" x14ac:dyDescent="0.1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26.25" customHeight="1" x14ac:dyDescent="0.1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26.25" customHeight="1" x14ac:dyDescent="0.1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26.25" customHeight="1" x14ac:dyDescent="0.1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26.25" customHeight="1" x14ac:dyDescent="0.1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26.25" customHeight="1" x14ac:dyDescent="0.1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26.25" customHeight="1" x14ac:dyDescent="0.1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26.25" customHeight="1" x14ac:dyDescent="0.1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26.25" customHeight="1" x14ac:dyDescent="0.1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26.25" customHeight="1" x14ac:dyDescent="0.1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26.25" customHeight="1" x14ac:dyDescent="0.1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26.25" customHeight="1" x14ac:dyDescent="0.1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26.25" customHeight="1" x14ac:dyDescent="0.1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26.25" customHeight="1" x14ac:dyDescent="0.1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26.25" customHeight="1" x14ac:dyDescent="0.1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26.25" customHeight="1" x14ac:dyDescent="0.1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26.25" customHeight="1" x14ac:dyDescent="0.1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26.25" customHeight="1" x14ac:dyDescent="0.1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26.25" customHeight="1" x14ac:dyDescent="0.1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26.25" customHeight="1" x14ac:dyDescent="0.1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26.25" customHeight="1" x14ac:dyDescent="0.1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26.25" customHeight="1" x14ac:dyDescent="0.1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26.25" customHeight="1" x14ac:dyDescent="0.1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26.25" customHeight="1" x14ac:dyDescent="0.1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26.25" customHeight="1" x14ac:dyDescent="0.1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26.25" customHeight="1" x14ac:dyDescent="0.1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26.25" customHeight="1" x14ac:dyDescent="0.1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26.25" customHeight="1" x14ac:dyDescent="0.1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26.25" customHeight="1" x14ac:dyDescent="0.1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26.25" customHeight="1" x14ac:dyDescent="0.1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26.25" customHeight="1" x14ac:dyDescent="0.1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26.25" customHeight="1" x14ac:dyDescent="0.1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26.25" customHeight="1" x14ac:dyDescent="0.1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26.25" customHeight="1" x14ac:dyDescent="0.1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26.25" customHeight="1" x14ac:dyDescent="0.1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26.25" customHeight="1" x14ac:dyDescent="0.1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26.25" customHeight="1" x14ac:dyDescent="0.1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26.25" customHeight="1" x14ac:dyDescent="0.1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26.25" customHeight="1" x14ac:dyDescent="0.1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26.25" customHeight="1" x14ac:dyDescent="0.1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26.25" customHeight="1" x14ac:dyDescent="0.1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26.25" customHeight="1" x14ac:dyDescent="0.1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26.25" customHeight="1" x14ac:dyDescent="0.1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26.25" customHeight="1" x14ac:dyDescent="0.1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26.25" customHeight="1" x14ac:dyDescent="0.1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26.25" customHeight="1" x14ac:dyDescent="0.1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26.25" customHeight="1" x14ac:dyDescent="0.1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26.25" customHeight="1" x14ac:dyDescent="0.1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26.25" customHeight="1" x14ac:dyDescent="0.1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26.25" customHeight="1" x14ac:dyDescent="0.1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26.25" customHeight="1" x14ac:dyDescent="0.1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26.25" customHeight="1" x14ac:dyDescent="0.1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26.25" customHeight="1" x14ac:dyDescent="0.1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26.25" customHeight="1" x14ac:dyDescent="0.1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26.25" customHeight="1" x14ac:dyDescent="0.1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26.25" customHeight="1" x14ac:dyDescent="0.1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26.25" customHeight="1" x14ac:dyDescent="0.1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26.25" customHeight="1" x14ac:dyDescent="0.1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26.25" customHeight="1" x14ac:dyDescent="0.1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26.25" customHeight="1" x14ac:dyDescent="0.1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26.25" customHeight="1" x14ac:dyDescent="0.1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26.25" customHeight="1" x14ac:dyDescent="0.1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26.25" customHeight="1" x14ac:dyDescent="0.1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26.25" customHeight="1" x14ac:dyDescent="0.1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26.25" customHeight="1" x14ac:dyDescent="0.1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26.25" customHeight="1" x14ac:dyDescent="0.1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26.25" customHeight="1" x14ac:dyDescent="0.1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26.25" customHeight="1" x14ac:dyDescent="0.1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26.25" customHeight="1" x14ac:dyDescent="0.1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26.25" customHeight="1" x14ac:dyDescent="0.1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26.25" customHeight="1" x14ac:dyDescent="0.1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26.25" customHeight="1" x14ac:dyDescent="0.1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26.25" customHeight="1" x14ac:dyDescent="0.1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26.25" customHeight="1" x14ac:dyDescent="0.1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26.25" customHeight="1" x14ac:dyDescent="0.1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26.25" customHeight="1" x14ac:dyDescent="0.1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26.25" customHeight="1" x14ac:dyDescent="0.1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26.25" customHeight="1" x14ac:dyDescent="0.1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26.25" customHeight="1" x14ac:dyDescent="0.1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26.25" customHeight="1" x14ac:dyDescent="0.1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26.25" customHeight="1" x14ac:dyDescent="0.1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26.25" customHeight="1" x14ac:dyDescent="0.1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26.25" customHeight="1" x14ac:dyDescent="0.1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26.25" customHeight="1" x14ac:dyDescent="0.1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26.25" customHeight="1" x14ac:dyDescent="0.1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26.25" customHeight="1" x14ac:dyDescent="0.1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26.25" customHeight="1" x14ac:dyDescent="0.1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26.25" customHeight="1" x14ac:dyDescent="0.1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26.25" customHeight="1" x14ac:dyDescent="0.1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26.25" customHeight="1" x14ac:dyDescent="0.1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26.25" customHeight="1" x14ac:dyDescent="0.1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26.25" customHeight="1" x14ac:dyDescent="0.1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26.25" customHeight="1" x14ac:dyDescent="0.1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26.25" customHeight="1" x14ac:dyDescent="0.1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26.25" customHeight="1" x14ac:dyDescent="0.1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26.25" customHeight="1" x14ac:dyDescent="0.1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26.25" customHeight="1" x14ac:dyDescent="0.1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26.25" customHeight="1" x14ac:dyDescent="0.1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26.25" customHeight="1" x14ac:dyDescent="0.1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26.25" customHeight="1" x14ac:dyDescent="0.1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26.25" customHeight="1" x14ac:dyDescent="0.1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26.25" customHeight="1" x14ac:dyDescent="0.1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26.25" customHeight="1" x14ac:dyDescent="0.1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26.25" customHeight="1" x14ac:dyDescent="0.1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26.25" customHeight="1" x14ac:dyDescent="0.1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26.25" customHeight="1" x14ac:dyDescent="0.1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26.25" customHeight="1" x14ac:dyDescent="0.1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26.25" customHeight="1" x14ac:dyDescent="0.1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26.25" customHeight="1" x14ac:dyDescent="0.1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26.25" customHeight="1" x14ac:dyDescent="0.1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26.25" customHeight="1" x14ac:dyDescent="0.1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26.25" customHeight="1" x14ac:dyDescent="0.1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26.25" customHeight="1" x14ac:dyDescent="0.1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26.25" customHeight="1" x14ac:dyDescent="0.1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26.25" customHeight="1" x14ac:dyDescent="0.1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26.25" customHeight="1" x14ac:dyDescent="0.1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26.25" customHeight="1" x14ac:dyDescent="0.1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26.25" customHeight="1" x14ac:dyDescent="0.1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26.25" customHeight="1" x14ac:dyDescent="0.1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26.25" customHeight="1" x14ac:dyDescent="0.1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26.25" customHeight="1" x14ac:dyDescent="0.1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26.25" customHeight="1" x14ac:dyDescent="0.1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26.25" customHeight="1" x14ac:dyDescent="0.1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26.25" customHeight="1" x14ac:dyDescent="0.1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26.25" customHeight="1" x14ac:dyDescent="0.1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26.25" customHeight="1" x14ac:dyDescent="0.1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26.25" customHeight="1" x14ac:dyDescent="0.1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26.25" customHeight="1" x14ac:dyDescent="0.1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26.25" customHeight="1" x14ac:dyDescent="0.1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26.25" customHeight="1" x14ac:dyDescent="0.1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26.25" customHeight="1" x14ac:dyDescent="0.1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26.25" customHeight="1" x14ac:dyDescent="0.1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26.25" customHeight="1" x14ac:dyDescent="0.1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26.25" customHeight="1" x14ac:dyDescent="0.1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26.25" customHeight="1" x14ac:dyDescent="0.1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26.25" customHeight="1" x14ac:dyDescent="0.1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26.25" customHeight="1" x14ac:dyDescent="0.1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26.25" customHeight="1" x14ac:dyDescent="0.1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26.25" customHeight="1" x14ac:dyDescent="0.1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26.25" customHeight="1" x14ac:dyDescent="0.1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26.25" customHeight="1" x14ac:dyDescent="0.1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26.25" customHeight="1" x14ac:dyDescent="0.1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26.25" customHeight="1" x14ac:dyDescent="0.1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26.25" customHeight="1" x14ac:dyDescent="0.1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26.25" customHeight="1" x14ac:dyDescent="0.1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26.25" customHeight="1" x14ac:dyDescent="0.1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26.25" customHeight="1" x14ac:dyDescent="0.1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26.25" customHeight="1" x14ac:dyDescent="0.1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26.25" customHeight="1" x14ac:dyDescent="0.1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26.25" customHeight="1" x14ac:dyDescent="0.1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26.25" customHeight="1" x14ac:dyDescent="0.1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26.25" customHeight="1" x14ac:dyDescent="0.1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26.25" customHeight="1" x14ac:dyDescent="0.1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26.25" customHeight="1" x14ac:dyDescent="0.1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26.25" customHeight="1" x14ac:dyDescent="0.1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26.25" customHeight="1" x14ac:dyDescent="0.1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26.25" customHeight="1" x14ac:dyDescent="0.1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26.25" customHeight="1" x14ac:dyDescent="0.1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26.25" customHeight="1" x14ac:dyDescent="0.1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26.25" customHeight="1" x14ac:dyDescent="0.1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26.25" customHeight="1" x14ac:dyDescent="0.1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26.25" customHeight="1" x14ac:dyDescent="0.1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26.25" customHeight="1" x14ac:dyDescent="0.1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26.25" customHeight="1" x14ac:dyDescent="0.1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26.25" customHeight="1" x14ac:dyDescent="0.1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26.25" customHeight="1" x14ac:dyDescent="0.1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26.25" customHeight="1" x14ac:dyDescent="0.1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26.25" customHeight="1" x14ac:dyDescent="0.1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26.25" customHeight="1" x14ac:dyDescent="0.1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26.25" customHeight="1" x14ac:dyDescent="0.1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26.25" customHeight="1" x14ac:dyDescent="0.1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26.25" customHeight="1" x14ac:dyDescent="0.1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26.25" customHeight="1" x14ac:dyDescent="0.1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26.25" customHeight="1" x14ac:dyDescent="0.1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26.25" customHeight="1" x14ac:dyDescent="0.1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26.25" customHeight="1" x14ac:dyDescent="0.1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26.25" customHeight="1" x14ac:dyDescent="0.1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26.25" customHeight="1" x14ac:dyDescent="0.1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26.25" customHeight="1" x14ac:dyDescent="0.1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26.25" customHeight="1" x14ac:dyDescent="0.1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26.25" customHeight="1" x14ac:dyDescent="0.1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26.25" customHeight="1" x14ac:dyDescent="0.1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26.25" customHeight="1" x14ac:dyDescent="0.1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26.25" customHeight="1" x14ac:dyDescent="0.1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26.25" customHeight="1" x14ac:dyDescent="0.1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26.25" customHeight="1" x14ac:dyDescent="0.1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26.25" customHeight="1" x14ac:dyDescent="0.1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26.25" customHeight="1" x14ac:dyDescent="0.1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26.25" customHeight="1" x14ac:dyDescent="0.1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26.25" customHeight="1" x14ac:dyDescent="0.1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26.25" customHeight="1" x14ac:dyDescent="0.1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26.25" customHeight="1" x14ac:dyDescent="0.1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26.25" customHeight="1" x14ac:dyDescent="0.1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26.25" customHeight="1" x14ac:dyDescent="0.1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26.25" customHeight="1" x14ac:dyDescent="0.1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26.25" customHeight="1" x14ac:dyDescent="0.1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26.25" customHeight="1" x14ac:dyDescent="0.1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26.25" customHeight="1" x14ac:dyDescent="0.1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26.25" customHeight="1" x14ac:dyDescent="0.1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26.25" customHeight="1" x14ac:dyDescent="0.1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26.25" customHeight="1" x14ac:dyDescent="0.1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26.25" customHeight="1" x14ac:dyDescent="0.1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26.25" customHeight="1" x14ac:dyDescent="0.1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26.25" customHeight="1" x14ac:dyDescent="0.1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26.25" customHeight="1" x14ac:dyDescent="0.1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26.25" customHeight="1" x14ac:dyDescent="0.1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26.25" customHeight="1" x14ac:dyDescent="0.1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26.25" customHeight="1" x14ac:dyDescent="0.1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26.25" customHeight="1" x14ac:dyDescent="0.1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26.25" customHeight="1" x14ac:dyDescent="0.1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26.25" customHeight="1" x14ac:dyDescent="0.1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26.25" customHeight="1" x14ac:dyDescent="0.1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26.25" customHeight="1" x14ac:dyDescent="0.1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26.25" customHeight="1" x14ac:dyDescent="0.1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26.25" customHeight="1" x14ac:dyDescent="0.1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26.25" customHeight="1" x14ac:dyDescent="0.1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26.25" customHeight="1" x14ac:dyDescent="0.1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26.25" customHeight="1" x14ac:dyDescent="0.1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hyperlinks>
    <hyperlink ref="E2" r:id="rId1" display="https://drive.google.com/open?id=1RxQJURGeMsrUZuJpXuO9L3e9voYAgdDo" xr:uid="{00000000-0004-0000-0F00-000000000000}"/>
    <hyperlink ref="E3" r:id="rId2" display="https://drive.google.com/open?id=1lCQIP6NcvtwOI3Qp-ygztSrRYNle8Fno" xr:uid="{00000000-0004-0000-0F00-000001000000}"/>
    <hyperlink ref="E4" r:id="rId3" display="https://drive.google.com/open?id=1pXi0t5byqcGcH9faXaSFlImJi7ZXoM8S" xr:uid="{00000000-0004-0000-0F00-000002000000}"/>
    <hyperlink ref="E5" r:id="rId4" display="https://drive.google.com/open?id=1AeoCf75DFmus-547YYjYZdDtYHiUXCrr" xr:uid="{00000000-0004-0000-0F00-000003000000}"/>
    <hyperlink ref="E6" r:id="rId5" display="https://drive.google.com/open?id=1kQAU-tOs-0tvu_Vylj2B4e_FYdYkkup4" xr:uid="{00000000-0004-0000-0F00-000004000000}"/>
    <hyperlink ref="E7" r:id="rId6" display="https://drive.google.com/open?id=1stKWQG_enFOYdDbP2puflITk4RHtpwWk" xr:uid="{00000000-0004-0000-0F00-000005000000}"/>
    <hyperlink ref="E8" r:id="rId7" display="https://drive.google.com/open?id=1dSDVLhcrt7gnGStAc0MGnLY3tlUVTYjV" xr:uid="{00000000-0004-0000-0F00-000006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D999"/>
  <sheetViews>
    <sheetView workbookViewId="0"/>
  </sheetViews>
  <sheetFormatPr baseColWidth="10" defaultColWidth="12.6640625" defaultRowHeight="15.75" customHeight="1" x14ac:dyDescent="0.15"/>
  <cols>
    <col min="1" max="4" width="17" customWidth="1"/>
    <col min="5" max="5" width="10.83203125" customWidth="1"/>
    <col min="6" max="6" width="10.1640625" customWidth="1"/>
    <col min="7" max="7" width="18.6640625" customWidth="1"/>
    <col min="8" max="8" width="10.5" customWidth="1"/>
    <col min="9" max="9" width="13.5" customWidth="1"/>
    <col min="10" max="10" width="59.83203125" customWidth="1"/>
    <col min="11" max="11" width="5.1640625" customWidth="1"/>
    <col min="12" max="12" width="59.83203125" customWidth="1"/>
  </cols>
  <sheetData>
    <row r="1" spans="1:30" ht="15.75" customHeight="1" x14ac:dyDescent="0.15">
      <c r="A1" s="15" t="s">
        <v>24</v>
      </c>
      <c r="B1" s="14" t="s">
        <v>1</v>
      </c>
      <c r="C1" s="15" t="s">
        <v>113</v>
      </c>
      <c r="D1" s="15" t="s">
        <v>114</v>
      </c>
      <c r="E1" s="96" t="s">
        <v>25</v>
      </c>
      <c r="F1" s="96" t="s">
        <v>26</v>
      </c>
      <c r="G1" s="96" t="s">
        <v>53</v>
      </c>
      <c r="H1" s="96" t="s">
        <v>115</v>
      </c>
      <c r="I1" s="96" t="s">
        <v>116</v>
      </c>
      <c r="J1" s="96" t="s">
        <v>117</v>
      </c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</row>
    <row r="2" spans="1:30" ht="15.75" customHeight="1" x14ac:dyDescent="0.15">
      <c r="A2" s="19" t="str">
        <f ca="1">IFERROR(__xludf.DUMMYFUNCTION("QUERY(MasterData!A1:NK11238,""select B,C,FL,FM,FN,FO,FP,FQ,FR,FS where C='S15: Students Industry Visit'"",0)"),"#N/A")</f>
        <v>#N/A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</row>
    <row r="3" spans="1:30" ht="15.7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</row>
    <row r="4" spans="1:30" ht="15.75" customHeight="1" x14ac:dyDescent="0.15">
      <c r="A4" s="19"/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</row>
    <row r="5" spans="1:30" ht="15.75" customHeight="1" x14ac:dyDescent="0.15">
      <c r="A5" s="19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</row>
    <row r="6" spans="1:30" ht="15.75" customHeight="1" x14ac:dyDescent="0.15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</row>
    <row r="7" spans="1:30" ht="15.75" customHeight="1" x14ac:dyDescent="0.15">
      <c r="A7" s="19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</row>
    <row r="8" spans="1:30" ht="15.75" customHeight="1" x14ac:dyDescent="0.15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</row>
    <row r="9" spans="1:30" ht="15.75" customHeight="1" x14ac:dyDescent="0.15">
      <c r="A9" s="19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</row>
    <row r="10" spans="1:30" ht="15.75" customHeight="1" x14ac:dyDescent="0.15">
      <c r="A10" s="19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</row>
    <row r="11" spans="1:30" ht="15.75" customHeight="1" x14ac:dyDescent="0.15">
      <c r="A11" s="19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</row>
    <row r="12" spans="1:30" ht="15.75" customHeight="1" x14ac:dyDescent="0.15">
      <c r="A12" s="19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</row>
    <row r="13" spans="1:30" ht="15.75" customHeight="1" x14ac:dyDescent="0.15">
      <c r="A13" s="19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</row>
    <row r="14" spans="1:30" ht="15.75" customHeight="1" x14ac:dyDescent="0.15">
      <c r="A14" s="19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</row>
    <row r="15" spans="1:30" ht="15.75" customHeight="1" x14ac:dyDescent="0.15">
      <c r="A15" s="19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</row>
    <row r="16" spans="1:30" ht="15.75" customHeight="1" x14ac:dyDescent="0.15">
      <c r="A16" s="19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</row>
    <row r="17" spans="1:30" ht="15.75" customHeight="1" x14ac:dyDescent="0.15">
      <c r="A17" s="19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</row>
    <row r="18" spans="1:30" ht="15.75" customHeight="1" x14ac:dyDescent="0.15">
      <c r="A18" s="19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</row>
    <row r="19" spans="1:30" ht="15.75" customHeight="1" x14ac:dyDescent="0.15">
      <c r="A19" s="19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</row>
    <row r="20" spans="1:30" ht="15.75" customHeight="1" x14ac:dyDescent="0.15">
      <c r="A20" s="19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</row>
    <row r="21" spans="1:30" ht="15.75" customHeight="1" x14ac:dyDescent="0.15">
      <c r="A21" s="19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</row>
    <row r="22" spans="1:30" ht="15.75" customHeight="1" x14ac:dyDescent="0.15">
      <c r="A22" s="19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</row>
    <row r="23" spans="1:30" ht="15.75" customHeight="1" x14ac:dyDescent="0.15">
      <c r="A23" s="19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</row>
    <row r="24" spans="1:30" ht="15.75" customHeight="1" x14ac:dyDescent="0.15">
      <c r="A24" s="19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</row>
    <row r="25" spans="1:30" ht="15.75" customHeight="1" x14ac:dyDescent="0.15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</row>
    <row r="26" spans="1:30" ht="15.75" customHeight="1" x14ac:dyDescent="0.15">
      <c r="A26" s="19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</row>
    <row r="27" spans="1:30" ht="15.75" customHeight="1" x14ac:dyDescent="0.15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</row>
    <row r="28" spans="1:30" ht="15.75" customHeight="1" x14ac:dyDescent="0.15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</row>
    <row r="29" spans="1:30" ht="15.75" customHeight="1" x14ac:dyDescent="0.15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</row>
    <row r="30" spans="1:30" ht="15.75" customHeight="1" x14ac:dyDescent="0.15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</row>
    <row r="31" spans="1:30" ht="15.75" customHeight="1" x14ac:dyDescent="0.15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</row>
    <row r="32" spans="1:30" ht="15.75" customHeight="1" x14ac:dyDescent="0.15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</row>
    <row r="33" spans="1:30" ht="15.75" customHeight="1" x14ac:dyDescent="0.15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</row>
    <row r="34" spans="1:30" ht="15.75" customHeight="1" x14ac:dyDescent="0.15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</row>
    <row r="35" spans="1:30" ht="15.75" customHeight="1" x14ac:dyDescent="0.15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</row>
    <row r="36" spans="1:30" ht="15.75" customHeight="1" x14ac:dyDescent="0.15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</row>
    <row r="37" spans="1:30" ht="15.75" customHeight="1" x14ac:dyDescent="0.15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</row>
    <row r="38" spans="1:30" ht="15.75" customHeight="1" x14ac:dyDescent="0.15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</row>
    <row r="39" spans="1:30" ht="15.75" customHeight="1" x14ac:dyDescent="0.15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</row>
    <row r="40" spans="1:30" ht="15.75" customHeight="1" x14ac:dyDescent="0.15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</row>
    <row r="41" spans="1:30" ht="15.75" customHeight="1" x14ac:dyDescent="0.15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</row>
    <row r="42" spans="1:30" ht="15.75" customHeight="1" x14ac:dyDescent="0.15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</row>
    <row r="43" spans="1:30" ht="15.75" customHeight="1" x14ac:dyDescent="0.15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</row>
    <row r="44" spans="1:30" ht="15.75" customHeight="1" x14ac:dyDescent="0.15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</row>
    <row r="45" spans="1:30" ht="15.75" customHeight="1" x14ac:dyDescent="0.15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</row>
    <row r="46" spans="1:30" ht="15.75" customHeight="1" x14ac:dyDescent="0.15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</row>
    <row r="47" spans="1:30" ht="15.75" customHeight="1" x14ac:dyDescent="0.15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</row>
    <row r="48" spans="1:30" ht="15.75" customHeight="1" x14ac:dyDescent="0.15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</row>
    <row r="49" spans="1:30" ht="15.75" customHeight="1" x14ac:dyDescent="0.15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</row>
    <row r="50" spans="1:30" ht="15.75" customHeight="1" x14ac:dyDescent="0.15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</row>
    <row r="51" spans="1:30" ht="15.75" customHeight="1" x14ac:dyDescent="0.15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</row>
    <row r="52" spans="1:30" ht="15.75" customHeight="1" x14ac:dyDescent="0.15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</row>
    <row r="53" spans="1:30" ht="15.75" customHeight="1" x14ac:dyDescent="0.15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</row>
    <row r="54" spans="1:30" ht="15.75" customHeight="1" x14ac:dyDescent="0.15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</row>
    <row r="55" spans="1:30" ht="15.75" customHeight="1" x14ac:dyDescent="0.15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</row>
    <row r="56" spans="1:30" ht="15.75" customHeight="1" x14ac:dyDescent="0.15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</row>
    <row r="57" spans="1:30" ht="15.75" customHeight="1" x14ac:dyDescent="0.15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</row>
    <row r="58" spans="1:30" ht="15.75" customHeight="1" x14ac:dyDescent="0.15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</row>
    <row r="59" spans="1:30" ht="15.75" customHeight="1" x14ac:dyDescent="0.15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</row>
    <row r="60" spans="1:30" ht="13" x14ac:dyDescent="0.15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</row>
    <row r="61" spans="1:30" ht="13" x14ac:dyDescent="0.15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</row>
    <row r="62" spans="1:30" ht="13" x14ac:dyDescent="0.15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</row>
    <row r="63" spans="1:30" ht="13" x14ac:dyDescent="0.15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</row>
    <row r="64" spans="1:30" ht="13" x14ac:dyDescent="0.15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</row>
    <row r="65" spans="1:30" ht="13" x14ac:dyDescent="0.15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</row>
    <row r="66" spans="1:30" ht="13" x14ac:dyDescent="0.15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</row>
    <row r="67" spans="1:30" ht="13" x14ac:dyDescent="0.15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</row>
    <row r="68" spans="1:30" ht="13" x14ac:dyDescent="0.15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</row>
    <row r="69" spans="1:30" ht="13" x14ac:dyDescent="0.15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</row>
    <row r="70" spans="1:30" ht="13" x14ac:dyDescent="0.15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</row>
    <row r="71" spans="1:30" ht="13" x14ac:dyDescent="0.15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</row>
    <row r="72" spans="1:30" ht="13" x14ac:dyDescent="0.15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</row>
    <row r="73" spans="1:30" ht="13" x14ac:dyDescent="0.15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</row>
    <row r="74" spans="1:30" ht="13" x14ac:dyDescent="0.15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</row>
    <row r="75" spans="1:30" ht="13" x14ac:dyDescent="0.15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</row>
    <row r="76" spans="1:30" ht="13" x14ac:dyDescent="0.15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</row>
    <row r="77" spans="1:30" ht="13" x14ac:dyDescent="0.15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</row>
    <row r="78" spans="1:30" ht="13" x14ac:dyDescent="0.15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</row>
    <row r="79" spans="1:30" ht="13" x14ac:dyDescent="0.15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</row>
    <row r="80" spans="1:30" ht="13" x14ac:dyDescent="0.15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</row>
    <row r="81" spans="1:30" ht="13" x14ac:dyDescent="0.15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</row>
    <row r="82" spans="1:30" ht="13" x14ac:dyDescent="0.15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</row>
    <row r="83" spans="1:30" ht="13" x14ac:dyDescent="0.15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</row>
    <row r="84" spans="1:30" ht="13" x14ac:dyDescent="0.15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</row>
    <row r="85" spans="1:30" ht="13" x14ac:dyDescent="0.15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</row>
    <row r="86" spans="1:30" ht="13" x14ac:dyDescent="0.15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</row>
    <row r="87" spans="1:30" ht="13" x14ac:dyDescent="0.15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</row>
    <row r="88" spans="1:30" ht="13" x14ac:dyDescent="0.15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</row>
    <row r="89" spans="1:30" ht="13" x14ac:dyDescent="0.15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</row>
    <row r="90" spans="1:30" ht="13" x14ac:dyDescent="0.15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</row>
    <row r="91" spans="1:30" ht="13" x14ac:dyDescent="0.15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</row>
    <row r="92" spans="1:30" ht="13" x14ac:dyDescent="0.15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</row>
    <row r="93" spans="1:30" ht="13" x14ac:dyDescent="0.15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</row>
    <row r="94" spans="1:30" ht="13" x14ac:dyDescent="0.15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</row>
    <row r="95" spans="1:30" ht="13" x14ac:dyDescent="0.15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</row>
    <row r="96" spans="1:30" ht="13" x14ac:dyDescent="0.15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</row>
    <row r="97" spans="1:30" ht="13" x14ac:dyDescent="0.15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</row>
    <row r="98" spans="1:30" ht="13" x14ac:dyDescent="0.15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</row>
    <row r="99" spans="1:30" ht="13" x14ac:dyDescent="0.15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</row>
    <row r="100" spans="1:30" ht="13" x14ac:dyDescent="0.15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</row>
    <row r="101" spans="1:30" ht="13" x14ac:dyDescent="0.15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</row>
    <row r="102" spans="1:30" ht="13" x14ac:dyDescent="0.15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</row>
    <row r="103" spans="1:30" ht="13" x14ac:dyDescent="0.15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</row>
    <row r="104" spans="1:30" ht="13" x14ac:dyDescent="0.15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</row>
    <row r="105" spans="1:30" ht="13" x14ac:dyDescent="0.15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</row>
    <row r="106" spans="1:30" ht="13" x14ac:dyDescent="0.15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</row>
    <row r="107" spans="1:30" ht="13" x14ac:dyDescent="0.15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</row>
    <row r="108" spans="1:30" ht="13" x14ac:dyDescent="0.15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</row>
    <row r="109" spans="1:30" ht="13" x14ac:dyDescent="0.15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</row>
    <row r="110" spans="1:30" ht="13" x14ac:dyDescent="0.15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</row>
    <row r="111" spans="1:30" ht="13" x14ac:dyDescent="0.15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</row>
    <row r="112" spans="1:30" ht="13" x14ac:dyDescent="0.15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</row>
    <row r="113" spans="1:30" ht="13" x14ac:dyDescent="0.15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</row>
    <row r="114" spans="1:30" ht="13" x14ac:dyDescent="0.15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</row>
    <row r="115" spans="1:30" ht="13" x14ac:dyDescent="0.15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</row>
    <row r="116" spans="1:30" ht="13" x14ac:dyDescent="0.15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</row>
    <row r="117" spans="1:30" ht="13" x14ac:dyDescent="0.15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</row>
    <row r="118" spans="1:30" ht="13" x14ac:dyDescent="0.15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</row>
    <row r="119" spans="1:30" ht="13" x14ac:dyDescent="0.15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</row>
    <row r="120" spans="1:30" ht="13" x14ac:dyDescent="0.15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</row>
    <row r="121" spans="1:30" ht="13" x14ac:dyDescent="0.15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</row>
    <row r="122" spans="1:30" ht="13" x14ac:dyDescent="0.15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</row>
    <row r="123" spans="1:30" ht="13" x14ac:dyDescent="0.15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</row>
    <row r="124" spans="1:30" ht="13" x14ac:dyDescent="0.15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</row>
    <row r="125" spans="1:30" ht="13" x14ac:dyDescent="0.15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</row>
    <row r="126" spans="1:30" ht="13" x14ac:dyDescent="0.15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</row>
    <row r="127" spans="1:30" ht="13" x14ac:dyDescent="0.15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</row>
    <row r="128" spans="1:30" ht="13" x14ac:dyDescent="0.15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</row>
    <row r="129" spans="1:30" ht="13" x14ac:dyDescent="0.15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</row>
    <row r="130" spans="1:30" ht="13" x14ac:dyDescent="0.15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</row>
    <row r="131" spans="1:30" ht="13" x14ac:dyDescent="0.15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</row>
    <row r="132" spans="1:30" ht="13" x14ac:dyDescent="0.15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</row>
    <row r="133" spans="1:30" ht="13" x14ac:dyDescent="0.15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</row>
    <row r="134" spans="1:30" ht="13" x14ac:dyDescent="0.15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</row>
    <row r="135" spans="1:30" ht="13" x14ac:dyDescent="0.15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</row>
    <row r="136" spans="1:30" ht="13" x14ac:dyDescent="0.15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</row>
    <row r="137" spans="1:30" ht="13" x14ac:dyDescent="0.15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</row>
    <row r="138" spans="1:30" ht="13" x14ac:dyDescent="0.15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</row>
    <row r="139" spans="1:30" ht="13" x14ac:dyDescent="0.15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</row>
    <row r="140" spans="1:30" ht="13" x14ac:dyDescent="0.15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</row>
    <row r="141" spans="1:30" ht="13" x14ac:dyDescent="0.15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</row>
    <row r="142" spans="1:30" ht="13" x14ac:dyDescent="0.15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</row>
    <row r="143" spans="1:30" ht="13" x14ac:dyDescent="0.15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</row>
    <row r="144" spans="1:30" ht="13" x14ac:dyDescent="0.15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</row>
    <row r="145" spans="1:30" ht="13" x14ac:dyDescent="0.15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</row>
    <row r="146" spans="1:30" ht="13" x14ac:dyDescent="0.15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</row>
    <row r="147" spans="1:30" ht="13" x14ac:dyDescent="0.15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</row>
    <row r="148" spans="1:30" ht="13" x14ac:dyDescent="0.15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</row>
    <row r="149" spans="1:30" ht="13" x14ac:dyDescent="0.15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</row>
    <row r="150" spans="1:30" ht="13" x14ac:dyDescent="0.15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</row>
    <row r="151" spans="1:30" ht="13" x14ac:dyDescent="0.15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</row>
    <row r="152" spans="1:30" ht="13" x14ac:dyDescent="0.15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</row>
    <row r="153" spans="1:30" ht="13" x14ac:dyDescent="0.15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</row>
    <row r="154" spans="1:30" ht="13" x14ac:dyDescent="0.15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</row>
    <row r="155" spans="1:30" ht="13" x14ac:dyDescent="0.15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</row>
    <row r="156" spans="1:30" ht="13" x14ac:dyDescent="0.15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</row>
    <row r="157" spans="1:30" ht="13" x14ac:dyDescent="0.15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</row>
    <row r="158" spans="1:30" ht="13" x14ac:dyDescent="0.15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</row>
    <row r="159" spans="1:30" ht="13" x14ac:dyDescent="0.15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</row>
    <row r="160" spans="1:30" ht="13" x14ac:dyDescent="0.15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</row>
    <row r="161" spans="1:30" ht="13" x14ac:dyDescent="0.15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</row>
    <row r="162" spans="1:30" ht="13" x14ac:dyDescent="0.15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</row>
    <row r="163" spans="1:30" ht="13" x14ac:dyDescent="0.15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</row>
    <row r="164" spans="1:30" ht="13" x14ac:dyDescent="0.15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</row>
    <row r="165" spans="1:30" ht="13" x14ac:dyDescent="0.1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</row>
    <row r="166" spans="1:30" ht="13" x14ac:dyDescent="0.15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</row>
    <row r="167" spans="1:30" ht="13" x14ac:dyDescent="0.15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</row>
    <row r="168" spans="1:30" ht="13" x14ac:dyDescent="0.15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</row>
    <row r="169" spans="1:30" ht="13" x14ac:dyDescent="0.15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</row>
    <row r="170" spans="1:30" ht="13" x14ac:dyDescent="0.15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</row>
    <row r="171" spans="1:30" ht="13" x14ac:dyDescent="0.15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</row>
    <row r="172" spans="1:30" ht="13" x14ac:dyDescent="0.15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3" x14ac:dyDescent="0.15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</row>
    <row r="174" spans="1:30" ht="13" x14ac:dyDescent="0.15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</row>
    <row r="175" spans="1:30" ht="13" x14ac:dyDescent="0.1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</row>
    <row r="176" spans="1:30" ht="13" x14ac:dyDescent="0.15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</row>
    <row r="177" spans="1:30" ht="13" x14ac:dyDescent="0.15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</row>
    <row r="178" spans="1:30" ht="13" x14ac:dyDescent="0.15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</row>
    <row r="179" spans="1:30" ht="13" x14ac:dyDescent="0.15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</row>
    <row r="180" spans="1:30" ht="13" x14ac:dyDescent="0.15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</row>
    <row r="181" spans="1:30" ht="13" x14ac:dyDescent="0.15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</row>
    <row r="182" spans="1:30" ht="13" x14ac:dyDescent="0.15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</row>
    <row r="183" spans="1:30" ht="13" x14ac:dyDescent="0.15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</row>
    <row r="184" spans="1:30" ht="13" x14ac:dyDescent="0.15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</row>
    <row r="185" spans="1:30" ht="13" x14ac:dyDescent="0.1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</row>
    <row r="186" spans="1:30" ht="13" x14ac:dyDescent="0.15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</row>
    <row r="187" spans="1:30" ht="13" x14ac:dyDescent="0.15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</row>
    <row r="188" spans="1:30" ht="13" x14ac:dyDescent="0.15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</row>
    <row r="189" spans="1:30" ht="13" x14ac:dyDescent="0.15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</row>
    <row r="190" spans="1:30" ht="13" x14ac:dyDescent="0.15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</row>
    <row r="191" spans="1:30" ht="13" x14ac:dyDescent="0.15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</row>
    <row r="192" spans="1:30" ht="13" x14ac:dyDescent="0.15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</row>
    <row r="193" spans="1:30" ht="13" x14ac:dyDescent="0.15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</row>
    <row r="194" spans="1:30" ht="13" x14ac:dyDescent="0.15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</row>
    <row r="195" spans="1:30" ht="13" x14ac:dyDescent="0.1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</row>
    <row r="196" spans="1:30" ht="13" x14ac:dyDescent="0.15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</row>
    <row r="197" spans="1:30" ht="13" x14ac:dyDescent="0.15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</row>
    <row r="198" spans="1:30" ht="13" x14ac:dyDescent="0.15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</row>
    <row r="199" spans="1:30" ht="13" x14ac:dyDescent="0.15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</row>
    <row r="200" spans="1:30" ht="13" x14ac:dyDescent="0.15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</row>
    <row r="201" spans="1:30" ht="13" x14ac:dyDescent="0.15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</row>
    <row r="202" spans="1:30" ht="13" x14ac:dyDescent="0.15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</row>
    <row r="203" spans="1:30" ht="13" x14ac:dyDescent="0.15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</row>
    <row r="204" spans="1:30" ht="13" x14ac:dyDescent="0.15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</row>
    <row r="205" spans="1:30" ht="13" x14ac:dyDescent="0.1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</row>
    <row r="206" spans="1:30" ht="13" x14ac:dyDescent="0.15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</row>
    <row r="207" spans="1:30" ht="13" x14ac:dyDescent="0.15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</row>
    <row r="208" spans="1:30" ht="13" x14ac:dyDescent="0.15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</row>
    <row r="209" spans="1:30" ht="13" x14ac:dyDescent="0.15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</row>
    <row r="210" spans="1:30" ht="13" x14ac:dyDescent="0.15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</row>
    <row r="211" spans="1:30" ht="13" x14ac:dyDescent="0.15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</row>
    <row r="212" spans="1:30" ht="13" x14ac:dyDescent="0.15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</row>
    <row r="213" spans="1:30" ht="13" x14ac:dyDescent="0.15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</row>
    <row r="214" spans="1:30" ht="13" x14ac:dyDescent="0.15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</row>
    <row r="215" spans="1:30" ht="13" x14ac:dyDescent="0.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</row>
    <row r="216" spans="1:30" ht="13" x14ac:dyDescent="0.15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</row>
    <row r="217" spans="1:30" ht="13" x14ac:dyDescent="0.15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</row>
    <row r="218" spans="1:30" ht="13" x14ac:dyDescent="0.15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</row>
    <row r="219" spans="1:30" ht="13" x14ac:dyDescent="0.15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</row>
    <row r="220" spans="1:30" ht="13" x14ac:dyDescent="0.15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</row>
    <row r="221" spans="1:30" ht="13" x14ac:dyDescent="0.15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</row>
    <row r="222" spans="1:30" ht="13" x14ac:dyDescent="0.15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</row>
    <row r="223" spans="1:30" ht="13" x14ac:dyDescent="0.15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</row>
    <row r="224" spans="1:30" ht="13" x14ac:dyDescent="0.15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</row>
    <row r="225" spans="1:30" ht="13" x14ac:dyDescent="0.1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</row>
    <row r="226" spans="1:30" ht="13" x14ac:dyDescent="0.15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</row>
    <row r="227" spans="1:30" ht="13" x14ac:dyDescent="0.15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</row>
    <row r="228" spans="1:30" ht="13" x14ac:dyDescent="0.15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</row>
    <row r="229" spans="1:30" ht="13" x14ac:dyDescent="0.15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</row>
    <row r="230" spans="1:30" ht="13" x14ac:dyDescent="0.15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</row>
    <row r="231" spans="1:30" ht="13" x14ac:dyDescent="0.15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</row>
    <row r="232" spans="1:30" ht="13" x14ac:dyDescent="0.15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</row>
    <row r="233" spans="1:30" ht="13" x14ac:dyDescent="0.15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</row>
    <row r="234" spans="1:30" ht="13" x14ac:dyDescent="0.15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</row>
    <row r="235" spans="1:30" ht="13" x14ac:dyDescent="0.1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</row>
    <row r="236" spans="1:30" ht="13" x14ac:dyDescent="0.15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</row>
    <row r="237" spans="1:30" ht="13" x14ac:dyDescent="0.15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</row>
    <row r="238" spans="1:30" ht="13" x14ac:dyDescent="0.15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</row>
    <row r="239" spans="1:30" ht="13" x14ac:dyDescent="0.15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</row>
    <row r="240" spans="1:30" ht="13" x14ac:dyDescent="0.15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</row>
    <row r="241" spans="1:30" ht="13" x14ac:dyDescent="0.15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</row>
    <row r="242" spans="1:30" ht="13" x14ac:dyDescent="0.15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</row>
    <row r="243" spans="1:30" ht="13" x14ac:dyDescent="0.15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</row>
    <row r="244" spans="1:30" ht="13" x14ac:dyDescent="0.15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</row>
    <row r="245" spans="1:30" ht="13" x14ac:dyDescent="0.1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</row>
    <row r="246" spans="1:30" ht="13" x14ac:dyDescent="0.15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</row>
    <row r="247" spans="1:30" ht="13" x14ac:dyDescent="0.15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</row>
    <row r="248" spans="1:30" ht="13" x14ac:dyDescent="0.15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</row>
    <row r="249" spans="1:30" ht="13" x14ac:dyDescent="0.15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</row>
    <row r="250" spans="1:30" ht="13" x14ac:dyDescent="0.15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</row>
    <row r="251" spans="1:30" ht="13" x14ac:dyDescent="0.15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</row>
    <row r="252" spans="1:30" ht="13" x14ac:dyDescent="0.15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</row>
    <row r="253" spans="1:30" ht="13" x14ac:dyDescent="0.15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</row>
    <row r="254" spans="1:30" ht="13" x14ac:dyDescent="0.15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</row>
    <row r="255" spans="1:30" ht="13" x14ac:dyDescent="0.1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</row>
    <row r="256" spans="1:30" ht="13" x14ac:dyDescent="0.15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</row>
    <row r="257" spans="1:30" ht="13" x14ac:dyDescent="0.15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</row>
    <row r="258" spans="1:30" ht="13" x14ac:dyDescent="0.15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</row>
    <row r="259" spans="1:30" ht="13" x14ac:dyDescent="0.15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</row>
    <row r="260" spans="1:30" ht="13" x14ac:dyDescent="0.15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</row>
    <row r="261" spans="1:30" ht="13" x14ac:dyDescent="0.15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</row>
    <row r="262" spans="1:30" ht="13" x14ac:dyDescent="0.15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</row>
    <row r="263" spans="1:30" ht="13" x14ac:dyDescent="0.15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</row>
    <row r="264" spans="1:30" ht="13" x14ac:dyDescent="0.15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</row>
    <row r="265" spans="1:30" ht="13" x14ac:dyDescent="0.1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</row>
    <row r="266" spans="1:30" ht="13" x14ac:dyDescent="0.15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</row>
    <row r="267" spans="1:30" ht="13" x14ac:dyDescent="0.15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</row>
    <row r="268" spans="1:30" ht="13" x14ac:dyDescent="0.15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</row>
    <row r="269" spans="1:30" ht="13" x14ac:dyDescent="0.15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</row>
    <row r="270" spans="1:30" ht="13" x14ac:dyDescent="0.15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</row>
    <row r="271" spans="1:30" ht="13" x14ac:dyDescent="0.15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</row>
    <row r="272" spans="1:30" ht="13" x14ac:dyDescent="0.15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</row>
    <row r="273" spans="1:30" ht="13" x14ac:dyDescent="0.15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</row>
    <row r="274" spans="1:30" ht="13" x14ac:dyDescent="0.15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</row>
    <row r="275" spans="1:30" ht="13" x14ac:dyDescent="0.1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</row>
    <row r="276" spans="1:30" ht="13" x14ac:dyDescent="0.15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</row>
    <row r="277" spans="1:30" ht="13" x14ac:dyDescent="0.15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</row>
    <row r="278" spans="1:30" ht="13" x14ac:dyDescent="0.15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</row>
    <row r="279" spans="1:30" ht="13" x14ac:dyDescent="0.15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</row>
    <row r="280" spans="1:30" ht="13" x14ac:dyDescent="0.15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</row>
    <row r="281" spans="1:30" ht="13" x14ac:dyDescent="0.15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</row>
    <row r="282" spans="1:30" ht="13" x14ac:dyDescent="0.15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</row>
    <row r="283" spans="1:30" ht="13" x14ac:dyDescent="0.15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</row>
    <row r="284" spans="1:30" ht="13" x14ac:dyDescent="0.15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</row>
    <row r="285" spans="1:30" ht="13" x14ac:dyDescent="0.1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</row>
    <row r="286" spans="1:30" ht="13" x14ac:dyDescent="0.15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</row>
    <row r="287" spans="1:30" ht="13" x14ac:dyDescent="0.15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</row>
    <row r="288" spans="1:30" ht="13" x14ac:dyDescent="0.15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</row>
    <row r="289" spans="1:30" ht="13" x14ac:dyDescent="0.15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</row>
    <row r="290" spans="1:30" ht="13" x14ac:dyDescent="0.15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</row>
    <row r="291" spans="1:30" ht="13" x14ac:dyDescent="0.15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</row>
    <row r="292" spans="1:30" ht="13" x14ac:dyDescent="0.15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</row>
    <row r="293" spans="1:30" ht="13" x14ac:dyDescent="0.15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</row>
    <row r="294" spans="1:30" ht="13" x14ac:dyDescent="0.15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</row>
    <row r="295" spans="1:30" ht="13" x14ac:dyDescent="0.1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</row>
    <row r="296" spans="1:30" ht="13" x14ac:dyDescent="0.15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</row>
    <row r="297" spans="1:30" ht="13" x14ac:dyDescent="0.15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</row>
    <row r="298" spans="1:30" ht="13" x14ac:dyDescent="0.15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</row>
    <row r="299" spans="1:30" ht="13" x14ac:dyDescent="0.15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</row>
    <row r="300" spans="1:30" ht="13" x14ac:dyDescent="0.15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</row>
    <row r="301" spans="1:30" ht="13" x14ac:dyDescent="0.15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</row>
    <row r="302" spans="1:30" ht="13" x14ac:dyDescent="0.15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</row>
    <row r="303" spans="1:30" ht="13" x14ac:dyDescent="0.15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</row>
    <row r="304" spans="1:30" ht="13" x14ac:dyDescent="0.15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</row>
    <row r="305" spans="1:30" ht="13" x14ac:dyDescent="0.1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</row>
    <row r="306" spans="1:30" ht="13" x14ac:dyDescent="0.15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</row>
    <row r="307" spans="1:30" ht="13" x14ac:dyDescent="0.15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</row>
    <row r="308" spans="1:30" ht="13" x14ac:dyDescent="0.15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</row>
    <row r="309" spans="1:30" ht="13" x14ac:dyDescent="0.15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</row>
    <row r="310" spans="1:30" ht="13" x14ac:dyDescent="0.15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</row>
    <row r="311" spans="1:30" ht="13" x14ac:dyDescent="0.15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</row>
    <row r="312" spans="1:30" ht="13" x14ac:dyDescent="0.15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</row>
    <row r="313" spans="1:30" ht="13" x14ac:dyDescent="0.15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</row>
    <row r="314" spans="1:30" ht="13" x14ac:dyDescent="0.15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</row>
    <row r="315" spans="1:30" ht="13" x14ac:dyDescent="0.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</row>
    <row r="316" spans="1:30" ht="13" x14ac:dyDescent="0.15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</row>
    <row r="317" spans="1:30" ht="13" x14ac:dyDescent="0.15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</row>
    <row r="318" spans="1:30" ht="13" x14ac:dyDescent="0.15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</row>
    <row r="319" spans="1:30" ht="13" x14ac:dyDescent="0.15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</row>
    <row r="320" spans="1:30" ht="13" x14ac:dyDescent="0.15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</row>
    <row r="321" spans="1:30" ht="13" x14ac:dyDescent="0.15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</row>
    <row r="322" spans="1:30" ht="13" x14ac:dyDescent="0.15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</row>
    <row r="323" spans="1:30" ht="13" x14ac:dyDescent="0.15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</row>
    <row r="324" spans="1:30" ht="13" x14ac:dyDescent="0.15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</row>
    <row r="325" spans="1:30" ht="13" x14ac:dyDescent="0.1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</row>
    <row r="326" spans="1:30" ht="13" x14ac:dyDescent="0.15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</row>
    <row r="327" spans="1:30" ht="13" x14ac:dyDescent="0.15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</row>
    <row r="328" spans="1:30" ht="13" x14ac:dyDescent="0.15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</row>
    <row r="329" spans="1:30" ht="13" x14ac:dyDescent="0.15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</row>
    <row r="330" spans="1:30" ht="13" x14ac:dyDescent="0.15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</row>
    <row r="331" spans="1:30" ht="13" x14ac:dyDescent="0.15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</row>
    <row r="332" spans="1:30" ht="13" x14ac:dyDescent="0.15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</row>
    <row r="333" spans="1:30" ht="13" x14ac:dyDescent="0.15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</row>
    <row r="334" spans="1:30" ht="13" x14ac:dyDescent="0.15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</row>
    <row r="335" spans="1:30" ht="13" x14ac:dyDescent="0.1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</row>
    <row r="336" spans="1:30" ht="13" x14ac:dyDescent="0.15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</row>
    <row r="337" spans="1:30" ht="13" x14ac:dyDescent="0.15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</row>
    <row r="338" spans="1:30" ht="13" x14ac:dyDescent="0.15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</row>
    <row r="339" spans="1:30" ht="13" x14ac:dyDescent="0.15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</row>
    <row r="340" spans="1:30" ht="13" x14ac:dyDescent="0.15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</row>
    <row r="341" spans="1:30" ht="13" x14ac:dyDescent="0.15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</row>
    <row r="342" spans="1:30" ht="13" x14ac:dyDescent="0.15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</row>
    <row r="343" spans="1:30" ht="13" x14ac:dyDescent="0.15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</row>
    <row r="344" spans="1:30" ht="13" x14ac:dyDescent="0.15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</row>
    <row r="345" spans="1:30" ht="13" x14ac:dyDescent="0.1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</row>
    <row r="346" spans="1:30" ht="13" x14ac:dyDescent="0.15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</row>
    <row r="347" spans="1:30" ht="13" x14ac:dyDescent="0.15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</row>
    <row r="348" spans="1:30" ht="13" x14ac:dyDescent="0.15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</row>
    <row r="349" spans="1:30" ht="13" x14ac:dyDescent="0.15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</row>
    <row r="350" spans="1:30" ht="13" x14ac:dyDescent="0.15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</row>
    <row r="351" spans="1:30" ht="13" x14ac:dyDescent="0.15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</row>
    <row r="352" spans="1:30" ht="13" x14ac:dyDescent="0.15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</row>
    <row r="353" spans="1:30" ht="13" x14ac:dyDescent="0.15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</row>
    <row r="354" spans="1:30" ht="13" x14ac:dyDescent="0.15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</row>
    <row r="355" spans="1:30" ht="13" x14ac:dyDescent="0.1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</row>
    <row r="356" spans="1:30" ht="13" x14ac:dyDescent="0.15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</row>
    <row r="357" spans="1:30" ht="13" x14ac:dyDescent="0.15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</row>
    <row r="358" spans="1:30" ht="13" x14ac:dyDescent="0.15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</row>
    <row r="359" spans="1:30" ht="13" x14ac:dyDescent="0.15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</row>
    <row r="360" spans="1:30" ht="13" x14ac:dyDescent="0.15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</row>
    <row r="361" spans="1:30" ht="13" x14ac:dyDescent="0.15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</row>
    <row r="362" spans="1:30" ht="13" x14ac:dyDescent="0.15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</row>
    <row r="363" spans="1:30" ht="13" x14ac:dyDescent="0.15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</row>
    <row r="364" spans="1:30" ht="13" x14ac:dyDescent="0.15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</row>
    <row r="365" spans="1:30" ht="13" x14ac:dyDescent="0.1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</row>
    <row r="366" spans="1:30" ht="13" x14ac:dyDescent="0.15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</row>
    <row r="367" spans="1:30" ht="13" x14ac:dyDescent="0.15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</row>
    <row r="368" spans="1:30" ht="13" x14ac:dyDescent="0.15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</row>
    <row r="369" spans="1:30" ht="13" x14ac:dyDescent="0.15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</row>
    <row r="370" spans="1:30" ht="13" x14ac:dyDescent="0.15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</row>
    <row r="371" spans="1:30" ht="13" x14ac:dyDescent="0.15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</row>
    <row r="372" spans="1:30" ht="13" x14ac:dyDescent="0.15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</row>
    <row r="373" spans="1:30" ht="13" x14ac:dyDescent="0.15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</row>
    <row r="374" spans="1:30" ht="13" x14ac:dyDescent="0.15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</row>
    <row r="375" spans="1:30" ht="13" x14ac:dyDescent="0.1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</row>
    <row r="376" spans="1:30" ht="13" x14ac:dyDescent="0.15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</row>
    <row r="377" spans="1:30" ht="13" x14ac:dyDescent="0.15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</row>
    <row r="378" spans="1:30" ht="13" x14ac:dyDescent="0.15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</row>
    <row r="379" spans="1:30" ht="13" x14ac:dyDescent="0.15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</row>
    <row r="380" spans="1:30" ht="13" x14ac:dyDescent="0.15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</row>
    <row r="381" spans="1:30" ht="13" x14ac:dyDescent="0.15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</row>
    <row r="382" spans="1:30" ht="13" x14ac:dyDescent="0.15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</row>
    <row r="383" spans="1:30" ht="13" x14ac:dyDescent="0.15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</row>
    <row r="384" spans="1:30" ht="13" x14ac:dyDescent="0.15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</row>
    <row r="385" spans="1:30" ht="13" x14ac:dyDescent="0.1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</row>
    <row r="386" spans="1:30" ht="13" x14ac:dyDescent="0.15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</row>
    <row r="387" spans="1:30" ht="13" x14ac:dyDescent="0.15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</row>
    <row r="388" spans="1:30" ht="13" x14ac:dyDescent="0.15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</row>
    <row r="389" spans="1:30" ht="13" x14ac:dyDescent="0.15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</row>
    <row r="390" spans="1:30" ht="13" x14ac:dyDescent="0.15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</row>
    <row r="391" spans="1:30" ht="13" x14ac:dyDescent="0.15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</row>
    <row r="392" spans="1:30" ht="13" x14ac:dyDescent="0.15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</row>
    <row r="393" spans="1:30" ht="13" x14ac:dyDescent="0.15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</row>
    <row r="394" spans="1:30" ht="13" x14ac:dyDescent="0.15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</row>
    <row r="395" spans="1:30" ht="13" x14ac:dyDescent="0.1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</row>
    <row r="396" spans="1:30" ht="13" x14ac:dyDescent="0.15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</row>
    <row r="397" spans="1:30" ht="13" x14ac:dyDescent="0.15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</row>
    <row r="398" spans="1:30" ht="13" x14ac:dyDescent="0.15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</row>
    <row r="399" spans="1:30" ht="13" x14ac:dyDescent="0.15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</row>
    <row r="400" spans="1:30" ht="13" x14ac:dyDescent="0.15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</row>
    <row r="401" spans="1:30" ht="13" x14ac:dyDescent="0.15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</row>
    <row r="402" spans="1:30" ht="13" x14ac:dyDescent="0.15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</row>
    <row r="403" spans="1:30" ht="13" x14ac:dyDescent="0.15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</row>
    <row r="404" spans="1:30" ht="13" x14ac:dyDescent="0.15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</row>
    <row r="405" spans="1:30" ht="13" x14ac:dyDescent="0.1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</row>
    <row r="406" spans="1:30" ht="13" x14ac:dyDescent="0.15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</row>
    <row r="407" spans="1:30" ht="13" x14ac:dyDescent="0.15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</row>
    <row r="408" spans="1:30" ht="13" x14ac:dyDescent="0.15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</row>
    <row r="409" spans="1:30" ht="13" x14ac:dyDescent="0.15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</row>
    <row r="410" spans="1:30" ht="13" x14ac:dyDescent="0.15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</row>
    <row r="411" spans="1:30" ht="13" x14ac:dyDescent="0.15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</row>
    <row r="412" spans="1:30" ht="13" x14ac:dyDescent="0.15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</row>
    <row r="413" spans="1:30" ht="13" x14ac:dyDescent="0.15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</row>
    <row r="414" spans="1:30" ht="13" x14ac:dyDescent="0.15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</row>
    <row r="415" spans="1:30" ht="13" x14ac:dyDescent="0.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</row>
    <row r="416" spans="1:30" ht="13" x14ac:dyDescent="0.15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</row>
    <row r="417" spans="1:30" ht="13" x14ac:dyDescent="0.15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</row>
    <row r="418" spans="1:30" ht="13" x14ac:dyDescent="0.15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</row>
    <row r="419" spans="1:30" ht="13" x14ac:dyDescent="0.15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</row>
    <row r="420" spans="1:30" ht="13" x14ac:dyDescent="0.15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</row>
    <row r="421" spans="1:30" ht="13" x14ac:dyDescent="0.15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</row>
    <row r="422" spans="1:30" ht="13" x14ac:dyDescent="0.15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</row>
    <row r="423" spans="1:30" ht="13" x14ac:dyDescent="0.15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</row>
    <row r="424" spans="1:30" ht="13" x14ac:dyDescent="0.15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</row>
    <row r="425" spans="1:30" ht="13" x14ac:dyDescent="0.1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</row>
    <row r="426" spans="1:30" ht="13" x14ac:dyDescent="0.15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</row>
    <row r="427" spans="1:30" ht="13" x14ac:dyDescent="0.15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</row>
    <row r="428" spans="1:30" ht="13" x14ac:dyDescent="0.15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</row>
    <row r="429" spans="1:30" ht="13" x14ac:dyDescent="0.15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</row>
    <row r="430" spans="1:30" ht="13" x14ac:dyDescent="0.15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</row>
    <row r="431" spans="1:30" ht="13" x14ac:dyDescent="0.15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</row>
    <row r="432" spans="1:30" ht="13" x14ac:dyDescent="0.15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</row>
    <row r="433" spans="1:30" ht="13" x14ac:dyDescent="0.15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</row>
    <row r="434" spans="1:30" ht="13" x14ac:dyDescent="0.15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</row>
    <row r="435" spans="1:30" ht="13" x14ac:dyDescent="0.1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</row>
    <row r="436" spans="1:30" ht="13" x14ac:dyDescent="0.15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</row>
    <row r="437" spans="1:30" ht="13" x14ac:dyDescent="0.15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</row>
    <row r="438" spans="1:30" ht="13" x14ac:dyDescent="0.15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</row>
    <row r="439" spans="1:30" ht="13" x14ac:dyDescent="0.15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</row>
    <row r="440" spans="1:30" ht="13" x14ac:dyDescent="0.15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</row>
    <row r="441" spans="1:30" ht="13" x14ac:dyDescent="0.15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</row>
    <row r="442" spans="1:30" ht="13" x14ac:dyDescent="0.15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</row>
    <row r="443" spans="1:30" ht="13" x14ac:dyDescent="0.15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</row>
    <row r="444" spans="1:30" ht="13" x14ac:dyDescent="0.15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</row>
    <row r="445" spans="1:30" ht="13" x14ac:dyDescent="0.1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</row>
    <row r="446" spans="1:30" ht="13" x14ac:dyDescent="0.15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</row>
    <row r="447" spans="1:30" ht="13" x14ac:dyDescent="0.15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</row>
    <row r="448" spans="1:30" ht="13" x14ac:dyDescent="0.15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</row>
    <row r="449" spans="1:30" ht="13" x14ac:dyDescent="0.15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</row>
    <row r="450" spans="1:30" ht="13" x14ac:dyDescent="0.15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</row>
    <row r="451" spans="1:30" ht="13" x14ac:dyDescent="0.15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</row>
    <row r="452" spans="1:30" ht="13" x14ac:dyDescent="0.15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</row>
    <row r="453" spans="1:30" ht="13" x14ac:dyDescent="0.15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</row>
    <row r="454" spans="1:30" ht="13" x14ac:dyDescent="0.15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</row>
    <row r="455" spans="1:30" ht="13" x14ac:dyDescent="0.1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</row>
    <row r="456" spans="1:30" ht="13" x14ac:dyDescent="0.15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</row>
    <row r="457" spans="1:30" ht="13" x14ac:dyDescent="0.15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</row>
    <row r="458" spans="1:30" ht="13" x14ac:dyDescent="0.15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</row>
    <row r="459" spans="1:30" ht="13" x14ac:dyDescent="0.15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</row>
    <row r="460" spans="1:30" ht="13" x14ac:dyDescent="0.15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</row>
    <row r="461" spans="1:30" ht="13" x14ac:dyDescent="0.15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</row>
    <row r="462" spans="1:30" ht="13" x14ac:dyDescent="0.15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</row>
    <row r="463" spans="1:30" ht="13" x14ac:dyDescent="0.15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</row>
    <row r="464" spans="1:30" ht="13" x14ac:dyDescent="0.15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</row>
    <row r="465" spans="1:30" ht="13" x14ac:dyDescent="0.1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</row>
    <row r="466" spans="1:30" ht="13" x14ac:dyDescent="0.15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</row>
    <row r="467" spans="1:30" ht="13" x14ac:dyDescent="0.15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</row>
    <row r="468" spans="1:30" ht="13" x14ac:dyDescent="0.15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</row>
    <row r="469" spans="1:30" ht="13" x14ac:dyDescent="0.15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</row>
    <row r="470" spans="1:30" ht="13" x14ac:dyDescent="0.15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</row>
    <row r="471" spans="1:30" ht="13" x14ac:dyDescent="0.15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</row>
    <row r="472" spans="1:30" ht="13" x14ac:dyDescent="0.15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</row>
    <row r="473" spans="1:30" ht="13" x14ac:dyDescent="0.15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</row>
    <row r="474" spans="1:30" ht="13" x14ac:dyDescent="0.15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</row>
    <row r="475" spans="1:30" ht="13" x14ac:dyDescent="0.1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</row>
    <row r="476" spans="1:30" ht="13" x14ac:dyDescent="0.15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</row>
    <row r="477" spans="1:30" ht="13" x14ac:dyDescent="0.15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</row>
    <row r="478" spans="1:30" ht="13" x14ac:dyDescent="0.15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</row>
    <row r="479" spans="1:30" ht="13" x14ac:dyDescent="0.15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</row>
    <row r="480" spans="1:30" ht="13" x14ac:dyDescent="0.15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</row>
    <row r="481" spans="1:30" ht="13" x14ac:dyDescent="0.15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</row>
    <row r="482" spans="1:30" ht="13" x14ac:dyDescent="0.15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</row>
    <row r="483" spans="1:30" ht="13" x14ac:dyDescent="0.15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</row>
    <row r="484" spans="1:30" ht="13" x14ac:dyDescent="0.15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</row>
    <row r="485" spans="1:30" ht="13" x14ac:dyDescent="0.1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</row>
    <row r="486" spans="1:30" ht="13" x14ac:dyDescent="0.15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</row>
    <row r="487" spans="1:30" ht="13" x14ac:dyDescent="0.15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</row>
    <row r="488" spans="1:30" ht="13" x14ac:dyDescent="0.15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</row>
    <row r="489" spans="1:30" ht="13" x14ac:dyDescent="0.15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</row>
    <row r="490" spans="1:30" ht="13" x14ac:dyDescent="0.15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</row>
    <row r="491" spans="1:30" ht="13" x14ac:dyDescent="0.15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</row>
    <row r="492" spans="1:30" ht="13" x14ac:dyDescent="0.15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</row>
    <row r="493" spans="1:30" ht="13" x14ac:dyDescent="0.15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</row>
    <row r="494" spans="1:30" ht="13" x14ac:dyDescent="0.15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</row>
    <row r="495" spans="1:30" ht="13" x14ac:dyDescent="0.1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</row>
    <row r="496" spans="1:30" ht="13" x14ac:dyDescent="0.15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</row>
    <row r="497" spans="1:30" ht="13" x14ac:dyDescent="0.15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</row>
    <row r="498" spans="1:30" ht="13" x14ac:dyDescent="0.15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</row>
    <row r="499" spans="1:30" ht="13" x14ac:dyDescent="0.15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</row>
    <row r="500" spans="1:30" ht="13" x14ac:dyDescent="0.15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</row>
    <row r="501" spans="1:30" ht="13" x14ac:dyDescent="0.15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</row>
    <row r="502" spans="1:30" ht="13" x14ac:dyDescent="0.15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</row>
    <row r="503" spans="1:30" ht="13" x14ac:dyDescent="0.15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</row>
    <row r="504" spans="1:30" ht="13" x14ac:dyDescent="0.15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</row>
    <row r="505" spans="1:30" ht="13" x14ac:dyDescent="0.1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</row>
    <row r="506" spans="1:30" ht="13" x14ac:dyDescent="0.15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</row>
    <row r="507" spans="1:30" ht="13" x14ac:dyDescent="0.15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</row>
    <row r="508" spans="1:30" ht="13" x14ac:dyDescent="0.15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</row>
    <row r="509" spans="1:30" ht="13" x14ac:dyDescent="0.15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</row>
    <row r="510" spans="1:30" ht="13" x14ac:dyDescent="0.15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</row>
    <row r="511" spans="1:30" ht="13" x14ac:dyDescent="0.15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</row>
    <row r="512" spans="1:30" ht="13" x14ac:dyDescent="0.15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</row>
    <row r="513" spans="1:30" ht="13" x14ac:dyDescent="0.15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</row>
    <row r="514" spans="1:30" ht="13" x14ac:dyDescent="0.15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</row>
    <row r="515" spans="1:30" ht="13" x14ac:dyDescent="0.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</row>
    <row r="516" spans="1:30" ht="13" x14ac:dyDescent="0.15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</row>
    <row r="517" spans="1:30" ht="13" x14ac:dyDescent="0.15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</row>
    <row r="518" spans="1:30" ht="13" x14ac:dyDescent="0.15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</row>
    <row r="519" spans="1:30" ht="13" x14ac:dyDescent="0.15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</row>
    <row r="520" spans="1:30" ht="13" x14ac:dyDescent="0.15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</row>
    <row r="521" spans="1:30" ht="13" x14ac:dyDescent="0.15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</row>
    <row r="522" spans="1:30" ht="13" x14ac:dyDescent="0.15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</row>
    <row r="523" spans="1:30" ht="13" x14ac:dyDescent="0.15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</row>
    <row r="524" spans="1:30" ht="13" x14ac:dyDescent="0.15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</row>
    <row r="525" spans="1:30" ht="13" x14ac:dyDescent="0.1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</row>
    <row r="526" spans="1:30" ht="13" x14ac:dyDescent="0.15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</row>
    <row r="527" spans="1:30" ht="13" x14ac:dyDescent="0.15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</row>
    <row r="528" spans="1:30" ht="13" x14ac:dyDescent="0.15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</row>
    <row r="529" spans="1:30" ht="13" x14ac:dyDescent="0.15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</row>
    <row r="530" spans="1:30" ht="13" x14ac:dyDescent="0.15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</row>
    <row r="531" spans="1:30" ht="13" x14ac:dyDescent="0.15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</row>
    <row r="532" spans="1:30" ht="13" x14ac:dyDescent="0.15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</row>
    <row r="533" spans="1:30" ht="13" x14ac:dyDescent="0.15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</row>
    <row r="534" spans="1:30" ht="13" x14ac:dyDescent="0.15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</row>
    <row r="535" spans="1:30" ht="13" x14ac:dyDescent="0.1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</row>
    <row r="536" spans="1:30" ht="13" x14ac:dyDescent="0.15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</row>
    <row r="537" spans="1:30" ht="13" x14ac:dyDescent="0.15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</row>
    <row r="538" spans="1:30" ht="13" x14ac:dyDescent="0.15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</row>
    <row r="539" spans="1:30" ht="13" x14ac:dyDescent="0.15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</row>
    <row r="540" spans="1:30" ht="13" x14ac:dyDescent="0.15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</row>
    <row r="541" spans="1:30" ht="13" x14ac:dyDescent="0.15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</row>
    <row r="542" spans="1:30" ht="13" x14ac:dyDescent="0.15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</row>
    <row r="543" spans="1:30" ht="13" x14ac:dyDescent="0.15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</row>
    <row r="544" spans="1:30" ht="13" x14ac:dyDescent="0.15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</row>
    <row r="545" spans="1:30" ht="13" x14ac:dyDescent="0.1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</row>
    <row r="546" spans="1:30" ht="13" x14ac:dyDescent="0.15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</row>
    <row r="547" spans="1:30" ht="13" x14ac:dyDescent="0.15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</row>
    <row r="548" spans="1:30" ht="13" x14ac:dyDescent="0.15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</row>
    <row r="549" spans="1:30" ht="13" x14ac:dyDescent="0.15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</row>
    <row r="550" spans="1:30" ht="13" x14ac:dyDescent="0.15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</row>
    <row r="551" spans="1:30" ht="13" x14ac:dyDescent="0.15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</row>
    <row r="552" spans="1:30" ht="13" x14ac:dyDescent="0.15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</row>
    <row r="553" spans="1:30" ht="13" x14ac:dyDescent="0.15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</row>
    <row r="554" spans="1:30" ht="13" x14ac:dyDescent="0.15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</row>
    <row r="555" spans="1:30" ht="13" x14ac:dyDescent="0.1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</row>
    <row r="556" spans="1:30" ht="13" x14ac:dyDescent="0.15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</row>
    <row r="557" spans="1:30" ht="13" x14ac:dyDescent="0.15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</row>
    <row r="558" spans="1:30" ht="13" x14ac:dyDescent="0.15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</row>
    <row r="559" spans="1:30" ht="13" x14ac:dyDescent="0.15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</row>
    <row r="560" spans="1:30" ht="13" x14ac:dyDescent="0.15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</row>
    <row r="561" spans="1:30" ht="13" x14ac:dyDescent="0.15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</row>
    <row r="562" spans="1:30" ht="13" x14ac:dyDescent="0.15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</row>
    <row r="563" spans="1:30" ht="13" x14ac:dyDescent="0.15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</row>
    <row r="564" spans="1:30" ht="13" x14ac:dyDescent="0.15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</row>
    <row r="565" spans="1:30" ht="13" x14ac:dyDescent="0.1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</row>
    <row r="566" spans="1:30" ht="13" x14ac:dyDescent="0.15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</row>
    <row r="567" spans="1:30" ht="13" x14ac:dyDescent="0.15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</row>
    <row r="568" spans="1:30" ht="13" x14ac:dyDescent="0.15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</row>
    <row r="569" spans="1:30" ht="13" x14ac:dyDescent="0.15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</row>
    <row r="570" spans="1:30" ht="13" x14ac:dyDescent="0.15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</row>
    <row r="571" spans="1:30" ht="13" x14ac:dyDescent="0.15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</row>
    <row r="572" spans="1:30" ht="13" x14ac:dyDescent="0.15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</row>
    <row r="573" spans="1:30" ht="13" x14ac:dyDescent="0.15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</row>
    <row r="574" spans="1:30" ht="13" x14ac:dyDescent="0.15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</row>
    <row r="575" spans="1:30" ht="13" x14ac:dyDescent="0.1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</row>
    <row r="576" spans="1:30" ht="13" x14ac:dyDescent="0.15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</row>
    <row r="577" spans="1:30" ht="13" x14ac:dyDescent="0.15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</row>
    <row r="578" spans="1:30" ht="13" x14ac:dyDescent="0.15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</row>
    <row r="579" spans="1:30" ht="13" x14ac:dyDescent="0.15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</row>
    <row r="580" spans="1:30" ht="13" x14ac:dyDescent="0.15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</row>
    <row r="581" spans="1:30" ht="13" x14ac:dyDescent="0.15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</row>
    <row r="582" spans="1:30" ht="13" x14ac:dyDescent="0.15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</row>
    <row r="583" spans="1:30" ht="13" x14ac:dyDescent="0.15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</row>
    <row r="584" spans="1:30" ht="13" x14ac:dyDescent="0.15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</row>
    <row r="585" spans="1:30" ht="13" x14ac:dyDescent="0.1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</row>
    <row r="586" spans="1:30" ht="13" x14ac:dyDescent="0.15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</row>
    <row r="587" spans="1:30" ht="13" x14ac:dyDescent="0.15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</row>
    <row r="588" spans="1:30" ht="13" x14ac:dyDescent="0.15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</row>
    <row r="589" spans="1:30" ht="13" x14ac:dyDescent="0.15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</row>
    <row r="590" spans="1:30" ht="13" x14ac:dyDescent="0.15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</row>
    <row r="591" spans="1:30" ht="13" x14ac:dyDescent="0.15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</row>
    <row r="592" spans="1:30" ht="13" x14ac:dyDescent="0.15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</row>
    <row r="593" spans="1:30" ht="13" x14ac:dyDescent="0.15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</row>
    <row r="594" spans="1:30" ht="13" x14ac:dyDescent="0.15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</row>
    <row r="595" spans="1:30" ht="13" x14ac:dyDescent="0.1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</row>
    <row r="596" spans="1:30" ht="13" x14ac:dyDescent="0.15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</row>
    <row r="597" spans="1:30" ht="13" x14ac:dyDescent="0.15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</row>
    <row r="598" spans="1:30" ht="13" x14ac:dyDescent="0.15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</row>
    <row r="599" spans="1:30" ht="13" x14ac:dyDescent="0.15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</row>
    <row r="600" spans="1:30" ht="13" x14ac:dyDescent="0.15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</row>
    <row r="601" spans="1:30" ht="13" x14ac:dyDescent="0.15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</row>
    <row r="602" spans="1:30" ht="13" x14ac:dyDescent="0.15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</row>
    <row r="603" spans="1:30" ht="13" x14ac:dyDescent="0.15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</row>
    <row r="604" spans="1:30" ht="13" x14ac:dyDescent="0.15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</row>
    <row r="605" spans="1:30" ht="13" x14ac:dyDescent="0.1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</row>
    <row r="606" spans="1:30" ht="13" x14ac:dyDescent="0.15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</row>
    <row r="607" spans="1:30" ht="13" x14ac:dyDescent="0.15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</row>
    <row r="608" spans="1:30" ht="13" x14ac:dyDescent="0.15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</row>
    <row r="609" spans="1:30" ht="13" x14ac:dyDescent="0.15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</row>
    <row r="610" spans="1:30" ht="13" x14ac:dyDescent="0.15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</row>
    <row r="611" spans="1:30" ht="13" x14ac:dyDescent="0.15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</row>
    <row r="612" spans="1:30" ht="13" x14ac:dyDescent="0.15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</row>
    <row r="613" spans="1:30" ht="13" x14ac:dyDescent="0.15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</row>
    <row r="614" spans="1:30" ht="13" x14ac:dyDescent="0.15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</row>
    <row r="615" spans="1:30" ht="13" x14ac:dyDescent="0.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</row>
    <row r="616" spans="1:30" ht="13" x14ac:dyDescent="0.15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</row>
    <row r="617" spans="1:30" ht="13" x14ac:dyDescent="0.15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</row>
    <row r="618" spans="1:30" ht="13" x14ac:dyDescent="0.15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</row>
    <row r="619" spans="1:30" ht="13" x14ac:dyDescent="0.15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</row>
    <row r="620" spans="1:30" ht="13" x14ac:dyDescent="0.15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</row>
    <row r="621" spans="1:30" ht="13" x14ac:dyDescent="0.15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</row>
    <row r="622" spans="1:30" ht="13" x14ac:dyDescent="0.15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</row>
    <row r="623" spans="1:30" ht="13" x14ac:dyDescent="0.15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</row>
    <row r="624" spans="1:30" ht="13" x14ac:dyDescent="0.15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</row>
    <row r="625" spans="1:30" ht="13" x14ac:dyDescent="0.1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</row>
    <row r="626" spans="1:30" ht="13" x14ac:dyDescent="0.15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</row>
    <row r="627" spans="1:30" ht="13" x14ac:dyDescent="0.15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</row>
    <row r="628" spans="1:30" ht="13" x14ac:dyDescent="0.15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</row>
    <row r="629" spans="1:30" ht="13" x14ac:dyDescent="0.15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</row>
    <row r="630" spans="1:30" ht="13" x14ac:dyDescent="0.15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</row>
    <row r="631" spans="1:30" ht="13" x14ac:dyDescent="0.15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</row>
    <row r="632" spans="1:30" ht="13" x14ac:dyDescent="0.15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</row>
    <row r="633" spans="1:30" ht="13" x14ac:dyDescent="0.15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</row>
    <row r="634" spans="1:30" ht="13" x14ac:dyDescent="0.15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</row>
    <row r="635" spans="1:30" ht="13" x14ac:dyDescent="0.1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</row>
    <row r="636" spans="1:30" ht="13" x14ac:dyDescent="0.15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</row>
    <row r="637" spans="1:30" ht="13" x14ac:dyDescent="0.15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</row>
    <row r="638" spans="1:30" ht="13" x14ac:dyDescent="0.15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</row>
    <row r="639" spans="1:30" ht="13" x14ac:dyDescent="0.15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</row>
    <row r="640" spans="1:30" ht="13" x14ac:dyDescent="0.15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</row>
    <row r="641" spans="1:30" ht="13" x14ac:dyDescent="0.15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</row>
    <row r="642" spans="1:30" ht="13" x14ac:dyDescent="0.15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</row>
    <row r="643" spans="1:30" ht="13" x14ac:dyDescent="0.15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</row>
    <row r="644" spans="1:30" ht="13" x14ac:dyDescent="0.15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</row>
    <row r="645" spans="1:30" ht="13" x14ac:dyDescent="0.1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</row>
    <row r="646" spans="1:30" ht="13" x14ac:dyDescent="0.15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</row>
    <row r="647" spans="1:30" ht="13" x14ac:dyDescent="0.15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</row>
    <row r="648" spans="1:30" ht="13" x14ac:dyDescent="0.15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</row>
    <row r="649" spans="1:30" ht="13" x14ac:dyDescent="0.15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</row>
    <row r="650" spans="1:30" ht="13" x14ac:dyDescent="0.15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</row>
    <row r="651" spans="1:30" ht="13" x14ac:dyDescent="0.15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</row>
    <row r="652" spans="1:30" ht="13" x14ac:dyDescent="0.15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</row>
    <row r="653" spans="1:30" ht="13" x14ac:dyDescent="0.15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</row>
    <row r="654" spans="1:30" ht="13" x14ac:dyDescent="0.15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</row>
    <row r="655" spans="1:30" ht="13" x14ac:dyDescent="0.1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</row>
    <row r="656" spans="1:30" ht="13" x14ac:dyDescent="0.15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</row>
    <row r="657" spans="1:30" ht="13" x14ac:dyDescent="0.15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</row>
    <row r="658" spans="1:30" ht="13" x14ac:dyDescent="0.15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</row>
    <row r="659" spans="1:30" ht="13" x14ac:dyDescent="0.15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</row>
    <row r="660" spans="1:30" ht="13" x14ac:dyDescent="0.15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</row>
    <row r="661" spans="1:30" ht="13" x14ac:dyDescent="0.15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</row>
    <row r="662" spans="1:30" ht="13" x14ac:dyDescent="0.15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</row>
    <row r="663" spans="1:30" ht="13" x14ac:dyDescent="0.15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</row>
    <row r="664" spans="1:30" ht="13" x14ac:dyDescent="0.15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</row>
    <row r="665" spans="1:30" ht="13" x14ac:dyDescent="0.1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</row>
    <row r="666" spans="1:30" ht="13" x14ac:dyDescent="0.15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</row>
    <row r="667" spans="1:30" ht="13" x14ac:dyDescent="0.15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</row>
    <row r="668" spans="1:30" ht="13" x14ac:dyDescent="0.15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</row>
    <row r="669" spans="1:30" ht="13" x14ac:dyDescent="0.15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</row>
    <row r="670" spans="1:30" ht="13" x14ac:dyDescent="0.15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</row>
    <row r="671" spans="1:30" ht="13" x14ac:dyDescent="0.15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</row>
    <row r="672" spans="1:30" ht="13" x14ac:dyDescent="0.15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</row>
    <row r="673" spans="1:30" ht="13" x14ac:dyDescent="0.15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</row>
    <row r="674" spans="1:30" ht="13" x14ac:dyDescent="0.15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</row>
    <row r="675" spans="1:30" ht="13" x14ac:dyDescent="0.1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</row>
    <row r="676" spans="1:30" ht="13" x14ac:dyDescent="0.15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</row>
    <row r="677" spans="1:30" ht="13" x14ac:dyDescent="0.15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</row>
    <row r="678" spans="1:30" ht="13" x14ac:dyDescent="0.15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</row>
    <row r="679" spans="1:30" ht="13" x14ac:dyDescent="0.15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</row>
    <row r="680" spans="1:30" ht="13" x14ac:dyDescent="0.15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</row>
    <row r="681" spans="1:30" ht="13" x14ac:dyDescent="0.15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</row>
    <row r="682" spans="1:30" ht="13" x14ac:dyDescent="0.15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</row>
    <row r="683" spans="1:30" ht="13" x14ac:dyDescent="0.15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</row>
    <row r="684" spans="1:30" ht="13" x14ac:dyDescent="0.15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</row>
    <row r="685" spans="1:30" ht="13" x14ac:dyDescent="0.1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</row>
    <row r="686" spans="1:30" ht="13" x14ac:dyDescent="0.15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</row>
    <row r="687" spans="1:30" ht="13" x14ac:dyDescent="0.15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</row>
    <row r="688" spans="1:30" ht="13" x14ac:dyDescent="0.15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</row>
    <row r="689" spans="1:30" ht="13" x14ac:dyDescent="0.15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</row>
    <row r="690" spans="1:30" ht="13" x14ac:dyDescent="0.15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</row>
    <row r="691" spans="1:30" ht="13" x14ac:dyDescent="0.15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</row>
    <row r="692" spans="1:30" ht="13" x14ac:dyDescent="0.15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</row>
    <row r="693" spans="1:30" ht="13" x14ac:dyDescent="0.15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</row>
    <row r="694" spans="1:30" ht="13" x14ac:dyDescent="0.15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</row>
    <row r="695" spans="1:30" ht="13" x14ac:dyDescent="0.1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</row>
    <row r="696" spans="1:30" ht="13" x14ac:dyDescent="0.15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</row>
    <row r="697" spans="1:30" ht="13" x14ac:dyDescent="0.15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</row>
    <row r="698" spans="1:30" ht="13" x14ac:dyDescent="0.15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</row>
    <row r="699" spans="1:30" ht="13" x14ac:dyDescent="0.15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</row>
    <row r="700" spans="1:30" ht="13" x14ac:dyDescent="0.15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</row>
    <row r="701" spans="1:30" ht="13" x14ac:dyDescent="0.15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</row>
    <row r="702" spans="1:30" ht="13" x14ac:dyDescent="0.15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</row>
    <row r="703" spans="1:30" ht="13" x14ac:dyDescent="0.15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</row>
    <row r="704" spans="1:30" ht="13" x14ac:dyDescent="0.15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</row>
    <row r="705" spans="1:30" ht="13" x14ac:dyDescent="0.1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</row>
    <row r="706" spans="1:30" ht="13" x14ac:dyDescent="0.15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</row>
    <row r="707" spans="1:30" ht="13" x14ac:dyDescent="0.15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</row>
    <row r="708" spans="1:30" ht="13" x14ac:dyDescent="0.15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</row>
    <row r="709" spans="1:30" ht="13" x14ac:dyDescent="0.15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</row>
    <row r="710" spans="1:30" ht="13" x14ac:dyDescent="0.15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</row>
    <row r="711" spans="1:30" ht="13" x14ac:dyDescent="0.15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</row>
    <row r="712" spans="1:30" ht="13" x14ac:dyDescent="0.15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</row>
    <row r="713" spans="1:30" ht="13" x14ac:dyDescent="0.15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</row>
    <row r="714" spans="1:30" ht="13" x14ac:dyDescent="0.15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</row>
    <row r="715" spans="1:30" ht="13" x14ac:dyDescent="0.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</row>
    <row r="716" spans="1:30" ht="13" x14ac:dyDescent="0.15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</row>
    <row r="717" spans="1:30" ht="13" x14ac:dyDescent="0.15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</row>
    <row r="718" spans="1:30" ht="13" x14ac:dyDescent="0.15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</row>
    <row r="719" spans="1:30" ht="13" x14ac:dyDescent="0.15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</row>
    <row r="720" spans="1:30" ht="13" x14ac:dyDescent="0.15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</row>
    <row r="721" spans="1:30" ht="13" x14ac:dyDescent="0.15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</row>
    <row r="722" spans="1:30" ht="13" x14ac:dyDescent="0.15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</row>
    <row r="723" spans="1:30" ht="13" x14ac:dyDescent="0.15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</row>
    <row r="724" spans="1:30" ht="13" x14ac:dyDescent="0.15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</row>
    <row r="725" spans="1:30" ht="13" x14ac:dyDescent="0.1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</row>
    <row r="726" spans="1:30" ht="13" x14ac:dyDescent="0.15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</row>
    <row r="727" spans="1:30" ht="13" x14ac:dyDescent="0.15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</row>
    <row r="728" spans="1:30" ht="13" x14ac:dyDescent="0.15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</row>
    <row r="729" spans="1:30" ht="13" x14ac:dyDescent="0.15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</row>
    <row r="730" spans="1:30" ht="13" x14ac:dyDescent="0.15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</row>
    <row r="731" spans="1:30" ht="13" x14ac:dyDescent="0.15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</row>
    <row r="732" spans="1:30" ht="13" x14ac:dyDescent="0.15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</row>
    <row r="733" spans="1:30" ht="13" x14ac:dyDescent="0.15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</row>
    <row r="734" spans="1:30" ht="13" x14ac:dyDescent="0.15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</row>
    <row r="735" spans="1:30" ht="13" x14ac:dyDescent="0.1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</row>
    <row r="736" spans="1:30" ht="13" x14ac:dyDescent="0.15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</row>
    <row r="737" spans="1:30" ht="13" x14ac:dyDescent="0.15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</row>
    <row r="738" spans="1:30" ht="13" x14ac:dyDescent="0.15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</row>
    <row r="739" spans="1:30" ht="13" x14ac:dyDescent="0.15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</row>
    <row r="740" spans="1:30" ht="13" x14ac:dyDescent="0.15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</row>
    <row r="741" spans="1:30" ht="13" x14ac:dyDescent="0.15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</row>
    <row r="742" spans="1:30" ht="13" x14ac:dyDescent="0.15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</row>
    <row r="743" spans="1:30" ht="13" x14ac:dyDescent="0.15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</row>
    <row r="744" spans="1:30" ht="13" x14ac:dyDescent="0.15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</row>
    <row r="745" spans="1:30" ht="13" x14ac:dyDescent="0.1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</row>
    <row r="746" spans="1:30" ht="13" x14ac:dyDescent="0.15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</row>
    <row r="747" spans="1:30" ht="13" x14ac:dyDescent="0.15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</row>
    <row r="748" spans="1:30" ht="13" x14ac:dyDescent="0.15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</row>
    <row r="749" spans="1:30" ht="13" x14ac:dyDescent="0.15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</row>
    <row r="750" spans="1:30" ht="13" x14ac:dyDescent="0.15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</row>
    <row r="751" spans="1:30" ht="13" x14ac:dyDescent="0.15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</row>
    <row r="752" spans="1:30" ht="13" x14ac:dyDescent="0.15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</row>
    <row r="753" spans="1:30" ht="13" x14ac:dyDescent="0.15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</row>
    <row r="754" spans="1:30" ht="13" x14ac:dyDescent="0.15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</row>
    <row r="755" spans="1:30" ht="13" x14ac:dyDescent="0.1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</row>
    <row r="756" spans="1:30" ht="13" x14ac:dyDescent="0.15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</row>
    <row r="757" spans="1:30" ht="13" x14ac:dyDescent="0.15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</row>
    <row r="758" spans="1:30" ht="13" x14ac:dyDescent="0.15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</row>
    <row r="759" spans="1:30" ht="13" x14ac:dyDescent="0.15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</row>
    <row r="760" spans="1:30" ht="13" x14ac:dyDescent="0.15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</row>
    <row r="761" spans="1:30" ht="13" x14ac:dyDescent="0.15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</row>
    <row r="762" spans="1:30" ht="13" x14ac:dyDescent="0.15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</row>
    <row r="763" spans="1:30" ht="13" x14ac:dyDescent="0.15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</row>
    <row r="764" spans="1:30" ht="13" x14ac:dyDescent="0.15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</row>
    <row r="765" spans="1:30" ht="13" x14ac:dyDescent="0.1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</row>
    <row r="766" spans="1:30" ht="13" x14ac:dyDescent="0.15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</row>
    <row r="767" spans="1:30" ht="13" x14ac:dyDescent="0.15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</row>
    <row r="768" spans="1:30" ht="13" x14ac:dyDescent="0.15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</row>
    <row r="769" spans="1:30" ht="13" x14ac:dyDescent="0.15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</row>
    <row r="770" spans="1:30" ht="13" x14ac:dyDescent="0.15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</row>
    <row r="771" spans="1:30" ht="13" x14ac:dyDescent="0.15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</row>
    <row r="772" spans="1:30" ht="13" x14ac:dyDescent="0.15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</row>
    <row r="773" spans="1:30" ht="13" x14ac:dyDescent="0.15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</row>
    <row r="774" spans="1:30" ht="13" x14ac:dyDescent="0.15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</row>
    <row r="775" spans="1:30" ht="13" x14ac:dyDescent="0.1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</row>
    <row r="776" spans="1:30" ht="13" x14ac:dyDescent="0.15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</row>
    <row r="777" spans="1:30" ht="13" x14ac:dyDescent="0.15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</row>
    <row r="778" spans="1:30" ht="13" x14ac:dyDescent="0.15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</row>
    <row r="779" spans="1:30" ht="13" x14ac:dyDescent="0.15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</row>
    <row r="780" spans="1:30" ht="13" x14ac:dyDescent="0.15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</row>
    <row r="781" spans="1:30" ht="13" x14ac:dyDescent="0.15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</row>
    <row r="782" spans="1:30" ht="13" x14ac:dyDescent="0.15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</row>
    <row r="783" spans="1:30" ht="13" x14ac:dyDescent="0.15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</row>
    <row r="784" spans="1:30" ht="13" x14ac:dyDescent="0.15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</row>
    <row r="785" spans="1:30" ht="13" x14ac:dyDescent="0.1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</row>
    <row r="786" spans="1:30" ht="13" x14ac:dyDescent="0.15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</row>
    <row r="787" spans="1:30" ht="13" x14ac:dyDescent="0.15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</row>
    <row r="788" spans="1:30" ht="13" x14ac:dyDescent="0.15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</row>
    <row r="789" spans="1:30" ht="13" x14ac:dyDescent="0.15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</row>
    <row r="790" spans="1:30" ht="13" x14ac:dyDescent="0.15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</row>
    <row r="791" spans="1:30" ht="13" x14ac:dyDescent="0.15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</row>
    <row r="792" spans="1:30" ht="13" x14ac:dyDescent="0.15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</row>
    <row r="793" spans="1:30" ht="13" x14ac:dyDescent="0.15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</row>
    <row r="794" spans="1:30" ht="13" x14ac:dyDescent="0.15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</row>
    <row r="795" spans="1:30" ht="13" x14ac:dyDescent="0.1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</row>
    <row r="796" spans="1:30" ht="13" x14ac:dyDescent="0.15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</row>
    <row r="797" spans="1:30" ht="13" x14ac:dyDescent="0.15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</row>
    <row r="798" spans="1:30" ht="13" x14ac:dyDescent="0.15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</row>
    <row r="799" spans="1:30" ht="13" x14ac:dyDescent="0.15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</row>
    <row r="800" spans="1:30" ht="13" x14ac:dyDescent="0.15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</row>
    <row r="801" spans="1:30" ht="13" x14ac:dyDescent="0.15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</row>
    <row r="802" spans="1:30" ht="13" x14ac:dyDescent="0.15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</row>
    <row r="803" spans="1:30" ht="13" x14ac:dyDescent="0.15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</row>
    <row r="804" spans="1:30" ht="13" x14ac:dyDescent="0.15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</row>
    <row r="805" spans="1:30" ht="13" x14ac:dyDescent="0.1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</row>
    <row r="806" spans="1:30" ht="13" x14ac:dyDescent="0.15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</row>
    <row r="807" spans="1:30" ht="13" x14ac:dyDescent="0.15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</row>
    <row r="808" spans="1:30" ht="13" x14ac:dyDescent="0.15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</row>
    <row r="809" spans="1:30" ht="13" x14ac:dyDescent="0.15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</row>
    <row r="810" spans="1:30" ht="13" x14ac:dyDescent="0.15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</row>
    <row r="811" spans="1:30" ht="13" x14ac:dyDescent="0.15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</row>
    <row r="812" spans="1:30" ht="13" x14ac:dyDescent="0.15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</row>
    <row r="813" spans="1:30" ht="13" x14ac:dyDescent="0.15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</row>
    <row r="814" spans="1:30" ht="13" x14ac:dyDescent="0.15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</row>
    <row r="815" spans="1:30" ht="13" x14ac:dyDescent="0.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</row>
    <row r="816" spans="1:30" ht="13" x14ac:dyDescent="0.15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</row>
    <row r="817" spans="1:30" ht="13" x14ac:dyDescent="0.15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</row>
    <row r="818" spans="1:30" ht="13" x14ac:dyDescent="0.15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</row>
    <row r="819" spans="1:30" ht="13" x14ac:dyDescent="0.15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</row>
    <row r="820" spans="1:30" ht="13" x14ac:dyDescent="0.15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</row>
    <row r="821" spans="1:30" ht="13" x14ac:dyDescent="0.15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</row>
    <row r="822" spans="1:30" ht="13" x14ac:dyDescent="0.15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</row>
    <row r="823" spans="1:30" ht="13" x14ac:dyDescent="0.15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</row>
    <row r="824" spans="1:30" ht="13" x14ac:dyDescent="0.15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</row>
    <row r="825" spans="1:30" ht="13" x14ac:dyDescent="0.1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</row>
    <row r="826" spans="1:30" ht="13" x14ac:dyDescent="0.15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</row>
    <row r="827" spans="1:30" ht="13" x14ac:dyDescent="0.15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</row>
    <row r="828" spans="1:30" ht="13" x14ac:dyDescent="0.15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</row>
    <row r="829" spans="1:30" ht="13" x14ac:dyDescent="0.15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</row>
    <row r="830" spans="1:30" ht="13" x14ac:dyDescent="0.15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</row>
    <row r="831" spans="1:30" ht="13" x14ac:dyDescent="0.15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</row>
    <row r="832" spans="1:30" ht="13" x14ac:dyDescent="0.15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</row>
    <row r="833" spans="1:30" ht="13" x14ac:dyDescent="0.15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</row>
    <row r="834" spans="1:30" ht="13" x14ac:dyDescent="0.15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</row>
    <row r="835" spans="1:30" ht="13" x14ac:dyDescent="0.1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</row>
    <row r="836" spans="1:30" ht="13" x14ac:dyDescent="0.15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</row>
    <row r="837" spans="1:30" ht="13" x14ac:dyDescent="0.15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</row>
    <row r="838" spans="1:30" ht="13" x14ac:dyDescent="0.15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</row>
    <row r="839" spans="1:30" ht="13" x14ac:dyDescent="0.15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</row>
    <row r="840" spans="1:30" ht="13" x14ac:dyDescent="0.15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</row>
    <row r="841" spans="1:30" ht="13" x14ac:dyDescent="0.15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</row>
    <row r="842" spans="1:30" ht="13" x14ac:dyDescent="0.15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</row>
    <row r="843" spans="1:30" ht="13" x14ac:dyDescent="0.15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</row>
    <row r="844" spans="1:30" ht="13" x14ac:dyDescent="0.15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</row>
    <row r="845" spans="1:30" ht="13" x14ac:dyDescent="0.1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</row>
    <row r="846" spans="1:30" ht="13" x14ac:dyDescent="0.15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</row>
    <row r="847" spans="1:30" ht="13" x14ac:dyDescent="0.15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</row>
    <row r="848" spans="1:30" ht="13" x14ac:dyDescent="0.15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</row>
    <row r="849" spans="1:30" ht="13" x14ac:dyDescent="0.15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</row>
    <row r="850" spans="1:30" ht="13" x14ac:dyDescent="0.15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</row>
    <row r="851" spans="1:30" ht="13" x14ac:dyDescent="0.15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</row>
    <row r="852" spans="1:30" ht="13" x14ac:dyDescent="0.15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</row>
    <row r="853" spans="1:30" ht="13" x14ac:dyDescent="0.15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</row>
    <row r="854" spans="1:30" ht="13" x14ac:dyDescent="0.15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</row>
    <row r="855" spans="1:30" ht="13" x14ac:dyDescent="0.1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</row>
    <row r="856" spans="1:30" ht="13" x14ac:dyDescent="0.15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</row>
    <row r="857" spans="1:30" ht="13" x14ac:dyDescent="0.15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</row>
    <row r="858" spans="1:30" ht="13" x14ac:dyDescent="0.15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</row>
    <row r="859" spans="1:30" ht="13" x14ac:dyDescent="0.15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</row>
    <row r="860" spans="1:30" ht="13" x14ac:dyDescent="0.15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</row>
    <row r="861" spans="1:30" ht="13" x14ac:dyDescent="0.15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</row>
    <row r="862" spans="1:30" ht="13" x14ac:dyDescent="0.15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</row>
    <row r="863" spans="1:30" ht="13" x14ac:dyDescent="0.15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</row>
    <row r="864" spans="1:30" ht="13" x14ac:dyDescent="0.15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</row>
    <row r="865" spans="1:30" ht="13" x14ac:dyDescent="0.1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</row>
    <row r="866" spans="1:30" ht="13" x14ac:dyDescent="0.15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</row>
    <row r="867" spans="1:30" ht="13" x14ac:dyDescent="0.15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</row>
    <row r="868" spans="1:30" ht="13" x14ac:dyDescent="0.15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</row>
    <row r="869" spans="1:30" ht="13" x14ac:dyDescent="0.15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</row>
    <row r="870" spans="1:30" ht="13" x14ac:dyDescent="0.15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</row>
    <row r="871" spans="1:30" ht="13" x14ac:dyDescent="0.15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</row>
    <row r="872" spans="1:30" ht="13" x14ac:dyDescent="0.15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</row>
    <row r="873" spans="1:30" ht="13" x14ac:dyDescent="0.15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</row>
    <row r="874" spans="1:30" ht="13" x14ac:dyDescent="0.15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</row>
    <row r="875" spans="1:30" ht="13" x14ac:dyDescent="0.1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</row>
    <row r="876" spans="1:30" ht="13" x14ac:dyDescent="0.15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</row>
    <row r="877" spans="1:30" ht="13" x14ac:dyDescent="0.15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</row>
    <row r="878" spans="1:30" ht="13" x14ac:dyDescent="0.15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</row>
    <row r="879" spans="1:30" ht="13" x14ac:dyDescent="0.15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</row>
    <row r="880" spans="1:30" ht="13" x14ac:dyDescent="0.15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</row>
    <row r="881" spans="1:30" ht="13" x14ac:dyDescent="0.15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</row>
    <row r="882" spans="1:30" ht="13" x14ac:dyDescent="0.15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</row>
    <row r="883" spans="1:30" ht="13" x14ac:dyDescent="0.15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</row>
    <row r="884" spans="1:30" ht="13" x14ac:dyDescent="0.15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</row>
    <row r="885" spans="1:30" ht="13" x14ac:dyDescent="0.1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</row>
    <row r="886" spans="1:30" ht="13" x14ac:dyDescent="0.15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</row>
    <row r="887" spans="1:30" ht="13" x14ac:dyDescent="0.15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</row>
    <row r="888" spans="1:30" ht="13" x14ac:dyDescent="0.15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</row>
    <row r="889" spans="1:30" ht="13" x14ac:dyDescent="0.15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</row>
    <row r="890" spans="1:30" ht="13" x14ac:dyDescent="0.15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</row>
    <row r="891" spans="1:30" ht="13" x14ac:dyDescent="0.15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</row>
    <row r="892" spans="1:30" ht="13" x14ac:dyDescent="0.15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</row>
    <row r="893" spans="1:30" ht="13" x14ac:dyDescent="0.15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</row>
    <row r="894" spans="1:30" ht="13" x14ac:dyDescent="0.15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</row>
    <row r="895" spans="1:30" ht="13" x14ac:dyDescent="0.1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</row>
    <row r="896" spans="1:30" ht="13" x14ac:dyDescent="0.15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</row>
    <row r="897" spans="1:30" ht="13" x14ac:dyDescent="0.15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</row>
    <row r="898" spans="1:30" ht="13" x14ac:dyDescent="0.15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</row>
    <row r="899" spans="1:30" ht="13" x14ac:dyDescent="0.15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</row>
    <row r="900" spans="1:30" ht="13" x14ac:dyDescent="0.15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</row>
    <row r="901" spans="1:30" ht="13" x14ac:dyDescent="0.15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</row>
    <row r="902" spans="1:30" ht="13" x14ac:dyDescent="0.15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</row>
    <row r="903" spans="1:30" ht="13" x14ac:dyDescent="0.15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</row>
    <row r="904" spans="1:30" ht="13" x14ac:dyDescent="0.15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</row>
    <row r="905" spans="1:30" ht="13" x14ac:dyDescent="0.1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</row>
    <row r="906" spans="1:30" ht="13" x14ac:dyDescent="0.15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</row>
    <row r="907" spans="1:30" ht="13" x14ac:dyDescent="0.15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</row>
    <row r="908" spans="1:30" ht="13" x14ac:dyDescent="0.15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</row>
    <row r="909" spans="1:30" ht="13" x14ac:dyDescent="0.15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</row>
    <row r="910" spans="1:30" ht="13" x14ac:dyDescent="0.15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</row>
    <row r="911" spans="1:30" ht="13" x14ac:dyDescent="0.15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</row>
    <row r="912" spans="1:30" ht="13" x14ac:dyDescent="0.15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</row>
    <row r="913" spans="1:30" ht="13" x14ac:dyDescent="0.15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</row>
    <row r="914" spans="1:30" ht="13" x14ac:dyDescent="0.15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</row>
    <row r="915" spans="1:30" ht="13" x14ac:dyDescent="0.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</row>
    <row r="916" spans="1:30" ht="13" x14ac:dyDescent="0.15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</row>
    <row r="917" spans="1:30" ht="13" x14ac:dyDescent="0.15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</row>
    <row r="918" spans="1:30" ht="13" x14ac:dyDescent="0.15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</row>
    <row r="919" spans="1:30" ht="13" x14ac:dyDescent="0.15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</row>
    <row r="920" spans="1:30" ht="13" x14ac:dyDescent="0.15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</row>
    <row r="921" spans="1:30" ht="13" x14ac:dyDescent="0.15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</row>
    <row r="922" spans="1:30" ht="13" x14ac:dyDescent="0.15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</row>
    <row r="923" spans="1:30" ht="13" x14ac:dyDescent="0.15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</row>
    <row r="924" spans="1:30" ht="13" x14ac:dyDescent="0.15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</row>
    <row r="925" spans="1:30" ht="13" x14ac:dyDescent="0.1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</row>
    <row r="926" spans="1:30" ht="13" x14ac:dyDescent="0.15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</row>
    <row r="927" spans="1:30" ht="13" x14ac:dyDescent="0.15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</row>
    <row r="928" spans="1:30" ht="13" x14ac:dyDescent="0.15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</row>
    <row r="929" spans="1:30" ht="13" x14ac:dyDescent="0.15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</row>
    <row r="930" spans="1:30" ht="13" x14ac:dyDescent="0.15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</row>
    <row r="931" spans="1:30" ht="13" x14ac:dyDescent="0.15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</row>
    <row r="932" spans="1:30" ht="13" x14ac:dyDescent="0.15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</row>
    <row r="933" spans="1:30" ht="13" x14ac:dyDescent="0.15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</row>
    <row r="934" spans="1:30" ht="13" x14ac:dyDescent="0.15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</row>
    <row r="935" spans="1:30" ht="13" x14ac:dyDescent="0.1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</row>
    <row r="936" spans="1:30" ht="13" x14ac:dyDescent="0.15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</row>
    <row r="937" spans="1:30" ht="13" x14ac:dyDescent="0.15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</row>
    <row r="938" spans="1:30" ht="13" x14ac:dyDescent="0.15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</row>
    <row r="939" spans="1:30" ht="13" x14ac:dyDescent="0.15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</row>
    <row r="940" spans="1:30" ht="13" x14ac:dyDescent="0.15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</row>
    <row r="941" spans="1:30" ht="13" x14ac:dyDescent="0.15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</row>
    <row r="942" spans="1:30" ht="13" x14ac:dyDescent="0.15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</row>
    <row r="943" spans="1:30" ht="13" x14ac:dyDescent="0.15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</row>
    <row r="944" spans="1:30" ht="13" x14ac:dyDescent="0.15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</row>
    <row r="945" spans="1:30" ht="13" x14ac:dyDescent="0.1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</row>
    <row r="946" spans="1:30" ht="13" x14ac:dyDescent="0.15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</row>
    <row r="947" spans="1:30" ht="13" x14ac:dyDescent="0.15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</row>
    <row r="948" spans="1:30" ht="13" x14ac:dyDescent="0.15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</row>
    <row r="949" spans="1:30" ht="13" x14ac:dyDescent="0.15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</row>
    <row r="950" spans="1:30" ht="13" x14ac:dyDescent="0.15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</row>
    <row r="951" spans="1:30" ht="13" x14ac:dyDescent="0.15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</row>
    <row r="952" spans="1:30" ht="13" x14ac:dyDescent="0.15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</row>
    <row r="953" spans="1:30" ht="13" x14ac:dyDescent="0.15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</row>
    <row r="954" spans="1:30" ht="13" x14ac:dyDescent="0.15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</row>
    <row r="955" spans="1:30" ht="13" x14ac:dyDescent="0.1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</row>
    <row r="956" spans="1:30" ht="13" x14ac:dyDescent="0.15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</row>
    <row r="957" spans="1:30" ht="13" x14ac:dyDescent="0.15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</row>
    <row r="958" spans="1:30" ht="13" x14ac:dyDescent="0.15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</row>
    <row r="959" spans="1:30" ht="13" x14ac:dyDescent="0.15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</row>
    <row r="960" spans="1:30" ht="13" x14ac:dyDescent="0.15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</row>
    <row r="961" spans="1:30" ht="13" x14ac:dyDescent="0.15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</row>
    <row r="962" spans="1:30" ht="13" x14ac:dyDescent="0.15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</row>
    <row r="963" spans="1:30" ht="13" x14ac:dyDescent="0.15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</row>
    <row r="964" spans="1:30" ht="13" x14ac:dyDescent="0.15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</row>
    <row r="965" spans="1:30" ht="13" x14ac:dyDescent="0.1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</row>
    <row r="966" spans="1:30" ht="13" x14ac:dyDescent="0.15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</row>
    <row r="967" spans="1:30" ht="13" x14ac:dyDescent="0.15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</row>
    <row r="968" spans="1:30" ht="13" x14ac:dyDescent="0.15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</row>
    <row r="969" spans="1:30" ht="13" x14ac:dyDescent="0.15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</row>
    <row r="970" spans="1:30" ht="13" x14ac:dyDescent="0.15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</row>
    <row r="971" spans="1:30" ht="13" x14ac:dyDescent="0.15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</row>
    <row r="972" spans="1:30" ht="13" x14ac:dyDescent="0.15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</row>
    <row r="973" spans="1:30" ht="13" x14ac:dyDescent="0.15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</row>
    <row r="974" spans="1:30" ht="13" x14ac:dyDescent="0.15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</row>
    <row r="975" spans="1:30" ht="13" x14ac:dyDescent="0.1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</row>
    <row r="976" spans="1:30" ht="13" x14ac:dyDescent="0.15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</row>
    <row r="977" spans="1:30" ht="13" x14ac:dyDescent="0.15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</row>
    <row r="978" spans="1:30" ht="13" x14ac:dyDescent="0.15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</row>
    <row r="979" spans="1:30" ht="13" x14ac:dyDescent="0.15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</row>
    <row r="980" spans="1:30" ht="13" x14ac:dyDescent="0.15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</row>
    <row r="981" spans="1:30" ht="13" x14ac:dyDescent="0.15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</row>
    <row r="982" spans="1:30" ht="13" x14ac:dyDescent="0.15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</row>
    <row r="983" spans="1:30" ht="13" x14ac:dyDescent="0.15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</row>
    <row r="984" spans="1:30" ht="13" x14ac:dyDescent="0.15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</row>
    <row r="985" spans="1:30" ht="13" x14ac:dyDescent="0.1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</row>
    <row r="986" spans="1:30" ht="13" x14ac:dyDescent="0.15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</row>
    <row r="987" spans="1:30" ht="13" x14ac:dyDescent="0.15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</row>
    <row r="988" spans="1:30" ht="13" x14ac:dyDescent="0.15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</row>
    <row r="989" spans="1:30" ht="13" x14ac:dyDescent="0.15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</row>
    <row r="990" spans="1:30" ht="13" x14ac:dyDescent="0.15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</row>
    <row r="991" spans="1:30" ht="13" x14ac:dyDescent="0.15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</row>
    <row r="992" spans="1:30" ht="13" x14ac:dyDescent="0.15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</row>
    <row r="993" spans="1:30" ht="13" x14ac:dyDescent="0.15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</row>
    <row r="994" spans="1:30" ht="13" x14ac:dyDescent="0.15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</row>
    <row r="995" spans="1:30" ht="13" x14ac:dyDescent="0.15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</row>
    <row r="996" spans="1:30" ht="13" x14ac:dyDescent="0.15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</row>
    <row r="997" spans="1:30" ht="13" x14ac:dyDescent="0.15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</row>
    <row r="998" spans="1:30" ht="13" x14ac:dyDescent="0.15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</row>
    <row r="999" spans="1:30" ht="13" x14ac:dyDescent="0.15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D1000"/>
  <sheetViews>
    <sheetView workbookViewId="0"/>
  </sheetViews>
  <sheetFormatPr baseColWidth="10" defaultColWidth="12.6640625" defaultRowHeight="15.75" customHeight="1" x14ac:dyDescent="0.15"/>
  <cols>
    <col min="1" max="1" width="15.1640625" customWidth="1"/>
    <col min="2" max="2" width="32.1640625" customWidth="1"/>
    <col min="3" max="3" width="29.33203125" customWidth="1"/>
    <col min="4" max="4" width="10.1640625" customWidth="1"/>
    <col min="5" max="5" width="26.33203125" customWidth="1"/>
    <col min="6" max="6" width="10.83203125" customWidth="1"/>
    <col min="7" max="7" width="63.6640625" customWidth="1"/>
    <col min="8" max="8" width="8.33203125" customWidth="1"/>
    <col min="9" max="9" width="30.6640625" customWidth="1"/>
    <col min="10" max="10" width="64.1640625" customWidth="1"/>
  </cols>
  <sheetData>
    <row r="1" spans="1:30" ht="23.25" customHeight="1" x14ac:dyDescent="0.15">
      <c r="A1" s="15" t="s">
        <v>24</v>
      </c>
      <c r="B1" s="14" t="s">
        <v>1</v>
      </c>
      <c r="C1" s="15" t="s">
        <v>113</v>
      </c>
      <c r="D1" s="15" t="s">
        <v>114</v>
      </c>
      <c r="E1" s="97" t="s">
        <v>25</v>
      </c>
      <c r="F1" s="97" t="s">
        <v>26</v>
      </c>
      <c r="G1" s="97" t="s">
        <v>118</v>
      </c>
      <c r="H1" s="97" t="s">
        <v>119</v>
      </c>
      <c r="I1" s="97" t="s">
        <v>120</v>
      </c>
      <c r="J1" s="97" t="s">
        <v>121</v>
      </c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</row>
    <row r="2" spans="1:30" ht="23.25" customHeight="1" x14ac:dyDescent="0.15">
      <c r="A2" s="69" t="str">
        <f ca="1">IFERROR(__xludf.DUMMYFUNCTION("QUERY(MasterData!A1:NK11238,""select B,C,FL,FM,FT,FU,FV,FW,FX,FY where C='S16: Students Social Service Programs'"",0)"),"2018-2022")</f>
        <v>2018-2022</v>
      </c>
      <c r="B2" s="69" t="str">
        <f ca="1">IFERROR(__xludf.DUMMYFUNCTION("""COMPUTED_VALUE"""),"S16: Students Social Service Programs")</f>
        <v>S16: Students Social Service Programs</v>
      </c>
      <c r="C2" s="69" t="str">
        <f ca="1">IFERROR(__xludf.DUMMYFUNCTION("""COMPUTED_VALUE"""),"lekhasree1430@gmail.com")</f>
        <v>lekhasree1430@gmail.com</v>
      </c>
      <c r="D2" s="69" t="str">
        <f ca="1">IFERROR(__xludf.DUMMYFUNCTION("""COMPUTED_VALUE"""),"SEM-8")</f>
        <v>SEM-8</v>
      </c>
      <c r="E2" s="69" t="str">
        <f ca="1">IFERROR(__xludf.DUMMYFUNCTION("""COMPUTED_VALUE"""),"Sri Lekha")</f>
        <v>Sri Lekha</v>
      </c>
      <c r="F2" s="69" t="str">
        <f ca="1">IFERROR(__xludf.DUMMYFUNCTION("""COMPUTED_VALUE"""),"18331A0555")</f>
        <v>18331A0555</v>
      </c>
      <c r="G2" s="69" t="str">
        <f ca="1">IFERROR(__xludf.DUMMYFUNCTION("""COMPUTED_VALUE"""),"Vote for Better india")</f>
        <v>Vote for Better india</v>
      </c>
      <c r="H2" s="74">
        <f ca="1">IFERROR(__xludf.DUMMYFUNCTION("""COMPUTED_VALUE"""),43547)</f>
        <v>43547</v>
      </c>
      <c r="I2" s="69" t="str">
        <f ca="1">IFERROR(__xludf.DUMMYFUNCTION("""COMPUTED_VALUE"""),"vizianagaram")</f>
        <v>vizianagaram</v>
      </c>
      <c r="J2" s="75" t="str">
        <f ca="1">IFERROR(__xludf.DUMMYFUNCTION("""COMPUTED_VALUE"""),"https://drive.google.com/open?id=12g2wjrfUifDh3Gx7TlgWMhP8oc4dxI9d")</f>
        <v>https://drive.google.com/open?id=12g2wjrfUifDh3Gx7TlgWMhP8oc4dxI9d</v>
      </c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</row>
    <row r="3" spans="1:30" ht="23.25" customHeight="1" x14ac:dyDescent="0.15">
      <c r="A3" s="69" t="str">
        <f ca="1">IFERROR(__xludf.DUMMYFUNCTION("""COMPUTED_VALUE"""),"2018-2022")</f>
        <v>2018-2022</v>
      </c>
      <c r="B3" s="69" t="str">
        <f ca="1">IFERROR(__xludf.DUMMYFUNCTION("""COMPUTED_VALUE"""),"S16: Students Social Service Programs")</f>
        <v>S16: Students Social Service Programs</v>
      </c>
      <c r="C3" s="69" t="str">
        <f ca="1">IFERROR(__xludf.DUMMYFUNCTION("""COMPUTED_VALUE"""),"sanapala.saineeraj4000@gmail.com")</f>
        <v>sanapala.saineeraj4000@gmail.com</v>
      </c>
      <c r="D3" s="69" t="str">
        <f ca="1">IFERROR(__xludf.DUMMYFUNCTION("""COMPUTED_VALUE"""),"SEM-3")</f>
        <v>SEM-3</v>
      </c>
      <c r="E3" s="69" t="str">
        <f ca="1">IFERROR(__xludf.DUMMYFUNCTION("""COMPUTED_VALUE"""),"SANAPALA SAI NEERAJ")</f>
        <v>SANAPALA SAI NEERAJ</v>
      </c>
      <c r="F3" s="69" t="str">
        <f ca="1">IFERROR(__xludf.DUMMYFUNCTION("""COMPUTED_VALUE"""),"18331A05D6")</f>
        <v>18331A05D6</v>
      </c>
      <c r="G3" s="69" t="str">
        <f ca="1">IFERROR(__xludf.DUMMYFUNCTION("""COMPUTED_VALUE"""),"BLOOD DONATION CAMP")</f>
        <v>BLOOD DONATION CAMP</v>
      </c>
      <c r="H3" s="74">
        <f ca="1">IFERROR(__xludf.DUMMYFUNCTION("""COMPUTED_VALUE"""),43663)</f>
        <v>43663</v>
      </c>
      <c r="I3" s="69" t="str">
        <f ca="1">IFERROR(__xludf.DUMMYFUNCTION("""COMPUTED_VALUE"""),"MVGR COLLEGE OF ENGINEERING")</f>
        <v>MVGR COLLEGE OF ENGINEERING</v>
      </c>
      <c r="J3" s="75" t="str">
        <f ca="1">IFERROR(__xludf.DUMMYFUNCTION("""COMPUTED_VALUE"""),"https://drive.google.com/open?id=1WUmGmLGyf8ZbZCJ8S4Y5ZUMjDsGOZsFK")</f>
        <v>https://drive.google.com/open?id=1WUmGmLGyf8ZbZCJ8S4Y5ZUMjDsGOZsFK</v>
      </c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</row>
    <row r="4" spans="1:30" ht="23.25" customHeight="1" x14ac:dyDescent="0.15">
      <c r="A4" s="69" t="str">
        <f ca="1">IFERROR(__xludf.DUMMYFUNCTION("""COMPUTED_VALUE"""),"2018-2022")</f>
        <v>2018-2022</v>
      </c>
      <c r="B4" s="69" t="str">
        <f ca="1">IFERROR(__xludf.DUMMYFUNCTION("""COMPUTED_VALUE"""),"S16: Students Social Service Programs")</f>
        <v>S16: Students Social Service Programs</v>
      </c>
      <c r="C4" s="69" t="str">
        <f ca="1">IFERROR(__xludf.DUMMYFUNCTION("""COMPUTED_VALUE"""),"manojvarmaaa13@gmail.com")</f>
        <v>manojvarmaaa13@gmail.com</v>
      </c>
      <c r="D4" s="69" t="str">
        <f ca="1">IFERROR(__xludf.DUMMYFUNCTION("""COMPUTED_VALUE"""),"SEM-8")</f>
        <v>SEM-8</v>
      </c>
      <c r="E4" s="69" t="str">
        <f ca="1">IFERROR(__xludf.DUMMYFUNCTION("""COMPUTED_VALUE"""),"Manoj varma sagi")</f>
        <v>Manoj varma sagi</v>
      </c>
      <c r="F4" s="69" t="str">
        <f ca="1">IFERROR(__xludf.DUMMYFUNCTION("""COMPUTED_VALUE"""),"18331A05C8")</f>
        <v>18331A05C8</v>
      </c>
      <c r="G4" s="69" t="str">
        <f ca="1">IFERROR(__xludf.DUMMYFUNCTION("""COMPUTED_VALUE"""),"Blood donation camp")</f>
        <v>Blood donation camp</v>
      </c>
      <c r="H4" s="74">
        <f ca="1">IFERROR(__xludf.DUMMYFUNCTION("""COMPUTED_VALUE"""),43663)</f>
        <v>43663</v>
      </c>
      <c r="I4" s="69" t="str">
        <f ca="1">IFERROR(__xludf.DUMMYFUNCTION("""COMPUTED_VALUE"""),"CSE dept")</f>
        <v>CSE dept</v>
      </c>
      <c r="J4" s="75" t="str">
        <f ca="1">IFERROR(__xludf.DUMMYFUNCTION("""COMPUTED_VALUE"""),"https://drive.google.com/open?id=1_fR-LdhuKTTzZxiOKp3PDnIv3EijWFWW")</f>
        <v>https://drive.google.com/open?id=1_fR-LdhuKTTzZxiOKp3PDnIv3EijWFWW</v>
      </c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</row>
    <row r="5" spans="1:30" ht="23.25" customHeight="1" x14ac:dyDescent="0.15">
      <c r="A5" s="69" t="str">
        <f ca="1">IFERROR(__xludf.DUMMYFUNCTION("""COMPUTED_VALUE"""),"2018-2022")</f>
        <v>2018-2022</v>
      </c>
      <c r="B5" s="69" t="str">
        <f ca="1">IFERROR(__xludf.DUMMYFUNCTION("""COMPUTED_VALUE"""),"S16: Students Social Service Programs")</f>
        <v>S16: Students Social Service Programs</v>
      </c>
      <c r="C5" s="69" t="str">
        <f ca="1">IFERROR(__xludf.DUMMYFUNCTION("""COMPUTED_VALUE"""),"narlaveerapavankumar@gmail.com")</f>
        <v>narlaveerapavankumar@gmail.com</v>
      </c>
      <c r="D5" s="69" t="str">
        <f ca="1">IFERROR(__xludf.DUMMYFUNCTION("""COMPUTED_VALUE"""),"SEM-2")</f>
        <v>SEM-2</v>
      </c>
      <c r="E5" s="69" t="str">
        <f ca="1">IFERROR(__xludf.DUMMYFUNCTION("""COMPUTED_VALUE"""),"N.V.PAVAN KUMAR")</f>
        <v>N.V.PAVAN KUMAR</v>
      </c>
      <c r="F5" s="69" t="str">
        <f ca="1">IFERROR(__xludf.DUMMYFUNCTION("""COMPUTED_VALUE"""),"18331A05B1")</f>
        <v>18331A05B1</v>
      </c>
      <c r="G5" s="69" t="str">
        <f ca="1">IFERROR(__xludf.DUMMYFUNCTION("""COMPUTED_VALUE"""),"YOUTH FOR RURAL RECONSTRUCTION CAMPAIGN")</f>
        <v>YOUTH FOR RURAL RECONSTRUCTION CAMPAIGN</v>
      </c>
      <c r="H5" s="74">
        <f ca="1">IFERROR(__xludf.DUMMYFUNCTION("""COMPUTED_VALUE"""),43467)</f>
        <v>43467</v>
      </c>
      <c r="I5" s="69" t="str">
        <f ca="1">IFERROR(__xludf.DUMMYFUNCTION("""COMPUTED_VALUE"""),"BODDAVALASA")</f>
        <v>BODDAVALASA</v>
      </c>
      <c r="J5" s="75" t="str">
        <f ca="1">IFERROR(__xludf.DUMMYFUNCTION("""COMPUTED_VALUE"""),"https://drive.google.com/open?id=1uk8fg4IYYCEf7-Gu0dZr-ENgBY6pXBXP")</f>
        <v>https://drive.google.com/open?id=1uk8fg4IYYCEf7-Gu0dZr-ENgBY6pXBXP</v>
      </c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</row>
    <row r="6" spans="1:30" ht="23.25" customHeight="1" x14ac:dyDescent="0.15">
      <c r="A6" s="69" t="str">
        <f ca="1">IFERROR(__xludf.DUMMYFUNCTION("""COMPUTED_VALUE"""),"2018-2022")</f>
        <v>2018-2022</v>
      </c>
      <c r="B6" s="69" t="str">
        <f ca="1">IFERROR(__xludf.DUMMYFUNCTION("""COMPUTED_VALUE"""),"S16: Students Social Service Programs")</f>
        <v>S16: Students Social Service Programs</v>
      </c>
      <c r="C6" s="69" t="str">
        <f ca="1">IFERROR(__xludf.DUMMYFUNCTION("""COMPUTED_VALUE"""),"madeshsandy75204@gmail.com")</f>
        <v>madeshsandy75204@gmail.com</v>
      </c>
      <c r="D6" s="69" t="str">
        <f ca="1">IFERROR(__xludf.DUMMYFUNCTION("""COMPUTED_VALUE"""),"SEM-2")</f>
        <v>SEM-2</v>
      </c>
      <c r="E6" s="69" t="str">
        <f ca="1">IFERROR(__xludf.DUMMYFUNCTION("""COMPUTED_VALUE"""),"K. V. Madesh ")</f>
        <v xml:space="preserve">K. V. Madesh </v>
      </c>
      <c r="F6" s="69" t="str">
        <f ca="1">IFERROR(__xludf.DUMMYFUNCTION("""COMPUTED_VALUE"""),"18331A0581")</f>
        <v>18331A0581</v>
      </c>
      <c r="G6" s="69" t="str">
        <f ca="1">IFERROR(__xludf.DUMMYFUNCTION("""COMPUTED_VALUE"""),"Youth for rural reconstruction campaign")</f>
        <v>Youth for rural reconstruction campaign</v>
      </c>
      <c r="H6" s="74">
        <f ca="1">IFERROR(__xludf.DUMMYFUNCTION("""COMPUTED_VALUE"""),43467)</f>
        <v>43467</v>
      </c>
      <c r="I6" s="69" t="str">
        <f ca="1">IFERROR(__xludf.DUMMYFUNCTION("""COMPUTED_VALUE"""),"Boddavalasa")</f>
        <v>Boddavalasa</v>
      </c>
      <c r="J6" s="75" t="str">
        <f ca="1">IFERROR(__xludf.DUMMYFUNCTION("""COMPUTED_VALUE"""),"https://drive.google.com/open?id=1tCFSDUGZcL96PWWWsBS3guVCHlFkThUP")</f>
        <v>https://drive.google.com/open?id=1tCFSDUGZcL96PWWWsBS3guVCHlFkThUP</v>
      </c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</row>
    <row r="7" spans="1:30" ht="23.25" customHeight="1" x14ac:dyDescent="0.15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</row>
    <row r="8" spans="1:30" ht="23.25" customHeight="1" x14ac:dyDescent="0.15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</row>
    <row r="9" spans="1:30" ht="23.25" customHeight="1" x14ac:dyDescent="0.15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</row>
    <row r="10" spans="1:30" ht="23.25" customHeight="1" x14ac:dyDescent="0.15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</row>
    <row r="11" spans="1:30" ht="23.25" customHeight="1" x14ac:dyDescent="0.15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</row>
    <row r="12" spans="1:30" ht="23.25" customHeight="1" x14ac:dyDescent="0.15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</row>
    <row r="13" spans="1:30" ht="23.25" customHeight="1" x14ac:dyDescent="0.15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</row>
    <row r="14" spans="1:30" ht="23.25" customHeight="1" x14ac:dyDescent="0.15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</row>
    <row r="15" spans="1:30" ht="23.25" customHeight="1" x14ac:dyDescent="0.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</row>
    <row r="16" spans="1:30" ht="23.25" customHeight="1" x14ac:dyDescent="0.15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</row>
    <row r="17" spans="1:30" ht="23.25" customHeight="1" x14ac:dyDescent="0.15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</row>
    <row r="18" spans="1:30" ht="23.25" customHeight="1" x14ac:dyDescent="0.15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</row>
    <row r="19" spans="1:30" ht="23.25" customHeight="1" x14ac:dyDescent="0.15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</row>
    <row r="20" spans="1:30" ht="23.25" customHeight="1" x14ac:dyDescent="0.15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</row>
    <row r="21" spans="1:30" ht="23.25" customHeight="1" x14ac:dyDescent="0.15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</row>
    <row r="22" spans="1:30" ht="23.25" customHeight="1" x14ac:dyDescent="0.15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</row>
    <row r="23" spans="1:30" ht="23.25" customHeight="1" x14ac:dyDescent="0.15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</row>
    <row r="24" spans="1:30" ht="23.25" customHeight="1" x14ac:dyDescent="0.15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</row>
    <row r="25" spans="1:30" ht="23.25" customHeight="1" x14ac:dyDescent="0.1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</row>
    <row r="26" spans="1:30" ht="23.25" customHeight="1" x14ac:dyDescent="0.15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</row>
    <row r="27" spans="1:30" ht="23.25" customHeight="1" x14ac:dyDescent="0.15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</row>
    <row r="28" spans="1:30" ht="23.25" customHeight="1" x14ac:dyDescent="0.15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</row>
    <row r="29" spans="1:30" ht="23.25" customHeight="1" x14ac:dyDescent="0.15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</row>
    <row r="30" spans="1:30" ht="23.25" customHeight="1" x14ac:dyDescent="0.15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</row>
    <row r="31" spans="1:30" ht="23.25" customHeight="1" x14ac:dyDescent="0.1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</row>
    <row r="32" spans="1:30" ht="23.25" customHeight="1" x14ac:dyDescent="0.1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</row>
    <row r="33" spans="1:30" ht="23.25" customHeight="1" x14ac:dyDescent="0.1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</row>
    <row r="34" spans="1:30" ht="23.25" customHeight="1" x14ac:dyDescent="0.1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</row>
    <row r="35" spans="1:30" ht="23.25" customHeight="1" x14ac:dyDescent="0.1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</row>
    <row r="36" spans="1:30" ht="23.25" customHeight="1" x14ac:dyDescent="0.1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</row>
    <row r="37" spans="1:30" ht="23.25" customHeight="1" x14ac:dyDescent="0.1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</row>
    <row r="38" spans="1:30" ht="23.25" customHeight="1" x14ac:dyDescent="0.1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</row>
    <row r="39" spans="1:30" ht="23.25" customHeight="1" x14ac:dyDescent="0.1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</row>
    <row r="40" spans="1:30" ht="23.25" customHeight="1" x14ac:dyDescent="0.1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</row>
    <row r="41" spans="1:30" ht="23.25" customHeight="1" x14ac:dyDescent="0.1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</row>
    <row r="42" spans="1:30" ht="23.25" customHeight="1" x14ac:dyDescent="0.1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</row>
    <row r="43" spans="1:30" ht="23.25" customHeight="1" x14ac:dyDescent="0.1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</row>
    <row r="44" spans="1:30" ht="23.25" customHeight="1" x14ac:dyDescent="0.1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</row>
    <row r="45" spans="1:30" ht="23.25" customHeight="1" x14ac:dyDescent="0.1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</row>
    <row r="46" spans="1:30" ht="23.25" customHeight="1" x14ac:dyDescent="0.1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</row>
    <row r="47" spans="1:30" ht="23.25" customHeight="1" x14ac:dyDescent="0.1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</row>
    <row r="48" spans="1:30" ht="23.25" customHeight="1" x14ac:dyDescent="0.1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</row>
    <row r="49" spans="1:30" ht="23.25" customHeight="1" x14ac:dyDescent="0.1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</row>
    <row r="50" spans="1:30" ht="23.25" customHeight="1" x14ac:dyDescent="0.1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</row>
    <row r="51" spans="1:30" ht="23.25" customHeight="1" x14ac:dyDescent="0.1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</row>
    <row r="52" spans="1:30" ht="23.25" customHeight="1" x14ac:dyDescent="0.1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</row>
    <row r="53" spans="1:30" ht="23.25" customHeight="1" x14ac:dyDescent="0.1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</row>
    <row r="54" spans="1:30" ht="23.25" customHeight="1" x14ac:dyDescent="0.1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</row>
    <row r="55" spans="1:30" ht="23.25" customHeight="1" x14ac:dyDescent="0.1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</row>
    <row r="56" spans="1:30" ht="23.25" customHeight="1" x14ac:dyDescent="0.1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</row>
    <row r="57" spans="1:30" ht="23.25" customHeight="1" x14ac:dyDescent="0.1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</row>
    <row r="58" spans="1:30" ht="23.25" customHeight="1" x14ac:dyDescent="0.1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</row>
    <row r="59" spans="1:30" ht="23.25" customHeight="1" x14ac:dyDescent="0.1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</row>
    <row r="60" spans="1:30" ht="23.25" customHeight="1" x14ac:dyDescent="0.1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</row>
    <row r="61" spans="1:30" ht="23.25" customHeight="1" x14ac:dyDescent="0.1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</row>
    <row r="62" spans="1:30" ht="23.25" customHeight="1" x14ac:dyDescent="0.1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</row>
    <row r="63" spans="1:30" ht="23.25" customHeight="1" x14ac:dyDescent="0.1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</row>
    <row r="64" spans="1:30" ht="23.25" customHeight="1" x14ac:dyDescent="0.1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</row>
    <row r="65" spans="1:30" ht="23.25" customHeight="1" x14ac:dyDescent="0.1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</row>
    <row r="66" spans="1:30" ht="23.25" customHeight="1" x14ac:dyDescent="0.1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</row>
    <row r="67" spans="1:30" ht="23.25" customHeight="1" x14ac:dyDescent="0.1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</row>
    <row r="68" spans="1:30" ht="23.25" customHeight="1" x14ac:dyDescent="0.1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</row>
    <row r="69" spans="1:30" ht="23.25" customHeight="1" x14ac:dyDescent="0.1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</row>
    <row r="70" spans="1:30" ht="23.25" customHeight="1" x14ac:dyDescent="0.1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</row>
    <row r="71" spans="1:30" ht="23.25" customHeight="1" x14ac:dyDescent="0.1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</row>
    <row r="72" spans="1:30" ht="23.25" customHeight="1" x14ac:dyDescent="0.1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</row>
    <row r="73" spans="1:30" ht="23.25" customHeight="1" x14ac:dyDescent="0.1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</row>
    <row r="74" spans="1:30" ht="23.25" customHeight="1" x14ac:dyDescent="0.1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</row>
    <row r="75" spans="1:30" ht="23.25" customHeight="1" x14ac:dyDescent="0.1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</row>
    <row r="76" spans="1:30" ht="23.25" customHeight="1" x14ac:dyDescent="0.1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</row>
    <row r="77" spans="1:30" ht="23.25" customHeight="1" x14ac:dyDescent="0.1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</row>
    <row r="78" spans="1:30" ht="23.25" customHeight="1" x14ac:dyDescent="0.1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</row>
    <row r="79" spans="1:30" ht="23.25" customHeight="1" x14ac:dyDescent="0.1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</row>
    <row r="80" spans="1:30" ht="23.25" customHeight="1" x14ac:dyDescent="0.1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</row>
    <row r="81" spans="1:30" ht="23.25" customHeight="1" x14ac:dyDescent="0.1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</row>
    <row r="82" spans="1:30" ht="23.25" customHeight="1" x14ac:dyDescent="0.1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</row>
    <row r="83" spans="1:30" ht="23.25" customHeight="1" x14ac:dyDescent="0.1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</row>
    <row r="84" spans="1:30" ht="23.25" customHeight="1" x14ac:dyDescent="0.1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</row>
    <row r="85" spans="1:30" ht="23.25" customHeight="1" x14ac:dyDescent="0.1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</row>
    <row r="86" spans="1:30" ht="23.25" customHeight="1" x14ac:dyDescent="0.1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</row>
    <row r="87" spans="1:30" ht="23.25" customHeight="1" x14ac:dyDescent="0.1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</row>
    <row r="88" spans="1:30" ht="23.25" customHeight="1" x14ac:dyDescent="0.1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</row>
    <row r="89" spans="1:30" ht="23.25" customHeight="1" x14ac:dyDescent="0.1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</row>
    <row r="90" spans="1:30" ht="23.25" customHeight="1" x14ac:dyDescent="0.1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</row>
    <row r="91" spans="1:30" ht="23.25" customHeight="1" x14ac:dyDescent="0.1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</row>
    <row r="92" spans="1:30" ht="23.25" customHeight="1" x14ac:dyDescent="0.1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</row>
    <row r="93" spans="1:30" ht="23.25" customHeight="1" x14ac:dyDescent="0.1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</row>
    <row r="94" spans="1:30" ht="23.25" customHeight="1" x14ac:dyDescent="0.1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</row>
    <row r="95" spans="1:30" ht="23.25" customHeight="1" x14ac:dyDescent="0.1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</row>
    <row r="96" spans="1:30" ht="23.25" customHeight="1" x14ac:dyDescent="0.1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</row>
    <row r="97" spans="1:30" ht="23.25" customHeight="1" x14ac:dyDescent="0.1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</row>
    <row r="98" spans="1:30" ht="23.25" customHeight="1" x14ac:dyDescent="0.1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</row>
    <row r="99" spans="1:30" ht="23.25" customHeight="1" x14ac:dyDescent="0.1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</row>
    <row r="100" spans="1:30" ht="23.25" customHeight="1" x14ac:dyDescent="0.1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</row>
    <row r="101" spans="1:30" ht="23.25" customHeight="1" x14ac:dyDescent="0.1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</row>
    <row r="102" spans="1:30" ht="23.25" customHeight="1" x14ac:dyDescent="0.1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</row>
    <row r="103" spans="1:30" ht="23.25" customHeight="1" x14ac:dyDescent="0.1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</row>
    <row r="104" spans="1:30" ht="23.25" customHeight="1" x14ac:dyDescent="0.1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</row>
    <row r="105" spans="1:30" ht="23.25" customHeight="1" x14ac:dyDescent="0.1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</row>
    <row r="106" spans="1:30" ht="23.25" customHeight="1" x14ac:dyDescent="0.1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</row>
    <row r="107" spans="1:30" ht="23.25" customHeight="1" x14ac:dyDescent="0.1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</row>
    <row r="108" spans="1:30" ht="23.25" customHeight="1" x14ac:dyDescent="0.1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</row>
    <row r="109" spans="1:30" ht="23.25" customHeight="1" x14ac:dyDescent="0.1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</row>
    <row r="110" spans="1:30" ht="23.25" customHeight="1" x14ac:dyDescent="0.1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</row>
    <row r="111" spans="1:30" ht="23.25" customHeight="1" x14ac:dyDescent="0.1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</row>
    <row r="112" spans="1:30" ht="23.25" customHeight="1" x14ac:dyDescent="0.1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</row>
    <row r="113" spans="1:30" ht="23.25" customHeight="1" x14ac:dyDescent="0.1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</row>
    <row r="114" spans="1:30" ht="23.25" customHeight="1" x14ac:dyDescent="0.1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</row>
    <row r="115" spans="1:30" ht="23.25" customHeight="1" x14ac:dyDescent="0.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</row>
    <row r="116" spans="1:30" ht="23.25" customHeight="1" x14ac:dyDescent="0.1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</row>
    <row r="117" spans="1:30" ht="23.25" customHeight="1" x14ac:dyDescent="0.1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</row>
    <row r="118" spans="1:30" ht="23.25" customHeight="1" x14ac:dyDescent="0.1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</row>
    <row r="119" spans="1:30" ht="23.25" customHeight="1" x14ac:dyDescent="0.1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</row>
    <row r="120" spans="1:30" ht="23.25" customHeight="1" x14ac:dyDescent="0.1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</row>
    <row r="121" spans="1:30" ht="23.25" customHeight="1" x14ac:dyDescent="0.1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</row>
    <row r="122" spans="1:30" ht="23.25" customHeight="1" x14ac:dyDescent="0.1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</row>
    <row r="123" spans="1:30" ht="23.25" customHeight="1" x14ac:dyDescent="0.1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</row>
    <row r="124" spans="1:30" ht="23.25" customHeight="1" x14ac:dyDescent="0.1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</row>
    <row r="125" spans="1:30" ht="23.25" customHeight="1" x14ac:dyDescent="0.1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</row>
    <row r="126" spans="1:30" ht="23.25" customHeight="1" x14ac:dyDescent="0.1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</row>
    <row r="127" spans="1:30" ht="23.25" customHeight="1" x14ac:dyDescent="0.1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</row>
    <row r="128" spans="1:30" ht="23.25" customHeight="1" x14ac:dyDescent="0.1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</row>
    <row r="129" spans="1:30" ht="23.25" customHeight="1" x14ac:dyDescent="0.1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</row>
    <row r="130" spans="1:30" ht="23.25" customHeight="1" x14ac:dyDescent="0.1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</row>
    <row r="131" spans="1:30" ht="23.25" customHeight="1" x14ac:dyDescent="0.1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</row>
    <row r="132" spans="1:30" ht="23.25" customHeight="1" x14ac:dyDescent="0.1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</row>
    <row r="133" spans="1:30" ht="23.25" customHeight="1" x14ac:dyDescent="0.1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</row>
    <row r="134" spans="1:30" ht="23.25" customHeight="1" x14ac:dyDescent="0.1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</row>
    <row r="135" spans="1:30" ht="23.25" customHeight="1" x14ac:dyDescent="0.1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</row>
    <row r="136" spans="1:30" ht="23.25" customHeight="1" x14ac:dyDescent="0.1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</row>
    <row r="137" spans="1:30" ht="23.25" customHeight="1" x14ac:dyDescent="0.1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</row>
    <row r="138" spans="1:30" ht="23.25" customHeight="1" x14ac:dyDescent="0.1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</row>
    <row r="139" spans="1:30" ht="23.25" customHeight="1" x14ac:dyDescent="0.1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</row>
    <row r="140" spans="1:30" ht="23.25" customHeight="1" x14ac:dyDescent="0.1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</row>
    <row r="141" spans="1:30" ht="23.25" customHeight="1" x14ac:dyDescent="0.1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</row>
    <row r="142" spans="1:30" ht="23.25" customHeight="1" x14ac:dyDescent="0.1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</row>
    <row r="143" spans="1:30" ht="23.25" customHeight="1" x14ac:dyDescent="0.1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</row>
    <row r="144" spans="1:30" ht="23.25" customHeight="1" x14ac:dyDescent="0.1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</row>
    <row r="145" spans="1:30" ht="23.25" customHeight="1" x14ac:dyDescent="0.1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</row>
    <row r="146" spans="1:30" ht="23.25" customHeight="1" x14ac:dyDescent="0.1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</row>
    <row r="147" spans="1:30" ht="23.25" customHeight="1" x14ac:dyDescent="0.1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</row>
    <row r="148" spans="1:30" ht="23.25" customHeight="1" x14ac:dyDescent="0.1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</row>
    <row r="149" spans="1:30" ht="23.25" customHeight="1" x14ac:dyDescent="0.1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</row>
    <row r="150" spans="1:30" ht="23.25" customHeight="1" x14ac:dyDescent="0.1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</row>
    <row r="151" spans="1:30" ht="23.25" customHeight="1" x14ac:dyDescent="0.1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</row>
    <row r="152" spans="1:30" ht="23.25" customHeight="1" x14ac:dyDescent="0.1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</row>
    <row r="153" spans="1:30" ht="23.25" customHeight="1" x14ac:dyDescent="0.1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</row>
    <row r="154" spans="1:30" ht="23.25" customHeight="1" x14ac:dyDescent="0.1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</row>
    <row r="155" spans="1:30" ht="23.25" customHeight="1" x14ac:dyDescent="0.1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</row>
    <row r="156" spans="1:30" ht="23.25" customHeight="1" x14ac:dyDescent="0.1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</row>
    <row r="157" spans="1:30" ht="23.25" customHeight="1" x14ac:dyDescent="0.1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</row>
    <row r="158" spans="1:30" ht="23.25" customHeight="1" x14ac:dyDescent="0.1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</row>
    <row r="159" spans="1:30" ht="23.25" customHeight="1" x14ac:dyDescent="0.1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</row>
    <row r="160" spans="1:30" ht="23.25" customHeight="1" x14ac:dyDescent="0.1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</row>
    <row r="161" spans="1:30" ht="23.25" customHeight="1" x14ac:dyDescent="0.1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</row>
    <row r="162" spans="1:30" ht="23.25" customHeight="1" x14ac:dyDescent="0.1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</row>
    <row r="163" spans="1:30" ht="23.25" customHeight="1" x14ac:dyDescent="0.1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</row>
    <row r="164" spans="1:30" ht="23.25" customHeight="1" x14ac:dyDescent="0.1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</row>
    <row r="165" spans="1:30" ht="23.25" customHeight="1" x14ac:dyDescent="0.1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</row>
    <row r="166" spans="1:30" ht="23.25" customHeight="1" x14ac:dyDescent="0.1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</row>
    <row r="167" spans="1:30" ht="23.25" customHeight="1" x14ac:dyDescent="0.1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</row>
    <row r="168" spans="1:30" ht="23.25" customHeight="1" x14ac:dyDescent="0.1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</row>
    <row r="169" spans="1:30" ht="23.25" customHeight="1" x14ac:dyDescent="0.1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</row>
    <row r="170" spans="1:30" ht="23.25" customHeight="1" x14ac:dyDescent="0.1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</row>
    <row r="171" spans="1:30" ht="23.25" customHeight="1" x14ac:dyDescent="0.1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</row>
    <row r="172" spans="1:30" ht="23.25" customHeight="1" x14ac:dyDescent="0.1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</row>
    <row r="173" spans="1:30" ht="23.25" customHeight="1" x14ac:dyDescent="0.1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</row>
    <row r="174" spans="1:30" ht="23.25" customHeight="1" x14ac:dyDescent="0.1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</row>
    <row r="175" spans="1:30" ht="23.25" customHeight="1" x14ac:dyDescent="0.1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</row>
    <row r="176" spans="1:30" ht="23.25" customHeight="1" x14ac:dyDescent="0.1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</row>
    <row r="177" spans="1:30" ht="23.25" customHeight="1" x14ac:dyDescent="0.1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</row>
    <row r="178" spans="1:30" ht="23.25" customHeight="1" x14ac:dyDescent="0.1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</row>
    <row r="179" spans="1:30" ht="23.25" customHeight="1" x14ac:dyDescent="0.1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</row>
    <row r="180" spans="1:30" ht="23.25" customHeight="1" x14ac:dyDescent="0.1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</row>
    <row r="181" spans="1:30" ht="23.25" customHeight="1" x14ac:dyDescent="0.1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</row>
    <row r="182" spans="1:30" ht="23.25" customHeight="1" x14ac:dyDescent="0.1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</row>
    <row r="183" spans="1:30" ht="23.25" customHeight="1" x14ac:dyDescent="0.1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</row>
    <row r="184" spans="1:30" ht="23.25" customHeight="1" x14ac:dyDescent="0.1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</row>
    <row r="185" spans="1:30" ht="23.25" customHeight="1" x14ac:dyDescent="0.1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</row>
    <row r="186" spans="1:30" ht="23.25" customHeight="1" x14ac:dyDescent="0.1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</row>
    <row r="187" spans="1:30" ht="23.25" customHeight="1" x14ac:dyDescent="0.1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</row>
    <row r="188" spans="1:30" ht="23.25" customHeight="1" x14ac:dyDescent="0.1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</row>
    <row r="189" spans="1:30" ht="23.25" customHeight="1" x14ac:dyDescent="0.1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</row>
    <row r="190" spans="1:30" ht="23.25" customHeight="1" x14ac:dyDescent="0.1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</row>
    <row r="191" spans="1:30" ht="23.25" customHeight="1" x14ac:dyDescent="0.1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</row>
    <row r="192" spans="1:30" ht="23.25" customHeight="1" x14ac:dyDescent="0.1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</row>
    <row r="193" spans="1:30" ht="23.25" customHeight="1" x14ac:dyDescent="0.1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</row>
    <row r="194" spans="1:30" ht="23.25" customHeight="1" x14ac:dyDescent="0.1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</row>
    <row r="195" spans="1:30" ht="23.25" customHeight="1" x14ac:dyDescent="0.1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</row>
    <row r="196" spans="1:30" ht="23.25" customHeight="1" x14ac:dyDescent="0.1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</row>
    <row r="197" spans="1:30" ht="23.25" customHeight="1" x14ac:dyDescent="0.1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</row>
    <row r="198" spans="1:30" ht="23.25" customHeight="1" x14ac:dyDescent="0.1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</row>
    <row r="199" spans="1:30" ht="23.25" customHeight="1" x14ac:dyDescent="0.1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</row>
    <row r="200" spans="1:30" ht="23.25" customHeight="1" x14ac:dyDescent="0.1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</row>
    <row r="201" spans="1:30" ht="23.25" customHeight="1" x14ac:dyDescent="0.1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</row>
    <row r="202" spans="1:30" ht="23.25" customHeight="1" x14ac:dyDescent="0.1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</row>
    <row r="203" spans="1:30" ht="23.25" customHeight="1" x14ac:dyDescent="0.1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</row>
    <row r="204" spans="1:30" ht="23.25" customHeight="1" x14ac:dyDescent="0.1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</row>
    <row r="205" spans="1:30" ht="23.25" customHeight="1" x14ac:dyDescent="0.1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</row>
    <row r="206" spans="1:30" ht="23.25" customHeight="1" x14ac:dyDescent="0.1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</row>
    <row r="207" spans="1:30" ht="23.25" customHeight="1" x14ac:dyDescent="0.1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</row>
    <row r="208" spans="1:30" ht="23.25" customHeight="1" x14ac:dyDescent="0.1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</row>
    <row r="209" spans="1:30" ht="23.25" customHeight="1" x14ac:dyDescent="0.1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</row>
    <row r="210" spans="1:30" ht="23.25" customHeight="1" x14ac:dyDescent="0.1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</row>
    <row r="211" spans="1:30" ht="23.25" customHeight="1" x14ac:dyDescent="0.1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</row>
    <row r="212" spans="1:30" ht="23.25" customHeight="1" x14ac:dyDescent="0.1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</row>
    <row r="213" spans="1:30" ht="23.25" customHeight="1" x14ac:dyDescent="0.1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</row>
    <row r="214" spans="1:30" ht="23.25" customHeight="1" x14ac:dyDescent="0.1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</row>
    <row r="215" spans="1:30" ht="23.25" customHeight="1" x14ac:dyDescent="0.1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</row>
    <row r="216" spans="1:30" ht="23.25" customHeight="1" x14ac:dyDescent="0.1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</row>
    <row r="217" spans="1:30" ht="23.25" customHeight="1" x14ac:dyDescent="0.1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</row>
    <row r="218" spans="1:30" ht="23.25" customHeight="1" x14ac:dyDescent="0.1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</row>
    <row r="219" spans="1:30" ht="23.25" customHeight="1" x14ac:dyDescent="0.1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</row>
    <row r="220" spans="1:30" ht="23.25" customHeight="1" x14ac:dyDescent="0.1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</row>
    <row r="221" spans="1:30" ht="23.25" customHeight="1" x14ac:dyDescent="0.1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</row>
    <row r="222" spans="1:30" ht="23.25" customHeight="1" x14ac:dyDescent="0.1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</row>
    <row r="223" spans="1:30" ht="23.25" customHeight="1" x14ac:dyDescent="0.1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</row>
    <row r="224" spans="1:30" ht="23.25" customHeight="1" x14ac:dyDescent="0.1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</row>
    <row r="225" spans="1:30" ht="23.25" customHeight="1" x14ac:dyDescent="0.1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</row>
    <row r="226" spans="1:30" ht="23.25" customHeight="1" x14ac:dyDescent="0.1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</row>
    <row r="227" spans="1:30" ht="23.25" customHeight="1" x14ac:dyDescent="0.1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</row>
    <row r="228" spans="1:30" ht="23.25" customHeight="1" x14ac:dyDescent="0.1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</row>
    <row r="229" spans="1:30" ht="23.25" customHeight="1" x14ac:dyDescent="0.1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</row>
    <row r="230" spans="1:30" ht="23.25" customHeight="1" x14ac:dyDescent="0.1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</row>
    <row r="231" spans="1:30" ht="23.25" customHeight="1" x14ac:dyDescent="0.1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</row>
    <row r="232" spans="1:30" ht="23.25" customHeight="1" x14ac:dyDescent="0.1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</row>
    <row r="233" spans="1:30" ht="23.25" customHeight="1" x14ac:dyDescent="0.1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</row>
    <row r="234" spans="1:30" ht="23.25" customHeight="1" x14ac:dyDescent="0.1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</row>
    <row r="235" spans="1:30" ht="23.25" customHeight="1" x14ac:dyDescent="0.1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</row>
    <row r="236" spans="1:30" ht="23.25" customHeight="1" x14ac:dyDescent="0.1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</row>
    <row r="237" spans="1:30" ht="23.25" customHeight="1" x14ac:dyDescent="0.1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</row>
    <row r="238" spans="1:30" ht="23.25" customHeight="1" x14ac:dyDescent="0.1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</row>
    <row r="239" spans="1:30" ht="23.25" customHeight="1" x14ac:dyDescent="0.1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</row>
    <row r="240" spans="1:30" ht="23.25" customHeight="1" x14ac:dyDescent="0.1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</row>
    <row r="241" spans="1:30" ht="23.25" customHeight="1" x14ac:dyDescent="0.1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</row>
    <row r="242" spans="1:30" ht="23.25" customHeight="1" x14ac:dyDescent="0.1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</row>
    <row r="243" spans="1:30" ht="23.25" customHeight="1" x14ac:dyDescent="0.1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</row>
    <row r="244" spans="1:30" ht="23.25" customHeight="1" x14ac:dyDescent="0.1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</row>
    <row r="245" spans="1:30" ht="23.25" customHeight="1" x14ac:dyDescent="0.1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</row>
    <row r="246" spans="1:30" ht="23.25" customHeight="1" x14ac:dyDescent="0.1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</row>
    <row r="247" spans="1:30" ht="23.25" customHeight="1" x14ac:dyDescent="0.1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</row>
    <row r="248" spans="1:30" ht="23.25" customHeight="1" x14ac:dyDescent="0.1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</row>
    <row r="249" spans="1:30" ht="23.25" customHeight="1" x14ac:dyDescent="0.1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</row>
    <row r="250" spans="1:30" ht="23.25" customHeight="1" x14ac:dyDescent="0.1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</row>
    <row r="251" spans="1:30" ht="23.25" customHeight="1" x14ac:dyDescent="0.1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</row>
    <row r="252" spans="1:30" ht="23.25" customHeight="1" x14ac:dyDescent="0.1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</row>
    <row r="253" spans="1:30" ht="23.25" customHeight="1" x14ac:dyDescent="0.1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</row>
    <row r="254" spans="1:30" ht="23.25" customHeight="1" x14ac:dyDescent="0.1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</row>
    <row r="255" spans="1:30" ht="23.25" customHeight="1" x14ac:dyDescent="0.1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</row>
    <row r="256" spans="1:30" ht="23.25" customHeight="1" x14ac:dyDescent="0.1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</row>
    <row r="257" spans="1:30" ht="23.25" customHeight="1" x14ac:dyDescent="0.1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</row>
    <row r="258" spans="1:30" ht="23.25" customHeight="1" x14ac:dyDescent="0.1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</row>
    <row r="259" spans="1:30" ht="23.25" customHeight="1" x14ac:dyDescent="0.1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</row>
    <row r="260" spans="1:30" ht="23.25" customHeight="1" x14ac:dyDescent="0.1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</row>
    <row r="261" spans="1:30" ht="23.25" customHeight="1" x14ac:dyDescent="0.1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</row>
    <row r="262" spans="1:30" ht="23.25" customHeight="1" x14ac:dyDescent="0.1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</row>
    <row r="263" spans="1:30" ht="23.25" customHeight="1" x14ac:dyDescent="0.1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</row>
    <row r="264" spans="1:30" ht="23.25" customHeight="1" x14ac:dyDescent="0.1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</row>
    <row r="265" spans="1:30" ht="23.25" customHeight="1" x14ac:dyDescent="0.1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</row>
    <row r="266" spans="1:30" ht="23.25" customHeight="1" x14ac:dyDescent="0.1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</row>
    <row r="267" spans="1:30" ht="23.25" customHeight="1" x14ac:dyDescent="0.1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</row>
    <row r="268" spans="1:30" ht="23.25" customHeight="1" x14ac:dyDescent="0.1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</row>
    <row r="269" spans="1:30" ht="23.25" customHeight="1" x14ac:dyDescent="0.1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</row>
    <row r="270" spans="1:30" ht="23.25" customHeight="1" x14ac:dyDescent="0.1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</row>
    <row r="271" spans="1:30" ht="23.25" customHeight="1" x14ac:dyDescent="0.1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</row>
    <row r="272" spans="1:30" ht="23.25" customHeight="1" x14ac:dyDescent="0.1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</row>
    <row r="273" spans="1:30" ht="23.25" customHeight="1" x14ac:dyDescent="0.1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</row>
    <row r="274" spans="1:30" ht="23.25" customHeight="1" x14ac:dyDescent="0.1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</row>
    <row r="275" spans="1:30" ht="23.25" customHeight="1" x14ac:dyDescent="0.1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</row>
    <row r="276" spans="1:30" ht="23.25" customHeight="1" x14ac:dyDescent="0.1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</row>
    <row r="277" spans="1:30" ht="23.25" customHeight="1" x14ac:dyDescent="0.1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</row>
    <row r="278" spans="1:30" ht="23.25" customHeight="1" x14ac:dyDescent="0.1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</row>
    <row r="279" spans="1:30" ht="23.25" customHeight="1" x14ac:dyDescent="0.1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</row>
    <row r="280" spans="1:30" ht="23.25" customHeight="1" x14ac:dyDescent="0.1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</row>
    <row r="281" spans="1:30" ht="23.25" customHeight="1" x14ac:dyDescent="0.1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</row>
    <row r="282" spans="1:30" ht="23.25" customHeight="1" x14ac:dyDescent="0.1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</row>
    <row r="283" spans="1:30" ht="23.25" customHeight="1" x14ac:dyDescent="0.1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</row>
    <row r="284" spans="1:30" ht="23.25" customHeight="1" x14ac:dyDescent="0.1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</row>
    <row r="285" spans="1:30" ht="23.25" customHeight="1" x14ac:dyDescent="0.1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</row>
    <row r="286" spans="1:30" ht="23.25" customHeight="1" x14ac:dyDescent="0.1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</row>
    <row r="287" spans="1:30" ht="23.25" customHeight="1" x14ac:dyDescent="0.1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</row>
    <row r="288" spans="1:30" ht="23.25" customHeight="1" x14ac:dyDescent="0.1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</row>
    <row r="289" spans="1:30" ht="23.25" customHeight="1" x14ac:dyDescent="0.1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</row>
    <row r="290" spans="1:30" ht="23.25" customHeight="1" x14ac:dyDescent="0.1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</row>
    <row r="291" spans="1:30" ht="23.25" customHeight="1" x14ac:dyDescent="0.1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</row>
    <row r="292" spans="1:30" ht="23.25" customHeight="1" x14ac:dyDescent="0.1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</row>
    <row r="293" spans="1:30" ht="23.25" customHeight="1" x14ac:dyDescent="0.1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</row>
    <row r="294" spans="1:30" ht="23.25" customHeight="1" x14ac:dyDescent="0.1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</row>
    <row r="295" spans="1:30" ht="23.25" customHeight="1" x14ac:dyDescent="0.1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</row>
    <row r="296" spans="1:30" ht="23.25" customHeight="1" x14ac:dyDescent="0.1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</row>
    <row r="297" spans="1:30" ht="23.25" customHeight="1" x14ac:dyDescent="0.1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</row>
    <row r="298" spans="1:30" ht="23.25" customHeight="1" x14ac:dyDescent="0.1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</row>
    <row r="299" spans="1:30" ht="23.25" customHeight="1" x14ac:dyDescent="0.1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</row>
    <row r="300" spans="1:30" ht="23.25" customHeight="1" x14ac:dyDescent="0.1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</row>
    <row r="301" spans="1:30" ht="23.25" customHeight="1" x14ac:dyDescent="0.1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</row>
    <row r="302" spans="1:30" ht="23.25" customHeight="1" x14ac:dyDescent="0.1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</row>
    <row r="303" spans="1:30" ht="23.25" customHeight="1" x14ac:dyDescent="0.1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</row>
    <row r="304" spans="1:30" ht="23.25" customHeight="1" x14ac:dyDescent="0.1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</row>
    <row r="305" spans="1:30" ht="23.25" customHeight="1" x14ac:dyDescent="0.1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</row>
    <row r="306" spans="1:30" ht="23.25" customHeight="1" x14ac:dyDescent="0.1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</row>
    <row r="307" spans="1:30" ht="23.25" customHeight="1" x14ac:dyDescent="0.1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</row>
    <row r="308" spans="1:30" ht="23.25" customHeight="1" x14ac:dyDescent="0.1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</row>
    <row r="309" spans="1:30" ht="23.25" customHeight="1" x14ac:dyDescent="0.1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</row>
    <row r="310" spans="1:30" ht="23.25" customHeight="1" x14ac:dyDescent="0.1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</row>
    <row r="311" spans="1:30" ht="23.25" customHeight="1" x14ac:dyDescent="0.1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</row>
    <row r="312" spans="1:30" ht="23.25" customHeight="1" x14ac:dyDescent="0.1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</row>
    <row r="313" spans="1:30" ht="23.25" customHeight="1" x14ac:dyDescent="0.1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</row>
    <row r="314" spans="1:30" ht="23.25" customHeight="1" x14ac:dyDescent="0.1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</row>
    <row r="315" spans="1:30" ht="23.25" customHeight="1" x14ac:dyDescent="0.1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</row>
    <row r="316" spans="1:30" ht="23.25" customHeight="1" x14ac:dyDescent="0.1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</row>
    <row r="317" spans="1:30" ht="23.25" customHeight="1" x14ac:dyDescent="0.1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</row>
    <row r="318" spans="1:30" ht="23.25" customHeight="1" x14ac:dyDescent="0.1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</row>
    <row r="319" spans="1:30" ht="23.25" customHeight="1" x14ac:dyDescent="0.1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</row>
    <row r="320" spans="1:30" ht="23.25" customHeight="1" x14ac:dyDescent="0.1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</row>
    <row r="321" spans="1:30" ht="23.25" customHeight="1" x14ac:dyDescent="0.1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</row>
    <row r="322" spans="1:30" ht="23.25" customHeight="1" x14ac:dyDescent="0.1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</row>
    <row r="323" spans="1:30" ht="23.25" customHeight="1" x14ac:dyDescent="0.1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</row>
    <row r="324" spans="1:30" ht="23.25" customHeight="1" x14ac:dyDescent="0.1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</row>
    <row r="325" spans="1:30" ht="23.25" customHeight="1" x14ac:dyDescent="0.1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</row>
    <row r="326" spans="1:30" ht="23.25" customHeight="1" x14ac:dyDescent="0.1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</row>
    <row r="327" spans="1:30" ht="23.25" customHeight="1" x14ac:dyDescent="0.1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</row>
    <row r="328" spans="1:30" ht="23.25" customHeight="1" x14ac:dyDescent="0.1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</row>
    <row r="329" spans="1:30" ht="23.25" customHeight="1" x14ac:dyDescent="0.1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</row>
    <row r="330" spans="1:30" ht="23.25" customHeight="1" x14ac:dyDescent="0.1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</row>
    <row r="331" spans="1:30" ht="23.25" customHeight="1" x14ac:dyDescent="0.1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</row>
    <row r="332" spans="1:30" ht="23.25" customHeight="1" x14ac:dyDescent="0.1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</row>
    <row r="333" spans="1:30" ht="23.25" customHeight="1" x14ac:dyDescent="0.1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</row>
    <row r="334" spans="1:30" ht="23.25" customHeight="1" x14ac:dyDescent="0.1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</row>
    <row r="335" spans="1:30" ht="23.25" customHeight="1" x14ac:dyDescent="0.1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</row>
    <row r="336" spans="1:30" ht="23.25" customHeight="1" x14ac:dyDescent="0.1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</row>
    <row r="337" spans="1:30" ht="23.25" customHeight="1" x14ac:dyDescent="0.1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</row>
    <row r="338" spans="1:30" ht="23.25" customHeight="1" x14ac:dyDescent="0.1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</row>
    <row r="339" spans="1:30" ht="23.25" customHeight="1" x14ac:dyDescent="0.1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</row>
    <row r="340" spans="1:30" ht="23.25" customHeight="1" x14ac:dyDescent="0.1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</row>
    <row r="341" spans="1:30" ht="23.25" customHeight="1" x14ac:dyDescent="0.1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</row>
    <row r="342" spans="1:30" ht="23.25" customHeight="1" x14ac:dyDescent="0.1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</row>
    <row r="343" spans="1:30" ht="23.25" customHeight="1" x14ac:dyDescent="0.1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</row>
    <row r="344" spans="1:30" ht="23.25" customHeight="1" x14ac:dyDescent="0.1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</row>
    <row r="345" spans="1:30" ht="23.25" customHeight="1" x14ac:dyDescent="0.1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</row>
    <row r="346" spans="1:30" ht="23.25" customHeight="1" x14ac:dyDescent="0.1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</row>
    <row r="347" spans="1:30" ht="23.25" customHeight="1" x14ac:dyDescent="0.1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</row>
    <row r="348" spans="1:30" ht="23.25" customHeight="1" x14ac:dyDescent="0.1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</row>
    <row r="349" spans="1:30" ht="23.25" customHeight="1" x14ac:dyDescent="0.1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</row>
    <row r="350" spans="1:30" ht="23.25" customHeight="1" x14ac:dyDescent="0.1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</row>
    <row r="351" spans="1:30" ht="23.25" customHeight="1" x14ac:dyDescent="0.1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</row>
    <row r="352" spans="1:30" ht="23.25" customHeight="1" x14ac:dyDescent="0.1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</row>
    <row r="353" spans="1:30" ht="23.25" customHeight="1" x14ac:dyDescent="0.1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</row>
    <row r="354" spans="1:30" ht="23.25" customHeight="1" x14ac:dyDescent="0.1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</row>
    <row r="355" spans="1:30" ht="23.25" customHeight="1" x14ac:dyDescent="0.1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</row>
    <row r="356" spans="1:30" ht="23.25" customHeight="1" x14ac:dyDescent="0.1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</row>
    <row r="357" spans="1:30" ht="23.25" customHeight="1" x14ac:dyDescent="0.1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</row>
    <row r="358" spans="1:30" ht="23.25" customHeight="1" x14ac:dyDescent="0.1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</row>
    <row r="359" spans="1:30" ht="23.25" customHeight="1" x14ac:dyDescent="0.1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</row>
    <row r="360" spans="1:30" ht="23.25" customHeight="1" x14ac:dyDescent="0.1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</row>
    <row r="361" spans="1:30" ht="23.25" customHeight="1" x14ac:dyDescent="0.1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</row>
    <row r="362" spans="1:30" ht="23.25" customHeight="1" x14ac:dyDescent="0.1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</row>
    <row r="363" spans="1:30" ht="23.25" customHeight="1" x14ac:dyDescent="0.1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</row>
    <row r="364" spans="1:30" ht="23.25" customHeight="1" x14ac:dyDescent="0.1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</row>
    <row r="365" spans="1:30" ht="23.25" customHeight="1" x14ac:dyDescent="0.1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</row>
    <row r="366" spans="1:30" ht="23.25" customHeight="1" x14ac:dyDescent="0.1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</row>
    <row r="367" spans="1:30" ht="23.25" customHeight="1" x14ac:dyDescent="0.1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</row>
    <row r="368" spans="1:30" ht="23.25" customHeight="1" x14ac:dyDescent="0.1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</row>
    <row r="369" spans="1:30" ht="23.25" customHeight="1" x14ac:dyDescent="0.1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</row>
    <row r="370" spans="1:30" ht="23.25" customHeight="1" x14ac:dyDescent="0.1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</row>
    <row r="371" spans="1:30" ht="23.25" customHeight="1" x14ac:dyDescent="0.1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</row>
    <row r="372" spans="1:30" ht="23.25" customHeight="1" x14ac:dyDescent="0.1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</row>
    <row r="373" spans="1:30" ht="23.25" customHeight="1" x14ac:dyDescent="0.1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</row>
    <row r="374" spans="1:30" ht="23.25" customHeight="1" x14ac:dyDescent="0.1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</row>
    <row r="375" spans="1:30" ht="23.25" customHeight="1" x14ac:dyDescent="0.1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</row>
    <row r="376" spans="1:30" ht="23.25" customHeight="1" x14ac:dyDescent="0.1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</row>
    <row r="377" spans="1:30" ht="23.25" customHeight="1" x14ac:dyDescent="0.1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</row>
    <row r="378" spans="1:30" ht="23.25" customHeight="1" x14ac:dyDescent="0.1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</row>
    <row r="379" spans="1:30" ht="23.25" customHeight="1" x14ac:dyDescent="0.1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</row>
    <row r="380" spans="1:30" ht="23.25" customHeight="1" x14ac:dyDescent="0.1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</row>
    <row r="381" spans="1:30" ht="23.25" customHeight="1" x14ac:dyDescent="0.1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</row>
    <row r="382" spans="1:30" ht="23.25" customHeight="1" x14ac:dyDescent="0.1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</row>
    <row r="383" spans="1:30" ht="23.25" customHeight="1" x14ac:dyDescent="0.1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</row>
    <row r="384" spans="1:30" ht="23.25" customHeight="1" x14ac:dyDescent="0.1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</row>
    <row r="385" spans="1:30" ht="23.25" customHeight="1" x14ac:dyDescent="0.1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</row>
    <row r="386" spans="1:30" ht="23.25" customHeight="1" x14ac:dyDescent="0.1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</row>
    <row r="387" spans="1:30" ht="23.25" customHeight="1" x14ac:dyDescent="0.1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</row>
    <row r="388" spans="1:30" ht="23.25" customHeight="1" x14ac:dyDescent="0.1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</row>
    <row r="389" spans="1:30" ht="23.25" customHeight="1" x14ac:dyDescent="0.1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</row>
    <row r="390" spans="1:30" ht="23.25" customHeight="1" x14ac:dyDescent="0.1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</row>
    <row r="391" spans="1:30" ht="23.25" customHeight="1" x14ac:dyDescent="0.1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</row>
    <row r="392" spans="1:30" ht="23.25" customHeight="1" x14ac:dyDescent="0.1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</row>
    <row r="393" spans="1:30" ht="23.25" customHeight="1" x14ac:dyDescent="0.1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</row>
    <row r="394" spans="1:30" ht="23.25" customHeight="1" x14ac:dyDescent="0.1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</row>
    <row r="395" spans="1:30" ht="23.25" customHeight="1" x14ac:dyDescent="0.1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</row>
    <row r="396" spans="1:30" ht="23.25" customHeight="1" x14ac:dyDescent="0.1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</row>
    <row r="397" spans="1:30" ht="23.25" customHeight="1" x14ac:dyDescent="0.1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</row>
    <row r="398" spans="1:30" ht="23.25" customHeight="1" x14ac:dyDescent="0.1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</row>
    <row r="399" spans="1:30" ht="23.25" customHeight="1" x14ac:dyDescent="0.1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</row>
    <row r="400" spans="1:30" ht="23.25" customHeight="1" x14ac:dyDescent="0.1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</row>
    <row r="401" spans="1:30" ht="23.25" customHeight="1" x14ac:dyDescent="0.1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</row>
    <row r="402" spans="1:30" ht="23.25" customHeight="1" x14ac:dyDescent="0.1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</row>
    <row r="403" spans="1:30" ht="23.25" customHeight="1" x14ac:dyDescent="0.1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</row>
    <row r="404" spans="1:30" ht="23.25" customHeight="1" x14ac:dyDescent="0.1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</row>
    <row r="405" spans="1:30" ht="23.25" customHeight="1" x14ac:dyDescent="0.1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</row>
    <row r="406" spans="1:30" ht="23.25" customHeight="1" x14ac:dyDescent="0.1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</row>
    <row r="407" spans="1:30" ht="23.25" customHeight="1" x14ac:dyDescent="0.1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</row>
    <row r="408" spans="1:30" ht="23.25" customHeight="1" x14ac:dyDescent="0.1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</row>
    <row r="409" spans="1:30" ht="23.25" customHeight="1" x14ac:dyDescent="0.1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</row>
    <row r="410" spans="1:30" ht="23.25" customHeight="1" x14ac:dyDescent="0.1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</row>
    <row r="411" spans="1:30" ht="23.25" customHeight="1" x14ac:dyDescent="0.1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</row>
    <row r="412" spans="1:30" ht="23.25" customHeight="1" x14ac:dyDescent="0.1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</row>
    <row r="413" spans="1:30" ht="23.25" customHeight="1" x14ac:dyDescent="0.1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</row>
    <row r="414" spans="1:30" ht="23.25" customHeight="1" x14ac:dyDescent="0.1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</row>
    <row r="415" spans="1:30" ht="23.25" customHeight="1" x14ac:dyDescent="0.1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</row>
    <row r="416" spans="1:30" ht="23.25" customHeight="1" x14ac:dyDescent="0.1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</row>
    <row r="417" spans="1:30" ht="23.25" customHeight="1" x14ac:dyDescent="0.1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</row>
    <row r="418" spans="1:30" ht="23.25" customHeight="1" x14ac:dyDescent="0.1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</row>
    <row r="419" spans="1:30" ht="23.25" customHeight="1" x14ac:dyDescent="0.1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</row>
    <row r="420" spans="1:30" ht="23.25" customHeight="1" x14ac:dyDescent="0.1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</row>
    <row r="421" spans="1:30" ht="23.25" customHeight="1" x14ac:dyDescent="0.1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</row>
    <row r="422" spans="1:30" ht="23.25" customHeight="1" x14ac:dyDescent="0.1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</row>
    <row r="423" spans="1:30" ht="23.25" customHeight="1" x14ac:dyDescent="0.1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</row>
    <row r="424" spans="1:30" ht="23.25" customHeight="1" x14ac:dyDescent="0.1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</row>
    <row r="425" spans="1:30" ht="23.25" customHeight="1" x14ac:dyDescent="0.1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</row>
    <row r="426" spans="1:30" ht="23.25" customHeight="1" x14ac:dyDescent="0.1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</row>
    <row r="427" spans="1:30" ht="23.25" customHeight="1" x14ac:dyDescent="0.1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</row>
    <row r="428" spans="1:30" ht="23.25" customHeight="1" x14ac:dyDescent="0.1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</row>
    <row r="429" spans="1:30" ht="23.25" customHeight="1" x14ac:dyDescent="0.1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</row>
    <row r="430" spans="1:30" ht="23.25" customHeight="1" x14ac:dyDescent="0.1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</row>
    <row r="431" spans="1:30" ht="23.25" customHeight="1" x14ac:dyDescent="0.1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</row>
    <row r="432" spans="1:30" ht="23.25" customHeight="1" x14ac:dyDescent="0.1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</row>
    <row r="433" spans="1:30" ht="23.25" customHeight="1" x14ac:dyDescent="0.1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</row>
    <row r="434" spans="1:30" ht="23.25" customHeight="1" x14ac:dyDescent="0.1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</row>
    <row r="435" spans="1:30" ht="23.25" customHeight="1" x14ac:dyDescent="0.1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</row>
    <row r="436" spans="1:30" ht="23.25" customHeight="1" x14ac:dyDescent="0.1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</row>
    <row r="437" spans="1:30" ht="23.25" customHeight="1" x14ac:dyDescent="0.1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</row>
    <row r="438" spans="1:30" ht="23.25" customHeight="1" x14ac:dyDescent="0.1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</row>
    <row r="439" spans="1:30" ht="23.25" customHeight="1" x14ac:dyDescent="0.1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</row>
    <row r="440" spans="1:30" ht="23.25" customHeight="1" x14ac:dyDescent="0.1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</row>
    <row r="441" spans="1:30" ht="23.25" customHeight="1" x14ac:dyDescent="0.1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</row>
    <row r="442" spans="1:30" ht="23.25" customHeight="1" x14ac:dyDescent="0.1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</row>
    <row r="443" spans="1:30" ht="23.25" customHeight="1" x14ac:dyDescent="0.1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</row>
    <row r="444" spans="1:30" ht="23.25" customHeight="1" x14ac:dyDescent="0.1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</row>
    <row r="445" spans="1:30" ht="23.25" customHeight="1" x14ac:dyDescent="0.1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</row>
    <row r="446" spans="1:30" ht="23.25" customHeight="1" x14ac:dyDescent="0.1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</row>
    <row r="447" spans="1:30" ht="23.25" customHeight="1" x14ac:dyDescent="0.1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</row>
    <row r="448" spans="1:30" ht="23.25" customHeight="1" x14ac:dyDescent="0.1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</row>
    <row r="449" spans="1:30" ht="23.25" customHeight="1" x14ac:dyDescent="0.1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</row>
    <row r="450" spans="1:30" ht="23.25" customHeight="1" x14ac:dyDescent="0.1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</row>
    <row r="451" spans="1:30" ht="23.25" customHeight="1" x14ac:dyDescent="0.1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</row>
    <row r="452" spans="1:30" ht="23.25" customHeight="1" x14ac:dyDescent="0.1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</row>
    <row r="453" spans="1:30" ht="23.25" customHeight="1" x14ac:dyDescent="0.1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</row>
    <row r="454" spans="1:30" ht="23.25" customHeight="1" x14ac:dyDescent="0.1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</row>
    <row r="455" spans="1:30" ht="23.25" customHeight="1" x14ac:dyDescent="0.1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</row>
    <row r="456" spans="1:30" ht="23.25" customHeight="1" x14ac:dyDescent="0.1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</row>
    <row r="457" spans="1:30" ht="23.25" customHeight="1" x14ac:dyDescent="0.1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</row>
    <row r="458" spans="1:30" ht="23.25" customHeight="1" x14ac:dyDescent="0.1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</row>
    <row r="459" spans="1:30" ht="23.25" customHeight="1" x14ac:dyDescent="0.1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</row>
    <row r="460" spans="1:30" ht="23.25" customHeight="1" x14ac:dyDescent="0.1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</row>
    <row r="461" spans="1:30" ht="23.25" customHeight="1" x14ac:dyDescent="0.1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</row>
    <row r="462" spans="1:30" ht="23.25" customHeight="1" x14ac:dyDescent="0.1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</row>
    <row r="463" spans="1:30" ht="23.25" customHeight="1" x14ac:dyDescent="0.1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</row>
    <row r="464" spans="1:30" ht="23.25" customHeight="1" x14ac:dyDescent="0.1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</row>
    <row r="465" spans="1:30" ht="23.25" customHeight="1" x14ac:dyDescent="0.1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</row>
    <row r="466" spans="1:30" ht="23.25" customHeight="1" x14ac:dyDescent="0.1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</row>
    <row r="467" spans="1:30" ht="23.25" customHeight="1" x14ac:dyDescent="0.1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</row>
    <row r="468" spans="1:30" ht="23.25" customHeight="1" x14ac:dyDescent="0.1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</row>
    <row r="469" spans="1:30" ht="23.25" customHeight="1" x14ac:dyDescent="0.1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</row>
    <row r="470" spans="1:30" ht="23.25" customHeight="1" x14ac:dyDescent="0.1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</row>
    <row r="471" spans="1:30" ht="23.25" customHeight="1" x14ac:dyDescent="0.1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</row>
    <row r="472" spans="1:30" ht="23.25" customHeight="1" x14ac:dyDescent="0.1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</row>
    <row r="473" spans="1:30" ht="23.25" customHeight="1" x14ac:dyDescent="0.1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</row>
    <row r="474" spans="1:30" ht="23.25" customHeight="1" x14ac:dyDescent="0.1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</row>
    <row r="475" spans="1:30" ht="23.25" customHeight="1" x14ac:dyDescent="0.1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</row>
    <row r="476" spans="1:30" ht="23.25" customHeight="1" x14ac:dyDescent="0.1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</row>
    <row r="477" spans="1:30" ht="23.25" customHeight="1" x14ac:dyDescent="0.1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</row>
    <row r="478" spans="1:30" ht="23.25" customHeight="1" x14ac:dyDescent="0.1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</row>
    <row r="479" spans="1:30" ht="23.25" customHeight="1" x14ac:dyDescent="0.1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</row>
    <row r="480" spans="1:30" ht="23.25" customHeight="1" x14ac:dyDescent="0.1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</row>
    <row r="481" spans="1:30" ht="23.25" customHeight="1" x14ac:dyDescent="0.1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</row>
    <row r="482" spans="1:30" ht="23.25" customHeight="1" x14ac:dyDescent="0.1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</row>
    <row r="483" spans="1:30" ht="23.25" customHeight="1" x14ac:dyDescent="0.1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</row>
    <row r="484" spans="1:30" ht="23.25" customHeight="1" x14ac:dyDescent="0.1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</row>
    <row r="485" spans="1:30" ht="23.25" customHeight="1" x14ac:dyDescent="0.1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</row>
    <row r="486" spans="1:30" ht="23.25" customHeight="1" x14ac:dyDescent="0.1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</row>
    <row r="487" spans="1:30" ht="23.25" customHeight="1" x14ac:dyDescent="0.1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</row>
    <row r="488" spans="1:30" ht="23.25" customHeight="1" x14ac:dyDescent="0.1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</row>
    <row r="489" spans="1:30" ht="23.25" customHeight="1" x14ac:dyDescent="0.1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</row>
    <row r="490" spans="1:30" ht="23.25" customHeight="1" x14ac:dyDescent="0.1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</row>
    <row r="491" spans="1:30" ht="23.25" customHeight="1" x14ac:dyDescent="0.1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</row>
    <row r="492" spans="1:30" ht="23.25" customHeight="1" x14ac:dyDescent="0.1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</row>
    <row r="493" spans="1:30" ht="23.25" customHeight="1" x14ac:dyDescent="0.1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</row>
    <row r="494" spans="1:30" ht="23.25" customHeight="1" x14ac:dyDescent="0.1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</row>
    <row r="495" spans="1:30" ht="23.25" customHeight="1" x14ac:dyDescent="0.1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</row>
    <row r="496" spans="1:30" ht="23.25" customHeight="1" x14ac:dyDescent="0.1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</row>
    <row r="497" spans="1:30" ht="23.25" customHeight="1" x14ac:dyDescent="0.1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</row>
    <row r="498" spans="1:30" ht="23.25" customHeight="1" x14ac:dyDescent="0.1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</row>
    <row r="499" spans="1:30" ht="23.25" customHeight="1" x14ac:dyDescent="0.1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</row>
    <row r="500" spans="1:30" ht="23.25" customHeight="1" x14ac:dyDescent="0.1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</row>
    <row r="501" spans="1:30" ht="23.25" customHeight="1" x14ac:dyDescent="0.1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</row>
    <row r="502" spans="1:30" ht="23.25" customHeight="1" x14ac:dyDescent="0.1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</row>
    <row r="503" spans="1:30" ht="23.25" customHeight="1" x14ac:dyDescent="0.1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</row>
    <row r="504" spans="1:30" ht="23.25" customHeight="1" x14ac:dyDescent="0.1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</row>
    <row r="505" spans="1:30" ht="23.25" customHeight="1" x14ac:dyDescent="0.1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</row>
    <row r="506" spans="1:30" ht="23.25" customHeight="1" x14ac:dyDescent="0.1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</row>
    <row r="507" spans="1:30" ht="23.25" customHeight="1" x14ac:dyDescent="0.1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</row>
    <row r="508" spans="1:30" ht="23.25" customHeight="1" x14ac:dyDescent="0.1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</row>
    <row r="509" spans="1:30" ht="23.25" customHeight="1" x14ac:dyDescent="0.1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</row>
    <row r="510" spans="1:30" ht="23.25" customHeight="1" x14ac:dyDescent="0.1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</row>
    <row r="511" spans="1:30" ht="23.25" customHeight="1" x14ac:dyDescent="0.1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</row>
    <row r="512" spans="1:30" ht="23.25" customHeight="1" x14ac:dyDescent="0.1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</row>
    <row r="513" spans="1:30" ht="23.25" customHeight="1" x14ac:dyDescent="0.1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</row>
    <row r="514" spans="1:30" ht="23.25" customHeight="1" x14ac:dyDescent="0.1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</row>
    <row r="515" spans="1:30" ht="23.25" customHeight="1" x14ac:dyDescent="0.1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</row>
    <row r="516" spans="1:30" ht="23.25" customHeight="1" x14ac:dyDescent="0.1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</row>
    <row r="517" spans="1:30" ht="23.25" customHeight="1" x14ac:dyDescent="0.1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</row>
    <row r="518" spans="1:30" ht="23.25" customHeight="1" x14ac:dyDescent="0.1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</row>
    <row r="519" spans="1:30" ht="23.25" customHeight="1" x14ac:dyDescent="0.1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</row>
    <row r="520" spans="1:30" ht="23.25" customHeight="1" x14ac:dyDescent="0.1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</row>
    <row r="521" spans="1:30" ht="23.25" customHeight="1" x14ac:dyDescent="0.1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</row>
    <row r="522" spans="1:30" ht="23.25" customHeight="1" x14ac:dyDescent="0.1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</row>
    <row r="523" spans="1:30" ht="23.25" customHeight="1" x14ac:dyDescent="0.1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</row>
    <row r="524" spans="1:30" ht="23.25" customHeight="1" x14ac:dyDescent="0.1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</row>
    <row r="525" spans="1:30" ht="23.25" customHeight="1" x14ac:dyDescent="0.1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</row>
    <row r="526" spans="1:30" ht="23.25" customHeight="1" x14ac:dyDescent="0.1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</row>
    <row r="527" spans="1:30" ht="23.25" customHeight="1" x14ac:dyDescent="0.1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</row>
    <row r="528" spans="1:30" ht="23.25" customHeight="1" x14ac:dyDescent="0.1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</row>
    <row r="529" spans="1:30" ht="23.25" customHeight="1" x14ac:dyDescent="0.1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</row>
    <row r="530" spans="1:30" ht="23.25" customHeight="1" x14ac:dyDescent="0.1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</row>
    <row r="531" spans="1:30" ht="23.25" customHeight="1" x14ac:dyDescent="0.1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</row>
    <row r="532" spans="1:30" ht="23.25" customHeight="1" x14ac:dyDescent="0.1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</row>
    <row r="533" spans="1:30" ht="23.25" customHeight="1" x14ac:dyDescent="0.1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</row>
    <row r="534" spans="1:30" ht="23.25" customHeight="1" x14ac:dyDescent="0.1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</row>
    <row r="535" spans="1:30" ht="23.25" customHeight="1" x14ac:dyDescent="0.1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</row>
    <row r="536" spans="1:30" ht="23.25" customHeight="1" x14ac:dyDescent="0.1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</row>
    <row r="537" spans="1:30" ht="23.25" customHeight="1" x14ac:dyDescent="0.1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</row>
    <row r="538" spans="1:30" ht="23.25" customHeight="1" x14ac:dyDescent="0.1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</row>
    <row r="539" spans="1:30" ht="23.25" customHeight="1" x14ac:dyDescent="0.1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</row>
    <row r="540" spans="1:30" ht="23.25" customHeight="1" x14ac:dyDescent="0.1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</row>
    <row r="541" spans="1:30" ht="23.25" customHeight="1" x14ac:dyDescent="0.1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</row>
    <row r="542" spans="1:30" ht="23.25" customHeight="1" x14ac:dyDescent="0.1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</row>
    <row r="543" spans="1:30" ht="23.25" customHeight="1" x14ac:dyDescent="0.1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</row>
    <row r="544" spans="1:30" ht="23.25" customHeight="1" x14ac:dyDescent="0.1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</row>
    <row r="545" spans="1:30" ht="23.25" customHeight="1" x14ac:dyDescent="0.1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</row>
    <row r="546" spans="1:30" ht="23.25" customHeight="1" x14ac:dyDescent="0.1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</row>
    <row r="547" spans="1:30" ht="23.25" customHeight="1" x14ac:dyDescent="0.1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</row>
    <row r="548" spans="1:30" ht="23.25" customHeight="1" x14ac:dyDescent="0.1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</row>
    <row r="549" spans="1:30" ht="23.25" customHeight="1" x14ac:dyDescent="0.1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</row>
    <row r="550" spans="1:30" ht="23.25" customHeight="1" x14ac:dyDescent="0.1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</row>
    <row r="551" spans="1:30" ht="23.25" customHeight="1" x14ac:dyDescent="0.1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</row>
    <row r="552" spans="1:30" ht="23.25" customHeight="1" x14ac:dyDescent="0.1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</row>
    <row r="553" spans="1:30" ht="23.25" customHeight="1" x14ac:dyDescent="0.1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</row>
    <row r="554" spans="1:30" ht="23.25" customHeight="1" x14ac:dyDescent="0.1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</row>
    <row r="555" spans="1:30" ht="23.25" customHeight="1" x14ac:dyDescent="0.1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</row>
    <row r="556" spans="1:30" ht="23.25" customHeight="1" x14ac:dyDescent="0.1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</row>
    <row r="557" spans="1:30" ht="23.25" customHeight="1" x14ac:dyDescent="0.1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</row>
    <row r="558" spans="1:30" ht="23.25" customHeight="1" x14ac:dyDescent="0.1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</row>
    <row r="559" spans="1:30" ht="23.25" customHeight="1" x14ac:dyDescent="0.1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</row>
    <row r="560" spans="1:30" ht="23.25" customHeight="1" x14ac:dyDescent="0.1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</row>
    <row r="561" spans="1:30" ht="23.25" customHeight="1" x14ac:dyDescent="0.1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</row>
    <row r="562" spans="1:30" ht="23.25" customHeight="1" x14ac:dyDescent="0.1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</row>
    <row r="563" spans="1:30" ht="23.25" customHeight="1" x14ac:dyDescent="0.1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</row>
    <row r="564" spans="1:30" ht="23.25" customHeight="1" x14ac:dyDescent="0.1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</row>
    <row r="565" spans="1:30" ht="23.25" customHeight="1" x14ac:dyDescent="0.1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</row>
    <row r="566" spans="1:30" ht="23.25" customHeight="1" x14ac:dyDescent="0.1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</row>
    <row r="567" spans="1:30" ht="23.25" customHeight="1" x14ac:dyDescent="0.1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</row>
    <row r="568" spans="1:30" ht="23.25" customHeight="1" x14ac:dyDescent="0.1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</row>
    <row r="569" spans="1:30" ht="23.25" customHeight="1" x14ac:dyDescent="0.1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</row>
    <row r="570" spans="1:30" ht="23.25" customHeight="1" x14ac:dyDescent="0.1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</row>
    <row r="571" spans="1:30" ht="23.25" customHeight="1" x14ac:dyDescent="0.1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</row>
    <row r="572" spans="1:30" ht="23.25" customHeight="1" x14ac:dyDescent="0.1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</row>
    <row r="573" spans="1:30" ht="23.25" customHeight="1" x14ac:dyDescent="0.1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</row>
    <row r="574" spans="1:30" ht="23.25" customHeight="1" x14ac:dyDescent="0.1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</row>
    <row r="575" spans="1:30" ht="23.25" customHeight="1" x14ac:dyDescent="0.1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</row>
    <row r="576" spans="1:30" ht="23.25" customHeight="1" x14ac:dyDescent="0.1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</row>
    <row r="577" spans="1:30" ht="23.25" customHeight="1" x14ac:dyDescent="0.1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</row>
    <row r="578" spans="1:30" ht="23.25" customHeight="1" x14ac:dyDescent="0.1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</row>
    <row r="579" spans="1:30" ht="23.25" customHeight="1" x14ac:dyDescent="0.1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</row>
    <row r="580" spans="1:30" ht="23.25" customHeight="1" x14ac:dyDescent="0.1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</row>
    <row r="581" spans="1:30" ht="23.25" customHeight="1" x14ac:dyDescent="0.1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</row>
    <row r="582" spans="1:30" ht="23.25" customHeight="1" x14ac:dyDescent="0.1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</row>
    <row r="583" spans="1:30" ht="23.25" customHeight="1" x14ac:dyDescent="0.1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</row>
    <row r="584" spans="1:30" ht="23.25" customHeight="1" x14ac:dyDescent="0.1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</row>
    <row r="585" spans="1:30" ht="23.25" customHeight="1" x14ac:dyDescent="0.1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</row>
    <row r="586" spans="1:30" ht="23.25" customHeight="1" x14ac:dyDescent="0.1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</row>
    <row r="587" spans="1:30" ht="23.25" customHeight="1" x14ac:dyDescent="0.1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</row>
    <row r="588" spans="1:30" ht="23.25" customHeight="1" x14ac:dyDescent="0.1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</row>
    <row r="589" spans="1:30" ht="23.25" customHeight="1" x14ac:dyDescent="0.1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</row>
    <row r="590" spans="1:30" ht="23.25" customHeight="1" x14ac:dyDescent="0.1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</row>
    <row r="591" spans="1:30" ht="23.25" customHeight="1" x14ac:dyDescent="0.1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</row>
    <row r="592" spans="1:30" ht="23.25" customHeight="1" x14ac:dyDescent="0.1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</row>
    <row r="593" spans="1:30" ht="23.25" customHeight="1" x14ac:dyDescent="0.1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</row>
    <row r="594" spans="1:30" ht="23.25" customHeight="1" x14ac:dyDescent="0.1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</row>
    <row r="595" spans="1:30" ht="23.25" customHeight="1" x14ac:dyDescent="0.1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</row>
    <row r="596" spans="1:30" ht="23.25" customHeight="1" x14ac:dyDescent="0.1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</row>
    <row r="597" spans="1:30" ht="23.25" customHeight="1" x14ac:dyDescent="0.1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</row>
    <row r="598" spans="1:30" ht="23.25" customHeight="1" x14ac:dyDescent="0.1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</row>
    <row r="599" spans="1:30" ht="23.25" customHeight="1" x14ac:dyDescent="0.1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</row>
    <row r="600" spans="1:30" ht="23.25" customHeight="1" x14ac:dyDescent="0.1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</row>
    <row r="601" spans="1:30" ht="23.25" customHeight="1" x14ac:dyDescent="0.1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</row>
    <row r="602" spans="1:30" ht="23.25" customHeight="1" x14ac:dyDescent="0.1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</row>
    <row r="603" spans="1:30" ht="23.25" customHeight="1" x14ac:dyDescent="0.1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</row>
    <row r="604" spans="1:30" ht="23.25" customHeight="1" x14ac:dyDescent="0.1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</row>
    <row r="605" spans="1:30" ht="23.25" customHeight="1" x14ac:dyDescent="0.1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</row>
    <row r="606" spans="1:30" ht="23.25" customHeight="1" x14ac:dyDescent="0.1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</row>
    <row r="607" spans="1:30" ht="23.25" customHeight="1" x14ac:dyDescent="0.1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</row>
    <row r="608" spans="1:30" ht="23.25" customHeight="1" x14ac:dyDescent="0.1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</row>
    <row r="609" spans="1:30" ht="23.25" customHeight="1" x14ac:dyDescent="0.1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</row>
    <row r="610" spans="1:30" ht="23.25" customHeight="1" x14ac:dyDescent="0.1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</row>
    <row r="611" spans="1:30" ht="23.25" customHeight="1" x14ac:dyDescent="0.1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</row>
    <row r="612" spans="1:30" ht="23.25" customHeight="1" x14ac:dyDescent="0.1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</row>
    <row r="613" spans="1:30" ht="23.25" customHeight="1" x14ac:dyDescent="0.1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</row>
    <row r="614" spans="1:30" ht="23.25" customHeight="1" x14ac:dyDescent="0.1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</row>
    <row r="615" spans="1:30" ht="23.25" customHeight="1" x14ac:dyDescent="0.1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</row>
    <row r="616" spans="1:30" ht="23.25" customHeight="1" x14ac:dyDescent="0.1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</row>
    <row r="617" spans="1:30" ht="23.25" customHeight="1" x14ac:dyDescent="0.1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</row>
    <row r="618" spans="1:30" ht="23.25" customHeight="1" x14ac:dyDescent="0.1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</row>
    <row r="619" spans="1:30" ht="23.25" customHeight="1" x14ac:dyDescent="0.1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</row>
    <row r="620" spans="1:30" ht="23.25" customHeight="1" x14ac:dyDescent="0.1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</row>
    <row r="621" spans="1:30" ht="23.25" customHeight="1" x14ac:dyDescent="0.1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</row>
    <row r="622" spans="1:30" ht="23.25" customHeight="1" x14ac:dyDescent="0.1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</row>
    <row r="623" spans="1:30" ht="23.25" customHeight="1" x14ac:dyDescent="0.1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</row>
    <row r="624" spans="1:30" ht="23.25" customHeight="1" x14ac:dyDescent="0.1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</row>
    <row r="625" spans="1:30" ht="23.25" customHeight="1" x14ac:dyDescent="0.1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</row>
    <row r="626" spans="1:30" ht="23.25" customHeight="1" x14ac:dyDescent="0.1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</row>
    <row r="627" spans="1:30" ht="23.25" customHeight="1" x14ac:dyDescent="0.1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</row>
    <row r="628" spans="1:30" ht="23.25" customHeight="1" x14ac:dyDescent="0.1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</row>
    <row r="629" spans="1:30" ht="23.25" customHeight="1" x14ac:dyDescent="0.1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</row>
    <row r="630" spans="1:30" ht="23.25" customHeight="1" x14ac:dyDescent="0.1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</row>
    <row r="631" spans="1:30" ht="23.25" customHeight="1" x14ac:dyDescent="0.1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</row>
    <row r="632" spans="1:30" ht="23.25" customHeight="1" x14ac:dyDescent="0.1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</row>
    <row r="633" spans="1:30" ht="23.25" customHeight="1" x14ac:dyDescent="0.1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</row>
    <row r="634" spans="1:30" ht="23.25" customHeight="1" x14ac:dyDescent="0.1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</row>
    <row r="635" spans="1:30" ht="23.25" customHeight="1" x14ac:dyDescent="0.1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</row>
    <row r="636" spans="1:30" ht="23.25" customHeight="1" x14ac:dyDescent="0.1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</row>
    <row r="637" spans="1:30" ht="23.25" customHeight="1" x14ac:dyDescent="0.1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</row>
    <row r="638" spans="1:30" ht="23.25" customHeight="1" x14ac:dyDescent="0.1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</row>
    <row r="639" spans="1:30" ht="23.25" customHeight="1" x14ac:dyDescent="0.1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</row>
    <row r="640" spans="1:30" ht="23.25" customHeight="1" x14ac:dyDescent="0.1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</row>
    <row r="641" spans="1:30" ht="23.25" customHeight="1" x14ac:dyDescent="0.1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</row>
    <row r="642" spans="1:30" ht="23.25" customHeight="1" x14ac:dyDescent="0.1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</row>
    <row r="643" spans="1:30" ht="23.25" customHeight="1" x14ac:dyDescent="0.1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</row>
    <row r="644" spans="1:30" ht="23.25" customHeight="1" x14ac:dyDescent="0.1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</row>
    <row r="645" spans="1:30" ht="23.25" customHeight="1" x14ac:dyDescent="0.1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</row>
    <row r="646" spans="1:30" ht="23.25" customHeight="1" x14ac:dyDescent="0.1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</row>
    <row r="647" spans="1:30" ht="23.25" customHeight="1" x14ac:dyDescent="0.1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</row>
    <row r="648" spans="1:30" ht="23.25" customHeight="1" x14ac:dyDescent="0.1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</row>
    <row r="649" spans="1:30" ht="23.25" customHeight="1" x14ac:dyDescent="0.1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</row>
    <row r="650" spans="1:30" ht="23.25" customHeight="1" x14ac:dyDescent="0.1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</row>
    <row r="651" spans="1:30" ht="23.25" customHeight="1" x14ac:dyDescent="0.1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</row>
    <row r="652" spans="1:30" ht="23.25" customHeight="1" x14ac:dyDescent="0.1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</row>
    <row r="653" spans="1:30" ht="23.25" customHeight="1" x14ac:dyDescent="0.1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</row>
    <row r="654" spans="1:30" ht="23.25" customHeight="1" x14ac:dyDescent="0.1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</row>
    <row r="655" spans="1:30" ht="23.25" customHeight="1" x14ac:dyDescent="0.1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</row>
    <row r="656" spans="1:30" ht="23.25" customHeight="1" x14ac:dyDescent="0.1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</row>
    <row r="657" spans="1:30" ht="23.25" customHeight="1" x14ac:dyDescent="0.1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</row>
    <row r="658" spans="1:30" ht="23.25" customHeight="1" x14ac:dyDescent="0.1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</row>
    <row r="659" spans="1:30" ht="23.25" customHeight="1" x14ac:dyDescent="0.1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</row>
    <row r="660" spans="1:30" ht="23.25" customHeight="1" x14ac:dyDescent="0.1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</row>
    <row r="661" spans="1:30" ht="23.25" customHeight="1" x14ac:dyDescent="0.1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</row>
    <row r="662" spans="1:30" ht="23.25" customHeight="1" x14ac:dyDescent="0.1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</row>
    <row r="663" spans="1:30" ht="23.25" customHeight="1" x14ac:dyDescent="0.1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</row>
    <row r="664" spans="1:30" ht="23.25" customHeight="1" x14ac:dyDescent="0.1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</row>
    <row r="665" spans="1:30" ht="23.25" customHeight="1" x14ac:dyDescent="0.1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</row>
    <row r="666" spans="1:30" ht="23.25" customHeight="1" x14ac:dyDescent="0.1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</row>
    <row r="667" spans="1:30" ht="23.25" customHeight="1" x14ac:dyDescent="0.1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</row>
    <row r="668" spans="1:30" ht="23.25" customHeight="1" x14ac:dyDescent="0.1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</row>
    <row r="669" spans="1:30" ht="23.25" customHeight="1" x14ac:dyDescent="0.1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</row>
    <row r="670" spans="1:30" ht="23.25" customHeight="1" x14ac:dyDescent="0.1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</row>
    <row r="671" spans="1:30" ht="23.25" customHeight="1" x14ac:dyDescent="0.1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</row>
    <row r="672" spans="1:30" ht="23.25" customHeight="1" x14ac:dyDescent="0.1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</row>
    <row r="673" spans="1:30" ht="23.25" customHeight="1" x14ac:dyDescent="0.1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</row>
    <row r="674" spans="1:30" ht="23.25" customHeight="1" x14ac:dyDescent="0.1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</row>
    <row r="675" spans="1:30" ht="23.25" customHeight="1" x14ac:dyDescent="0.1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</row>
    <row r="676" spans="1:30" ht="23.25" customHeight="1" x14ac:dyDescent="0.1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</row>
    <row r="677" spans="1:30" ht="23.25" customHeight="1" x14ac:dyDescent="0.1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</row>
    <row r="678" spans="1:30" ht="23.25" customHeight="1" x14ac:dyDescent="0.1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</row>
    <row r="679" spans="1:30" ht="23.25" customHeight="1" x14ac:dyDescent="0.1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</row>
    <row r="680" spans="1:30" ht="23.25" customHeight="1" x14ac:dyDescent="0.1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</row>
    <row r="681" spans="1:30" ht="23.25" customHeight="1" x14ac:dyDescent="0.1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</row>
    <row r="682" spans="1:30" ht="23.25" customHeight="1" x14ac:dyDescent="0.1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</row>
    <row r="683" spans="1:30" ht="23.25" customHeight="1" x14ac:dyDescent="0.1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</row>
    <row r="684" spans="1:30" ht="23.25" customHeight="1" x14ac:dyDescent="0.1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</row>
    <row r="685" spans="1:30" ht="23.25" customHeight="1" x14ac:dyDescent="0.1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</row>
    <row r="686" spans="1:30" ht="23.25" customHeight="1" x14ac:dyDescent="0.1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</row>
    <row r="687" spans="1:30" ht="23.25" customHeight="1" x14ac:dyDescent="0.1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</row>
    <row r="688" spans="1:30" ht="23.25" customHeight="1" x14ac:dyDescent="0.1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</row>
    <row r="689" spans="1:30" ht="23.25" customHeight="1" x14ac:dyDescent="0.1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</row>
    <row r="690" spans="1:30" ht="23.25" customHeight="1" x14ac:dyDescent="0.1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</row>
    <row r="691" spans="1:30" ht="23.25" customHeight="1" x14ac:dyDescent="0.1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</row>
    <row r="692" spans="1:30" ht="23.25" customHeight="1" x14ac:dyDescent="0.1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</row>
    <row r="693" spans="1:30" ht="23.25" customHeight="1" x14ac:dyDescent="0.1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</row>
    <row r="694" spans="1:30" ht="23.25" customHeight="1" x14ac:dyDescent="0.1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</row>
    <row r="695" spans="1:30" ht="23.25" customHeight="1" x14ac:dyDescent="0.1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</row>
    <row r="696" spans="1:30" ht="23.25" customHeight="1" x14ac:dyDescent="0.1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</row>
    <row r="697" spans="1:30" ht="23.25" customHeight="1" x14ac:dyDescent="0.1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</row>
    <row r="698" spans="1:30" ht="23.25" customHeight="1" x14ac:dyDescent="0.1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</row>
    <row r="699" spans="1:30" ht="23.25" customHeight="1" x14ac:dyDescent="0.1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</row>
    <row r="700" spans="1:30" ht="23.25" customHeight="1" x14ac:dyDescent="0.1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</row>
    <row r="701" spans="1:30" ht="23.25" customHeight="1" x14ac:dyDescent="0.1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</row>
    <row r="702" spans="1:30" ht="23.25" customHeight="1" x14ac:dyDescent="0.1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</row>
    <row r="703" spans="1:30" ht="23.25" customHeight="1" x14ac:dyDescent="0.1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</row>
    <row r="704" spans="1:30" ht="23.25" customHeight="1" x14ac:dyDescent="0.1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</row>
    <row r="705" spans="1:30" ht="23.25" customHeight="1" x14ac:dyDescent="0.1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</row>
    <row r="706" spans="1:30" ht="23.25" customHeight="1" x14ac:dyDescent="0.1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</row>
    <row r="707" spans="1:30" ht="23.25" customHeight="1" x14ac:dyDescent="0.1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</row>
    <row r="708" spans="1:30" ht="23.25" customHeight="1" x14ac:dyDescent="0.1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</row>
    <row r="709" spans="1:30" ht="23.25" customHeight="1" x14ac:dyDescent="0.1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</row>
    <row r="710" spans="1:30" ht="23.25" customHeight="1" x14ac:dyDescent="0.1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</row>
    <row r="711" spans="1:30" ht="23.25" customHeight="1" x14ac:dyDescent="0.1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</row>
    <row r="712" spans="1:30" ht="23.25" customHeight="1" x14ac:dyDescent="0.1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</row>
    <row r="713" spans="1:30" ht="23.25" customHeight="1" x14ac:dyDescent="0.1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</row>
    <row r="714" spans="1:30" ht="23.25" customHeight="1" x14ac:dyDescent="0.1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</row>
    <row r="715" spans="1:30" ht="23.25" customHeight="1" x14ac:dyDescent="0.1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</row>
    <row r="716" spans="1:30" ht="23.25" customHeight="1" x14ac:dyDescent="0.1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</row>
    <row r="717" spans="1:30" ht="23.25" customHeight="1" x14ac:dyDescent="0.1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</row>
    <row r="718" spans="1:30" ht="23.25" customHeight="1" x14ac:dyDescent="0.1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</row>
    <row r="719" spans="1:30" ht="23.25" customHeight="1" x14ac:dyDescent="0.1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</row>
    <row r="720" spans="1:30" ht="23.25" customHeight="1" x14ac:dyDescent="0.1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</row>
    <row r="721" spans="1:30" ht="23.25" customHeight="1" x14ac:dyDescent="0.1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</row>
    <row r="722" spans="1:30" ht="23.25" customHeight="1" x14ac:dyDescent="0.1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</row>
    <row r="723" spans="1:30" ht="23.25" customHeight="1" x14ac:dyDescent="0.1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</row>
    <row r="724" spans="1:30" ht="23.25" customHeight="1" x14ac:dyDescent="0.1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</row>
    <row r="725" spans="1:30" ht="23.25" customHeight="1" x14ac:dyDescent="0.1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</row>
    <row r="726" spans="1:30" ht="23.25" customHeight="1" x14ac:dyDescent="0.1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</row>
    <row r="727" spans="1:30" ht="23.25" customHeight="1" x14ac:dyDescent="0.1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</row>
    <row r="728" spans="1:30" ht="23.25" customHeight="1" x14ac:dyDescent="0.1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</row>
    <row r="729" spans="1:30" ht="23.25" customHeight="1" x14ac:dyDescent="0.1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</row>
    <row r="730" spans="1:30" ht="23.25" customHeight="1" x14ac:dyDescent="0.1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</row>
    <row r="731" spans="1:30" ht="23.25" customHeight="1" x14ac:dyDescent="0.1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</row>
    <row r="732" spans="1:30" ht="23.25" customHeight="1" x14ac:dyDescent="0.1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</row>
    <row r="733" spans="1:30" ht="23.25" customHeight="1" x14ac:dyDescent="0.1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</row>
    <row r="734" spans="1:30" ht="23.25" customHeight="1" x14ac:dyDescent="0.1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</row>
    <row r="735" spans="1:30" ht="23.25" customHeight="1" x14ac:dyDescent="0.1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</row>
    <row r="736" spans="1:30" ht="23.25" customHeight="1" x14ac:dyDescent="0.1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</row>
    <row r="737" spans="1:30" ht="23.25" customHeight="1" x14ac:dyDescent="0.1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</row>
    <row r="738" spans="1:30" ht="23.25" customHeight="1" x14ac:dyDescent="0.1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</row>
    <row r="739" spans="1:30" ht="23.25" customHeight="1" x14ac:dyDescent="0.1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</row>
    <row r="740" spans="1:30" ht="23.25" customHeight="1" x14ac:dyDescent="0.1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</row>
    <row r="741" spans="1:30" ht="23.25" customHeight="1" x14ac:dyDescent="0.1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</row>
    <row r="742" spans="1:30" ht="23.25" customHeight="1" x14ac:dyDescent="0.1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</row>
    <row r="743" spans="1:30" ht="23.25" customHeight="1" x14ac:dyDescent="0.1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</row>
    <row r="744" spans="1:30" ht="23.25" customHeight="1" x14ac:dyDescent="0.1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</row>
    <row r="745" spans="1:30" ht="23.25" customHeight="1" x14ac:dyDescent="0.1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</row>
    <row r="746" spans="1:30" ht="23.25" customHeight="1" x14ac:dyDescent="0.1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</row>
    <row r="747" spans="1:30" ht="23.25" customHeight="1" x14ac:dyDescent="0.1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</row>
    <row r="748" spans="1:30" ht="23.25" customHeight="1" x14ac:dyDescent="0.1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</row>
    <row r="749" spans="1:30" ht="23.25" customHeight="1" x14ac:dyDescent="0.1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</row>
    <row r="750" spans="1:30" ht="23.25" customHeight="1" x14ac:dyDescent="0.1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</row>
    <row r="751" spans="1:30" ht="23.25" customHeight="1" x14ac:dyDescent="0.1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</row>
    <row r="752" spans="1:30" ht="23.25" customHeight="1" x14ac:dyDescent="0.1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</row>
    <row r="753" spans="1:30" ht="23.25" customHeight="1" x14ac:dyDescent="0.1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</row>
    <row r="754" spans="1:30" ht="23.25" customHeight="1" x14ac:dyDescent="0.1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</row>
    <row r="755" spans="1:30" ht="23.25" customHeight="1" x14ac:dyDescent="0.1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</row>
    <row r="756" spans="1:30" ht="23.25" customHeight="1" x14ac:dyDescent="0.1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</row>
    <row r="757" spans="1:30" ht="23.25" customHeight="1" x14ac:dyDescent="0.1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</row>
    <row r="758" spans="1:30" ht="23.25" customHeight="1" x14ac:dyDescent="0.1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</row>
    <row r="759" spans="1:30" ht="23.25" customHeight="1" x14ac:dyDescent="0.1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</row>
    <row r="760" spans="1:30" ht="23.25" customHeight="1" x14ac:dyDescent="0.1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</row>
    <row r="761" spans="1:30" ht="23.25" customHeight="1" x14ac:dyDescent="0.1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</row>
    <row r="762" spans="1:30" ht="23.25" customHeight="1" x14ac:dyDescent="0.1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</row>
    <row r="763" spans="1:30" ht="23.25" customHeight="1" x14ac:dyDescent="0.1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</row>
    <row r="764" spans="1:30" ht="23.25" customHeight="1" x14ac:dyDescent="0.1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</row>
    <row r="765" spans="1:30" ht="23.25" customHeight="1" x14ac:dyDescent="0.1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</row>
    <row r="766" spans="1:30" ht="23.25" customHeight="1" x14ac:dyDescent="0.1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</row>
    <row r="767" spans="1:30" ht="23.25" customHeight="1" x14ac:dyDescent="0.1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</row>
    <row r="768" spans="1:30" ht="23.25" customHeight="1" x14ac:dyDescent="0.1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</row>
    <row r="769" spans="1:30" ht="23.25" customHeight="1" x14ac:dyDescent="0.1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</row>
    <row r="770" spans="1:30" ht="23.25" customHeight="1" x14ac:dyDescent="0.1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</row>
    <row r="771" spans="1:30" ht="23.25" customHeight="1" x14ac:dyDescent="0.1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</row>
    <row r="772" spans="1:30" ht="23.25" customHeight="1" x14ac:dyDescent="0.1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</row>
    <row r="773" spans="1:30" ht="23.25" customHeight="1" x14ac:dyDescent="0.1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</row>
    <row r="774" spans="1:30" ht="23.25" customHeight="1" x14ac:dyDescent="0.1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</row>
    <row r="775" spans="1:30" ht="23.25" customHeight="1" x14ac:dyDescent="0.1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</row>
    <row r="776" spans="1:30" ht="23.25" customHeight="1" x14ac:dyDescent="0.1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</row>
    <row r="777" spans="1:30" ht="23.25" customHeight="1" x14ac:dyDescent="0.1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</row>
    <row r="778" spans="1:30" ht="23.25" customHeight="1" x14ac:dyDescent="0.1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</row>
    <row r="779" spans="1:30" ht="23.25" customHeight="1" x14ac:dyDescent="0.1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</row>
    <row r="780" spans="1:30" ht="23.25" customHeight="1" x14ac:dyDescent="0.1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</row>
    <row r="781" spans="1:30" ht="23.25" customHeight="1" x14ac:dyDescent="0.1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</row>
    <row r="782" spans="1:30" ht="23.25" customHeight="1" x14ac:dyDescent="0.1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</row>
    <row r="783" spans="1:30" ht="23.25" customHeight="1" x14ac:dyDescent="0.1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</row>
    <row r="784" spans="1:30" ht="23.25" customHeight="1" x14ac:dyDescent="0.1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</row>
    <row r="785" spans="1:30" ht="23.25" customHeight="1" x14ac:dyDescent="0.1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</row>
    <row r="786" spans="1:30" ht="23.25" customHeight="1" x14ac:dyDescent="0.1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</row>
    <row r="787" spans="1:30" ht="23.25" customHeight="1" x14ac:dyDescent="0.1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</row>
    <row r="788" spans="1:30" ht="23.25" customHeight="1" x14ac:dyDescent="0.1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</row>
    <row r="789" spans="1:30" ht="23.25" customHeight="1" x14ac:dyDescent="0.1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</row>
    <row r="790" spans="1:30" ht="23.25" customHeight="1" x14ac:dyDescent="0.1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</row>
    <row r="791" spans="1:30" ht="23.25" customHeight="1" x14ac:dyDescent="0.1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</row>
    <row r="792" spans="1:30" ht="23.25" customHeight="1" x14ac:dyDescent="0.1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</row>
    <row r="793" spans="1:30" ht="23.25" customHeight="1" x14ac:dyDescent="0.1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</row>
    <row r="794" spans="1:30" ht="23.25" customHeight="1" x14ac:dyDescent="0.1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</row>
    <row r="795" spans="1:30" ht="23.25" customHeight="1" x14ac:dyDescent="0.1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</row>
    <row r="796" spans="1:30" ht="23.25" customHeight="1" x14ac:dyDescent="0.1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</row>
    <row r="797" spans="1:30" ht="23.25" customHeight="1" x14ac:dyDescent="0.1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</row>
    <row r="798" spans="1:30" ht="23.25" customHeight="1" x14ac:dyDescent="0.1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</row>
    <row r="799" spans="1:30" ht="23.25" customHeight="1" x14ac:dyDescent="0.1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</row>
    <row r="800" spans="1:30" ht="23.25" customHeight="1" x14ac:dyDescent="0.1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</row>
    <row r="801" spans="1:30" ht="23.25" customHeight="1" x14ac:dyDescent="0.1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</row>
    <row r="802" spans="1:30" ht="23.25" customHeight="1" x14ac:dyDescent="0.1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</row>
    <row r="803" spans="1:30" ht="23.25" customHeight="1" x14ac:dyDescent="0.1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</row>
    <row r="804" spans="1:30" ht="23.25" customHeight="1" x14ac:dyDescent="0.1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</row>
    <row r="805" spans="1:30" ht="23.25" customHeight="1" x14ac:dyDescent="0.1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</row>
    <row r="806" spans="1:30" ht="23.25" customHeight="1" x14ac:dyDescent="0.1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</row>
    <row r="807" spans="1:30" ht="23.25" customHeight="1" x14ac:dyDescent="0.1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</row>
    <row r="808" spans="1:30" ht="23.25" customHeight="1" x14ac:dyDescent="0.1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</row>
    <row r="809" spans="1:30" ht="23.25" customHeight="1" x14ac:dyDescent="0.1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</row>
    <row r="810" spans="1:30" ht="23.25" customHeight="1" x14ac:dyDescent="0.1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</row>
    <row r="811" spans="1:30" ht="23.25" customHeight="1" x14ac:dyDescent="0.1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</row>
    <row r="812" spans="1:30" ht="23.25" customHeight="1" x14ac:dyDescent="0.1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</row>
    <row r="813" spans="1:30" ht="23.25" customHeight="1" x14ac:dyDescent="0.1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</row>
    <row r="814" spans="1:30" ht="23.25" customHeight="1" x14ac:dyDescent="0.1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</row>
    <row r="815" spans="1:30" ht="23.25" customHeight="1" x14ac:dyDescent="0.1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</row>
    <row r="816" spans="1:30" ht="23.25" customHeight="1" x14ac:dyDescent="0.1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</row>
    <row r="817" spans="1:30" ht="23.25" customHeight="1" x14ac:dyDescent="0.1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</row>
    <row r="818" spans="1:30" ht="23.25" customHeight="1" x14ac:dyDescent="0.1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</row>
    <row r="819" spans="1:30" ht="23.25" customHeight="1" x14ac:dyDescent="0.1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</row>
    <row r="820" spans="1:30" ht="23.25" customHeight="1" x14ac:dyDescent="0.1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</row>
    <row r="821" spans="1:30" ht="23.25" customHeight="1" x14ac:dyDescent="0.1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</row>
    <row r="822" spans="1:30" ht="23.25" customHeight="1" x14ac:dyDescent="0.1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</row>
    <row r="823" spans="1:30" ht="23.25" customHeight="1" x14ac:dyDescent="0.1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</row>
    <row r="824" spans="1:30" ht="23.25" customHeight="1" x14ac:dyDescent="0.1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</row>
    <row r="825" spans="1:30" ht="23.25" customHeight="1" x14ac:dyDescent="0.1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</row>
    <row r="826" spans="1:30" ht="23.25" customHeight="1" x14ac:dyDescent="0.1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</row>
    <row r="827" spans="1:30" ht="23.25" customHeight="1" x14ac:dyDescent="0.1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</row>
    <row r="828" spans="1:30" ht="23.25" customHeight="1" x14ac:dyDescent="0.1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</row>
    <row r="829" spans="1:30" ht="23.25" customHeight="1" x14ac:dyDescent="0.1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</row>
    <row r="830" spans="1:30" ht="23.25" customHeight="1" x14ac:dyDescent="0.1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</row>
    <row r="831" spans="1:30" ht="23.25" customHeight="1" x14ac:dyDescent="0.1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</row>
    <row r="832" spans="1:30" ht="23.25" customHeight="1" x14ac:dyDescent="0.1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</row>
    <row r="833" spans="1:30" ht="23.25" customHeight="1" x14ac:dyDescent="0.1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</row>
    <row r="834" spans="1:30" ht="23.25" customHeight="1" x14ac:dyDescent="0.1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</row>
    <row r="835" spans="1:30" ht="23.25" customHeight="1" x14ac:dyDescent="0.1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</row>
    <row r="836" spans="1:30" ht="23.25" customHeight="1" x14ac:dyDescent="0.1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</row>
    <row r="837" spans="1:30" ht="23.25" customHeight="1" x14ac:dyDescent="0.1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</row>
    <row r="838" spans="1:30" ht="23.25" customHeight="1" x14ac:dyDescent="0.1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</row>
    <row r="839" spans="1:30" ht="23.25" customHeight="1" x14ac:dyDescent="0.1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</row>
    <row r="840" spans="1:30" ht="23.25" customHeight="1" x14ac:dyDescent="0.1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</row>
    <row r="841" spans="1:30" ht="23.25" customHeight="1" x14ac:dyDescent="0.1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</row>
    <row r="842" spans="1:30" ht="23.25" customHeight="1" x14ac:dyDescent="0.1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</row>
    <row r="843" spans="1:30" ht="23.25" customHeight="1" x14ac:dyDescent="0.1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</row>
    <row r="844" spans="1:30" ht="23.25" customHeight="1" x14ac:dyDescent="0.1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</row>
    <row r="845" spans="1:30" ht="23.25" customHeight="1" x14ac:dyDescent="0.1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</row>
    <row r="846" spans="1:30" ht="23.25" customHeight="1" x14ac:dyDescent="0.1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</row>
    <row r="847" spans="1:30" ht="23.25" customHeight="1" x14ac:dyDescent="0.1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</row>
    <row r="848" spans="1:30" ht="23.25" customHeight="1" x14ac:dyDescent="0.1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</row>
    <row r="849" spans="1:30" ht="23.25" customHeight="1" x14ac:dyDescent="0.1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</row>
    <row r="850" spans="1:30" ht="23.25" customHeight="1" x14ac:dyDescent="0.1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</row>
    <row r="851" spans="1:30" ht="23.25" customHeight="1" x14ac:dyDescent="0.1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</row>
    <row r="852" spans="1:30" ht="23.25" customHeight="1" x14ac:dyDescent="0.1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</row>
    <row r="853" spans="1:30" ht="23.25" customHeight="1" x14ac:dyDescent="0.1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</row>
    <row r="854" spans="1:30" ht="23.25" customHeight="1" x14ac:dyDescent="0.1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</row>
    <row r="855" spans="1:30" ht="23.25" customHeight="1" x14ac:dyDescent="0.1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</row>
    <row r="856" spans="1:30" ht="23.25" customHeight="1" x14ac:dyDescent="0.1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</row>
    <row r="857" spans="1:30" ht="23.25" customHeight="1" x14ac:dyDescent="0.1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</row>
    <row r="858" spans="1:30" ht="23.25" customHeight="1" x14ac:dyDescent="0.1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</row>
    <row r="859" spans="1:30" ht="23.25" customHeight="1" x14ac:dyDescent="0.1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</row>
    <row r="860" spans="1:30" ht="23.25" customHeight="1" x14ac:dyDescent="0.1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</row>
    <row r="861" spans="1:30" ht="23.25" customHeight="1" x14ac:dyDescent="0.1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</row>
    <row r="862" spans="1:30" ht="23.25" customHeight="1" x14ac:dyDescent="0.1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</row>
    <row r="863" spans="1:30" ht="23.25" customHeight="1" x14ac:dyDescent="0.1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</row>
    <row r="864" spans="1:30" ht="23.25" customHeight="1" x14ac:dyDescent="0.1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</row>
    <row r="865" spans="1:30" ht="23.25" customHeight="1" x14ac:dyDescent="0.1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</row>
    <row r="866" spans="1:30" ht="23.25" customHeight="1" x14ac:dyDescent="0.1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</row>
    <row r="867" spans="1:30" ht="23.25" customHeight="1" x14ac:dyDescent="0.1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</row>
    <row r="868" spans="1:30" ht="23.25" customHeight="1" x14ac:dyDescent="0.1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</row>
    <row r="869" spans="1:30" ht="23.25" customHeight="1" x14ac:dyDescent="0.1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</row>
    <row r="870" spans="1:30" ht="23.25" customHeight="1" x14ac:dyDescent="0.1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</row>
    <row r="871" spans="1:30" ht="23.25" customHeight="1" x14ac:dyDescent="0.1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</row>
    <row r="872" spans="1:30" ht="23.25" customHeight="1" x14ac:dyDescent="0.1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</row>
    <row r="873" spans="1:30" ht="23.25" customHeight="1" x14ac:dyDescent="0.1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</row>
    <row r="874" spans="1:30" ht="23.25" customHeight="1" x14ac:dyDescent="0.1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</row>
    <row r="875" spans="1:30" ht="23.25" customHeight="1" x14ac:dyDescent="0.1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</row>
    <row r="876" spans="1:30" ht="23.25" customHeight="1" x14ac:dyDescent="0.1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</row>
    <row r="877" spans="1:30" ht="23.25" customHeight="1" x14ac:dyDescent="0.1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</row>
    <row r="878" spans="1:30" ht="23.25" customHeight="1" x14ac:dyDescent="0.1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</row>
    <row r="879" spans="1:30" ht="23.25" customHeight="1" x14ac:dyDescent="0.1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</row>
    <row r="880" spans="1:30" ht="23.25" customHeight="1" x14ac:dyDescent="0.1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</row>
    <row r="881" spans="1:30" ht="23.25" customHeight="1" x14ac:dyDescent="0.1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</row>
    <row r="882" spans="1:30" ht="23.25" customHeight="1" x14ac:dyDescent="0.1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</row>
    <row r="883" spans="1:30" ht="23.25" customHeight="1" x14ac:dyDescent="0.1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</row>
    <row r="884" spans="1:30" ht="23.25" customHeight="1" x14ac:dyDescent="0.1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</row>
    <row r="885" spans="1:30" ht="23.25" customHeight="1" x14ac:dyDescent="0.1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</row>
    <row r="886" spans="1:30" ht="23.25" customHeight="1" x14ac:dyDescent="0.1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</row>
    <row r="887" spans="1:30" ht="23.25" customHeight="1" x14ac:dyDescent="0.1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</row>
    <row r="888" spans="1:30" ht="23.25" customHeight="1" x14ac:dyDescent="0.1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</row>
    <row r="889" spans="1:30" ht="23.25" customHeight="1" x14ac:dyDescent="0.1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</row>
    <row r="890" spans="1:30" ht="23.25" customHeight="1" x14ac:dyDescent="0.1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</row>
    <row r="891" spans="1:30" ht="23.25" customHeight="1" x14ac:dyDescent="0.1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</row>
    <row r="892" spans="1:30" ht="23.25" customHeight="1" x14ac:dyDescent="0.1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</row>
    <row r="893" spans="1:30" ht="23.25" customHeight="1" x14ac:dyDescent="0.1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</row>
    <row r="894" spans="1:30" ht="23.25" customHeight="1" x14ac:dyDescent="0.1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</row>
    <row r="895" spans="1:30" ht="23.25" customHeight="1" x14ac:dyDescent="0.1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</row>
    <row r="896" spans="1:30" ht="23.25" customHeight="1" x14ac:dyDescent="0.1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</row>
    <row r="897" spans="1:30" ht="23.25" customHeight="1" x14ac:dyDescent="0.1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</row>
    <row r="898" spans="1:30" ht="23.25" customHeight="1" x14ac:dyDescent="0.1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</row>
    <row r="899" spans="1:30" ht="23.25" customHeight="1" x14ac:dyDescent="0.1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</row>
    <row r="900" spans="1:30" ht="23.25" customHeight="1" x14ac:dyDescent="0.1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</row>
    <row r="901" spans="1:30" ht="23.25" customHeight="1" x14ac:dyDescent="0.1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</row>
    <row r="902" spans="1:30" ht="23.25" customHeight="1" x14ac:dyDescent="0.1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</row>
    <row r="903" spans="1:30" ht="23.25" customHeight="1" x14ac:dyDescent="0.1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</row>
    <row r="904" spans="1:30" ht="23.25" customHeight="1" x14ac:dyDescent="0.1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</row>
    <row r="905" spans="1:30" ht="23.25" customHeight="1" x14ac:dyDescent="0.1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</row>
    <row r="906" spans="1:30" ht="23.25" customHeight="1" x14ac:dyDescent="0.1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</row>
    <row r="907" spans="1:30" ht="23.25" customHeight="1" x14ac:dyDescent="0.1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</row>
    <row r="908" spans="1:30" ht="23.25" customHeight="1" x14ac:dyDescent="0.1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</row>
    <row r="909" spans="1:30" ht="23.25" customHeight="1" x14ac:dyDescent="0.1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</row>
    <row r="910" spans="1:30" ht="23.25" customHeight="1" x14ac:dyDescent="0.1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</row>
    <row r="911" spans="1:30" ht="23.25" customHeight="1" x14ac:dyDescent="0.1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</row>
    <row r="912" spans="1:30" ht="23.25" customHeight="1" x14ac:dyDescent="0.1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</row>
    <row r="913" spans="1:30" ht="23.25" customHeight="1" x14ac:dyDescent="0.1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</row>
    <row r="914" spans="1:30" ht="23.25" customHeight="1" x14ac:dyDescent="0.1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</row>
    <row r="915" spans="1:30" ht="23.25" customHeight="1" x14ac:dyDescent="0.1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</row>
    <row r="916" spans="1:30" ht="23.25" customHeight="1" x14ac:dyDescent="0.1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</row>
    <row r="917" spans="1:30" ht="23.25" customHeight="1" x14ac:dyDescent="0.1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</row>
    <row r="918" spans="1:30" ht="23.25" customHeight="1" x14ac:dyDescent="0.1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</row>
    <row r="919" spans="1:30" ht="23.25" customHeight="1" x14ac:dyDescent="0.1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</row>
    <row r="920" spans="1:30" ht="23.25" customHeight="1" x14ac:dyDescent="0.1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</row>
    <row r="921" spans="1:30" ht="23.25" customHeight="1" x14ac:dyDescent="0.1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</row>
    <row r="922" spans="1:30" ht="23.25" customHeight="1" x14ac:dyDescent="0.1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</row>
    <row r="923" spans="1:30" ht="23.25" customHeight="1" x14ac:dyDescent="0.1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</row>
    <row r="924" spans="1:30" ht="23.25" customHeight="1" x14ac:dyDescent="0.1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</row>
    <row r="925" spans="1:30" ht="23.25" customHeight="1" x14ac:dyDescent="0.1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</row>
    <row r="926" spans="1:30" ht="23.25" customHeight="1" x14ac:dyDescent="0.1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</row>
    <row r="927" spans="1:30" ht="23.25" customHeight="1" x14ac:dyDescent="0.1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</row>
    <row r="928" spans="1:30" ht="23.25" customHeight="1" x14ac:dyDescent="0.1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</row>
    <row r="929" spans="1:30" ht="23.25" customHeight="1" x14ac:dyDescent="0.1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</row>
    <row r="930" spans="1:30" ht="23.25" customHeight="1" x14ac:dyDescent="0.1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</row>
    <row r="931" spans="1:30" ht="23.25" customHeight="1" x14ac:dyDescent="0.1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</row>
    <row r="932" spans="1:30" ht="23.25" customHeight="1" x14ac:dyDescent="0.1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</row>
    <row r="933" spans="1:30" ht="23.25" customHeight="1" x14ac:dyDescent="0.1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</row>
    <row r="934" spans="1:30" ht="23.25" customHeight="1" x14ac:dyDescent="0.1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</row>
    <row r="935" spans="1:30" ht="23.25" customHeight="1" x14ac:dyDescent="0.1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</row>
    <row r="936" spans="1:30" ht="23.25" customHeight="1" x14ac:dyDescent="0.1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</row>
    <row r="937" spans="1:30" ht="23.25" customHeight="1" x14ac:dyDescent="0.1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</row>
    <row r="938" spans="1:30" ht="23.25" customHeight="1" x14ac:dyDescent="0.1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</row>
    <row r="939" spans="1:30" ht="23.25" customHeight="1" x14ac:dyDescent="0.1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</row>
    <row r="940" spans="1:30" ht="23.25" customHeight="1" x14ac:dyDescent="0.1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</row>
    <row r="941" spans="1:30" ht="23.25" customHeight="1" x14ac:dyDescent="0.1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</row>
    <row r="942" spans="1:30" ht="23.25" customHeight="1" x14ac:dyDescent="0.1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</row>
    <row r="943" spans="1:30" ht="23.25" customHeight="1" x14ac:dyDescent="0.1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</row>
    <row r="944" spans="1:30" ht="23.25" customHeight="1" x14ac:dyDescent="0.1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</row>
    <row r="945" spans="1:30" ht="23.25" customHeight="1" x14ac:dyDescent="0.1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</row>
    <row r="946" spans="1:30" ht="23.25" customHeight="1" x14ac:dyDescent="0.1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</row>
    <row r="947" spans="1:30" ht="23.25" customHeight="1" x14ac:dyDescent="0.1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</row>
    <row r="948" spans="1:30" ht="23.25" customHeight="1" x14ac:dyDescent="0.1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</row>
    <row r="949" spans="1:30" ht="23.25" customHeight="1" x14ac:dyDescent="0.1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</row>
    <row r="950" spans="1:30" ht="23.25" customHeight="1" x14ac:dyDescent="0.1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</row>
    <row r="951" spans="1:30" ht="23.25" customHeight="1" x14ac:dyDescent="0.1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</row>
    <row r="952" spans="1:30" ht="23.25" customHeight="1" x14ac:dyDescent="0.1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</row>
    <row r="953" spans="1:30" ht="23.25" customHeight="1" x14ac:dyDescent="0.1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</row>
    <row r="954" spans="1:30" ht="23.25" customHeight="1" x14ac:dyDescent="0.1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</row>
    <row r="955" spans="1:30" ht="23.25" customHeight="1" x14ac:dyDescent="0.1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</row>
    <row r="956" spans="1:30" ht="23.25" customHeight="1" x14ac:dyDescent="0.1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</row>
    <row r="957" spans="1:30" ht="23.25" customHeight="1" x14ac:dyDescent="0.1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</row>
    <row r="958" spans="1:30" ht="23.25" customHeight="1" x14ac:dyDescent="0.1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</row>
    <row r="959" spans="1:30" ht="23.25" customHeight="1" x14ac:dyDescent="0.1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</row>
    <row r="960" spans="1:30" ht="23.25" customHeight="1" x14ac:dyDescent="0.1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</row>
    <row r="961" spans="1:30" ht="23.25" customHeight="1" x14ac:dyDescent="0.1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</row>
    <row r="962" spans="1:30" ht="23.25" customHeight="1" x14ac:dyDescent="0.1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</row>
    <row r="963" spans="1:30" ht="23.25" customHeight="1" x14ac:dyDescent="0.1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</row>
    <row r="964" spans="1:30" ht="23.25" customHeight="1" x14ac:dyDescent="0.1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</row>
    <row r="965" spans="1:30" ht="23.25" customHeight="1" x14ac:dyDescent="0.1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</row>
    <row r="966" spans="1:30" ht="23.25" customHeight="1" x14ac:dyDescent="0.1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</row>
    <row r="967" spans="1:30" ht="23.25" customHeight="1" x14ac:dyDescent="0.1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</row>
    <row r="968" spans="1:30" ht="23.25" customHeight="1" x14ac:dyDescent="0.1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</row>
    <row r="969" spans="1:30" ht="23.25" customHeight="1" x14ac:dyDescent="0.1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</row>
    <row r="970" spans="1:30" ht="23.25" customHeight="1" x14ac:dyDescent="0.1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</row>
    <row r="971" spans="1:30" ht="23.25" customHeight="1" x14ac:dyDescent="0.1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</row>
    <row r="972" spans="1:30" ht="23.25" customHeight="1" x14ac:dyDescent="0.1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</row>
    <row r="973" spans="1:30" ht="23.25" customHeight="1" x14ac:dyDescent="0.1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</row>
    <row r="974" spans="1:30" ht="23.25" customHeight="1" x14ac:dyDescent="0.1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</row>
    <row r="975" spans="1:30" ht="23.25" customHeight="1" x14ac:dyDescent="0.1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</row>
    <row r="976" spans="1:30" ht="23.25" customHeight="1" x14ac:dyDescent="0.1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</row>
    <row r="977" spans="1:30" ht="23.25" customHeight="1" x14ac:dyDescent="0.1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</row>
    <row r="978" spans="1:30" ht="23.25" customHeight="1" x14ac:dyDescent="0.1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</row>
    <row r="979" spans="1:30" ht="23.25" customHeight="1" x14ac:dyDescent="0.1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</row>
    <row r="980" spans="1:30" ht="23.25" customHeight="1" x14ac:dyDescent="0.1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</row>
    <row r="981" spans="1:30" ht="23.25" customHeight="1" x14ac:dyDescent="0.1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</row>
    <row r="982" spans="1:30" ht="23.25" customHeight="1" x14ac:dyDescent="0.1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</row>
    <row r="983" spans="1:30" ht="23.25" customHeight="1" x14ac:dyDescent="0.1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</row>
    <row r="984" spans="1:30" ht="23.25" customHeight="1" x14ac:dyDescent="0.1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</row>
    <row r="985" spans="1:30" ht="23.25" customHeight="1" x14ac:dyDescent="0.1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</row>
    <row r="986" spans="1:30" ht="23.25" customHeight="1" x14ac:dyDescent="0.1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</row>
    <row r="987" spans="1:30" ht="23.25" customHeight="1" x14ac:dyDescent="0.1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</row>
    <row r="988" spans="1:30" ht="23.25" customHeight="1" x14ac:dyDescent="0.1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</row>
    <row r="989" spans="1:30" ht="23.25" customHeight="1" x14ac:dyDescent="0.1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</row>
    <row r="990" spans="1:30" ht="23.25" customHeight="1" x14ac:dyDescent="0.1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</row>
    <row r="991" spans="1:30" ht="23.25" customHeight="1" x14ac:dyDescent="0.1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</row>
    <row r="992" spans="1:30" ht="23.25" customHeight="1" x14ac:dyDescent="0.1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</row>
    <row r="993" spans="1:30" ht="23.25" customHeight="1" x14ac:dyDescent="0.1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</row>
    <row r="994" spans="1:30" ht="23.25" customHeight="1" x14ac:dyDescent="0.1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</row>
    <row r="995" spans="1:30" ht="23.25" customHeight="1" x14ac:dyDescent="0.1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</row>
    <row r="996" spans="1:30" ht="23.25" customHeight="1" x14ac:dyDescent="0.1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</row>
    <row r="997" spans="1:30" ht="23.25" customHeight="1" x14ac:dyDescent="0.1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</row>
    <row r="998" spans="1:30" ht="23.25" customHeight="1" x14ac:dyDescent="0.1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</row>
    <row r="999" spans="1:30" ht="23.25" customHeight="1" x14ac:dyDescent="0.1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</row>
    <row r="1000" spans="1:30" ht="23.25" customHeight="1" x14ac:dyDescent="0.1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</row>
  </sheetData>
  <hyperlinks>
    <hyperlink ref="J2" r:id="rId1" display="https://drive.google.com/open?id=12g2wjrfUifDh3Gx7TlgWMhP8oc4dxI9d" xr:uid="{00000000-0004-0000-1100-000000000000}"/>
    <hyperlink ref="J3" r:id="rId2" display="https://drive.google.com/open?id=1WUmGmLGyf8ZbZCJ8S4Y5ZUMjDsGOZsFK" xr:uid="{00000000-0004-0000-1100-000001000000}"/>
    <hyperlink ref="J4" r:id="rId3" display="https://drive.google.com/open?id=1_fR-LdhuKTTzZxiOKp3PDnIv3EijWFWW" xr:uid="{00000000-0004-0000-1100-000002000000}"/>
    <hyperlink ref="J5" r:id="rId4" display="https://drive.google.com/open?id=1uk8fg4IYYCEf7-Gu0dZr-ENgBY6pXBXP" xr:uid="{00000000-0004-0000-1100-000003000000}"/>
    <hyperlink ref="J6" r:id="rId5" display="https://drive.google.com/open?id=1tCFSDUGZcL96PWWWsBS3guVCHlFkThUP" xr:uid="{00000000-0004-0000-1100-0000040000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AD1000"/>
  <sheetViews>
    <sheetView workbookViewId="0"/>
  </sheetViews>
  <sheetFormatPr baseColWidth="10" defaultColWidth="12.6640625" defaultRowHeight="15.75" customHeight="1" x14ac:dyDescent="0.15"/>
  <cols>
    <col min="1" max="1" width="15.1640625" customWidth="1"/>
    <col min="2" max="2" width="41.5" customWidth="1"/>
    <col min="3" max="3" width="26.6640625" customWidth="1"/>
    <col min="4" max="4" width="10.1640625" customWidth="1"/>
    <col min="5" max="5" width="33.5" customWidth="1"/>
    <col min="6" max="6" width="11.1640625" customWidth="1"/>
    <col min="7" max="7" width="14" customWidth="1"/>
    <col min="8" max="8" width="8.83203125" customWidth="1"/>
    <col min="9" max="9" width="8.33203125" customWidth="1"/>
    <col min="10" max="10" width="62.1640625" customWidth="1"/>
  </cols>
  <sheetData>
    <row r="1" spans="1:30" ht="24.75" customHeight="1" x14ac:dyDescent="0.15">
      <c r="A1" s="15" t="s">
        <v>24</v>
      </c>
      <c r="B1" s="14" t="s">
        <v>1</v>
      </c>
      <c r="C1" s="15" t="s">
        <v>113</v>
      </c>
      <c r="D1" s="15" t="s">
        <v>114</v>
      </c>
      <c r="E1" s="97" t="s">
        <v>25</v>
      </c>
      <c r="F1" s="97" t="s">
        <v>26</v>
      </c>
      <c r="G1" s="97" t="s">
        <v>122</v>
      </c>
      <c r="H1" s="97" t="s">
        <v>123</v>
      </c>
      <c r="I1" s="97" t="s">
        <v>125</v>
      </c>
      <c r="J1" s="97" t="s">
        <v>124</v>
      </c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</row>
    <row r="2" spans="1:30" ht="24.75" customHeight="1" x14ac:dyDescent="0.15">
      <c r="A2" s="69" t="str">
        <f ca="1">IFERROR(__xludf.DUMMYFUNCTION("QUERY(MasterData!A1:NK11238,""select B,C,FL,FM,FZ,GA,GB,GC,GE,GD where C='S17: Students Leadership &amp; Volunteering Activities'"",0)"),"2018-2022")</f>
        <v>2018-2022</v>
      </c>
      <c r="B2" s="69" t="str">
        <f ca="1">IFERROR(__xludf.DUMMYFUNCTION("""COMPUTED_VALUE"""),"S17: Students Leadership &amp; Volunteering Activities")</f>
        <v>S17: Students Leadership &amp; Volunteering Activities</v>
      </c>
      <c r="C2" s="69" t="str">
        <f ca="1">IFERROR(__xludf.DUMMYFUNCTION("""COMPUTED_VALUE"""),"18331A05C3@mvgrce.edu.in")</f>
        <v>18331A05C3@mvgrce.edu.in</v>
      </c>
      <c r="D2" s="69" t="str">
        <f ca="1">IFERROR(__xludf.DUMMYFUNCTION("""COMPUTED_VALUE"""),"SEM-8")</f>
        <v>SEM-8</v>
      </c>
      <c r="E2" s="69" t="str">
        <f ca="1">IFERROR(__xludf.DUMMYFUNCTION("""COMPUTED_VALUE"""),"Yuvaraj Chowdary Ratnala")</f>
        <v>Yuvaraj Chowdary Ratnala</v>
      </c>
      <c r="F2" s="69" t="str">
        <f ca="1">IFERROR(__xludf.DUMMYFUNCTION("""COMPUTED_VALUE"""),"18331A05C3")</f>
        <v>18331A05C3</v>
      </c>
      <c r="G2" s="69" t="str">
        <f ca="1">IFERROR(__xludf.DUMMYFUNCTION("""COMPUTED_VALUE"""),"VOLUNTEER")</f>
        <v>VOLUNTEER</v>
      </c>
      <c r="H2" s="74">
        <f ca="1">IFERROR(__xludf.DUMMYFUNCTION("""COMPUTED_VALUE"""),43881)</f>
        <v>43881</v>
      </c>
      <c r="I2" s="74">
        <f ca="1">IFERROR(__xludf.DUMMYFUNCTION("""COMPUTED_VALUE"""),43883)</f>
        <v>43883</v>
      </c>
      <c r="J2" s="75" t="str">
        <f ca="1">IFERROR(__xludf.DUMMYFUNCTION("""COMPUTED_VALUE"""),"https://drive.google.com/open?id=1JDkbWTWW31HZtahRtdxiRWL1l2STgDcF")</f>
        <v>https://drive.google.com/open?id=1JDkbWTWW31HZtahRtdxiRWL1l2STgDcF</v>
      </c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</row>
    <row r="3" spans="1:30" ht="24.75" customHeight="1" x14ac:dyDescent="0.15">
      <c r="A3" s="69" t="str">
        <f ca="1">IFERROR(__xludf.DUMMYFUNCTION("""COMPUTED_VALUE"""),"2019-2023")</f>
        <v>2019-2023</v>
      </c>
      <c r="B3" s="69" t="str">
        <f ca="1">IFERROR(__xludf.DUMMYFUNCTION("""COMPUTED_VALUE"""),"S17: Students Leadership &amp; Volunteering Activities")</f>
        <v>S17: Students Leadership &amp; Volunteering Activities</v>
      </c>
      <c r="C3" s="69" t="str">
        <f ca="1">IFERROR(__xludf.DUMMYFUNCTION("""COMPUTED_VALUE"""),"indiradarshini126@gmail.com")</f>
        <v>indiradarshini126@gmail.com</v>
      </c>
      <c r="D3" s="69" t="str">
        <f ca="1">IFERROR(__xludf.DUMMYFUNCTION("""COMPUTED_VALUE"""),"SEM-6")</f>
        <v>SEM-6</v>
      </c>
      <c r="E3" s="69" t="str">
        <f ca="1">IFERROR(__xludf.DUMMYFUNCTION("""COMPUTED_VALUE"""),"Tammineni Rajasree Indira priyadarshini ")</f>
        <v xml:space="preserve">Tammineni Rajasree Indira priyadarshini </v>
      </c>
      <c r="F3" s="69" t="str">
        <f ca="1">IFERROR(__xludf.DUMMYFUNCTION("""COMPUTED_VALUE"""),"19331A05H0 ")</f>
        <v xml:space="preserve">19331A05H0 </v>
      </c>
      <c r="G3" s="69" t="str">
        <f ca="1">IFERROR(__xludf.DUMMYFUNCTION("""COMPUTED_VALUE"""),"CR")</f>
        <v>CR</v>
      </c>
      <c r="H3" s="74">
        <f ca="1">IFERROR(__xludf.DUMMYFUNCTION("""COMPUTED_VALUE"""),44462)</f>
        <v>44462</v>
      </c>
      <c r="I3" s="74">
        <f ca="1">IFERROR(__xludf.DUMMYFUNCTION("""COMPUTED_VALUE"""),45078)</f>
        <v>45078</v>
      </c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</row>
    <row r="4" spans="1:30" ht="24.75" customHeight="1" x14ac:dyDescent="0.15">
      <c r="A4" s="69" t="str">
        <f ca="1">IFERROR(__xludf.DUMMYFUNCTION("""COMPUTED_VALUE"""),"2018-2022")</f>
        <v>2018-2022</v>
      </c>
      <c r="B4" s="69" t="str">
        <f ca="1">IFERROR(__xludf.DUMMYFUNCTION("""COMPUTED_VALUE"""),"S17: Students Leadership &amp; Volunteering Activities")</f>
        <v>S17: Students Leadership &amp; Volunteering Activities</v>
      </c>
      <c r="C4" s="69" t="str">
        <f ca="1">IFERROR(__xludf.DUMMYFUNCTION("""COMPUTED_VALUE"""),"gorsaumamahesh@gmail.com")</f>
        <v>gorsaumamahesh@gmail.com</v>
      </c>
      <c r="D4" s="69" t="str">
        <f ca="1">IFERROR(__xludf.DUMMYFUNCTION("""COMPUTED_VALUE"""),"SEM-8")</f>
        <v>SEM-8</v>
      </c>
      <c r="E4" s="69" t="str">
        <f ca="1">IFERROR(__xludf.DUMMYFUNCTION("""COMPUTED_VALUE"""),"Gorsa Uma Mahesh")</f>
        <v>Gorsa Uma Mahesh</v>
      </c>
      <c r="F4" s="69" t="str">
        <f ca="1">IFERROR(__xludf.DUMMYFUNCTION("""COMPUTED_VALUE"""),"18331A0550")</f>
        <v>18331A0550</v>
      </c>
      <c r="G4" s="69" t="str">
        <f ca="1">IFERROR(__xludf.DUMMYFUNCTION("""COMPUTED_VALUE"""),"VOLUNTEER")</f>
        <v>VOLUNTEER</v>
      </c>
      <c r="H4" s="74">
        <f ca="1">IFERROR(__xludf.DUMMYFUNCTION("""COMPUTED_VALUE"""),43696)</f>
        <v>43696</v>
      </c>
      <c r="I4" s="74">
        <f ca="1">IFERROR(__xludf.DUMMYFUNCTION("""COMPUTED_VALUE"""),43696)</f>
        <v>43696</v>
      </c>
      <c r="J4" s="75" t="str">
        <f ca="1">IFERROR(__xludf.DUMMYFUNCTION("""COMPUTED_VALUE"""),"https://drive.google.com/open?id=1kl_yv6lEbe4MkUx-7DDutSvZygUj_uo8")</f>
        <v>https://drive.google.com/open?id=1kl_yv6lEbe4MkUx-7DDutSvZygUj_uo8</v>
      </c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</row>
    <row r="5" spans="1:30" ht="24.75" customHeight="1" x14ac:dyDescent="0.15">
      <c r="A5" s="69" t="str">
        <f ca="1">IFERROR(__xludf.DUMMYFUNCTION("""COMPUTED_VALUE"""),"2018-2022")</f>
        <v>2018-2022</v>
      </c>
      <c r="B5" s="69" t="str">
        <f ca="1">IFERROR(__xludf.DUMMYFUNCTION("""COMPUTED_VALUE"""),"S17: Students Leadership &amp; Volunteering Activities")</f>
        <v>S17: Students Leadership &amp; Volunteering Activities</v>
      </c>
      <c r="C5" s="69" t="str">
        <f ca="1">IFERROR(__xludf.DUMMYFUNCTION("""COMPUTED_VALUE"""),"jaswanthsaisubhkar@gmail.com")</f>
        <v>jaswanthsaisubhkar@gmail.com</v>
      </c>
      <c r="D5" s="69" t="str">
        <f ca="1">IFERROR(__xludf.DUMMYFUNCTION("""COMPUTED_VALUE"""),"SEM-8")</f>
        <v>SEM-8</v>
      </c>
      <c r="E5" s="69" t="str">
        <f ca="1">IFERROR(__xludf.DUMMYFUNCTION("""COMPUTED_VALUE"""),"Nanubala Jaswanth Kumar ")</f>
        <v xml:space="preserve">Nanubala Jaswanth Kumar </v>
      </c>
      <c r="F5" s="69" t="str">
        <f ca="1">IFERROR(__xludf.DUMMYFUNCTION("""COMPUTED_VALUE"""),"18331A05B0")</f>
        <v>18331A05B0</v>
      </c>
      <c r="G5" s="69" t="str">
        <f ca="1">IFERROR(__xludf.DUMMYFUNCTION("""COMPUTED_VALUE"""),"CR")</f>
        <v>CR</v>
      </c>
      <c r="H5" s="74">
        <f ca="1">IFERROR(__xludf.DUMMYFUNCTION("""COMPUTED_VALUE"""),43313)</f>
        <v>43313</v>
      </c>
      <c r="I5" s="74">
        <f ca="1">IFERROR(__xludf.DUMMYFUNCTION("""COMPUTED_VALUE"""),44714)</f>
        <v>44714</v>
      </c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</row>
    <row r="6" spans="1:30" ht="24.75" customHeight="1" x14ac:dyDescent="0.15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</row>
    <row r="7" spans="1:30" ht="24.75" customHeight="1" x14ac:dyDescent="0.15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</row>
    <row r="8" spans="1:30" ht="24.75" customHeight="1" x14ac:dyDescent="0.15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</row>
    <row r="9" spans="1:30" ht="24.75" customHeight="1" x14ac:dyDescent="0.15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</row>
    <row r="10" spans="1:30" ht="24.75" customHeight="1" x14ac:dyDescent="0.15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</row>
    <row r="11" spans="1:30" ht="24.75" customHeight="1" x14ac:dyDescent="0.15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</row>
    <row r="12" spans="1:30" ht="24.75" customHeight="1" x14ac:dyDescent="0.15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</row>
    <row r="13" spans="1:30" ht="24.75" customHeight="1" x14ac:dyDescent="0.15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</row>
    <row r="14" spans="1:30" ht="24.75" customHeight="1" x14ac:dyDescent="0.15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</row>
    <row r="15" spans="1:30" ht="24.75" customHeight="1" x14ac:dyDescent="0.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</row>
    <row r="16" spans="1:30" ht="24.75" customHeight="1" x14ac:dyDescent="0.15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</row>
    <row r="17" spans="1:30" ht="24.75" customHeight="1" x14ac:dyDescent="0.15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</row>
    <row r="18" spans="1:30" ht="24.75" customHeight="1" x14ac:dyDescent="0.15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</row>
    <row r="19" spans="1:30" ht="24.75" customHeight="1" x14ac:dyDescent="0.15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</row>
    <row r="20" spans="1:30" ht="24.75" customHeight="1" x14ac:dyDescent="0.15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</row>
    <row r="21" spans="1:30" ht="24.75" customHeight="1" x14ac:dyDescent="0.15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</row>
    <row r="22" spans="1:30" ht="24.75" customHeight="1" x14ac:dyDescent="0.15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</row>
    <row r="23" spans="1:30" ht="24.75" customHeight="1" x14ac:dyDescent="0.15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</row>
    <row r="24" spans="1:30" ht="24.75" customHeight="1" x14ac:dyDescent="0.15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</row>
    <row r="25" spans="1:30" ht="24.75" customHeight="1" x14ac:dyDescent="0.1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</row>
    <row r="26" spans="1:30" ht="24.75" customHeight="1" x14ac:dyDescent="0.15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</row>
    <row r="27" spans="1:30" ht="24.75" customHeight="1" x14ac:dyDescent="0.15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</row>
    <row r="28" spans="1:30" ht="24.75" customHeight="1" x14ac:dyDescent="0.15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</row>
    <row r="29" spans="1:30" ht="24.75" customHeight="1" x14ac:dyDescent="0.15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</row>
    <row r="30" spans="1:30" ht="24.75" customHeight="1" x14ac:dyDescent="0.15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</row>
    <row r="31" spans="1:30" ht="24.75" customHeight="1" x14ac:dyDescent="0.1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</row>
    <row r="32" spans="1:30" ht="24.75" customHeight="1" x14ac:dyDescent="0.1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</row>
    <row r="33" spans="1:30" ht="24.75" customHeight="1" x14ac:dyDescent="0.1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</row>
    <row r="34" spans="1:30" ht="24.75" customHeight="1" x14ac:dyDescent="0.1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</row>
    <row r="35" spans="1:30" ht="24.75" customHeight="1" x14ac:dyDescent="0.1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</row>
    <row r="36" spans="1:30" ht="24.75" customHeight="1" x14ac:dyDescent="0.1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</row>
    <row r="37" spans="1:30" ht="24.75" customHeight="1" x14ac:dyDescent="0.1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</row>
    <row r="38" spans="1:30" ht="24.75" customHeight="1" x14ac:dyDescent="0.1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</row>
    <row r="39" spans="1:30" ht="24.75" customHeight="1" x14ac:dyDescent="0.1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</row>
    <row r="40" spans="1:30" ht="24.75" customHeight="1" x14ac:dyDescent="0.1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</row>
    <row r="41" spans="1:30" ht="24.75" customHeight="1" x14ac:dyDescent="0.1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</row>
    <row r="42" spans="1:30" ht="24.75" customHeight="1" x14ac:dyDescent="0.1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</row>
    <row r="43" spans="1:30" ht="24.75" customHeight="1" x14ac:dyDescent="0.1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</row>
    <row r="44" spans="1:30" ht="24.75" customHeight="1" x14ac:dyDescent="0.1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</row>
    <row r="45" spans="1:30" ht="24.75" customHeight="1" x14ac:dyDescent="0.1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</row>
    <row r="46" spans="1:30" ht="24.75" customHeight="1" x14ac:dyDescent="0.1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</row>
    <row r="47" spans="1:30" ht="24.75" customHeight="1" x14ac:dyDescent="0.1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</row>
    <row r="48" spans="1:30" ht="24.75" customHeight="1" x14ac:dyDescent="0.1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</row>
    <row r="49" spans="1:30" ht="24.75" customHeight="1" x14ac:dyDescent="0.1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</row>
    <row r="50" spans="1:30" ht="24.75" customHeight="1" x14ac:dyDescent="0.1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</row>
    <row r="51" spans="1:30" ht="24.75" customHeight="1" x14ac:dyDescent="0.1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</row>
    <row r="52" spans="1:30" ht="24.75" customHeight="1" x14ac:dyDescent="0.1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</row>
    <row r="53" spans="1:30" ht="24.75" customHeight="1" x14ac:dyDescent="0.1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</row>
    <row r="54" spans="1:30" ht="24.75" customHeight="1" x14ac:dyDescent="0.1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</row>
    <row r="55" spans="1:30" ht="24.75" customHeight="1" x14ac:dyDescent="0.1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</row>
    <row r="56" spans="1:30" ht="24.75" customHeight="1" x14ac:dyDescent="0.1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</row>
    <row r="57" spans="1:30" ht="24.75" customHeight="1" x14ac:dyDescent="0.1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</row>
    <row r="58" spans="1:30" ht="24.75" customHeight="1" x14ac:dyDescent="0.1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</row>
    <row r="59" spans="1:30" ht="24.75" customHeight="1" x14ac:dyDescent="0.1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</row>
    <row r="60" spans="1:30" ht="24.75" customHeight="1" x14ac:dyDescent="0.1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</row>
    <row r="61" spans="1:30" ht="24.75" customHeight="1" x14ac:dyDescent="0.1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</row>
    <row r="62" spans="1:30" ht="24.75" customHeight="1" x14ac:dyDescent="0.1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</row>
    <row r="63" spans="1:30" ht="24.75" customHeight="1" x14ac:dyDescent="0.1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</row>
    <row r="64" spans="1:30" ht="24.75" customHeight="1" x14ac:dyDescent="0.1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</row>
    <row r="65" spans="1:30" ht="24.75" customHeight="1" x14ac:dyDescent="0.1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</row>
    <row r="66" spans="1:30" ht="24.75" customHeight="1" x14ac:dyDescent="0.1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</row>
    <row r="67" spans="1:30" ht="24.75" customHeight="1" x14ac:dyDescent="0.1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</row>
    <row r="68" spans="1:30" ht="24.75" customHeight="1" x14ac:dyDescent="0.1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</row>
    <row r="69" spans="1:30" ht="24.75" customHeight="1" x14ac:dyDescent="0.1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</row>
    <row r="70" spans="1:30" ht="24.75" customHeight="1" x14ac:dyDescent="0.1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</row>
    <row r="71" spans="1:30" ht="24.75" customHeight="1" x14ac:dyDescent="0.1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</row>
    <row r="72" spans="1:30" ht="24.75" customHeight="1" x14ac:dyDescent="0.1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</row>
    <row r="73" spans="1:30" ht="24.75" customHeight="1" x14ac:dyDescent="0.1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</row>
    <row r="74" spans="1:30" ht="24.75" customHeight="1" x14ac:dyDescent="0.1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</row>
    <row r="75" spans="1:30" ht="24.75" customHeight="1" x14ac:dyDescent="0.1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</row>
    <row r="76" spans="1:30" ht="24.75" customHeight="1" x14ac:dyDescent="0.1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</row>
    <row r="77" spans="1:30" ht="24.75" customHeight="1" x14ac:dyDescent="0.1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</row>
    <row r="78" spans="1:30" ht="24.75" customHeight="1" x14ac:dyDescent="0.1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</row>
    <row r="79" spans="1:30" ht="24.75" customHeight="1" x14ac:dyDescent="0.1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</row>
    <row r="80" spans="1:30" ht="24.75" customHeight="1" x14ac:dyDescent="0.1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</row>
    <row r="81" spans="1:30" ht="24.75" customHeight="1" x14ac:dyDescent="0.1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</row>
    <row r="82" spans="1:30" ht="24.75" customHeight="1" x14ac:dyDescent="0.1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</row>
    <row r="83" spans="1:30" ht="24.75" customHeight="1" x14ac:dyDescent="0.1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</row>
    <row r="84" spans="1:30" ht="24.75" customHeight="1" x14ac:dyDescent="0.1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</row>
    <row r="85" spans="1:30" ht="24.75" customHeight="1" x14ac:dyDescent="0.1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</row>
    <row r="86" spans="1:30" ht="24.75" customHeight="1" x14ac:dyDescent="0.1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</row>
    <row r="87" spans="1:30" ht="24.75" customHeight="1" x14ac:dyDescent="0.1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</row>
    <row r="88" spans="1:30" ht="24.75" customHeight="1" x14ac:dyDescent="0.1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</row>
    <row r="89" spans="1:30" ht="24.75" customHeight="1" x14ac:dyDescent="0.1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</row>
    <row r="90" spans="1:30" ht="24.75" customHeight="1" x14ac:dyDescent="0.1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</row>
    <row r="91" spans="1:30" ht="24.75" customHeight="1" x14ac:dyDescent="0.1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</row>
    <row r="92" spans="1:30" ht="24.75" customHeight="1" x14ac:dyDescent="0.1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</row>
    <row r="93" spans="1:30" ht="24.75" customHeight="1" x14ac:dyDescent="0.1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</row>
    <row r="94" spans="1:30" ht="24.75" customHeight="1" x14ac:dyDescent="0.1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</row>
    <row r="95" spans="1:30" ht="24.75" customHeight="1" x14ac:dyDescent="0.1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</row>
    <row r="96" spans="1:30" ht="24.75" customHeight="1" x14ac:dyDescent="0.1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</row>
    <row r="97" spans="1:30" ht="24.75" customHeight="1" x14ac:dyDescent="0.1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</row>
    <row r="98" spans="1:30" ht="24.75" customHeight="1" x14ac:dyDescent="0.1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</row>
    <row r="99" spans="1:30" ht="24.75" customHeight="1" x14ac:dyDescent="0.1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</row>
    <row r="100" spans="1:30" ht="24.75" customHeight="1" x14ac:dyDescent="0.1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</row>
    <row r="101" spans="1:30" ht="24.75" customHeight="1" x14ac:dyDescent="0.1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</row>
    <row r="102" spans="1:30" ht="24.75" customHeight="1" x14ac:dyDescent="0.1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</row>
    <row r="103" spans="1:30" ht="24.75" customHeight="1" x14ac:dyDescent="0.1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</row>
    <row r="104" spans="1:30" ht="24.75" customHeight="1" x14ac:dyDescent="0.1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</row>
    <row r="105" spans="1:30" ht="24.75" customHeight="1" x14ac:dyDescent="0.1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</row>
    <row r="106" spans="1:30" ht="24.75" customHeight="1" x14ac:dyDescent="0.1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</row>
    <row r="107" spans="1:30" ht="24.75" customHeight="1" x14ac:dyDescent="0.1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</row>
    <row r="108" spans="1:30" ht="24.75" customHeight="1" x14ac:dyDescent="0.1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</row>
    <row r="109" spans="1:30" ht="24.75" customHeight="1" x14ac:dyDescent="0.1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</row>
    <row r="110" spans="1:30" ht="24.75" customHeight="1" x14ac:dyDescent="0.1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</row>
    <row r="111" spans="1:30" ht="24.75" customHeight="1" x14ac:dyDescent="0.1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</row>
    <row r="112" spans="1:30" ht="24.75" customHeight="1" x14ac:dyDescent="0.1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</row>
    <row r="113" spans="1:30" ht="24.75" customHeight="1" x14ac:dyDescent="0.1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</row>
    <row r="114" spans="1:30" ht="24.75" customHeight="1" x14ac:dyDescent="0.1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</row>
    <row r="115" spans="1:30" ht="24.75" customHeight="1" x14ac:dyDescent="0.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</row>
    <row r="116" spans="1:30" ht="24.75" customHeight="1" x14ac:dyDescent="0.1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</row>
    <row r="117" spans="1:30" ht="24.75" customHeight="1" x14ac:dyDescent="0.1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</row>
    <row r="118" spans="1:30" ht="24.75" customHeight="1" x14ac:dyDescent="0.1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</row>
    <row r="119" spans="1:30" ht="24.75" customHeight="1" x14ac:dyDescent="0.1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</row>
    <row r="120" spans="1:30" ht="24.75" customHeight="1" x14ac:dyDescent="0.1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</row>
    <row r="121" spans="1:30" ht="24.75" customHeight="1" x14ac:dyDescent="0.1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</row>
    <row r="122" spans="1:30" ht="24.75" customHeight="1" x14ac:dyDescent="0.1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</row>
    <row r="123" spans="1:30" ht="24.75" customHeight="1" x14ac:dyDescent="0.1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</row>
    <row r="124" spans="1:30" ht="24.75" customHeight="1" x14ac:dyDescent="0.1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</row>
    <row r="125" spans="1:30" ht="24.75" customHeight="1" x14ac:dyDescent="0.1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</row>
    <row r="126" spans="1:30" ht="24.75" customHeight="1" x14ac:dyDescent="0.1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</row>
    <row r="127" spans="1:30" ht="24.75" customHeight="1" x14ac:dyDescent="0.1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</row>
    <row r="128" spans="1:30" ht="24.75" customHeight="1" x14ac:dyDescent="0.1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</row>
    <row r="129" spans="1:30" ht="24.75" customHeight="1" x14ac:dyDescent="0.1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</row>
    <row r="130" spans="1:30" ht="24.75" customHeight="1" x14ac:dyDescent="0.1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</row>
    <row r="131" spans="1:30" ht="24.75" customHeight="1" x14ac:dyDescent="0.1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</row>
    <row r="132" spans="1:30" ht="24.75" customHeight="1" x14ac:dyDescent="0.1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</row>
    <row r="133" spans="1:30" ht="24.75" customHeight="1" x14ac:dyDescent="0.1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</row>
    <row r="134" spans="1:30" ht="24.75" customHeight="1" x14ac:dyDescent="0.1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</row>
    <row r="135" spans="1:30" ht="24.75" customHeight="1" x14ac:dyDescent="0.1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</row>
    <row r="136" spans="1:30" ht="24.75" customHeight="1" x14ac:dyDescent="0.1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</row>
    <row r="137" spans="1:30" ht="24.75" customHeight="1" x14ac:dyDescent="0.1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</row>
    <row r="138" spans="1:30" ht="24.75" customHeight="1" x14ac:dyDescent="0.1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</row>
    <row r="139" spans="1:30" ht="24.75" customHeight="1" x14ac:dyDescent="0.1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</row>
    <row r="140" spans="1:30" ht="24.75" customHeight="1" x14ac:dyDescent="0.1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</row>
    <row r="141" spans="1:30" ht="24.75" customHeight="1" x14ac:dyDescent="0.1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</row>
    <row r="142" spans="1:30" ht="24.75" customHeight="1" x14ac:dyDescent="0.1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</row>
    <row r="143" spans="1:30" ht="24.75" customHeight="1" x14ac:dyDescent="0.1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</row>
    <row r="144" spans="1:30" ht="24.75" customHeight="1" x14ac:dyDescent="0.1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</row>
    <row r="145" spans="1:30" ht="24.75" customHeight="1" x14ac:dyDescent="0.1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</row>
    <row r="146" spans="1:30" ht="24.75" customHeight="1" x14ac:dyDescent="0.1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</row>
    <row r="147" spans="1:30" ht="24.75" customHeight="1" x14ac:dyDescent="0.1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</row>
    <row r="148" spans="1:30" ht="24.75" customHeight="1" x14ac:dyDescent="0.1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</row>
    <row r="149" spans="1:30" ht="24.75" customHeight="1" x14ac:dyDescent="0.1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</row>
    <row r="150" spans="1:30" ht="24.75" customHeight="1" x14ac:dyDescent="0.1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</row>
    <row r="151" spans="1:30" ht="24.75" customHeight="1" x14ac:dyDescent="0.1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</row>
    <row r="152" spans="1:30" ht="24.75" customHeight="1" x14ac:dyDescent="0.1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</row>
    <row r="153" spans="1:30" ht="24.75" customHeight="1" x14ac:dyDescent="0.1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</row>
    <row r="154" spans="1:30" ht="24.75" customHeight="1" x14ac:dyDescent="0.1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</row>
    <row r="155" spans="1:30" ht="24.75" customHeight="1" x14ac:dyDescent="0.1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</row>
    <row r="156" spans="1:30" ht="24.75" customHeight="1" x14ac:dyDescent="0.1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</row>
    <row r="157" spans="1:30" ht="24.75" customHeight="1" x14ac:dyDescent="0.1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</row>
    <row r="158" spans="1:30" ht="24.75" customHeight="1" x14ac:dyDescent="0.1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</row>
    <row r="159" spans="1:30" ht="24.75" customHeight="1" x14ac:dyDescent="0.1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</row>
    <row r="160" spans="1:30" ht="24.75" customHeight="1" x14ac:dyDescent="0.1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</row>
    <row r="161" spans="1:30" ht="24.75" customHeight="1" x14ac:dyDescent="0.1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</row>
    <row r="162" spans="1:30" ht="24.75" customHeight="1" x14ac:dyDescent="0.1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</row>
    <row r="163" spans="1:30" ht="24.75" customHeight="1" x14ac:dyDescent="0.1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</row>
    <row r="164" spans="1:30" ht="24.75" customHeight="1" x14ac:dyDescent="0.1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</row>
    <row r="165" spans="1:30" ht="24.75" customHeight="1" x14ac:dyDescent="0.1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</row>
    <row r="166" spans="1:30" ht="24.75" customHeight="1" x14ac:dyDescent="0.1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</row>
    <row r="167" spans="1:30" ht="24.75" customHeight="1" x14ac:dyDescent="0.1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</row>
    <row r="168" spans="1:30" ht="24.75" customHeight="1" x14ac:dyDescent="0.1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</row>
    <row r="169" spans="1:30" ht="24.75" customHeight="1" x14ac:dyDescent="0.1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</row>
    <row r="170" spans="1:30" ht="24.75" customHeight="1" x14ac:dyDescent="0.1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</row>
    <row r="171" spans="1:30" ht="24.75" customHeight="1" x14ac:dyDescent="0.1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</row>
    <row r="172" spans="1:30" ht="24.75" customHeight="1" x14ac:dyDescent="0.1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</row>
    <row r="173" spans="1:30" ht="24.75" customHeight="1" x14ac:dyDescent="0.1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</row>
    <row r="174" spans="1:30" ht="24.75" customHeight="1" x14ac:dyDescent="0.1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</row>
    <row r="175" spans="1:30" ht="24.75" customHeight="1" x14ac:dyDescent="0.1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</row>
    <row r="176" spans="1:30" ht="24.75" customHeight="1" x14ac:dyDescent="0.1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</row>
    <row r="177" spans="1:30" ht="24.75" customHeight="1" x14ac:dyDescent="0.1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</row>
    <row r="178" spans="1:30" ht="24.75" customHeight="1" x14ac:dyDescent="0.1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</row>
    <row r="179" spans="1:30" ht="24.75" customHeight="1" x14ac:dyDescent="0.1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</row>
    <row r="180" spans="1:30" ht="24.75" customHeight="1" x14ac:dyDescent="0.1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</row>
    <row r="181" spans="1:30" ht="24.75" customHeight="1" x14ac:dyDescent="0.1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</row>
    <row r="182" spans="1:30" ht="24.75" customHeight="1" x14ac:dyDescent="0.1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</row>
    <row r="183" spans="1:30" ht="24.75" customHeight="1" x14ac:dyDescent="0.1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</row>
    <row r="184" spans="1:30" ht="24.75" customHeight="1" x14ac:dyDescent="0.1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</row>
    <row r="185" spans="1:30" ht="24.75" customHeight="1" x14ac:dyDescent="0.1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</row>
    <row r="186" spans="1:30" ht="24.75" customHeight="1" x14ac:dyDescent="0.1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</row>
    <row r="187" spans="1:30" ht="24.75" customHeight="1" x14ac:dyDescent="0.1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</row>
    <row r="188" spans="1:30" ht="24.75" customHeight="1" x14ac:dyDescent="0.1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</row>
    <row r="189" spans="1:30" ht="24.75" customHeight="1" x14ac:dyDescent="0.1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</row>
    <row r="190" spans="1:30" ht="24.75" customHeight="1" x14ac:dyDescent="0.1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</row>
    <row r="191" spans="1:30" ht="24.75" customHeight="1" x14ac:dyDescent="0.1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</row>
    <row r="192" spans="1:30" ht="24.75" customHeight="1" x14ac:dyDescent="0.1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</row>
    <row r="193" spans="1:30" ht="24.75" customHeight="1" x14ac:dyDescent="0.1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</row>
    <row r="194" spans="1:30" ht="24.75" customHeight="1" x14ac:dyDescent="0.1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</row>
    <row r="195" spans="1:30" ht="24.75" customHeight="1" x14ac:dyDescent="0.1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</row>
    <row r="196" spans="1:30" ht="24.75" customHeight="1" x14ac:dyDescent="0.1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</row>
    <row r="197" spans="1:30" ht="24.75" customHeight="1" x14ac:dyDescent="0.1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</row>
    <row r="198" spans="1:30" ht="24.75" customHeight="1" x14ac:dyDescent="0.1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</row>
    <row r="199" spans="1:30" ht="24.75" customHeight="1" x14ac:dyDescent="0.1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</row>
    <row r="200" spans="1:30" ht="24.75" customHeight="1" x14ac:dyDescent="0.1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</row>
    <row r="201" spans="1:30" ht="24.75" customHeight="1" x14ac:dyDescent="0.1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</row>
    <row r="202" spans="1:30" ht="24.75" customHeight="1" x14ac:dyDescent="0.1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</row>
    <row r="203" spans="1:30" ht="24.75" customHeight="1" x14ac:dyDescent="0.1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</row>
    <row r="204" spans="1:30" ht="24.75" customHeight="1" x14ac:dyDescent="0.1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</row>
    <row r="205" spans="1:30" ht="24.75" customHeight="1" x14ac:dyDescent="0.1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</row>
    <row r="206" spans="1:30" ht="24.75" customHeight="1" x14ac:dyDescent="0.1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</row>
    <row r="207" spans="1:30" ht="24.75" customHeight="1" x14ac:dyDescent="0.1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</row>
    <row r="208" spans="1:30" ht="24.75" customHeight="1" x14ac:dyDescent="0.1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</row>
    <row r="209" spans="1:30" ht="24.75" customHeight="1" x14ac:dyDescent="0.1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</row>
    <row r="210" spans="1:30" ht="24.75" customHeight="1" x14ac:dyDescent="0.1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</row>
    <row r="211" spans="1:30" ht="24.75" customHeight="1" x14ac:dyDescent="0.1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</row>
    <row r="212" spans="1:30" ht="24.75" customHeight="1" x14ac:dyDescent="0.1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</row>
    <row r="213" spans="1:30" ht="24.75" customHeight="1" x14ac:dyDescent="0.1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</row>
    <row r="214" spans="1:30" ht="24.75" customHeight="1" x14ac:dyDescent="0.1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</row>
    <row r="215" spans="1:30" ht="24.75" customHeight="1" x14ac:dyDescent="0.1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</row>
    <row r="216" spans="1:30" ht="24.75" customHeight="1" x14ac:dyDescent="0.1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</row>
    <row r="217" spans="1:30" ht="24.75" customHeight="1" x14ac:dyDescent="0.1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</row>
    <row r="218" spans="1:30" ht="24.75" customHeight="1" x14ac:dyDescent="0.1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</row>
    <row r="219" spans="1:30" ht="24.75" customHeight="1" x14ac:dyDescent="0.1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</row>
    <row r="220" spans="1:30" ht="24.75" customHeight="1" x14ac:dyDescent="0.1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</row>
    <row r="221" spans="1:30" ht="24.75" customHeight="1" x14ac:dyDescent="0.1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</row>
    <row r="222" spans="1:30" ht="24.75" customHeight="1" x14ac:dyDescent="0.1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</row>
    <row r="223" spans="1:30" ht="24.75" customHeight="1" x14ac:dyDescent="0.1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</row>
    <row r="224" spans="1:30" ht="24.75" customHeight="1" x14ac:dyDescent="0.1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</row>
    <row r="225" spans="1:30" ht="24.75" customHeight="1" x14ac:dyDescent="0.1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</row>
    <row r="226" spans="1:30" ht="24.75" customHeight="1" x14ac:dyDescent="0.1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</row>
    <row r="227" spans="1:30" ht="24.75" customHeight="1" x14ac:dyDescent="0.1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</row>
    <row r="228" spans="1:30" ht="24.75" customHeight="1" x14ac:dyDescent="0.1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</row>
    <row r="229" spans="1:30" ht="24.75" customHeight="1" x14ac:dyDescent="0.1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</row>
    <row r="230" spans="1:30" ht="24.75" customHeight="1" x14ac:dyDescent="0.1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</row>
    <row r="231" spans="1:30" ht="24.75" customHeight="1" x14ac:dyDescent="0.1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</row>
    <row r="232" spans="1:30" ht="24.75" customHeight="1" x14ac:dyDescent="0.1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</row>
    <row r="233" spans="1:30" ht="24.75" customHeight="1" x14ac:dyDescent="0.1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</row>
    <row r="234" spans="1:30" ht="24.75" customHeight="1" x14ac:dyDescent="0.1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</row>
    <row r="235" spans="1:30" ht="24.75" customHeight="1" x14ac:dyDescent="0.1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</row>
    <row r="236" spans="1:30" ht="24.75" customHeight="1" x14ac:dyDescent="0.1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</row>
    <row r="237" spans="1:30" ht="24.75" customHeight="1" x14ac:dyDescent="0.1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</row>
    <row r="238" spans="1:30" ht="24.75" customHeight="1" x14ac:dyDescent="0.1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</row>
    <row r="239" spans="1:30" ht="24.75" customHeight="1" x14ac:dyDescent="0.1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</row>
    <row r="240" spans="1:30" ht="24.75" customHeight="1" x14ac:dyDescent="0.1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</row>
    <row r="241" spans="1:30" ht="24.75" customHeight="1" x14ac:dyDescent="0.1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</row>
    <row r="242" spans="1:30" ht="24.75" customHeight="1" x14ac:dyDescent="0.1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</row>
    <row r="243" spans="1:30" ht="24.75" customHeight="1" x14ac:dyDescent="0.1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</row>
    <row r="244" spans="1:30" ht="24.75" customHeight="1" x14ac:dyDescent="0.1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</row>
    <row r="245" spans="1:30" ht="24.75" customHeight="1" x14ac:dyDescent="0.1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</row>
    <row r="246" spans="1:30" ht="24.75" customHeight="1" x14ac:dyDescent="0.1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</row>
    <row r="247" spans="1:30" ht="24.75" customHeight="1" x14ac:dyDescent="0.1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</row>
    <row r="248" spans="1:30" ht="24.75" customHeight="1" x14ac:dyDescent="0.1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</row>
    <row r="249" spans="1:30" ht="24.75" customHeight="1" x14ac:dyDescent="0.1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</row>
    <row r="250" spans="1:30" ht="24.75" customHeight="1" x14ac:dyDescent="0.1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</row>
    <row r="251" spans="1:30" ht="24.75" customHeight="1" x14ac:dyDescent="0.1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</row>
    <row r="252" spans="1:30" ht="24.75" customHeight="1" x14ac:dyDescent="0.1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</row>
    <row r="253" spans="1:30" ht="24.75" customHeight="1" x14ac:dyDescent="0.1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</row>
    <row r="254" spans="1:30" ht="24.75" customHeight="1" x14ac:dyDescent="0.1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</row>
    <row r="255" spans="1:30" ht="24.75" customHeight="1" x14ac:dyDescent="0.1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</row>
    <row r="256" spans="1:30" ht="24.75" customHeight="1" x14ac:dyDescent="0.1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</row>
    <row r="257" spans="1:30" ht="24.75" customHeight="1" x14ac:dyDescent="0.1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</row>
    <row r="258" spans="1:30" ht="24.75" customHeight="1" x14ac:dyDescent="0.1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</row>
    <row r="259" spans="1:30" ht="24.75" customHeight="1" x14ac:dyDescent="0.1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</row>
    <row r="260" spans="1:30" ht="24.75" customHeight="1" x14ac:dyDescent="0.1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</row>
    <row r="261" spans="1:30" ht="24.75" customHeight="1" x14ac:dyDescent="0.1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</row>
    <row r="262" spans="1:30" ht="24.75" customHeight="1" x14ac:dyDescent="0.1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</row>
    <row r="263" spans="1:30" ht="24.75" customHeight="1" x14ac:dyDescent="0.1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</row>
    <row r="264" spans="1:30" ht="24.75" customHeight="1" x14ac:dyDescent="0.1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</row>
    <row r="265" spans="1:30" ht="24.75" customHeight="1" x14ac:dyDescent="0.1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</row>
    <row r="266" spans="1:30" ht="24.75" customHeight="1" x14ac:dyDescent="0.1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</row>
    <row r="267" spans="1:30" ht="24.75" customHeight="1" x14ac:dyDescent="0.1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</row>
    <row r="268" spans="1:30" ht="24.75" customHeight="1" x14ac:dyDescent="0.1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</row>
    <row r="269" spans="1:30" ht="24.75" customHeight="1" x14ac:dyDescent="0.1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</row>
    <row r="270" spans="1:30" ht="24.75" customHeight="1" x14ac:dyDescent="0.1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</row>
    <row r="271" spans="1:30" ht="24.75" customHeight="1" x14ac:dyDescent="0.1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</row>
    <row r="272" spans="1:30" ht="24.75" customHeight="1" x14ac:dyDescent="0.1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</row>
    <row r="273" spans="1:30" ht="24.75" customHeight="1" x14ac:dyDescent="0.1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</row>
    <row r="274" spans="1:30" ht="24.75" customHeight="1" x14ac:dyDescent="0.1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</row>
    <row r="275" spans="1:30" ht="24.75" customHeight="1" x14ac:dyDescent="0.1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</row>
    <row r="276" spans="1:30" ht="24.75" customHeight="1" x14ac:dyDescent="0.1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</row>
    <row r="277" spans="1:30" ht="24.75" customHeight="1" x14ac:dyDescent="0.1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</row>
    <row r="278" spans="1:30" ht="24.75" customHeight="1" x14ac:dyDescent="0.1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</row>
    <row r="279" spans="1:30" ht="24.75" customHeight="1" x14ac:dyDescent="0.1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</row>
    <row r="280" spans="1:30" ht="24.75" customHeight="1" x14ac:dyDescent="0.1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</row>
    <row r="281" spans="1:30" ht="24.75" customHeight="1" x14ac:dyDescent="0.1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</row>
    <row r="282" spans="1:30" ht="24.75" customHeight="1" x14ac:dyDescent="0.1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</row>
    <row r="283" spans="1:30" ht="24.75" customHeight="1" x14ac:dyDescent="0.1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</row>
    <row r="284" spans="1:30" ht="24.75" customHeight="1" x14ac:dyDescent="0.1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</row>
    <row r="285" spans="1:30" ht="24.75" customHeight="1" x14ac:dyDescent="0.1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</row>
    <row r="286" spans="1:30" ht="24.75" customHeight="1" x14ac:dyDescent="0.1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</row>
    <row r="287" spans="1:30" ht="24.75" customHeight="1" x14ac:dyDescent="0.1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</row>
    <row r="288" spans="1:30" ht="24.75" customHeight="1" x14ac:dyDescent="0.1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</row>
    <row r="289" spans="1:30" ht="24.75" customHeight="1" x14ac:dyDescent="0.1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</row>
    <row r="290" spans="1:30" ht="24.75" customHeight="1" x14ac:dyDescent="0.1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</row>
    <row r="291" spans="1:30" ht="24.75" customHeight="1" x14ac:dyDescent="0.1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</row>
    <row r="292" spans="1:30" ht="24.75" customHeight="1" x14ac:dyDescent="0.1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</row>
    <row r="293" spans="1:30" ht="24.75" customHeight="1" x14ac:dyDescent="0.1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</row>
    <row r="294" spans="1:30" ht="24.75" customHeight="1" x14ac:dyDescent="0.1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</row>
    <row r="295" spans="1:30" ht="24.75" customHeight="1" x14ac:dyDescent="0.1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</row>
    <row r="296" spans="1:30" ht="24.75" customHeight="1" x14ac:dyDescent="0.1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</row>
    <row r="297" spans="1:30" ht="24.75" customHeight="1" x14ac:dyDescent="0.1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</row>
    <row r="298" spans="1:30" ht="24.75" customHeight="1" x14ac:dyDescent="0.1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</row>
    <row r="299" spans="1:30" ht="24.75" customHeight="1" x14ac:dyDescent="0.1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</row>
    <row r="300" spans="1:30" ht="24.75" customHeight="1" x14ac:dyDescent="0.1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</row>
    <row r="301" spans="1:30" ht="24.75" customHeight="1" x14ac:dyDescent="0.1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</row>
    <row r="302" spans="1:30" ht="24.75" customHeight="1" x14ac:dyDescent="0.1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</row>
    <row r="303" spans="1:30" ht="24.75" customHeight="1" x14ac:dyDescent="0.1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</row>
    <row r="304" spans="1:30" ht="24.75" customHeight="1" x14ac:dyDescent="0.1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</row>
    <row r="305" spans="1:30" ht="24.75" customHeight="1" x14ac:dyDescent="0.1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</row>
    <row r="306" spans="1:30" ht="24.75" customHeight="1" x14ac:dyDescent="0.1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</row>
    <row r="307" spans="1:30" ht="24.75" customHeight="1" x14ac:dyDescent="0.1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</row>
    <row r="308" spans="1:30" ht="24.75" customHeight="1" x14ac:dyDescent="0.1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</row>
    <row r="309" spans="1:30" ht="24.75" customHeight="1" x14ac:dyDescent="0.1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</row>
    <row r="310" spans="1:30" ht="24.75" customHeight="1" x14ac:dyDescent="0.1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</row>
    <row r="311" spans="1:30" ht="24.75" customHeight="1" x14ac:dyDescent="0.1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</row>
    <row r="312" spans="1:30" ht="24.75" customHeight="1" x14ac:dyDescent="0.1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</row>
    <row r="313" spans="1:30" ht="24.75" customHeight="1" x14ac:dyDescent="0.1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</row>
    <row r="314" spans="1:30" ht="24.75" customHeight="1" x14ac:dyDescent="0.1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</row>
    <row r="315" spans="1:30" ht="24.75" customHeight="1" x14ac:dyDescent="0.1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</row>
    <row r="316" spans="1:30" ht="24.75" customHeight="1" x14ac:dyDescent="0.1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</row>
    <row r="317" spans="1:30" ht="24.75" customHeight="1" x14ac:dyDescent="0.1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</row>
    <row r="318" spans="1:30" ht="24.75" customHeight="1" x14ac:dyDescent="0.1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</row>
    <row r="319" spans="1:30" ht="24.75" customHeight="1" x14ac:dyDescent="0.1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</row>
    <row r="320" spans="1:30" ht="24.75" customHeight="1" x14ac:dyDescent="0.1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</row>
    <row r="321" spans="1:30" ht="24.75" customHeight="1" x14ac:dyDescent="0.1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</row>
    <row r="322" spans="1:30" ht="24.75" customHeight="1" x14ac:dyDescent="0.1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</row>
    <row r="323" spans="1:30" ht="24.75" customHeight="1" x14ac:dyDescent="0.1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</row>
    <row r="324" spans="1:30" ht="24.75" customHeight="1" x14ac:dyDescent="0.1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</row>
    <row r="325" spans="1:30" ht="24.75" customHeight="1" x14ac:dyDescent="0.1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</row>
    <row r="326" spans="1:30" ht="24.75" customHeight="1" x14ac:dyDescent="0.1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</row>
    <row r="327" spans="1:30" ht="24.75" customHeight="1" x14ac:dyDescent="0.1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</row>
    <row r="328" spans="1:30" ht="24.75" customHeight="1" x14ac:dyDescent="0.1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</row>
    <row r="329" spans="1:30" ht="24.75" customHeight="1" x14ac:dyDescent="0.1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</row>
    <row r="330" spans="1:30" ht="24.75" customHeight="1" x14ac:dyDescent="0.1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</row>
    <row r="331" spans="1:30" ht="24.75" customHeight="1" x14ac:dyDescent="0.1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</row>
    <row r="332" spans="1:30" ht="24.75" customHeight="1" x14ac:dyDescent="0.1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</row>
    <row r="333" spans="1:30" ht="24.75" customHeight="1" x14ac:dyDescent="0.1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</row>
    <row r="334" spans="1:30" ht="24.75" customHeight="1" x14ac:dyDescent="0.1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</row>
    <row r="335" spans="1:30" ht="24.75" customHeight="1" x14ac:dyDescent="0.1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</row>
    <row r="336" spans="1:30" ht="24.75" customHeight="1" x14ac:dyDescent="0.1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</row>
    <row r="337" spans="1:30" ht="24.75" customHeight="1" x14ac:dyDescent="0.1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</row>
    <row r="338" spans="1:30" ht="24.75" customHeight="1" x14ac:dyDescent="0.1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</row>
    <row r="339" spans="1:30" ht="24.75" customHeight="1" x14ac:dyDescent="0.1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</row>
    <row r="340" spans="1:30" ht="24.75" customHeight="1" x14ac:dyDescent="0.1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</row>
    <row r="341" spans="1:30" ht="24.75" customHeight="1" x14ac:dyDescent="0.1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</row>
    <row r="342" spans="1:30" ht="24.75" customHeight="1" x14ac:dyDescent="0.1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</row>
    <row r="343" spans="1:30" ht="24.75" customHeight="1" x14ac:dyDescent="0.1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</row>
    <row r="344" spans="1:30" ht="24.75" customHeight="1" x14ac:dyDescent="0.1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</row>
    <row r="345" spans="1:30" ht="24.75" customHeight="1" x14ac:dyDescent="0.1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</row>
    <row r="346" spans="1:30" ht="24.75" customHeight="1" x14ac:dyDescent="0.1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</row>
    <row r="347" spans="1:30" ht="24.75" customHeight="1" x14ac:dyDescent="0.1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</row>
    <row r="348" spans="1:30" ht="24.75" customHeight="1" x14ac:dyDescent="0.1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</row>
    <row r="349" spans="1:30" ht="24.75" customHeight="1" x14ac:dyDescent="0.1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</row>
    <row r="350" spans="1:30" ht="24.75" customHeight="1" x14ac:dyDescent="0.1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</row>
    <row r="351" spans="1:30" ht="24.75" customHeight="1" x14ac:dyDescent="0.1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</row>
    <row r="352" spans="1:30" ht="24.75" customHeight="1" x14ac:dyDescent="0.1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</row>
    <row r="353" spans="1:30" ht="24.75" customHeight="1" x14ac:dyDescent="0.1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</row>
    <row r="354" spans="1:30" ht="24.75" customHeight="1" x14ac:dyDescent="0.1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</row>
    <row r="355" spans="1:30" ht="24.75" customHeight="1" x14ac:dyDescent="0.1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</row>
    <row r="356" spans="1:30" ht="24.75" customHeight="1" x14ac:dyDescent="0.1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</row>
    <row r="357" spans="1:30" ht="24.75" customHeight="1" x14ac:dyDescent="0.1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</row>
    <row r="358" spans="1:30" ht="24.75" customHeight="1" x14ac:dyDescent="0.1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</row>
    <row r="359" spans="1:30" ht="24.75" customHeight="1" x14ac:dyDescent="0.1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</row>
    <row r="360" spans="1:30" ht="24.75" customHeight="1" x14ac:dyDescent="0.1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</row>
    <row r="361" spans="1:30" ht="24.75" customHeight="1" x14ac:dyDescent="0.1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</row>
    <row r="362" spans="1:30" ht="24.75" customHeight="1" x14ac:dyDescent="0.1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</row>
    <row r="363" spans="1:30" ht="24.75" customHeight="1" x14ac:dyDescent="0.1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</row>
    <row r="364" spans="1:30" ht="24.75" customHeight="1" x14ac:dyDescent="0.1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</row>
    <row r="365" spans="1:30" ht="24.75" customHeight="1" x14ac:dyDescent="0.1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</row>
    <row r="366" spans="1:30" ht="24.75" customHeight="1" x14ac:dyDescent="0.1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</row>
    <row r="367" spans="1:30" ht="24.75" customHeight="1" x14ac:dyDescent="0.1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</row>
    <row r="368" spans="1:30" ht="24.75" customHeight="1" x14ac:dyDescent="0.1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</row>
    <row r="369" spans="1:30" ht="24.75" customHeight="1" x14ac:dyDescent="0.1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</row>
    <row r="370" spans="1:30" ht="24.75" customHeight="1" x14ac:dyDescent="0.1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</row>
    <row r="371" spans="1:30" ht="24.75" customHeight="1" x14ac:dyDescent="0.1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</row>
    <row r="372" spans="1:30" ht="24.75" customHeight="1" x14ac:dyDescent="0.1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</row>
    <row r="373" spans="1:30" ht="24.75" customHeight="1" x14ac:dyDescent="0.1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</row>
    <row r="374" spans="1:30" ht="24.75" customHeight="1" x14ac:dyDescent="0.1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</row>
    <row r="375" spans="1:30" ht="24.75" customHeight="1" x14ac:dyDescent="0.1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</row>
    <row r="376" spans="1:30" ht="24.75" customHeight="1" x14ac:dyDescent="0.1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</row>
    <row r="377" spans="1:30" ht="24.75" customHeight="1" x14ac:dyDescent="0.1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</row>
    <row r="378" spans="1:30" ht="24.75" customHeight="1" x14ac:dyDescent="0.1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</row>
    <row r="379" spans="1:30" ht="24.75" customHeight="1" x14ac:dyDescent="0.1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</row>
    <row r="380" spans="1:30" ht="24.75" customHeight="1" x14ac:dyDescent="0.1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</row>
    <row r="381" spans="1:30" ht="24.75" customHeight="1" x14ac:dyDescent="0.1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</row>
    <row r="382" spans="1:30" ht="24.75" customHeight="1" x14ac:dyDescent="0.1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</row>
    <row r="383" spans="1:30" ht="24.75" customHeight="1" x14ac:dyDescent="0.1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</row>
    <row r="384" spans="1:30" ht="24.75" customHeight="1" x14ac:dyDescent="0.1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</row>
    <row r="385" spans="1:30" ht="24.75" customHeight="1" x14ac:dyDescent="0.1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</row>
    <row r="386" spans="1:30" ht="24.75" customHeight="1" x14ac:dyDescent="0.1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</row>
    <row r="387" spans="1:30" ht="24.75" customHeight="1" x14ac:dyDescent="0.1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</row>
    <row r="388" spans="1:30" ht="24.75" customHeight="1" x14ac:dyDescent="0.1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</row>
    <row r="389" spans="1:30" ht="24.75" customHeight="1" x14ac:dyDescent="0.1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</row>
    <row r="390" spans="1:30" ht="24.75" customHeight="1" x14ac:dyDescent="0.1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</row>
    <row r="391" spans="1:30" ht="24.75" customHeight="1" x14ac:dyDescent="0.1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</row>
    <row r="392" spans="1:30" ht="24.75" customHeight="1" x14ac:dyDescent="0.1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</row>
    <row r="393" spans="1:30" ht="24.75" customHeight="1" x14ac:dyDescent="0.1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</row>
    <row r="394" spans="1:30" ht="24.75" customHeight="1" x14ac:dyDescent="0.1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</row>
    <row r="395" spans="1:30" ht="24.75" customHeight="1" x14ac:dyDescent="0.1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</row>
    <row r="396" spans="1:30" ht="24.75" customHeight="1" x14ac:dyDescent="0.1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</row>
    <row r="397" spans="1:30" ht="24.75" customHeight="1" x14ac:dyDescent="0.1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</row>
    <row r="398" spans="1:30" ht="24.75" customHeight="1" x14ac:dyDescent="0.1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</row>
    <row r="399" spans="1:30" ht="24.75" customHeight="1" x14ac:dyDescent="0.1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</row>
    <row r="400" spans="1:30" ht="24.75" customHeight="1" x14ac:dyDescent="0.1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</row>
    <row r="401" spans="1:30" ht="24.75" customHeight="1" x14ac:dyDescent="0.1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</row>
    <row r="402" spans="1:30" ht="24.75" customHeight="1" x14ac:dyDescent="0.1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</row>
    <row r="403" spans="1:30" ht="24.75" customHeight="1" x14ac:dyDescent="0.1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</row>
    <row r="404" spans="1:30" ht="24.75" customHeight="1" x14ac:dyDescent="0.1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</row>
    <row r="405" spans="1:30" ht="24.75" customHeight="1" x14ac:dyDescent="0.1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</row>
    <row r="406" spans="1:30" ht="24.75" customHeight="1" x14ac:dyDescent="0.1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</row>
    <row r="407" spans="1:30" ht="24.75" customHeight="1" x14ac:dyDescent="0.1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</row>
    <row r="408" spans="1:30" ht="24.75" customHeight="1" x14ac:dyDescent="0.1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</row>
    <row r="409" spans="1:30" ht="24.75" customHeight="1" x14ac:dyDescent="0.1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</row>
    <row r="410" spans="1:30" ht="24.75" customHeight="1" x14ac:dyDescent="0.1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</row>
    <row r="411" spans="1:30" ht="24.75" customHeight="1" x14ac:dyDescent="0.1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</row>
    <row r="412" spans="1:30" ht="24.75" customHeight="1" x14ac:dyDescent="0.1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</row>
    <row r="413" spans="1:30" ht="24.75" customHeight="1" x14ac:dyDescent="0.1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</row>
    <row r="414" spans="1:30" ht="24.75" customHeight="1" x14ac:dyDescent="0.1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</row>
    <row r="415" spans="1:30" ht="24.75" customHeight="1" x14ac:dyDescent="0.1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</row>
    <row r="416" spans="1:30" ht="24.75" customHeight="1" x14ac:dyDescent="0.1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</row>
    <row r="417" spans="1:30" ht="24.75" customHeight="1" x14ac:dyDescent="0.1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</row>
    <row r="418" spans="1:30" ht="24.75" customHeight="1" x14ac:dyDescent="0.1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</row>
    <row r="419" spans="1:30" ht="24.75" customHeight="1" x14ac:dyDescent="0.1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</row>
    <row r="420" spans="1:30" ht="24.75" customHeight="1" x14ac:dyDescent="0.1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</row>
    <row r="421" spans="1:30" ht="24.75" customHeight="1" x14ac:dyDescent="0.1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</row>
    <row r="422" spans="1:30" ht="24.75" customHeight="1" x14ac:dyDescent="0.1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</row>
    <row r="423" spans="1:30" ht="24.75" customHeight="1" x14ac:dyDescent="0.1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</row>
    <row r="424" spans="1:30" ht="24.75" customHeight="1" x14ac:dyDescent="0.1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</row>
    <row r="425" spans="1:30" ht="24.75" customHeight="1" x14ac:dyDescent="0.1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</row>
    <row r="426" spans="1:30" ht="24.75" customHeight="1" x14ac:dyDescent="0.1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</row>
    <row r="427" spans="1:30" ht="24.75" customHeight="1" x14ac:dyDescent="0.1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</row>
    <row r="428" spans="1:30" ht="24.75" customHeight="1" x14ac:dyDescent="0.1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</row>
    <row r="429" spans="1:30" ht="24.75" customHeight="1" x14ac:dyDescent="0.1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</row>
    <row r="430" spans="1:30" ht="24.75" customHeight="1" x14ac:dyDescent="0.1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</row>
    <row r="431" spans="1:30" ht="24.75" customHeight="1" x14ac:dyDescent="0.1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</row>
    <row r="432" spans="1:30" ht="24.75" customHeight="1" x14ac:dyDescent="0.1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</row>
    <row r="433" spans="1:30" ht="24.75" customHeight="1" x14ac:dyDescent="0.1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</row>
    <row r="434" spans="1:30" ht="24.75" customHeight="1" x14ac:dyDescent="0.1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</row>
    <row r="435" spans="1:30" ht="24.75" customHeight="1" x14ac:dyDescent="0.1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</row>
    <row r="436" spans="1:30" ht="24.75" customHeight="1" x14ac:dyDescent="0.1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</row>
    <row r="437" spans="1:30" ht="24.75" customHeight="1" x14ac:dyDescent="0.1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</row>
    <row r="438" spans="1:30" ht="24.75" customHeight="1" x14ac:dyDescent="0.1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</row>
    <row r="439" spans="1:30" ht="24.75" customHeight="1" x14ac:dyDescent="0.1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</row>
    <row r="440" spans="1:30" ht="24.75" customHeight="1" x14ac:dyDescent="0.1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</row>
    <row r="441" spans="1:30" ht="24.75" customHeight="1" x14ac:dyDescent="0.1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</row>
    <row r="442" spans="1:30" ht="24.75" customHeight="1" x14ac:dyDescent="0.1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</row>
    <row r="443" spans="1:30" ht="24.75" customHeight="1" x14ac:dyDescent="0.1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</row>
    <row r="444" spans="1:30" ht="24.75" customHeight="1" x14ac:dyDescent="0.1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</row>
    <row r="445" spans="1:30" ht="24.75" customHeight="1" x14ac:dyDescent="0.1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</row>
    <row r="446" spans="1:30" ht="24.75" customHeight="1" x14ac:dyDescent="0.1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</row>
    <row r="447" spans="1:30" ht="24.75" customHeight="1" x14ac:dyDescent="0.1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</row>
    <row r="448" spans="1:30" ht="24.75" customHeight="1" x14ac:dyDescent="0.1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</row>
    <row r="449" spans="1:30" ht="24.75" customHeight="1" x14ac:dyDescent="0.1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</row>
    <row r="450" spans="1:30" ht="24.75" customHeight="1" x14ac:dyDescent="0.1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</row>
    <row r="451" spans="1:30" ht="24.75" customHeight="1" x14ac:dyDescent="0.1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</row>
    <row r="452" spans="1:30" ht="24.75" customHeight="1" x14ac:dyDescent="0.1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</row>
    <row r="453" spans="1:30" ht="24.75" customHeight="1" x14ac:dyDescent="0.1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</row>
    <row r="454" spans="1:30" ht="24.75" customHeight="1" x14ac:dyDescent="0.1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</row>
    <row r="455" spans="1:30" ht="24.75" customHeight="1" x14ac:dyDescent="0.1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</row>
    <row r="456" spans="1:30" ht="24.75" customHeight="1" x14ac:dyDescent="0.1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</row>
    <row r="457" spans="1:30" ht="24.75" customHeight="1" x14ac:dyDescent="0.1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</row>
    <row r="458" spans="1:30" ht="24.75" customHeight="1" x14ac:dyDescent="0.1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</row>
    <row r="459" spans="1:30" ht="24.75" customHeight="1" x14ac:dyDescent="0.1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</row>
    <row r="460" spans="1:30" ht="24.75" customHeight="1" x14ac:dyDescent="0.1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</row>
    <row r="461" spans="1:30" ht="24.75" customHeight="1" x14ac:dyDescent="0.1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</row>
    <row r="462" spans="1:30" ht="24.75" customHeight="1" x14ac:dyDescent="0.1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</row>
    <row r="463" spans="1:30" ht="24.75" customHeight="1" x14ac:dyDescent="0.1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</row>
    <row r="464" spans="1:30" ht="24.75" customHeight="1" x14ac:dyDescent="0.1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</row>
    <row r="465" spans="1:30" ht="24.75" customHeight="1" x14ac:dyDescent="0.1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</row>
    <row r="466" spans="1:30" ht="24.75" customHeight="1" x14ac:dyDescent="0.1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</row>
    <row r="467" spans="1:30" ht="24.75" customHeight="1" x14ac:dyDescent="0.1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</row>
    <row r="468" spans="1:30" ht="24.75" customHeight="1" x14ac:dyDescent="0.1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</row>
    <row r="469" spans="1:30" ht="24.75" customHeight="1" x14ac:dyDescent="0.1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</row>
    <row r="470" spans="1:30" ht="24.75" customHeight="1" x14ac:dyDescent="0.1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</row>
    <row r="471" spans="1:30" ht="24.75" customHeight="1" x14ac:dyDescent="0.1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</row>
    <row r="472" spans="1:30" ht="24.75" customHeight="1" x14ac:dyDescent="0.1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</row>
    <row r="473" spans="1:30" ht="24.75" customHeight="1" x14ac:dyDescent="0.1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</row>
    <row r="474" spans="1:30" ht="24.75" customHeight="1" x14ac:dyDescent="0.1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</row>
    <row r="475" spans="1:30" ht="24.75" customHeight="1" x14ac:dyDescent="0.1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</row>
    <row r="476" spans="1:30" ht="24.75" customHeight="1" x14ac:dyDescent="0.1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</row>
    <row r="477" spans="1:30" ht="24.75" customHeight="1" x14ac:dyDescent="0.1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</row>
    <row r="478" spans="1:30" ht="24.75" customHeight="1" x14ac:dyDescent="0.1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</row>
    <row r="479" spans="1:30" ht="24.75" customHeight="1" x14ac:dyDescent="0.1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</row>
    <row r="480" spans="1:30" ht="24.75" customHeight="1" x14ac:dyDescent="0.1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</row>
    <row r="481" spans="1:30" ht="24.75" customHeight="1" x14ac:dyDescent="0.1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</row>
    <row r="482" spans="1:30" ht="24.75" customHeight="1" x14ac:dyDescent="0.1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</row>
    <row r="483" spans="1:30" ht="24.75" customHeight="1" x14ac:dyDescent="0.1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</row>
    <row r="484" spans="1:30" ht="24.75" customHeight="1" x14ac:dyDescent="0.1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</row>
    <row r="485" spans="1:30" ht="24.75" customHeight="1" x14ac:dyDescent="0.1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</row>
    <row r="486" spans="1:30" ht="24.75" customHeight="1" x14ac:dyDescent="0.1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</row>
    <row r="487" spans="1:30" ht="24.75" customHeight="1" x14ac:dyDescent="0.1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</row>
    <row r="488" spans="1:30" ht="24.75" customHeight="1" x14ac:dyDescent="0.1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</row>
    <row r="489" spans="1:30" ht="24.75" customHeight="1" x14ac:dyDescent="0.1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</row>
    <row r="490" spans="1:30" ht="24.75" customHeight="1" x14ac:dyDescent="0.1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</row>
    <row r="491" spans="1:30" ht="24.75" customHeight="1" x14ac:dyDescent="0.1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</row>
    <row r="492" spans="1:30" ht="24.75" customHeight="1" x14ac:dyDescent="0.1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</row>
    <row r="493" spans="1:30" ht="24.75" customHeight="1" x14ac:dyDescent="0.1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</row>
    <row r="494" spans="1:30" ht="24.75" customHeight="1" x14ac:dyDescent="0.1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</row>
    <row r="495" spans="1:30" ht="24.75" customHeight="1" x14ac:dyDescent="0.1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</row>
    <row r="496" spans="1:30" ht="24.75" customHeight="1" x14ac:dyDescent="0.1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</row>
    <row r="497" spans="1:30" ht="24.75" customHeight="1" x14ac:dyDescent="0.1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</row>
    <row r="498" spans="1:30" ht="24.75" customHeight="1" x14ac:dyDescent="0.1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</row>
    <row r="499" spans="1:30" ht="24.75" customHeight="1" x14ac:dyDescent="0.1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</row>
    <row r="500" spans="1:30" ht="24.75" customHeight="1" x14ac:dyDescent="0.1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</row>
    <row r="501" spans="1:30" ht="24.75" customHeight="1" x14ac:dyDescent="0.1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</row>
    <row r="502" spans="1:30" ht="24.75" customHeight="1" x14ac:dyDescent="0.1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</row>
    <row r="503" spans="1:30" ht="24.75" customHeight="1" x14ac:dyDescent="0.1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</row>
    <row r="504" spans="1:30" ht="24.75" customHeight="1" x14ac:dyDescent="0.1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</row>
    <row r="505" spans="1:30" ht="24.75" customHeight="1" x14ac:dyDescent="0.1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</row>
    <row r="506" spans="1:30" ht="24.75" customHeight="1" x14ac:dyDescent="0.1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</row>
    <row r="507" spans="1:30" ht="24.75" customHeight="1" x14ac:dyDescent="0.1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</row>
    <row r="508" spans="1:30" ht="24.75" customHeight="1" x14ac:dyDescent="0.1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</row>
    <row r="509" spans="1:30" ht="24.75" customHeight="1" x14ac:dyDescent="0.1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</row>
    <row r="510" spans="1:30" ht="24.75" customHeight="1" x14ac:dyDescent="0.1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</row>
    <row r="511" spans="1:30" ht="24.75" customHeight="1" x14ac:dyDescent="0.1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</row>
    <row r="512" spans="1:30" ht="24.75" customHeight="1" x14ac:dyDescent="0.1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</row>
    <row r="513" spans="1:30" ht="24.75" customHeight="1" x14ac:dyDescent="0.1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</row>
    <row r="514" spans="1:30" ht="24.75" customHeight="1" x14ac:dyDescent="0.1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</row>
    <row r="515" spans="1:30" ht="24.75" customHeight="1" x14ac:dyDescent="0.1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</row>
    <row r="516" spans="1:30" ht="24.75" customHeight="1" x14ac:dyDescent="0.1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</row>
    <row r="517" spans="1:30" ht="24.75" customHeight="1" x14ac:dyDescent="0.1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</row>
    <row r="518" spans="1:30" ht="24.75" customHeight="1" x14ac:dyDescent="0.1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</row>
    <row r="519" spans="1:30" ht="24.75" customHeight="1" x14ac:dyDescent="0.1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</row>
    <row r="520" spans="1:30" ht="24.75" customHeight="1" x14ac:dyDescent="0.1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</row>
    <row r="521" spans="1:30" ht="24.75" customHeight="1" x14ac:dyDescent="0.1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</row>
    <row r="522" spans="1:30" ht="24.75" customHeight="1" x14ac:dyDescent="0.1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</row>
    <row r="523" spans="1:30" ht="24.75" customHeight="1" x14ac:dyDescent="0.1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</row>
    <row r="524" spans="1:30" ht="24.75" customHeight="1" x14ac:dyDescent="0.1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</row>
    <row r="525" spans="1:30" ht="24.75" customHeight="1" x14ac:dyDescent="0.1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</row>
    <row r="526" spans="1:30" ht="24.75" customHeight="1" x14ac:dyDescent="0.1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</row>
    <row r="527" spans="1:30" ht="24.75" customHeight="1" x14ac:dyDescent="0.1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</row>
    <row r="528" spans="1:30" ht="24.75" customHeight="1" x14ac:dyDescent="0.1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</row>
    <row r="529" spans="1:30" ht="24.75" customHeight="1" x14ac:dyDescent="0.1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</row>
    <row r="530" spans="1:30" ht="24.75" customHeight="1" x14ac:dyDescent="0.1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</row>
    <row r="531" spans="1:30" ht="24.75" customHeight="1" x14ac:dyDescent="0.1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</row>
    <row r="532" spans="1:30" ht="24.75" customHeight="1" x14ac:dyDescent="0.1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</row>
    <row r="533" spans="1:30" ht="24.75" customHeight="1" x14ac:dyDescent="0.1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</row>
    <row r="534" spans="1:30" ht="24.75" customHeight="1" x14ac:dyDescent="0.1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</row>
    <row r="535" spans="1:30" ht="24.75" customHeight="1" x14ac:dyDescent="0.1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</row>
    <row r="536" spans="1:30" ht="24.75" customHeight="1" x14ac:dyDescent="0.1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</row>
    <row r="537" spans="1:30" ht="24.75" customHeight="1" x14ac:dyDescent="0.1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</row>
    <row r="538" spans="1:30" ht="24.75" customHeight="1" x14ac:dyDescent="0.1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</row>
    <row r="539" spans="1:30" ht="24.75" customHeight="1" x14ac:dyDescent="0.1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</row>
    <row r="540" spans="1:30" ht="24.75" customHeight="1" x14ac:dyDescent="0.1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</row>
    <row r="541" spans="1:30" ht="24.75" customHeight="1" x14ac:dyDescent="0.1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</row>
    <row r="542" spans="1:30" ht="24.75" customHeight="1" x14ac:dyDescent="0.1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</row>
    <row r="543" spans="1:30" ht="24.75" customHeight="1" x14ac:dyDescent="0.1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</row>
    <row r="544" spans="1:30" ht="24.75" customHeight="1" x14ac:dyDescent="0.1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</row>
    <row r="545" spans="1:30" ht="24.75" customHeight="1" x14ac:dyDescent="0.1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</row>
    <row r="546" spans="1:30" ht="24.75" customHeight="1" x14ac:dyDescent="0.1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</row>
    <row r="547" spans="1:30" ht="24.75" customHeight="1" x14ac:dyDescent="0.1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</row>
    <row r="548" spans="1:30" ht="24.75" customHeight="1" x14ac:dyDescent="0.1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</row>
    <row r="549" spans="1:30" ht="24.75" customHeight="1" x14ac:dyDescent="0.1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</row>
    <row r="550" spans="1:30" ht="24.75" customHeight="1" x14ac:dyDescent="0.1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</row>
    <row r="551" spans="1:30" ht="24.75" customHeight="1" x14ac:dyDescent="0.1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</row>
    <row r="552" spans="1:30" ht="24.75" customHeight="1" x14ac:dyDescent="0.1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</row>
    <row r="553" spans="1:30" ht="24.75" customHeight="1" x14ac:dyDescent="0.1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</row>
    <row r="554" spans="1:30" ht="24.75" customHeight="1" x14ac:dyDescent="0.1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</row>
    <row r="555" spans="1:30" ht="24.75" customHeight="1" x14ac:dyDescent="0.1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</row>
    <row r="556" spans="1:30" ht="24.75" customHeight="1" x14ac:dyDescent="0.1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</row>
    <row r="557" spans="1:30" ht="24.75" customHeight="1" x14ac:dyDescent="0.1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</row>
    <row r="558" spans="1:30" ht="24.75" customHeight="1" x14ac:dyDescent="0.1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</row>
    <row r="559" spans="1:30" ht="24.75" customHeight="1" x14ac:dyDescent="0.1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</row>
    <row r="560" spans="1:30" ht="24.75" customHeight="1" x14ac:dyDescent="0.1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</row>
    <row r="561" spans="1:30" ht="24.75" customHeight="1" x14ac:dyDescent="0.1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</row>
    <row r="562" spans="1:30" ht="24.75" customHeight="1" x14ac:dyDescent="0.1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</row>
    <row r="563" spans="1:30" ht="24.75" customHeight="1" x14ac:dyDescent="0.1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</row>
    <row r="564" spans="1:30" ht="24.75" customHeight="1" x14ac:dyDescent="0.1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</row>
    <row r="565" spans="1:30" ht="24.75" customHeight="1" x14ac:dyDescent="0.1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</row>
    <row r="566" spans="1:30" ht="24.75" customHeight="1" x14ac:dyDescent="0.1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</row>
    <row r="567" spans="1:30" ht="24.75" customHeight="1" x14ac:dyDescent="0.1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</row>
    <row r="568" spans="1:30" ht="24.75" customHeight="1" x14ac:dyDescent="0.1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</row>
    <row r="569" spans="1:30" ht="24.75" customHeight="1" x14ac:dyDescent="0.1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</row>
    <row r="570" spans="1:30" ht="24.75" customHeight="1" x14ac:dyDescent="0.1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</row>
    <row r="571" spans="1:30" ht="24.75" customHeight="1" x14ac:dyDescent="0.1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</row>
    <row r="572" spans="1:30" ht="24.75" customHeight="1" x14ac:dyDescent="0.1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</row>
    <row r="573" spans="1:30" ht="24.75" customHeight="1" x14ac:dyDescent="0.1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</row>
    <row r="574" spans="1:30" ht="24.75" customHeight="1" x14ac:dyDescent="0.1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</row>
    <row r="575" spans="1:30" ht="24.75" customHeight="1" x14ac:dyDescent="0.1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</row>
    <row r="576" spans="1:30" ht="24.75" customHeight="1" x14ac:dyDescent="0.1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</row>
    <row r="577" spans="1:30" ht="24.75" customHeight="1" x14ac:dyDescent="0.1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</row>
    <row r="578" spans="1:30" ht="24.75" customHeight="1" x14ac:dyDescent="0.1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</row>
    <row r="579" spans="1:30" ht="24.75" customHeight="1" x14ac:dyDescent="0.1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</row>
    <row r="580" spans="1:30" ht="24.75" customHeight="1" x14ac:dyDescent="0.1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</row>
    <row r="581" spans="1:30" ht="24.75" customHeight="1" x14ac:dyDescent="0.1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</row>
    <row r="582" spans="1:30" ht="24.75" customHeight="1" x14ac:dyDescent="0.1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</row>
    <row r="583" spans="1:30" ht="24.75" customHeight="1" x14ac:dyDescent="0.1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</row>
    <row r="584" spans="1:30" ht="24.75" customHeight="1" x14ac:dyDescent="0.1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</row>
    <row r="585" spans="1:30" ht="24.75" customHeight="1" x14ac:dyDescent="0.1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</row>
    <row r="586" spans="1:30" ht="24.75" customHeight="1" x14ac:dyDescent="0.1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</row>
    <row r="587" spans="1:30" ht="24.75" customHeight="1" x14ac:dyDescent="0.1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</row>
    <row r="588" spans="1:30" ht="24.75" customHeight="1" x14ac:dyDescent="0.1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</row>
    <row r="589" spans="1:30" ht="24.75" customHeight="1" x14ac:dyDescent="0.1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</row>
    <row r="590" spans="1:30" ht="24.75" customHeight="1" x14ac:dyDescent="0.1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</row>
    <row r="591" spans="1:30" ht="24.75" customHeight="1" x14ac:dyDescent="0.1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</row>
    <row r="592" spans="1:30" ht="24.75" customHeight="1" x14ac:dyDescent="0.1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</row>
    <row r="593" spans="1:30" ht="24.75" customHeight="1" x14ac:dyDescent="0.1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</row>
    <row r="594" spans="1:30" ht="24.75" customHeight="1" x14ac:dyDescent="0.1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</row>
    <row r="595" spans="1:30" ht="24.75" customHeight="1" x14ac:dyDescent="0.1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</row>
    <row r="596" spans="1:30" ht="24.75" customHeight="1" x14ac:dyDescent="0.1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</row>
    <row r="597" spans="1:30" ht="24.75" customHeight="1" x14ac:dyDescent="0.1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</row>
    <row r="598" spans="1:30" ht="24.75" customHeight="1" x14ac:dyDescent="0.1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</row>
    <row r="599" spans="1:30" ht="24.75" customHeight="1" x14ac:dyDescent="0.1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</row>
    <row r="600" spans="1:30" ht="24.75" customHeight="1" x14ac:dyDescent="0.1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</row>
    <row r="601" spans="1:30" ht="24.75" customHeight="1" x14ac:dyDescent="0.1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</row>
    <row r="602" spans="1:30" ht="24.75" customHeight="1" x14ac:dyDescent="0.1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</row>
    <row r="603" spans="1:30" ht="24.75" customHeight="1" x14ac:dyDescent="0.1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</row>
    <row r="604" spans="1:30" ht="24.75" customHeight="1" x14ac:dyDescent="0.1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</row>
    <row r="605" spans="1:30" ht="24.75" customHeight="1" x14ac:dyDescent="0.1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</row>
    <row r="606" spans="1:30" ht="24.75" customHeight="1" x14ac:dyDescent="0.1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</row>
    <row r="607" spans="1:30" ht="24.75" customHeight="1" x14ac:dyDescent="0.1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</row>
    <row r="608" spans="1:30" ht="24.75" customHeight="1" x14ac:dyDescent="0.1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</row>
    <row r="609" spans="1:30" ht="24.75" customHeight="1" x14ac:dyDescent="0.1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</row>
    <row r="610" spans="1:30" ht="24.75" customHeight="1" x14ac:dyDescent="0.1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</row>
    <row r="611" spans="1:30" ht="24.75" customHeight="1" x14ac:dyDescent="0.1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</row>
    <row r="612" spans="1:30" ht="24.75" customHeight="1" x14ac:dyDescent="0.1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</row>
    <row r="613" spans="1:30" ht="24.75" customHeight="1" x14ac:dyDescent="0.1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</row>
    <row r="614" spans="1:30" ht="24.75" customHeight="1" x14ac:dyDescent="0.1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</row>
    <row r="615" spans="1:30" ht="24.75" customHeight="1" x14ac:dyDescent="0.1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</row>
    <row r="616" spans="1:30" ht="24.75" customHeight="1" x14ac:dyDescent="0.1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</row>
    <row r="617" spans="1:30" ht="24.75" customHeight="1" x14ac:dyDescent="0.1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</row>
    <row r="618" spans="1:30" ht="24.75" customHeight="1" x14ac:dyDescent="0.1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</row>
    <row r="619" spans="1:30" ht="24.75" customHeight="1" x14ac:dyDescent="0.1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</row>
    <row r="620" spans="1:30" ht="24.75" customHeight="1" x14ac:dyDescent="0.1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</row>
    <row r="621" spans="1:30" ht="24.75" customHeight="1" x14ac:dyDescent="0.1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</row>
    <row r="622" spans="1:30" ht="24.75" customHeight="1" x14ac:dyDescent="0.1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</row>
    <row r="623" spans="1:30" ht="24.75" customHeight="1" x14ac:dyDescent="0.1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</row>
    <row r="624" spans="1:30" ht="24.75" customHeight="1" x14ac:dyDescent="0.1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</row>
    <row r="625" spans="1:30" ht="24.75" customHeight="1" x14ac:dyDescent="0.1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</row>
    <row r="626" spans="1:30" ht="24.75" customHeight="1" x14ac:dyDescent="0.1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</row>
    <row r="627" spans="1:30" ht="24.75" customHeight="1" x14ac:dyDescent="0.1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</row>
    <row r="628" spans="1:30" ht="24.75" customHeight="1" x14ac:dyDescent="0.1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</row>
    <row r="629" spans="1:30" ht="24.75" customHeight="1" x14ac:dyDescent="0.1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</row>
    <row r="630" spans="1:30" ht="24.75" customHeight="1" x14ac:dyDescent="0.1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</row>
    <row r="631" spans="1:30" ht="24.75" customHeight="1" x14ac:dyDescent="0.1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</row>
    <row r="632" spans="1:30" ht="24.75" customHeight="1" x14ac:dyDescent="0.1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</row>
    <row r="633" spans="1:30" ht="24.75" customHeight="1" x14ac:dyDescent="0.1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</row>
    <row r="634" spans="1:30" ht="24.75" customHeight="1" x14ac:dyDescent="0.1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</row>
    <row r="635" spans="1:30" ht="24.75" customHeight="1" x14ac:dyDescent="0.1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</row>
    <row r="636" spans="1:30" ht="24.75" customHeight="1" x14ac:dyDescent="0.1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</row>
    <row r="637" spans="1:30" ht="24.75" customHeight="1" x14ac:dyDescent="0.1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</row>
    <row r="638" spans="1:30" ht="24.75" customHeight="1" x14ac:dyDescent="0.1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</row>
    <row r="639" spans="1:30" ht="24.75" customHeight="1" x14ac:dyDescent="0.1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</row>
    <row r="640" spans="1:30" ht="24.75" customHeight="1" x14ac:dyDescent="0.1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</row>
    <row r="641" spans="1:30" ht="24.75" customHeight="1" x14ac:dyDescent="0.1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</row>
    <row r="642" spans="1:30" ht="24.75" customHeight="1" x14ac:dyDescent="0.1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</row>
    <row r="643" spans="1:30" ht="24.75" customHeight="1" x14ac:dyDescent="0.1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</row>
    <row r="644" spans="1:30" ht="24.75" customHeight="1" x14ac:dyDescent="0.1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</row>
    <row r="645" spans="1:30" ht="24.75" customHeight="1" x14ac:dyDescent="0.1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</row>
    <row r="646" spans="1:30" ht="24.75" customHeight="1" x14ac:dyDescent="0.1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</row>
    <row r="647" spans="1:30" ht="24.75" customHeight="1" x14ac:dyDescent="0.1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</row>
    <row r="648" spans="1:30" ht="24.75" customHeight="1" x14ac:dyDescent="0.1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</row>
    <row r="649" spans="1:30" ht="24.75" customHeight="1" x14ac:dyDescent="0.1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</row>
    <row r="650" spans="1:30" ht="24.75" customHeight="1" x14ac:dyDescent="0.1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</row>
    <row r="651" spans="1:30" ht="24.75" customHeight="1" x14ac:dyDescent="0.1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</row>
    <row r="652" spans="1:30" ht="24.75" customHeight="1" x14ac:dyDescent="0.1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</row>
    <row r="653" spans="1:30" ht="24.75" customHeight="1" x14ac:dyDescent="0.1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</row>
    <row r="654" spans="1:30" ht="24.75" customHeight="1" x14ac:dyDescent="0.1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</row>
    <row r="655" spans="1:30" ht="24.75" customHeight="1" x14ac:dyDescent="0.1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</row>
    <row r="656" spans="1:30" ht="24.75" customHeight="1" x14ac:dyDescent="0.1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</row>
    <row r="657" spans="1:30" ht="24.75" customHeight="1" x14ac:dyDescent="0.1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</row>
    <row r="658" spans="1:30" ht="24.75" customHeight="1" x14ac:dyDescent="0.1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</row>
    <row r="659" spans="1:30" ht="24.75" customHeight="1" x14ac:dyDescent="0.1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</row>
    <row r="660" spans="1:30" ht="24.75" customHeight="1" x14ac:dyDescent="0.1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</row>
    <row r="661" spans="1:30" ht="24.75" customHeight="1" x14ac:dyDescent="0.1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</row>
    <row r="662" spans="1:30" ht="24.75" customHeight="1" x14ac:dyDescent="0.1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</row>
    <row r="663" spans="1:30" ht="24.75" customHeight="1" x14ac:dyDescent="0.1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</row>
    <row r="664" spans="1:30" ht="24.75" customHeight="1" x14ac:dyDescent="0.1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</row>
    <row r="665" spans="1:30" ht="24.75" customHeight="1" x14ac:dyDescent="0.1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</row>
    <row r="666" spans="1:30" ht="24.75" customHeight="1" x14ac:dyDescent="0.1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</row>
    <row r="667" spans="1:30" ht="24.75" customHeight="1" x14ac:dyDescent="0.1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</row>
    <row r="668" spans="1:30" ht="24.75" customHeight="1" x14ac:dyDescent="0.1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</row>
    <row r="669" spans="1:30" ht="24.75" customHeight="1" x14ac:dyDescent="0.1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</row>
    <row r="670" spans="1:30" ht="24.75" customHeight="1" x14ac:dyDescent="0.1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</row>
    <row r="671" spans="1:30" ht="24.75" customHeight="1" x14ac:dyDescent="0.1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</row>
    <row r="672" spans="1:30" ht="24.75" customHeight="1" x14ac:dyDescent="0.1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</row>
    <row r="673" spans="1:30" ht="24.75" customHeight="1" x14ac:dyDescent="0.1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</row>
    <row r="674" spans="1:30" ht="24.75" customHeight="1" x14ac:dyDescent="0.1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</row>
    <row r="675" spans="1:30" ht="24.75" customHeight="1" x14ac:dyDescent="0.1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</row>
    <row r="676" spans="1:30" ht="24.75" customHeight="1" x14ac:dyDescent="0.1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</row>
    <row r="677" spans="1:30" ht="24.75" customHeight="1" x14ac:dyDescent="0.1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</row>
    <row r="678" spans="1:30" ht="24.75" customHeight="1" x14ac:dyDescent="0.1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</row>
    <row r="679" spans="1:30" ht="24.75" customHeight="1" x14ac:dyDescent="0.1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</row>
    <row r="680" spans="1:30" ht="24.75" customHeight="1" x14ac:dyDescent="0.1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</row>
    <row r="681" spans="1:30" ht="24.75" customHeight="1" x14ac:dyDescent="0.1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</row>
    <row r="682" spans="1:30" ht="24.75" customHeight="1" x14ac:dyDescent="0.1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</row>
    <row r="683" spans="1:30" ht="24.75" customHeight="1" x14ac:dyDescent="0.1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</row>
    <row r="684" spans="1:30" ht="24.75" customHeight="1" x14ac:dyDescent="0.1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</row>
    <row r="685" spans="1:30" ht="24.75" customHeight="1" x14ac:dyDescent="0.1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</row>
    <row r="686" spans="1:30" ht="24.75" customHeight="1" x14ac:dyDescent="0.1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</row>
    <row r="687" spans="1:30" ht="24.75" customHeight="1" x14ac:dyDescent="0.1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</row>
    <row r="688" spans="1:30" ht="24.75" customHeight="1" x14ac:dyDescent="0.1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</row>
    <row r="689" spans="1:30" ht="24.75" customHeight="1" x14ac:dyDescent="0.1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</row>
    <row r="690" spans="1:30" ht="24.75" customHeight="1" x14ac:dyDescent="0.1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</row>
    <row r="691" spans="1:30" ht="24.75" customHeight="1" x14ac:dyDescent="0.1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</row>
    <row r="692" spans="1:30" ht="24.75" customHeight="1" x14ac:dyDescent="0.1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</row>
    <row r="693" spans="1:30" ht="24.75" customHeight="1" x14ac:dyDescent="0.1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</row>
    <row r="694" spans="1:30" ht="24.75" customHeight="1" x14ac:dyDescent="0.1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</row>
    <row r="695" spans="1:30" ht="24.75" customHeight="1" x14ac:dyDescent="0.1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</row>
    <row r="696" spans="1:30" ht="24.75" customHeight="1" x14ac:dyDescent="0.1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</row>
    <row r="697" spans="1:30" ht="24.75" customHeight="1" x14ac:dyDescent="0.1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</row>
    <row r="698" spans="1:30" ht="24.75" customHeight="1" x14ac:dyDescent="0.1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</row>
    <row r="699" spans="1:30" ht="24.75" customHeight="1" x14ac:dyDescent="0.1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</row>
    <row r="700" spans="1:30" ht="24.75" customHeight="1" x14ac:dyDescent="0.1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</row>
    <row r="701" spans="1:30" ht="24.75" customHeight="1" x14ac:dyDescent="0.1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</row>
    <row r="702" spans="1:30" ht="24.75" customHeight="1" x14ac:dyDescent="0.1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</row>
    <row r="703" spans="1:30" ht="24.75" customHeight="1" x14ac:dyDescent="0.1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</row>
    <row r="704" spans="1:30" ht="24.75" customHeight="1" x14ac:dyDescent="0.1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</row>
    <row r="705" spans="1:30" ht="24.75" customHeight="1" x14ac:dyDescent="0.1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</row>
    <row r="706" spans="1:30" ht="24.75" customHeight="1" x14ac:dyDescent="0.1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</row>
    <row r="707" spans="1:30" ht="24.75" customHeight="1" x14ac:dyDescent="0.1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</row>
    <row r="708" spans="1:30" ht="24.75" customHeight="1" x14ac:dyDescent="0.1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</row>
    <row r="709" spans="1:30" ht="24.75" customHeight="1" x14ac:dyDescent="0.1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</row>
    <row r="710" spans="1:30" ht="24.75" customHeight="1" x14ac:dyDescent="0.1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</row>
    <row r="711" spans="1:30" ht="24.75" customHeight="1" x14ac:dyDescent="0.1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</row>
    <row r="712" spans="1:30" ht="24.75" customHeight="1" x14ac:dyDescent="0.1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</row>
    <row r="713" spans="1:30" ht="24.75" customHeight="1" x14ac:dyDescent="0.1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</row>
    <row r="714" spans="1:30" ht="24.75" customHeight="1" x14ac:dyDescent="0.1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</row>
    <row r="715" spans="1:30" ht="24.75" customHeight="1" x14ac:dyDescent="0.1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</row>
    <row r="716" spans="1:30" ht="24.75" customHeight="1" x14ac:dyDescent="0.1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</row>
    <row r="717" spans="1:30" ht="24.75" customHeight="1" x14ac:dyDescent="0.1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</row>
    <row r="718" spans="1:30" ht="24.75" customHeight="1" x14ac:dyDescent="0.1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</row>
    <row r="719" spans="1:30" ht="24.75" customHeight="1" x14ac:dyDescent="0.1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</row>
    <row r="720" spans="1:30" ht="24.75" customHeight="1" x14ac:dyDescent="0.1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</row>
    <row r="721" spans="1:30" ht="24.75" customHeight="1" x14ac:dyDescent="0.1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</row>
    <row r="722" spans="1:30" ht="24.75" customHeight="1" x14ac:dyDescent="0.1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</row>
    <row r="723" spans="1:30" ht="24.75" customHeight="1" x14ac:dyDescent="0.1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</row>
    <row r="724" spans="1:30" ht="24.75" customHeight="1" x14ac:dyDescent="0.1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</row>
    <row r="725" spans="1:30" ht="24.75" customHeight="1" x14ac:dyDescent="0.1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</row>
    <row r="726" spans="1:30" ht="24.75" customHeight="1" x14ac:dyDescent="0.1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</row>
    <row r="727" spans="1:30" ht="24.75" customHeight="1" x14ac:dyDescent="0.1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</row>
    <row r="728" spans="1:30" ht="24.75" customHeight="1" x14ac:dyDescent="0.1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</row>
    <row r="729" spans="1:30" ht="24.75" customHeight="1" x14ac:dyDescent="0.1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</row>
    <row r="730" spans="1:30" ht="24.75" customHeight="1" x14ac:dyDescent="0.1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</row>
    <row r="731" spans="1:30" ht="24.75" customHeight="1" x14ac:dyDescent="0.1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</row>
    <row r="732" spans="1:30" ht="24.75" customHeight="1" x14ac:dyDescent="0.1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</row>
    <row r="733" spans="1:30" ht="24.75" customHeight="1" x14ac:dyDescent="0.1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</row>
    <row r="734" spans="1:30" ht="24.75" customHeight="1" x14ac:dyDescent="0.1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</row>
    <row r="735" spans="1:30" ht="24.75" customHeight="1" x14ac:dyDescent="0.1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</row>
    <row r="736" spans="1:30" ht="24.75" customHeight="1" x14ac:dyDescent="0.1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</row>
    <row r="737" spans="1:30" ht="24.75" customHeight="1" x14ac:dyDescent="0.1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</row>
    <row r="738" spans="1:30" ht="24.75" customHeight="1" x14ac:dyDescent="0.1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</row>
    <row r="739" spans="1:30" ht="24.75" customHeight="1" x14ac:dyDescent="0.1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</row>
    <row r="740" spans="1:30" ht="24.75" customHeight="1" x14ac:dyDescent="0.1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</row>
    <row r="741" spans="1:30" ht="24.75" customHeight="1" x14ac:dyDescent="0.1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</row>
    <row r="742" spans="1:30" ht="24.75" customHeight="1" x14ac:dyDescent="0.1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</row>
    <row r="743" spans="1:30" ht="24.75" customHeight="1" x14ac:dyDescent="0.1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</row>
    <row r="744" spans="1:30" ht="24.75" customHeight="1" x14ac:dyDescent="0.1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</row>
    <row r="745" spans="1:30" ht="24.75" customHeight="1" x14ac:dyDescent="0.1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</row>
    <row r="746" spans="1:30" ht="24.75" customHeight="1" x14ac:dyDescent="0.1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</row>
    <row r="747" spans="1:30" ht="24.75" customHeight="1" x14ac:dyDescent="0.1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</row>
    <row r="748" spans="1:30" ht="24.75" customHeight="1" x14ac:dyDescent="0.1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</row>
    <row r="749" spans="1:30" ht="24.75" customHeight="1" x14ac:dyDescent="0.1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</row>
    <row r="750" spans="1:30" ht="24.75" customHeight="1" x14ac:dyDescent="0.1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</row>
    <row r="751" spans="1:30" ht="24.75" customHeight="1" x14ac:dyDescent="0.1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</row>
    <row r="752" spans="1:30" ht="24.75" customHeight="1" x14ac:dyDescent="0.1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</row>
    <row r="753" spans="1:30" ht="24.75" customHeight="1" x14ac:dyDescent="0.1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</row>
    <row r="754" spans="1:30" ht="24.75" customHeight="1" x14ac:dyDescent="0.1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</row>
    <row r="755" spans="1:30" ht="24.75" customHeight="1" x14ac:dyDescent="0.1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</row>
    <row r="756" spans="1:30" ht="24.75" customHeight="1" x14ac:dyDescent="0.1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</row>
    <row r="757" spans="1:30" ht="24.75" customHeight="1" x14ac:dyDescent="0.1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</row>
    <row r="758" spans="1:30" ht="24.75" customHeight="1" x14ac:dyDescent="0.1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</row>
    <row r="759" spans="1:30" ht="24.75" customHeight="1" x14ac:dyDescent="0.1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</row>
    <row r="760" spans="1:30" ht="24.75" customHeight="1" x14ac:dyDescent="0.1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</row>
    <row r="761" spans="1:30" ht="24.75" customHeight="1" x14ac:dyDescent="0.1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</row>
    <row r="762" spans="1:30" ht="24.75" customHeight="1" x14ac:dyDescent="0.1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</row>
    <row r="763" spans="1:30" ht="24.75" customHeight="1" x14ac:dyDescent="0.1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</row>
    <row r="764" spans="1:30" ht="24.75" customHeight="1" x14ac:dyDescent="0.1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</row>
    <row r="765" spans="1:30" ht="24.75" customHeight="1" x14ac:dyDescent="0.1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</row>
    <row r="766" spans="1:30" ht="24.75" customHeight="1" x14ac:dyDescent="0.1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</row>
    <row r="767" spans="1:30" ht="24.75" customHeight="1" x14ac:dyDescent="0.1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</row>
    <row r="768" spans="1:30" ht="24.75" customHeight="1" x14ac:dyDescent="0.1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</row>
    <row r="769" spans="1:30" ht="24.75" customHeight="1" x14ac:dyDescent="0.1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</row>
    <row r="770" spans="1:30" ht="24.75" customHeight="1" x14ac:dyDescent="0.1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</row>
    <row r="771" spans="1:30" ht="24.75" customHeight="1" x14ac:dyDescent="0.1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</row>
    <row r="772" spans="1:30" ht="24.75" customHeight="1" x14ac:dyDescent="0.1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</row>
    <row r="773" spans="1:30" ht="24.75" customHeight="1" x14ac:dyDescent="0.1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</row>
    <row r="774" spans="1:30" ht="24.75" customHeight="1" x14ac:dyDescent="0.1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</row>
    <row r="775" spans="1:30" ht="24.75" customHeight="1" x14ac:dyDescent="0.1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</row>
    <row r="776" spans="1:30" ht="24.75" customHeight="1" x14ac:dyDescent="0.1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</row>
    <row r="777" spans="1:30" ht="24.75" customHeight="1" x14ac:dyDescent="0.1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</row>
    <row r="778" spans="1:30" ht="24.75" customHeight="1" x14ac:dyDescent="0.1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</row>
    <row r="779" spans="1:30" ht="24.75" customHeight="1" x14ac:dyDescent="0.1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</row>
    <row r="780" spans="1:30" ht="24.75" customHeight="1" x14ac:dyDescent="0.1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</row>
    <row r="781" spans="1:30" ht="24.75" customHeight="1" x14ac:dyDescent="0.1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</row>
    <row r="782" spans="1:30" ht="24.75" customHeight="1" x14ac:dyDescent="0.1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</row>
    <row r="783" spans="1:30" ht="24.75" customHeight="1" x14ac:dyDescent="0.1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</row>
    <row r="784" spans="1:30" ht="24.75" customHeight="1" x14ac:dyDescent="0.1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</row>
    <row r="785" spans="1:30" ht="24.75" customHeight="1" x14ac:dyDescent="0.1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</row>
    <row r="786" spans="1:30" ht="24.75" customHeight="1" x14ac:dyDescent="0.1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</row>
    <row r="787" spans="1:30" ht="24.75" customHeight="1" x14ac:dyDescent="0.1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</row>
    <row r="788" spans="1:30" ht="24.75" customHeight="1" x14ac:dyDescent="0.1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</row>
    <row r="789" spans="1:30" ht="24.75" customHeight="1" x14ac:dyDescent="0.1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</row>
    <row r="790" spans="1:30" ht="24.75" customHeight="1" x14ac:dyDescent="0.1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</row>
    <row r="791" spans="1:30" ht="24.75" customHeight="1" x14ac:dyDescent="0.1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</row>
    <row r="792" spans="1:30" ht="24.75" customHeight="1" x14ac:dyDescent="0.1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</row>
    <row r="793" spans="1:30" ht="24.75" customHeight="1" x14ac:dyDescent="0.1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</row>
    <row r="794" spans="1:30" ht="24.75" customHeight="1" x14ac:dyDescent="0.1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</row>
    <row r="795" spans="1:30" ht="24.75" customHeight="1" x14ac:dyDescent="0.1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</row>
    <row r="796" spans="1:30" ht="24.75" customHeight="1" x14ac:dyDescent="0.1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</row>
    <row r="797" spans="1:30" ht="24.75" customHeight="1" x14ac:dyDescent="0.1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</row>
    <row r="798" spans="1:30" ht="24.75" customHeight="1" x14ac:dyDescent="0.1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</row>
    <row r="799" spans="1:30" ht="24.75" customHeight="1" x14ac:dyDescent="0.1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</row>
    <row r="800" spans="1:30" ht="24.75" customHeight="1" x14ac:dyDescent="0.1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</row>
    <row r="801" spans="1:30" ht="24.75" customHeight="1" x14ac:dyDescent="0.1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</row>
    <row r="802" spans="1:30" ht="24.75" customHeight="1" x14ac:dyDescent="0.1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</row>
    <row r="803" spans="1:30" ht="24.75" customHeight="1" x14ac:dyDescent="0.1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</row>
    <row r="804" spans="1:30" ht="24.75" customHeight="1" x14ac:dyDescent="0.1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</row>
    <row r="805" spans="1:30" ht="24.75" customHeight="1" x14ac:dyDescent="0.1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</row>
    <row r="806" spans="1:30" ht="24.75" customHeight="1" x14ac:dyDescent="0.1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</row>
    <row r="807" spans="1:30" ht="24.75" customHeight="1" x14ac:dyDescent="0.1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</row>
    <row r="808" spans="1:30" ht="24.75" customHeight="1" x14ac:dyDescent="0.1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</row>
    <row r="809" spans="1:30" ht="24.75" customHeight="1" x14ac:dyDescent="0.1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</row>
    <row r="810" spans="1:30" ht="24.75" customHeight="1" x14ac:dyDescent="0.1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</row>
    <row r="811" spans="1:30" ht="24.75" customHeight="1" x14ac:dyDescent="0.1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</row>
    <row r="812" spans="1:30" ht="24.75" customHeight="1" x14ac:dyDescent="0.1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</row>
    <row r="813" spans="1:30" ht="24.75" customHeight="1" x14ac:dyDescent="0.1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</row>
    <row r="814" spans="1:30" ht="24.75" customHeight="1" x14ac:dyDescent="0.1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</row>
    <row r="815" spans="1:30" ht="24.75" customHeight="1" x14ac:dyDescent="0.1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</row>
    <row r="816" spans="1:30" ht="24.75" customHeight="1" x14ac:dyDescent="0.1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</row>
    <row r="817" spans="1:30" ht="24.75" customHeight="1" x14ac:dyDescent="0.1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</row>
    <row r="818" spans="1:30" ht="24.75" customHeight="1" x14ac:dyDescent="0.1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</row>
    <row r="819" spans="1:30" ht="24.75" customHeight="1" x14ac:dyDescent="0.1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</row>
    <row r="820" spans="1:30" ht="24.75" customHeight="1" x14ac:dyDescent="0.1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</row>
    <row r="821" spans="1:30" ht="24.75" customHeight="1" x14ac:dyDescent="0.1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</row>
    <row r="822" spans="1:30" ht="24.75" customHeight="1" x14ac:dyDescent="0.1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</row>
    <row r="823" spans="1:30" ht="24.75" customHeight="1" x14ac:dyDescent="0.1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</row>
    <row r="824" spans="1:30" ht="24.75" customHeight="1" x14ac:dyDescent="0.1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</row>
    <row r="825" spans="1:30" ht="24.75" customHeight="1" x14ac:dyDescent="0.1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</row>
    <row r="826" spans="1:30" ht="24.75" customHeight="1" x14ac:dyDescent="0.1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</row>
    <row r="827" spans="1:30" ht="24.75" customHeight="1" x14ac:dyDescent="0.1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</row>
    <row r="828" spans="1:30" ht="24.75" customHeight="1" x14ac:dyDescent="0.1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</row>
    <row r="829" spans="1:30" ht="24.75" customHeight="1" x14ac:dyDescent="0.1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</row>
    <row r="830" spans="1:30" ht="24.75" customHeight="1" x14ac:dyDescent="0.1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</row>
    <row r="831" spans="1:30" ht="24.75" customHeight="1" x14ac:dyDescent="0.1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</row>
    <row r="832" spans="1:30" ht="24.75" customHeight="1" x14ac:dyDescent="0.1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</row>
    <row r="833" spans="1:30" ht="24.75" customHeight="1" x14ac:dyDescent="0.1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</row>
    <row r="834" spans="1:30" ht="24.75" customHeight="1" x14ac:dyDescent="0.1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</row>
    <row r="835" spans="1:30" ht="24.75" customHeight="1" x14ac:dyDescent="0.1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</row>
    <row r="836" spans="1:30" ht="24.75" customHeight="1" x14ac:dyDescent="0.1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</row>
    <row r="837" spans="1:30" ht="24.75" customHeight="1" x14ac:dyDescent="0.1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</row>
    <row r="838" spans="1:30" ht="24.75" customHeight="1" x14ac:dyDescent="0.1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</row>
    <row r="839" spans="1:30" ht="24.75" customHeight="1" x14ac:dyDescent="0.1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</row>
    <row r="840" spans="1:30" ht="24.75" customHeight="1" x14ac:dyDescent="0.1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</row>
    <row r="841" spans="1:30" ht="24.75" customHeight="1" x14ac:dyDescent="0.1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</row>
    <row r="842" spans="1:30" ht="24.75" customHeight="1" x14ac:dyDescent="0.1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</row>
    <row r="843" spans="1:30" ht="24.75" customHeight="1" x14ac:dyDescent="0.1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</row>
    <row r="844" spans="1:30" ht="24.75" customHeight="1" x14ac:dyDescent="0.1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</row>
    <row r="845" spans="1:30" ht="24.75" customHeight="1" x14ac:dyDescent="0.1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</row>
    <row r="846" spans="1:30" ht="24.75" customHeight="1" x14ac:dyDescent="0.1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</row>
    <row r="847" spans="1:30" ht="24.75" customHeight="1" x14ac:dyDescent="0.1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</row>
    <row r="848" spans="1:30" ht="24.75" customHeight="1" x14ac:dyDescent="0.1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</row>
    <row r="849" spans="1:30" ht="24.75" customHeight="1" x14ac:dyDescent="0.1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</row>
    <row r="850" spans="1:30" ht="24.75" customHeight="1" x14ac:dyDescent="0.1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</row>
    <row r="851" spans="1:30" ht="24.75" customHeight="1" x14ac:dyDescent="0.1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</row>
    <row r="852" spans="1:30" ht="24.75" customHeight="1" x14ac:dyDescent="0.1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</row>
    <row r="853" spans="1:30" ht="24.75" customHeight="1" x14ac:dyDescent="0.1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</row>
    <row r="854" spans="1:30" ht="24.75" customHeight="1" x14ac:dyDescent="0.1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</row>
    <row r="855" spans="1:30" ht="24.75" customHeight="1" x14ac:dyDescent="0.1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</row>
    <row r="856" spans="1:30" ht="24.75" customHeight="1" x14ac:dyDescent="0.1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</row>
    <row r="857" spans="1:30" ht="24.75" customHeight="1" x14ac:dyDescent="0.1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</row>
    <row r="858" spans="1:30" ht="24.75" customHeight="1" x14ac:dyDescent="0.1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</row>
    <row r="859" spans="1:30" ht="24.75" customHeight="1" x14ac:dyDescent="0.1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</row>
    <row r="860" spans="1:30" ht="24.75" customHeight="1" x14ac:dyDescent="0.1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</row>
    <row r="861" spans="1:30" ht="24.75" customHeight="1" x14ac:dyDescent="0.1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</row>
    <row r="862" spans="1:30" ht="24.75" customHeight="1" x14ac:dyDescent="0.1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</row>
    <row r="863" spans="1:30" ht="24.75" customHeight="1" x14ac:dyDescent="0.1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</row>
    <row r="864" spans="1:30" ht="24.75" customHeight="1" x14ac:dyDescent="0.1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</row>
    <row r="865" spans="1:30" ht="24.75" customHeight="1" x14ac:dyDescent="0.1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</row>
    <row r="866" spans="1:30" ht="24.75" customHeight="1" x14ac:dyDescent="0.1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</row>
    <row r="867" spans="1:30" ht="24.75" customHeight="1" x14ac:dyDescent="0.1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</row>
    <row r="868" spans="1:30" ht="24.75" customHeight="1" x14ac:dyDescent="0.1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</row>
    <row r="869" spans="1:30" ht="24.75" customHeight="1" x14ac:dyDescent="0.1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</row>
    <row r="870" spans="1:30" ht="24.75" customHeight="1" x14ac:dyDescent="0.1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</row>
    <row r="871" spans="1:30" ht="24.75" customHeight="1" x14ac:dyDescent="0.1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</row>
    <row r="872" spans="1:30" ht="24.75" customHeight="1" x14ac:dyDescent="0.1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</row>
    <row r="873" spans="1:30" ht="24.75" customHeight="1" x14ac:dyDescent="0.1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</row>
    <row r="874" spans="1:30" ht="24.75" customHeight="1" x14ac:dyDescent="0.1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</row>
    <row r="875" spans="1:30" ht="24.75" customHeight="1" x14ac:dyDescent="0.1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</row>
    <row r="876" spans="1:30" ht="24.75" customHeight="1" x14ac:dyDescent="0.1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</row>
    <row r="877" spans="1:30" ht="24.75" customHeight="1" x14ac:dyDescent="0.1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</row>
    <row r="878" spans="1:30" ht="24.75" customHeight="1" x14ac:dyDescent="0.1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</row>
    <row r="879" spans="1:30" ht="24.75" customHeight="1" x14ac:dyDescent="0.1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</row>
    <row r="880" spans="1:30" ht="24.75" customHeight="1" x14ac:dyDescent="0.1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</row>
    <row r="881" spans="1:30" ht="24.75" customHeight="1" x14ac:dyDescent="0.1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</row>
    <row r="882" spans="1:30" ht="24.75" customHeight="1" x14ac:dyDescent="0.1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</row>
    <row r="883" spans="1:30" ht="24.75" customHeight="1" x14ac:dyDescent="0.1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</row>
    <row r="884" spans="1:30" ht="24.75" customHeight="1" x14ac:dyDescent="0.1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</row>
    <row r="885" spans="1:30" ht="24.75" customHeight="1" x14ac:dyDescent="0.1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</row>
    <row r="886" spans="1:30" ht="24.75" customHeight="1" x14ac:dyDescent="0.1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</row>
    <row r="887" spans="1:30" ht="24.75" customHeight="1" x14ac:dyDescent="0.1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</row>
    <row r="888" spans="1:30" ht="24.75" customHeight="1" x14ac:dyDescent="0.1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</row>
    <row r="889" spans="1:30" ht="24.75" customHeight="1" x14ac:dyDescent="0.1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</row>
    <row r="890" spans="1:30" ht="24.75" customHeight="1" x14ac:dyDescent="0.1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</row>
    <row r="891" spans="1:30" ht="24.75" customHeight="1" x14ac:dyDescent="0.1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</row>
    <row r="892" spans="1:30" ht="24.75" customHeight="1" x14ac:dyDescent="0.1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</row>
    <row r="893" spans="1:30" ht="24.75" customHeight="1" x14ac:dyDescent="0.1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</row>
    <row r="894" spans="1:30" ht="24.75" customHeight="1" x14ac:dyDescent="0.1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</row>
    <row r="895" spans="1:30" ht="24.75" customHeight="1" x14ac:dyDescent="0.1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</row>
    <row r="896" spans="1:30" ht="24.75" customHeight="1" x14ac:dyDescent="0.1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</row>
    <row r="897" spans="1:30" ht="24.75" customHeight="1" x14ac:dyDescent="0.1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</row>
    <row r="898" spans="1:30" ht="24.75" customHeight="1" x14ac:dyDescent="0.1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</row>
    <row r="899" spans="1:30" ht="24.75" customHeight="1" x14ac:dyDescent="0.1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</row>
    <row r="900" spans="1:30" ht="24.75" customHeight="1" x14ac:dyDescent="0.1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</row>
    <row r="901" spans="1:30" ht="24.75" customHeight="1" x14ac:dyDescent="0.1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</row>
    <row r="902" spans="1:30" ht="24.75" customHeight="1" x14ac:dyDescent="0.1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</row>
    <row r="903" spans="1:30" ht="24.75" customHeight="1" x14ac:dyDescent="0.1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</row>
    <row r="904" spans="1:30" ht="24.75" customHeight="1" x14ac:dyDescent="0.1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</row>
    <row r="905" spans="1:30" ht="24.75" customHeight="1" x14ac:dyDescent="0.1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</row>
    <row r="906" spans="1:30" ht="24.75" customHeight="1" x14ac:dyDescent="0.1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</row>
    <row r="907" spans="1:30" ht="24.75" customHeight="1" x14ac:dyDescent="0.1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</row>
    <row r="908" spans="1:30" ht="24.75" customHeight="1" x14ac:dyDescent="0.1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</row>
    <row r="909" spans="1:30" ht="24.75" customHeight="1" x14ac:dyDescent="0.1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</row>
    <row r="910" spans="1:30" ht="24.75" customHeight="1" x14ac:dyDescent="0.1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</row>
    <row r="911" spans="1:30" ht="24.75" customHeight="1" x14ac:dyDescent="0.1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</row>
    <row r="912" spans="1:30" ht="24.75" customHeight="1" x14ac:dyDescent="0.1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</row>
    <row r="913" spans="1:30" ht="24.75" customHeight="1" x14ac:dyDescent="0.1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</row>
    <row r="914" spans="1:30" ht="24.75" customHeight="1" x14ac:dyDescent="0.1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</row>
    <row r="915" spans="1:30" ht="24.75" customHeight="1" x14ac:dyDescent="0.1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</row>
    <row r="916" spans="1:30" ht="24.75" customHeight="1" x14ac:dyDescent="0.1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</row>
    <row r="917" spans="1:30" ht="24.75" customHeight="1" x14ac:dyDescent="0.1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</row>
    <row r="918" spans="1:30" ht="24.75" customHeight="1" x14ac:dyDescent="0.1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</row>
    <row r="919" spans="1:30" ht="24.75" customHeight="1" x14ac:dyDescent="0.1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</row>
    <row r="920" spans="1:30" ht="24.75" customHeight="1" x14ac:dyDescent="0.1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</row>
    <row r="921" spans="1:30" ht="24.75" customHeight="1" x14ac:dyDescent="0.1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</row>
    <row r="922" spans="1:30" ht="24.75" customHeight="1" x14ac:dyDescent="0.1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</row>
    <row r="923" spans="1:30" ht="24.75" customHeight="1" x14ac:dyDescent="0.1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</row>
    <row r="924" spans="1:30" ht="24.75" customHeight="1" x14ac:dyDescent="0.1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</row>
    <row r="925" spans="1:30" ht="24.75" customHeight="1" x14ac:dyDescent="0.1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</row>
    <row r="926" spans="1:30" ht="24.75" customHeight="1" x14ac:dyDescent="0.1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</row>
    <row r="927" spans="1:30" ht="24.75" customHeight="1" x14ac:dyDescent="0.1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</row>
    <row r="928" spans="1:30" ht="24.75" customHeight="1" x14ac:dyDescent="0.1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</row>
    <row r="929" spans="1:30" ht="24.75" customHeight="1" x14ac:dyDescent="0.1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</row>
    <row r="930" spans="1:30" ht="24.75" customHeight="1" x14ac:dyDescent="0.1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</row>
    <row r="931" spans="1:30" ht="24.75" customHeight="1" x14ac:dyDescent="0.1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</row>
    <row r="932" spans="1:30" ht="24.75" customHeight="1" x14ac:dyDescent="0.1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</row>
    <row r="933" spans="1:30" ht="24.75" customHeight="1" x14ac:dyDescent="0.1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</row>
    <row r="934" spans="1:30" ht="24.75" customHeight="1" x14ac:dyDescent="0.1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</row>
    <row r="935" spans="1:30" ht="24.75" customHeight="1" x14ac:dyDescent="0.1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</row>
    <row r="936" spans="1:30" ht="24.75" customHeight="1" x14ac:dyDescent="0.1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</row>
    <row r="937" spans="1:30" ht="24.75" customHeight="1" x14ac:dyDescent="0.1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</row>
    <row r="938" spans="1:30" ht="24.75" customHeight="1" x14ac:dyDescent="0.1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</row>
    <row r="939" spans="1:30" ht="24.75" customHeight="1" x14ac:dyDescent="0.1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</row>
    <row r="940" spans="1:30" ht="24.75" customHeight="1" x14ac:dyDescent="0.1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</row>
    <row r="941" spans="1:30" ht="24.75" customHeight="1" x14ac:dyDescent="0.1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</row>
    <row r="942" spans="1:30" ht="24.75" customHeight="1" x14ac:dyDescent="0.1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</row>
    <row r="943" spans="1:30" ht="24.75" customHeight="1" x14ac:dyDescent="0.1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</row>
    <row r="944" spans="1:30" ht="24.75" customHeight="1" x14ac:dyDescent="0.1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</row>
    <row r="945" spans="1:30" ht="24.75" customHeight="1" x14ac:dyDescent="0.1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</row>
    <row r="946" spans="1:30" ht="24.75" customHeight="1" x14ac:dyDescent="0.1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</row>
    <row r="947" spans="1:30" ht="24.75" customHeight="1" x14ac:dyDescent="0.1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</row>
    <row r="948" spans="1:30" ht="24.75" customHeight="1" x14ac:dyDescent="0.1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</row>
    <row r="949" spans="1:30" ht="24.75" customHeight="1" x14ac:dyDescent="0.1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</row>
    <row r="950" spans="1:30" ht="24.75" customHeight="1" x14ac:dyDescent="0.1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</row>
    <row r="951" spans="1:30" ht="24.75" customHeight="1" x14ac:dyDescent="0.1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</row>
    <row r="952" spans="1:30" ht="24.75" customHeight="1" x14ac:dyDescent="0.1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</row>
    <row r="953" spans="1:30" ht="24.75" customHeight="1" x14ac:dyDescent="0.1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</row>
    <row r="954" spans="1:30" ht="24.75" customHeight="1" x14ac:dyDescent="0.1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</row>
    <row r="955" spans="1:30" ht="24.75" customHeight="1" x14ac:dyDescent="0.1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</row>
    <row r="956" spans="1:30" ht="24.75" customHeight="1" x14ac:dyDescent="0.1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</row>
    <row r="957" spans="1:30" ht="24.75" customHeight="1" x14ac:dyDescent="0.1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</row>
    <row r="958" spans="1:30" ht="24.75" customHeight="1" x14ac:dyDescent="0.1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</row>
    <row r="959" spans="1:30" ht="24.75" customHeight="1" x14ac:dyDescent="0.1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</row>
    <row r="960" spans="1:30" ht="24.75" customHeight="1" x14ac:dyDescent="0.1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</row>
    <row r="961" spans="1:30" ht="24.75" customHeight="1" x14ac:dyDescent="0.1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</row>
    <row r="962" spans="1:30" ht="24.75" customHeight="1" x14ac:dyDescent="0.1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</row>
    <row r="963" spans="1:30" ht="24.75" customHeight="1" x14ac:dyDescent="0.1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</row>
    <row r="964" spans="1:30" ht="24.75" customHeight="1" x14ac:dyDescent="0.1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</row>
    <row r="965" spans="1:30" ht="24.75" customHeight="1" x14ac:dyDescent="0.1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</row>
    <row r="966" spans="1:30" ht="24.75" customHeight="1" x14ac:dyDescent="0.1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</row>
    <row r="967" spans="1:30" ht="24.75" customHeight="1" x14ac:dyDescent="0.1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</row>
    <row r="968" spans="1:30" ht="24.75" customHeight="1" x14ac:dyDescent="0.1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</row>
    <row r="969" spans="1:30" ht="24.75" customHeight="1" x14ac:dyDescent="0.1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</row>
    <row r="970" spans="1:30" ht="24.75" customHeight="1" x14ac:dyDescent="0.1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</row>
    <row r="971" spans="1:30" ht="24.75" customHeight="1" x14ac:dyDescent="0.1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</row>
    <row r="972" spans="1:30" ht="24.75" customHeight="1" x14ac:dyDescent="0.1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</row>
    <row r="973" spans="1:30" ht="24.75" customHeight="1" x14ac:dyDescent="0.1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</row>
    <row r="974" spans="1:30" ht="24.75" customHeight="1" x14ac:dyDescent="0.1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</row>
    <row r="975" spans="1:30" ht="24.75" customHeight="1" x14ac:dyDescent="0.1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</row>
    <row r="976" spans="1:30" ht="24.75" customHeight="1" x14ac:dyDescent="0.1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</row>
    <row r="977" spans="1:30" ht="24.75" customHeight="1" x14ac:dyDescent="0.1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</row>
    <row r="978" spans="1:30" ht="24.75" customHeight="1" x14ac:dyDescent="0.1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</row>
    <row r="979" spans="1:30" ht="24.75" customHeight="1" x14ac:dyDescent="0.1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</row>
    <row r="980" spans="1:30" ht="24.75" customHeight="1" x14ac:dyDescent="0.1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</row>
    <row r="981" spans="1:30" ht="24.75" customHeight="1" x14ac:dyDescent="0.1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</row>
    <row r="982" spans="1:30" ht="24.75" customHeight="1" x14ac:dyDescent="0.1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</row>
    <row r="983" spans="1:30" ht="24.75" customHeight="1" x14ac:dyDescent="0.1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</row>
    <row r="984" spans="1:30" ht="24.75" customHeight="1" x14ac:dyDescent="0.1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</row>
    <row r="985" spans="1:30" ht="24.75" customHeight="1" x14ac:dyDescent="0.1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</row>
    <row r="986" spans="1:30" ht="24.75" customHeight="1" x14ac:dyDescent="0.1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</row>
    <row r="987" spans="1:30" ht="24.75" customHeight="1" x14ac:dyDescent="0.1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</row>
    <row r="988" spans="1:30" ht="24.75" customHeight="1" x14ac:dyDescent="0.1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</row>
    <row r="989" spans="1:30" ht="24.75" customHeight="1" x14ac:dyDescent="0.1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</row>
    <row r="990" spans="1:30" ht="24.75" customHeight="1" x14ac:dyDescent="0.1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</row>
    <row r="991" spans="1:30" ht="24.75" customHeight="1" x14ac:dyDescent="0.1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</row>
    <row r="992" spans="1:30" ht="24.75" customHeight="1" x14ac:dyDescent="0.1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</row>
    <row r="993" spans="1:30" ht="24.75" customHeight="1" x14ac:dyDescent="0.1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</row>
    <row r="994" spans="1:30" ht="24.75" customHeight="1" x14ac:dyDescent="0.1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</row>
    <row r="995" spans="1:30" ht="24.75" customHeight="1" x14ac:dyDescent="0.1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</row>
    <row r="996" spans="1:30" ht="24.75" customHeight="1" x14ac:dyDescent="0.1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</row>
    <row r="997" spans="1:30" ht="24.75" customHeight="1" x14ac:dyDescent="0.1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</row>
    <row r="998" spans="1:30" ht="24.75" customHeight="1" x14ac:dyDescent="0.1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</row>
    <row r="999" spans="1:30" ht="24.75" customHeight="1" x14ac:dyDescent="0.1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</row>
    <row r="1000" spans="1:30" ht="24.75" customHeight="1" x14ac:dyDescent="0.1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</row>
  </sheetData>
  <hyperlinks>
    <hyperlink ref="J2" r:id="rId1" display="https://drive.google.com/open?id=1JDkbWTWW31HZtahRtdxiRWL1l2STgDcF" xr:uid="{00000000-0004-0000-1200-000000000000}"/>
    <hyperlink ref="J4" r:id="rId2" display="https://drive.google.com/open?id=1kl_yv6lEbe4MkUx-7DDutSvZygUj_uo8" xr:uid="{00000000-0004-0000-1200-00000100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AD1000"/>
  <sheetViews>
    <sheetView workbookViewId="0"/>
  </sheetViews>
  <sheetFormatPr baseColWidth="10" defaultColWidth="12.6640625" defaultRowHeight="15.75" customHeight="1" x14ac:dyDescent="0.15"/>
  <cols>
    <col min="1" max="1" width="15.1640625" customWidth="1"/>
    <col min="2" max="2" width="21.83203125" customWidth="1"/>
    <col min="3" max="3" width="29" customWidth="1"/>
    <col min="4" max="4" width="10.1640625" customWidth="1"/>
    <col min="5" max="5" width="28.1640625" customWidth="1"/>
    <col min="6" max="6" width="10.83203125" customWidth="1"/>
    <col min="7" max="7" width="25.6640625" customWidth="1"/>
    <col min="8" max="8" width="8.33203125" customWidth="1"/>
    <col min="9" max="9" width="31.1640625" customWidth="1"/>
    <col min="10" max="10" width="22.6640625" customWidth="1"/>
    <col min="11" max="11" width="63.6640625" customWidth="1"/>
  </cols>
  <sheetData>
    <row r="1" spans="1:30" ht="28.5" customHeight="1" x14ac:dyDescent="0.15">
      <c r="A1" s="65" t="s">
        <v>24</v>
      </c>
      <c r="B1" s="56" t="s">
        <v>1</v>
      </c>
      <c r="C1" s="65" t="s">
        <v>113</v>
      </c>
      <c r="D1" s="65" t="s">
        <v>114</v>
      </c>
      <c r="E1" s="98" t="s">
        <v>25</v>
      </c>
      <c r="F1" s="98" t="s">
        <v>26</v>
      </c>
      <c r="G1" s="98" t="s">
        <v>126</v>
      </c>
      <c r="H1" s="98" t="s">
        <v>41</v>
      </c>
      <c r="I1" s="98" t="s">
        <v>127</v>
      </c>
      <c r="J1" s="98" t="s">
        <v>129</v>
      </c>
      <c r="K1" s="98" t="s">
        <v>128</v>
      </c>
      <c r="L1" s="99"/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</row>
    <row r="2" spans="1:30" ht="28.5" customHeight="1" x14ac:dyDescent="0.15">
      <c r="A2" s="59" t="str">
        <f ca="1">IFERROR(__xludf.DUMMYFUNCTION("QUERY(MasterData!A1:NK11238,""select B,C,FL,FM,GF,GG,GH,GI,GK,GL,GJ where C='S18: Students Placements'"",0)"),"2018-2022")</f>
        <v>2018-2022</v>
      </c>
      <c r="B2" s="59" t="str">
        <f ca="1">IFERROR(__xludf.DUMMYFUNCTION("""COMPUTED_VALUE"""),"S18: Students Placements")</f>
        <v>S18: Students Placements</v>
      </c>
      <c r="C2" s="59" t="str">
        <f ca="1">IFERROR(__xludf.DUMMYFUNCTION("""COMPUTED_VALUE"""),"saishaktikolli@gmail.com")</f>
        <v>saishaktikolli@gmail.com</v>
      </c>
      <c r="D2" s="59" t="str">
        <f ca="1">IFERROR(__xludf.DUMMYFUNCTION("""COMPUTED_VALUE"""),"SEM-8")</f>
        <v>SEM-8</v>
      </c>
      <c r="E2" s="59" t="str">
        <f ca="1">IFERROR(__xludf.DUMMYFUNCTION("""COMPUTED_VALUE"""),"Sai Sakthi Vamsi Kolli")</f>
        <v>Sai Sakthi Vamsi Kolli</v>
      </c>
      <c r="F2" s="59" t="str">
        <f ca="1">IFERROR(__xludf.DUMMYFUNCTION("""COMPUTED_VALUE"""),"18331A05D1")</f>
        <v>18331A05D1</v>
      </c>
      <c r="G2" s="59" t="str">
        <f ca="1">IFERROR(__xludf.DUMMYFUNCTION("""COMPUTED_VALUE"""),"Wipro")</f>
        <v>Wipro</v>
      </c>
      <c r="H2" s="70">
        <f ca="1">IFERROR(__xludf.DUMMYFUNCTION("""COMPUTED_VALUE"""),44585)</f>
        <v>44585</v>
      </c>
      <c r="I2" s="59" t="str">
        <f ca="1">IFERROR(__xludf.DUMMYFUNCTION("""COMPUTED_VALUE"""),"Hyderabad")</f>
        <v>Hyderabad</v>
      </c>
      <c r="J2" s="59"/>
      <c r="K2" s="71" t="str">
        <f ca="1">IFERROR(__xludf.DUMMYFUNCTION("""COMPUTED_VALUE"""),"https://drive.google.com/open?id=1njaOo2FQclLRPfdKvfW1gZpxGn7_94Ih")</f>
        <v>https://drive.google.com/open?id=1njaOo2FQclLRPfdKvfW1gZpxGn7_94Ih</v>
      </c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99"/>
      <c r="AA2" s="99"/>
      <c r="AB2" s="99"/>
      <c r="AC2" s="99"/>
      <c r="AD2" s="99"/>
    </row>
    <row r="3" spans="1:30" ht="28.5" customHeight="1" x14ac:dyDescent="0.15">
      <c r="A3" s="66" t="str">
        <f ca="1">IFERROR(__xludf.DUMMYFUNCTION("""COMPUTED_VALUE"""),"2018-2022")</f>
        <v>2018-2022</v>
      </c>
      <c r="B3" s="66" t="str">
        <f ca="1">IFERROR(__xludf.DUMMYFUNCTION("""COMPUTED_VALUE"""),"S18: Students Placements")</f>
        <v>S18: Students Placements</v>
      </c>
      <c r="C3" s="66" t="str">
        <f ca="1">IFERROR(__xludf.DUMMYFUNCTION("""COMPUTED_VALUE"""),"subhash12345696@gmail.com")</f>
        <v>subhash12345696@gmail.com</v>
      </c>
      <c r="D3" s="66" t="str">
        <f ca="1">IFERROR(__xludf.DUMMYFUNCTION("""COMPUTED_VALUE"""),"SEM-8")</f>
        <v>SEM-8</v>
      </c>
      <c r="E3" s="66" t="str">
        <f ca="1">IFERROR(__xludf.DUMMYFUNCTION("""COMPUTED_VALUE"""),"SUBHASH VADLANA")</f>
        <v>SUBHASH VADLANA</v>
      </c>
      <c r="F3" s="66" t="str">
        <f ca="1">IFERROR(__xludf.DUMMYFUNCTION("""COMPUTED_VALUE"""),"18331A05G3")</f>
        <v>18331A05G3</v>
      </c>
      <c r="G3" s="66" t="str">
        <f ca="1">IFERROR(__xludf.DUMMYFUNCTION("""COMPUTED_VALUE"""),"Virtusa")</f>
        <v>Virtusa</v>
      </c>
      <c r="H3" s="67">
        <f ca="1">IFERROR(__xludf.DUMMYFUNCTION("""COMPUTED_VALUE"""),44727)</f>
        <v>44727</v>
      </c>
      <c r="I3" s="66" t="str">
        <f ca="1">IFERROR(__xludf.DUMMYFUNCTION("""COMPUTED_VALUE"""),"Chennai")</f>
        <v>Chennai</v>
      </c>
      <c r="J3" s="66"/>
      <c r="K3" s="68" t="str">
        <f ca="1">IFERROR(__xludf.DUMMYFUNCTION("""COMPUTED_VALUE"""),"https://drive.google.com/open?id=1M75Zuz94mobCB2u7SAfxI6p_Ap3Wqno0")</f>
        <v>https://drive.google.com/open?id=1M75Zuz94mobCB2u7SAfxI6p_Ap3Wqno0</v>
      </c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  <c r="AA3" s="100"/>
      <c r="AB3" s="100"/>
      <c r="AC3" s="100"/>
      <c r="AD3" s="100"/>
    </row>
    <row r="4" spans="1:30" ht="28.5" customHeight="1" x14ac:dyDescent="0.15">
      <c r="A4" s="59" t="str">
        <f ca="1">IFERROR(__xludf.DUMMYFUNCTION("""COMPUTED_VALUE"""),"2018-2022")</f>
        <v>2018-2022</v>
      </c>
      <c r="B4" s="59" t="str">
        <f ca="1">IFERROR(__xludf.DUMMYFUNCTION("""COMPUTED_VALUE"""),"S18: Students Placements")</f>
        <v>S18: Students Placements</v>
      </c>
      <c r="C4" s="59" t="str">
        <f ca="1">IFERROR(__xludf.DUMMYFUNCTION("""COMPUTED_VALUE"""),"lekhasree1430@gmail.com")</f>
        <v>lekhasree1430@gmail.com</v>
      </c>
      <c r="D4" s="59" t="str">
        <f ca="1">IFERROR(__xludf.DUMMYFUNCTION("""COMPUTED_VALUE"""),"SEM-8")</f>
        <v>SEM-8</v>
      </c>
      <c r="E4" s="59" t="str">
        <f ca="1">IFERROR(__xludf.DUMMYFUNCTION("""COMPUTED_VALUE"""),"Gummaluri A V Lakshmi Sri Lekha")</f>
        <v>Gummaluri A V Lakshmi Sri Lekha</v>
      </c>
      <c r="F4" s="59" t="str">
        <f ca="1">IFERROR(__xludf.DUMMYFUNCTION("""COMPUTED_VALUE"""),"18331A0555")</f>
        <v>18331A0555</v>
      </c>
      <c r="G4" s="59" t="str">
        <f ca="1">IFERROR(__xludf.DUMMYFUNCTION("""COMPUTED_VALUE"""),"Infor")</f>
        <v>Infor</v>
      </c>
      <c r="H4" s="70">
        <f ca="1">IFERROR(__xludf.DUMMYFUNCTION("""COMPUTED_VALUE"""),44633)</f>
        <v>44633</v>
      </c>
      <c r="I4" s="59" t="str">
        <f ca="1">IFERROR(__xludf.DUMMYFUNCTION("""COMPUTED_VALUE"""),"Hyderabad")</f>
        <v>Hyderabad</v>
      </c>
      <c r="J4" s="59">
        <f ca="1">IFERROR(__xludf.DUMMYFUNCTION("""COMPUTED_VALUE"""),6)</f>
        <v>6</v>
      </c>
      <c r="K4" s="71" t="str">
        <f ca="1">IFERROR(__xludf.DUMMYFUNCTION("""COMPUTED_VALUE"""),"https://drive.google.com/open?id=14_zULZ6Hd6xjm0n-EZCNgOfM0U3palZz")</f>
        <v>https://drive.google.com/open?id=14_zULZ6Hd6xjm0n-EZCNgOfM0U3palZz</v>
      </c>
      <c r="L4" s="99"/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</row>
    <row r="5" spans="1:30" ht="28.5" customHeight="1" x14ac:dyDescent="0.15">
      <c r="A5" s="59" t="str">
        <f ca="1">IFERROR(__xludf.DUMMYFUNCTION("""COMPUTED_VALUE"""),"2018-2022")</f>
        <v>2018-2022</v>
      </c>
      <c r="B5" s="59" t="str">
        <f ca="1">IFERROR(__xludf.DUMMYFUNCTION("""COMPUTED_VALUE"""),"S18: Students Placements")</f>
        <v>S18: Students Placements</v>
      </c>
      <c r="C5" s="59" t="str">
        <f ca="1">IFERROR(__xludf.DUMMYFUNCTION("""COMPUTED_VALUE"""),"lekhasree1430@gmail.com")</f>
        <v>lekhasree1430@gmail.com</v>
      </c>
      <c r="D5" s="59" t="str">
        <f ca="1">IFERROR(__xludf.DUMMYFUNCTION("""COMPUTED_VALUE"""),"SEM-8")</f>
        <v>SEM-8</v>
      </c>
      <c r="E5" s="59" t="str">
        <f ca="1">IFERROR(__xludf.DUMMYFUNCTION("""COMPUTED_VALUE"""),"GAVL Sri lekha")</f>
        <v>GAVL Sri lekha</v>
      </c>
      <c r="F5" s="59" t="str">
        <f ca="1">IFERROR(__xludf.DUMMYFUNCTION("""COMPUTED_VALUE"""),"18331A0555")</f>
        <v>18331A0555</v>
      </c>
      <c r="G5" s="59" t="str">
        <f ca="1">IFERROR(__xludf.DUMMYFUNCTION("""COMPUTED_VALUE"""),"Capgemini")</f>
        <v>Capgemini</v>
      </c>
      <c r="H5" s="70">
        <f ca="1">IFERROR(__xludf.DUMMYFUNCTION("""COMPUTED_VALUE"""),44575)</f>
        <v>44575</v>
      </c>
      <c r="I5" s="59" t="str">
        <f ca="1">IFERROR(__xludf.DUMMYFUNCTION("""COMPUTED_VALUE"""),"NA")</f>
        <v>NA</v>
      </c>
      <c r="J5" s="59">
        <f ca="1">IFERROR(__xludf.DUMMYFUNCTION("""COMPUTED_VALUE"""),4)</f>
        <v>4</v>
      </c>
      <c r="K5" s="71" t="str">
        <f ca="1">IFERROR(__xludf.DUMMYFUNCTION("""COMPUTED_VALUE"""),"https://drive.google.com/open?id=1n27dXeSQi_XbyI0Qxh545-88cmtBtSqd")</f>
        <v>https://drive.google.com/open?id=1n27dXeSQi_XbyI0Qxh545-88cmtBtSqd</v>
      </c>
      <c r="L5" s="99"/>
      <c r="M5" s="99"/>
      <c r="N5" s="99"/>
      <c r="O5" s="99"/>
      <c r="P5" s="99"/>
      <c r="Q5" s="99"/>
      <c r="R5" s="99"/>
      <c r="S5" s="99"/>
      <c r="T5" s="99"/>
      <c r="U5" s="99"/>
      <c r="V5" s="99"/>
      <c r="W5" s="99"/>
      <c r="X5" s="99"/>
      <c r="Y5" s="99"/>
      <c r="Z5" s="99"/>
      <c r="AA5" s="99"/>
      <c r="AB5" s="99"/>
      <c r="AC5" s="99"/>
      <c r="AD5" s="99"/>
    </row>
    <row r="6" spans="1:30" ht="28.5" customHeight="1" x14ac:dyDescent="0.15">
      <c r="A6" s="59" t="str">
        <f ca="1">IFERROR(__xludf.DUMMYFUNCTION("""COMPUTED_VALUE"""),"2018-2022")</f>
        <v>2018-2022</v>
      </c>
      <c r="B6" s="59" t="str">
        <f ca="1">IFERROR(__xludf.DUMMYFUNCTION("""COMPUTED_VALUE"""),"S18: Students Placements")</f>
        <v>S18: Students Placements</v>
      </c>
      <c r="C6" s="59" t="str">
        <f ca="1">IFERROR(__xludf.DUMMYFUNCTION("""COMPUTED_VALUE"""),"shrivarma29@gmail.com")</f>
        <v>shrivarma29@gmail.com</v>
      </c>
      <c r="D6" s="59" t="str">
        <f ca="1">IFERROR(__xludf.DUMMYFUNCTION("""COMPUTED_VALUE"""),"SEM-8")</f>
        <v>SEM-8</v>
      </c>
      <c r="E6" s="59" t="str">
        <f ca="1">IFERROR(__xludf.DUMMYFUNCTION("""COMPUTED_VALUE"""),"Srihita Gottimukkala")</f>
        <v>Srihita Gottimukkala</v>
      </c>
      <c r="F6" s="59" t="str">
        <f ca="1">IFERROR(__xludf.DUMMYFUNCTION("""COMPUTED_VALUE"""),"18331A0551")</f>
        <v>18331A0551</v>
      </c>
      <c r="G6" s="59" t="str">
        <f ca="1">IFERROR(__xludf.DUMMYFUNCTION("""COMPUTED_VALUE"""),"Tcs")</f>
        <v>Tcs</v>
      </c>
      <c r="H6" s="70">
        <f ca="1">IFERROR(__xludf.DUMMYFUNCTION("""COMPUTED_VALUE"""),44571)</f>
        <v>44571</v>
      </c>
      <c r="I6" s="59" t="str">
        <f ca="1">IFERROR(__xludf.DUMMYFUNCTION("""COMPUTED_VALUE"""),"Hyderabad")</f>
        <v>Hyderabad</v>
      </c>
      <c r="J6" s="59"/>
      <c r="K6" s="71" t="str">
        <f ca="1">IFERROR(__xludf.DUMMYFUNCTION("""COMPUTED_VALUE"""),"https://drive.google.com/open?id=1eqRDfKf6TAFamnY0kDJLrMwUjrnB1G6L")</f>
        <v>https://drive.google.com/open?id=1eqRDfKf6TAFamnY0kDJLrMwUjrnB1G6L</v>
      </c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</row>
    <row r="7" spans="1:30" ht="28.5" customHeight="1" x14ac:dyDescent="0.15">
      <c r="A7" s="59" t="str">
        <f ca="1">IFERROR(__xludf.DUMMYFUNCTION("""COMPUTED_VALUE"""),"2018-2022")</f>
        <v>2018-2022</v>
      </c>
      <c r="B7" s="59" t="str">
        <f ca="1">IFERROR(__xludf.DUMMYFUNCTION("""COMPUTED_VALUE"""),"S18: Students Placements")</f>
        <v>S18: Students Placements</v>
      </c>
      <c r="C7" s="59" t="str">
        <f ca="1">IFERROR(__xludf.DUMMYFUNCTION("""COMPUTED_VALUE"""),"rajeshboddapati37@gmail.com")</f>
        <v>rajeshboddapati37@gmail.com</v>
      </c>
      <c r="D7" s="59" t="str">
        <f ca="1">IFERROR(__xludf.DUMMYFUNCTION("""COMPUTED_VALUE"""),"SEM-8")</f>
        <v>SEM-8</v>
      </c>
      <c r="E7" s="59" t="str">
        <f ca="1">IFERROR(__xludf.DUMMYFUNCTION("""COMPUTED_VALUE"""),"Boddapati Rajesh")</f>
        <v>Boddapati Rajesh</v>
      </c>
      <c r="F7" s="59" t="str">
        <f ca="1">IFERROR(__xludf.DUMMYFUNCTION("""COMPUTED_VALUE"""),"18331A0515")</f>
        <v>18331A0515</v>
      </c>
      <c r="G7" s="59" t="str">
        <f ca="1">IFERROR(__xludf.DUMMYFUNCTION("""COMPUTED_VALUE"""),"Zensar")</f>
        <v>Zensar</v>
      </c>
      <c r="H7" s="70">
        <f ca="1">IFERROR(__xludf.DUMMYFUNCTION("""COMPUTED_VALUE"""),44569)</f>
        <v>44569</v>
      </c>
      <c r="I7" s="59" t="str">
        <f ca="1">IFERROR(__xludf.DUMMYFUNCTION("""COMPUTED_VALUE"""),"Not told yet")</f>
        <v>Not told yet</v>
      </c>
      <c r="J7" s="59"/>
      <c r="K7" s="71" t="str">
        <f ca="1">IFERROR(__xludf.DUMMYFUNCTION("""COMPUTED_VALUE"""),"https://drive.google.com/open?id=1TzKAWwUItopmdVYKWq0Fxz3cBchc2C9s")</f>
        <v>https://drive.google.com/open?id=1TzKAWwUItopmdVYKWq0Fxz3cBchc2C9s</v>
      </c>
      <c r="L7" s="99"/>
      <c r="M7" s="99"/>
      <c r="N7" s="99"/>
      <c r="O7" s="99"/>
      <c r="P7" s="99"/>
      <c r="Q7" s="99"/>
      <c r="R7" s="99"/>
      <c r="S7" s="99"/>
      <c r="T7" s="99"/>
      <c r="U7" s="99"/>
      <c r="V7" s="99"/>
      <c r="W7" s="99"/>
      <c r="X7" s="99"/>
      <c r="Y7" s="99"/>
      <c r="Z7" s="99"/>
      <c r="AA7" s="99"/>
      <c r="AB7" s="99"/>
      <c r="AC7" s="99"/>
      <c r="AD7" s="99"/>
    </row>
    <row r="8" spans="1:30" ht="28.5" customHeight="1" x14ac:dyDescent="0.15">
      <c r="A8" s="59" t="str">
        <f ca="1">IFERROR(__xludf.DUMMYFUNCTION("""COMPUTED_VALUE"""),"2018-2022")</f>
        <v>2018-2022</v>
      </c>
      <c r="B8" s="59" t="str">
        <f ca="1">IFERROR(__xludf.DUMMYFUNCTION("""COMPUTED_VALUE"""),"S18: Students Placements")</f>
        <v>S18: Students Placements</v>
      </c>
      <c r="C8" s="59" t="str">
        <f ca="1">IFERROR(__xludf.DUMMYFUNCTION("""COMPUTED_VALUE"""),"suryamahesh2000@gmail.com")</f>
        <v>suryamahesh2000@gmail.com</v>
      </c>
      <c r="D8" s="59" t="str">
        <f ca="1">IFERROR(__xludf.DUMMYFUNCTION("""COMPUTED_VALUE"""),"SEM-8")</f>
        <v>SEM-8</v>
      </c>
      <c r="E8" s="59" t="str">
        <f ca="1">IFERROR(__xludf.DUMMYFUNCTION("""COMPUTED_VALUE"""),"BUDIDI SURYA SAI MAHESWAR")</f>
        <v>BUDIDI SURYA SAI MAHESWAR</v>
      </c>
      <c r="F8" s="59" t="str">
        <f ca="1">IFERROR(__xludf.DUMMYFUNCTION("""COMPUTED_VALUE"""),"18331A0521")</f>
        <v>18331A0521</v>
      </c>
      <c r="G8" s="59" t="str">
        <f ca="1">IFERROR(__xludf.DUMMYFUNCTION("""COMPUTED_VALUE"""),"HEXAWARE")</f>
        <v>HEXAWARE</v>
      </c>
      <c r="H8" s="70">
        <f ca="1">IFERROR(__xludf.DUMMYFUNCTION("""COMPUTED_VALUE"""),44720)</f>
        <v>44720</v>
      </c>
      <c r="I8" s="59" t="str">
        <f ca="1">IFERROR(__xludf.DUMMYFUNCTION("""COMPUTED_VALUE"""),"CHENNAI")</f>
        <v>CHENNAI</v>
      </c>
      <c r="J8" s="59">
        <f ca="1">IFERROR(__xludf.DUMMYFUNCTION("""COMPUTED_VALUE"""),4)</f>
        <v>4</v>
      </c>
      <c r="K8" s="71" t="str">
        <f ca="1">IFERROR(__xludf.DUMMYFUNCTION("""COMPUTED_VALUE"""),"https://drive.google.com/open?id=1LCsKkG24i9wmznr03mspYdIeItEzVxqQ")</f>
        <v>https://drive.google.com/open?id=1LCsKkG24i9wmznr03mspYdIeItEzVxqQ</v>
      </c>
      <c r="L8" s="99"/>
      <c r="M8" s="99"/>
      <c r="N8" s="99"/>
      <c r="O8" s="99"/>
      <c r="P8" s="99"/>
      <c r="Q8" s="99"/>
      <c r="R8" s="99"/>
      <c r="S8" s="99"/>
      <c r="T8" s="99"/>
      <c r="U8" s="99"/>
      <c r="V8" s="99"/>
      <c r="W8" s="99"/>
      <c r="X8" s="99"/>
      <c r="Y8" s="99"/>
      <c r="Z8" s="99"/>
      <c r="AA8" s="99"/>
      <c r="AB8" s="99"/>
      <c r="AC8" s="99"/>
      <c r="AD8" s="99"/>
    </row>
    <row r="9" spans="1:30" ht="28.5" customHeight="1" x14ac:dyDescent="0.15">
      <c r="A9" s="59" t="str">
        <f ca="1">IFERROR(__xludf.DUMMYFUNCTION("""COMPUTED_VALUE"""),"2018-2022")</f>
        <v>2018-2022</v>
      </c>
      <c r="B9" s="59" t="str">
        <f ca="1">IFERROR(__xludf.DUMMYFUNCTION("""COMPUTED_VALUE"""),"S18: Students Placements")</f>
        <v>S18: Students Placements</v>
      </c>
      <c r="C9" s="59" t="str">
        <f ca="1">IFERROR(__xludf.DUMMYFUNCTION("""COMPUTED_VALUE"""),"vdkumar1200@gmail.com")</f>
        <v>vdkumar1200@gmail.com</v>
      </c>
      <c r="D9" s="59" t="str">
        <f ca="1">IFERROR(__xludf.DUMMYFUNCTION("""COMPUTED_VALUE"""),"SEM-8")</f>
        <v>SEM-8</v>
      </c>
      <c r="E9" s="59" t="str">
        <f ca="1">IFERROR(__xludf.DUMMYFUNCTION("""COMPUTED_VALUE"""),"VADLAPUDI DHEERAJ KUMAR ")</f>
        <v xml:space="preserve">VADLAPUDI DHEERAJ KUMAR </v>
      </c>
      <c r="F9" s="59" t="str">
        <f ca="1">IFERROR(__xludf.DUMMYFUNCTION("""COMPUTED_VALUE"""),"18331A05G4")</f>
        <v>18331A05G4</v>
      </c>
      <c r="G9" s="59" t="str">
        <f ca="1">IFERROR(__xludf.DUMMYFUNCTION("""COMPUTED_VALUE"""),"Capgemini ")</f>
        <v xml:space="preserve">Capgemini </v>
      </c>
      <c r="H9" s="70">
        <f ca="1">IFERROR(__xludf.DUMMYFUNCTION("""COMPUTED_VALUE"""),44707)</f>
        <v>44707</v>
      </c>
      <c r="I9" s="59" t="str">
        <f ca="1">IFERROR(__xludf.DUMMYFUNCTION("""COMPUTED_VALUE"""),"Bangalore ")</f>
        <v xml:space="preserve">Bangalore </v>
      </c>
      <c r="J9" s="59"/>
      <c r="K9" s="71" t="str">
        <f ca="1">IFERROR(__xludf.DUMMYFUNCTION("""COMPUTED_VALUE"""),"https://drive.google.com/open?id=1rRH2ZCJXnOgm37WwXkGf_PG02fe6BEU5")</f>
        <v>https://drive.google.com/open?id=1rRH2ZCJXnOgm37WwXkGf_PG02fe6BEU5</v>
      </c>
      <c r="L9" s="99"/>
      <c r="M9" s="99"/>
      <c r="N9" s="99"/>
      <c r="O9" s="99"/>
      <c r="P9" s="99"/>
      <c r="Q9" s="99"/>
      <c r="R9" s="99"/>
      <c r="S9" s="99"/>
      <c r="T9" s="99"/>
      <c r="U9" s="99"/>
      <c r="V9" s="99"/>
      <c r="W9" s="99"/>
      <c r="X9" s="99"/>
      <c r="Y9" s="99"/>
      <c r="Z9" s="99"/>
      <c r="AA9" s="99"/>
      <c r="AB9" s="99"/>
      <c r="AC9" s="99"/>
      <c r="AD9" s="99"/>
    </row>
    <row r="10" spans="1:30" ht="28.5" customHeight="1" x14ac:dyDescent="0.15">
      <c r="A10" s="59" t="str">
        <f ca="1">IFERROR(__xludf.DUMMYFUNCTION("""COMPUTED_VALUE"""),"2018-2022")</f>
        <v>2018-2022</v>
      </c>
      <c r="B10" s="59" t="str">
        <f ca="1">IFERROR(__xludf.DUMMYFUNCTION("""COMPUTED_VALUE"""),"S18: Students Placements")</f>
        <v>S18: Students Placements</v>
      </c>
      <c r="C10" s="59" t="str">
        <f ca="1">IFERROR(__xludf.DUMMYFUNCTION("""COMPUTED_VALUE"""),"aiswarya15112000@gmail.com")</f>
        <v>aiswarya15112000@gmail.com</v>
      </c>
      <c r="D10" s="59" t="str">
        <f ca="1">IFERROR(__xludf.DUMMYFUNCTION("""COMPUTED_VALUE"""),"SEM-8")</f>
        <v>SEM-8</v>
      </c>
      <c r="E10" s="59" t="str">
        <f ca="1">IFERROR(__xludf.DUMMYFUNCTION("""COMPUTED_VALUE"""),"Gorle Shri Aiswarya")</f>
        <v>Gorle Shri Aiswarya</v>
      </c>
      <c r="F10" s="59" t="str">
        <f ca="1">IFERROR(__xludf.DUMMYFUNCTION("""COMPUTED_VALUE"""),"18331A0549")</f>
        <v>18331A0549</v>
      </c>
      <c r="G10" s="59" t="str">
        <f ca="1">IFERROR(__xludf.DUMMYFUNCTION("""COMPUTED_VALUE"""),"Wipro")</f>
        <v>Wipro</v>
      </c>
      <c r="H10" s="70">
        <f ca="1">IFERROR(__xludf.DUMMYFUNCTION("""COMPUTED_VALUE"""),44732)</f>
        <v>44732</v>
      </c>
      <c r="I10" s="59" t="str">
        <f ca="1">IFERROR(__xludf.DUMMYFUNCTION("""COMPUTED_VALUE"""),"Not given")</f>
        <v>Not given</v>
      </c>
      <c r="J10" s="59">
        <f ca="1">IFERROR(__xludf.DUMMYFUNCTION("""COMPUTED_VALUE"""),3.5)</f>
        <v>3.5</v>
      </c>
      <c r="K10" s="71" t="str">
        <f ca="1">IFERROR(__xludf.DUMMYFUNCTION("""COMPUTED_VALUE"""),"https://drive.google.com/open?id=182CeUHgul8js2A2Xhtd4IrhsNNqCMqVI")</f>
        <v>https://drive.google.com/open?id=182CeUHgul8js2A2Xhtd4IrhsNNqCMqVI</v>
      </c>
      <c r="L10" s="99"/>
      <c r="M10" s="99"/>
      <c r="N10" s="99"/>
      <c r="O10" s="99"/>
      <c r="P10" s="99"/>
      <c r="Q10" s="99"/>
      <c r="R10" s="99"/>
      <c r="S10" s="99"/>
      <c r="T10" s="99"/>
      <c r="U10" s="99"/>
      <c r="V10" s="99"/>
      <c r="W10" s="99"/>
      <c r="X10" s="99"/>
      <c r="Y10" s="99"/>
      <c r="Z10" s="99"/>
      <c r="AA10" s="99"/>
      <c r="AB10" s="99"/>
      <c r="AC10" s="99"/>
      <c r="AD10" s="99"/>
    </row>
    <row r="11" spans="1:30" ht="28.5" customHeight="1" x14ac:dyDescent="0.15">
      <c r="A11" s="59" t="str">
        <f ca="1">IFERROR(__xludf.DUMMYFUNCTION("""COMPUTED_VALUE"""),"2018-2022")</f>
        <v>2018-2022</v>
      </c>
      <c r="B11" s="59" t="str">
        <f ca="1">IFERROR(__xludf.DUMMYFUNCTION("""COMPUTED_VALUE"""),"S18: Students Placements")</f>
        <v>S18: Students Placements</v>
      </c>
      <c r="C11" s="59" t="str">
        <f ca="1">IFERROR(__xludf.DUMMYFUNCTION("""COMPUTED_VALUE"""),"aiswarya15112000@gmail.com")</f>
        <v>aiswarya15112000@gmail.com</v>
      </c>
      <c r="D11" s="59" t="str">
        <f ca="1">IFERROR(__xludf.DUMMYFUNCTION("""COMPUTED_VALUE"""),"SEM-8")</f>
        <v>SEM-8</v>
      </c>
      <c r="E11" s="59" t="str">
        <f ca="1">IFERROR(__xludf.DUMMYFUNCTION("""COMPUTED_VALUE"""),"Gorle Shri Aiswarya")</f>
        <v>Gorle Shri Aiswarya</v>
      </c>
      <c r="F11" s="59" t="str">
        <f ca="1">IFERROR(__xludf.DUMMYFUNCTION("""COMPUTED_VALUE"""),"18331A0549")</f>
        <v>18331A0549</v>
      </c>
      <c r="G11" s="59" t="str">
        <f ca="1">IFERROR(__xludf.DUMMYFUNCTION("""COMPUTED_VALUE"""),"Capgemini")</f>
        <v>Capgemini</v>
      </c>
      <c r="H11" s="70">
        <f ca="1">IFERROR(__xludf.DUMMYFUNCTION("""COMPUTED_VALUE"""),44737)</f>
        <v>44737</v>
      </c>
      <c r="I11" s="59" t="str">
        <f ca="1">IFERROR(__xludf.DUMMYFUNCTION("""COMPUTED_VALUE"""),"Not given")</f>
        <v>Not given</v>
      </c>
      <c r="J11" s="59">
        <f ca="1">IFERROR(__xludf.DUMMYFUNCTION("""COMPUTED_VALUE"""),4)</f>
        <v>4</v>
      </c>
      <c r="K11" s="71" t="str">
        <f ca="1">IFERROR(__xludf.DUMMYFUNCTION("""COMPUTED_VALUE"""),"https://drive.google.com/open?id=1R4u3fohaTi7TEZxouCeFMmE0I7vah8Pd")</f>
        <v>https://drive.google.com/open?id=1R4u3fohaTi7TEZxouCeFMmE0I7vah8Pd</v>
      </c>
      <c r="L11" s="99"/>
      <c r="M11" s="99"/>
      <c r="N11" s="99"/>
      <c r="O11" s="99"/>
      <c r="P11" s="99"/>
      <c r="Q11" s="99"/>
      <c r="R11" s="99"/>
      <c r="S11" s="99"/>
      <c r="T11" s="99"/>
      <c r="U11" s="99"/>
      <c r="V11" s="99"/>
      <c r="W11" s="99"/>
      <c r="X11" s="99"/>
      <c r="Y11" s="99"/>
      <c r="Z11" s="99"/>
      <c r="AA11" s="99"/>
      <c r="AB11" s="99"/>
      <c r="AC11" s="99"/>
      <c r="AD11" s="99"/>
    </row>
    <row r="12" spans="1:30" ht="28.5" customHeight="1" x14ac:dyDescent="0.15">
      <c r="A12" s="59" t="str">
        <f ca="1">IFERROR(__xludf.DUMMYFUNCTION("""COMPUTED_VALUE"""),"2018-2022")</f>
        <v>2018-2022</v>
      </c>
      <c r="B12" s="59" t="str">
        <f ca="1">IFERROR(__xludf.DUMMYFUNCTION("""COMPUTED_VALUE"""),"S18: Students Placements")</f>
        <v>S18: Students Placements</v>
      </c>
      <c r="C12" s="59" t="str">
        <f ca="1">IFERROR(__xludf.DUMMYFUNCTION("""COMPUTED_VALUE"""),"aiswarya15112000@gmail.com")</f>
        <v>aiswarya15112000@gmail.com</v>
      </c>
      <c r="D12" s="59" t="str">
        <f ca="1">IFERROR(__xludf.DUMMYFUNCTION("""COMPUTED_VALUE"""),"SEM-8")</f>
        <v>SEM-8</v>
      </c>
      <c r="E12" s="59" t="str">
        <f ca="1">IFERROR(__xludf.DUMMYFUNCTION("""COMPUTED_VALUE"""),"Gorle Shri Aiswarya")</f>
        <v>Gorle Shri Aiswarya</v>
      </c>
      <c r="F12" s="59" t="str">
        <f ca="1">IFERROR(__xludf.DUMMYFUNCTION("""COMPUTED_VALUE"""),"18331A0549")</f>
        <v>18331A0549</v>
      </c>
      <c r="G12" s="59" t="str">
        <f ca="1">IFERROR(__xludf.DUMMYFUNCTION("""COMPUTED_VALUE"""),"TCS")</f>
        <v>TCS</v>
      </c>
      <c r="H12" s="70">
        <f ca="1">IFERROR(__xludf.DUMMYFUNCTION("""COMPUTED_VALUE"""),44754)</f>
        <v>44754</v>
      </c>
      <c r="I12" s="59" t="str">
        <f ca="1">IFERROR(__xludf.DUMMYFUNCTION("""COMPUTED_VALUE"""),"Not given")</f>
        <v>Not given</v>
      </c>
      <c r="J12" s="59">
        <f ca="1">IFERROR(__xludf.DUMMYFUNCTION("""COMPUTED_VALUE"""),3.6)</f>
        <v>3.6</v>
      </c>
      <c r="K12" s="71" t="str">
        <f ca="1">IFERROR(__xludf.DUMMYFUNCTION("""COMPUTED_VALUE"""),"https://drive.google.com/open?id=1AdnImYkBMQpTsxJI24rJgH5FhywglYup")</f>
        <v>https://drive.google.com/open?id=1AdnImYkBMQpTsxJI24rJgH5FhywglYup</v>
      </c>
      <c r="L12" s="99"/>
      <c r="M12" s="99"/>
      <c r="N12" s="99"/>
      <c r="O12" s="99"/>
      <c r="P12" s="99"/>
      <c r="Q12" s="99"/>
      <c r="R12" s="99"/>
      <c r="S12" s="99"/>
      <c r="T12" s="99"/>
      <c r="U12" s="99"/>
      <c r="V12" s="99"/>
      <c r="W12" s="99"/>
      <c r="X12" s="99"/>
      <c r="Y12" s="99"/>
      <c r="Z12" s="99"/>
      <c r="AA12" s="99"/>
      <c r="AB12" s="99"/>
      <c r="AC12" s="99"/>
      <c r="AD12" s="99"/>
    </row>
    <row r="13" spans="1:30" ht="28.5" customHeight="1" x14ac:dyDescent="0.15">
      <c r="A13" s="59" t="str">
        <f ca="1">IFERROR(__xludf.DUMMYFUNCTION("""COMPUTED_VALUE"""),"2018-2022")</f>
        <v>2018-2022</v>
      </c>
      <c r="B13" s="59" t="str">
        <f ca="1">IFERROR(__xludf.DUMMYFUNCTION("""COMPUTED_VALUE"""),"S18: Students Placements")</f>
        <v>S18: Students Placements</v>
      </c>
      <c r="C13" s="59" t="str">
        <f ca="1">IFERROR(__xludf.DUMMYFUNCTION("""COMPUTED_VALUE"""),"saibhavana.as16@gmail.com")</f>
        <v>saibhavana.as16@gmail.com</v>
      </c>
      <c r="D13" s="59" t="str">
        <f ca="1">IFERROR(__xludf.DUMMYFUNCTION("""COMPUTED_VALUE"""),"SEM-8")</f>
        <v>SEM-8</v>
      </c>
      <c r="E13" s="59" t="str">
        <f ca="1">IFERROR(__xludf.DUMMYFUNCTION("""COMPUTED_VALUE"""),"Gulla Sai Bhavana")</f>
        <v>Gulla Sai Bhavana</v>
      </c>
      <c r="F13" s="59" t="str">
        <f ca="1">IFERROR(__xludf.DUMMYFUNCTION("""COMPUTED_VALUE"""),"18331A0552")</f>
        <v>18331A0552</v>
      </c>
      <c r="G13" s="59" t="str">
        <f ca="1">IFERROR(__xludf.DUMMYFUNCTION("""COMPUTED_VALUE"""),"IBM")</f>
        <v>IBM</v>
      </c>
      <c r="H13" s="70">
        <f ca="1">IFERROR(__xludf.DUMMYFUNCTION("""COMPUTED_VALUE"""),44781)</f>
        <v>44781</v>
      </c>
      <c r="I13" s="59" t="str">
        <f ca="1">IFERROR(__xludf.DUMMYFUNCTION("""COMPUTED_VALUE"""),"Bangalore")</f>
        <v>Bangalore</v>
      </c>
      <c r="J13" s="59">
        <f ca="1">IFERROR(__xludf.DUMMYFUNCTION("""COMPUTED_VALUE"""),4.5)</f>
        <v>4.5</v>
      </c>
      <c r="K13" s="71" t="str">
        <f ca="1">IFERROR(__xludf.DUMMYFUNCTION("""COMPUTED_VALUE"""),"https://drive.google.com/open?id=1oKlHFLgb197iFG06xERQ80MBgMyQFlCO")</f>
        <v>https://drive.google.com/open?id=1oKlHFLgb197iFG06xERQ80MBgMyQFlCO</v>
      </c>
      <c r="L13" s="99"/>
      <c r="M13" s="99"/>
      <c r="N13" s="99"/>
      <c r="O13" s="99"/>
      <c r="P13" s="99"/>
      <c r="Q13" s="99"/>
      <c r="R13" s="99"/>
      <c r="S13" s="99"/>
      <c r="T13" s="99"/>
      <c r="U13" s="99"/>
      <c r="V13" s="99"/>
      <c r="W13" s="99"/>
      <c r="X13" s="99"/>
      <c r="Y13" s="99"/>
      <c r="Z13" s="99"/>
      <c r="AA13" s="99"/>
      <c r="AB13" s="99"/>
      <c r="AC13" s="99"/>
      <c r="AD13" s="99"/>
    </row>
    <row r="14" spans="1:30" ht="28.5" customHeight="1" x14ac:dyDescent="0.15">
      <c r="A14" s="59" t="str">
        <f ca="1">IFERROR(__xludf.DUMMYFUNCTION("""COMPUTED_VALUE"""),"2018-2022")</f>
        <v>2018-2022</v>
      </c>
      <c r="B14" s="59" t="str">
        <f ca="1">IFERROR(__xludf.DUMMYFUNCTION("""COMPUTED_VALUE"""),"S18: Students Placements")</f>
        <v>S18: Students Placements</v>
      </c>
      <c r="C14" s="59" t="str">
        <f ca="1">IFERROR(__xludf.DUMMYFUNCTION("""COMPUTED_VALUE"""),"saibhavana.as16@gmail.com")</f>
        <v>saibhavana.as16@gmail.com</v>
      </c>
      <c r="D14" s="59" t="str">
        <f ca="1">IFERROR(__xludf.DUMMYFUNCTION("""COMPUTED_VALUE"""),"SEM-8")</f>
        <v>SEM-8</v>
      </c>
      <c r="E14" s="59" t="str">
        <f ca="1">IFERROR(__xludf.DUMMYFUNCTION("""COMPUTED_VALUE"""),"Gulla Sai Bhavana")</f>
        <v>Gulla Sai Bhavana</v>
      </c>
      <c r="F14" s="59" t="str">
        <f ca="1">IFERROR(__xludf.DUMMYFUNCTION("""COMPUTED_VALUE"""),"18331A0552")</f>
        <v>18331A0552</v>
      </c>
      <c r="G14" s="59" t="str">
        <f ca="1">IFERROR(__xludf.DUMMYFUNCTION("""COMPUTED_VALUE"""),"Wipro")</f>
        <v>Wipro</v>
      </c>
      <c r="H14" s="70">
        <f ca="1">IFERROR(__xludf.DUMMYFUNCTION("""COMPUTED_VALUE"""),44753)</f>
        <v>44753</v>
      </c>
      <c r="I14" s="59" t="str">
        <f ca="1">IFERROR(__xludf.DUMMYFUNCTION("""COMPUTED_VALUE"""),"Not given")</f>
        <v>Not given</v>
      </c>
      <c r="J14" s="59">
        <f ca="1">IFERROR(__xludf.DUMMYFUNCTION("""COMPUTED_VALUE"""),3.6)</f>
        <v>3.6</v>
      </c>
      <c r="K14" s="71" t="str">
        <f ca="1">IFERROR(__xludf.DUMMYFUNCTION("""COMPUTED_VALUE"""),"https://drive.google.com/open?id=1SQnF_8DCN91WHC55Or2_3svZTsc2qfWR")</f>
        <v>https://drive.google.com/open?id=1SQnF_8DCN91WHC55Or2_3svZTsc2qfWR</v>
      </c>
      <c r="L14" s="99"/>
      <c r="M14" s="99"/>
      <c r="N14" s="99"/>
      <c r="O14" s="99"/>
      <c r="P14" s="99"/>
      <c r="Q14" s="99"/>
      <c r="R14" s="99"/>
      <c r="S14" s="99"/>
      <c r="T14" s="99"/>
      <c r="U14" s="99"/>
      <c r="V14" s="99"/>
      <c r="W14" s="99"/>
      <c r="X14" s="99"/>
      <c r="Y14" s="99"/>
      <c r="Z14" s="99"/>
      <c r="AA14" s="99"/>
      <c r="AB14" s="99"/>
      <c r="AC14" s="99"/>
      <c r="AD14" s="99"/>
    </row>
    <row r="15" spans="1:30" ht="28.5" customHeight="1" x14ac:dyDescent="0.15">
      <c r="A15" s="59" t="str">
        <f ca="1">IFERROR(__xludf.DUMMYFUNCTION("""COMPUTED_VALUE"""),"2018-2022")</f>
        <v>2018-2022</v>
      </c>
      <c r="B15" s="59" t="str">
        <f ca="1">IFERROR(__xludf.DUMMYFUNCTION("""COMPUTED_VALUE"""),"S18: Students Placements")</f>
        <v>S18: Students Placements</v>
      </c>
      <c r="C15" s="59" t="str">
        <f ca="1">IFERROR(__xludf.DUMMYFUNCTION("""COMPUTED_VALUE"""),"saibhavana.as16@gmail.com")</f>
        <v>saibhavana.as16@gmail.com</v>
      </c>
      <c r="D15" s="59" t="str">
        <f ca="1">IFERROR(__xludf.DUMMYFUNCTION("""COMPUTED_VALUE"""),"SEM-8")</f>
        <v>SEM-8</v>
      </c>
      <c r="E15" s="59" t="str">
        <f ca="1">IFERROR(__xludf.DUMMYFUNCTION("""COMPUTED_VALUE"""),"Gulla Sai Bhavana")</f>
        <v>Gulla Sai Bhavana</v>
      </c>
      <c r="F15" s="59" t="str">
        <f ca="1">IFERROR(__xludf.DUMMYFUNCTION("""COMPUTED_VALUE"""),"18331A0552")</f>
        <v>18331A0552</v>
      </c>
      <c r="G15" s="59" t="str">
        <f ca="1">IFERROR(__xludf.DUMMYFUNCTION("""COMPUTED_VALUE"""),"ICICI prudential life insurance")</f>
        <v>ICICI prudential life insurance</v>
      </c>
      <c r="H15" s="70">
        <f ca="1">IFERROR(__xludf.DUMMYFUNCTION("""COMPUTED_VALUE"""),44652)</f>
        <v>44652</v>
      </c>
      <c r="I15" s="59" t="str">
        <f ca="1">IFERROR(__xludf.DUMMYFUNCTION("""COMPUTED_VALUE"""),"Mumbai")</f>
        <v>Mumbai</v>
      </c>
      <c r="J15" s="59">
        <f ca="1">IFERROR(__xludf.DUMMYFUNCTION("""COMPUTED_VALUE"""),7.7)</f>
        <v>7.7</v>
      </c>
      <c r="K15" s="71" t="str">
        <f ca="1">IFERROR(__xludf.DUMMYFUNCTION("""COMPUTED_VALUE"""),"https://drive.google.com/open?id=1MyYAqkRZDWCeVSdVFKaTl8YKOzJnYgtW")</f>
        <v>https://drive.google.com/open?id=1MyYAqkRZDWCeVSdVFKaTl8YKOzJnYgtW</v>
      </c>
      <c r="L15" s="99"/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99"/>
      <c r="Z15" s="99"/>
      <c r="AA15" s="99"/>
      <c r="AB15" s="99"/>
      <c r="AC15" s="99"/>
      <c r="AD15" s="99"/>
    </row>
    <row r="16" spans="1:30" ht="28.5" customHeight="1" x14ac:dyDescent="0.15">
      <c r="A16" s="59" t="str">
        <f ca="1">IFERROR(__xludf.DUMMYFUNCTION("""COMPUTED_VALUE"""),"2018-2022")</f>
        <v>2018-2022</v>
      </c>
      <c r="B16" s="59" t="str">
        <f ca="1">IFERROR(__xludf.DUMMYFUNCTION("""COMPUTED_VALUE"""),"S18: Students Placements")</f>
        <v>S18: Students Placements</v>
      </c>
      <c r="C16" s="59" t="str">
        <f ca="1">IFERROR(__xludf.DUMMYFUNCTION("""COMPUTED_VALUE"""),"anushaakkena@gmail.com")</f>
        <v>anushaakkena@gmail.com</v>
      </c>
      <c r="D16" s="59" t="str">
        <f ca="1">IFERROR(__xludf.DUMMYFUNCTION("""COMPUTED_VALUE"""),"SEM-8")</f>
        <v>SEM-8</v>
      </c>
      <c r="E16" s="59" t="str">
        <f ca="1">IFERROR(__xludf.DUMMYFUNCTION("""COMPUTED_VALUE"""),"Akkena Anusha")</f>
        <v>Akkena Anusha</v>
      </c>
      <c r="F16" s="59" t="str">
        <f ca="1">IFERROR(__xludf.DUMMYFUNCTION("""COMPUTED_VALUE"""),"18331A0503")</f>
        <v>18331A0503</v>
      </c>
      <c r="G16" s="59" t="str">
        <f ca="1">IFERROR(__xludf.DUMMYFUNCTION("""COMPUTED_VALUE"""),"Capgemini")</f>
        <v>Capgemini</v>
      </c>
      <c r="H16" s="70">
        <f ca="1">IFERROR(__xludf.DUMMYFUNCTION("""COMPUTED_VALUE"""),44716)</f>
        <v>44716</v>
      </c>
      <c r="I16" s="59" t="str">
        <f ca="1">IFERROR(__xludf.DUMMYFUNCTION("""COMPUTED_VALUE"""),"Not mentioned")</f>
        <v>Not mentioned</v>
      </c>
      <c r="J16" s="59">
        <f ca="1">IFERROR(__xludf.DUMMYFUNCTION("""COMPUTED_VALUE"""),4)</f>
        <v>4</v>
      </c>
      <c r="K16" s="71" t="str">
        <f ca="1">IFERROR(__xludf.DUMMYFUNCTION("""COMPUTED_VALUE"""),"https://drive.google.com/open?id=15v-MfMEFmUzEFJ3ZTLKtrm2EVBoDx79w")</f>
        <v>https://drive.google.com/open?id=15v-MfMEFmUzEFJ3ZTLKtrm2EVBoDx79w</v>
      </c>
      <c r="L16" s="99"/>
      <c r="M16" s="99"/>
      <c r="N16" s="99"/>
      <c r="O16" s="99"/>
      <c r="P16" s="99"/>
      <c r="Q16" s="99"/>
      <c r="R16" s="99"/>
      <c r="S16" s="99"/>
      <c r="T16" s="99"/>
      <c r="U16" s="99"/>
      <c r="V16" s="99"/>
      <c r="W16" s="99"/>
      <c r="X16" s="99"/>
      <c r="Y16" s="99"/>
      <c r="Z16" s="99"/>
      <c r="AA16" s="99"/>
      <c r="AB16" s="99"/>
      <c r="AC16" s="99"/>
      <c r="AD16" s="99"/>
    </row>
    <row r="17" spans="1:30" ht="28.5" customHeight="1" x14ac:dyDescent="0.15">
      <c r="A17" s="59" t="str">
        <f ca="1">IFERROR(__xludf.DUMMYFUNCTION("""COMPUTED_VALUE"""),"2018-2022")</f>
        <v>2018-2022</v>
      </c>
      <c r="B17" s="59" t="str">
        <f ca="1">IFERROR(__xludf.DUMMYFUNCTION("""COMPUTED_VALUE"""),"S18: Students Placements")</f>
        <v>S18: Students Placements</v>
      </c>
      <c r="C17" s="59" t="str">
        <f ca="1">IFERROR(__xludf.DUMMYFUNCTION("""COMPUTED_VALUE"""),"Priyaprasanthi.pulipati@gmail.com")</f>
        <v>Priyaprasanthi.pulipati@gmail.com</v>
      </c>
      <c r="D17" s="59" t="str">
        <f ca="1">IFERROR(__xludf.DUMMYFUNCTION("""COMPUTED_VALUE"""),"SEM-8")</f>
        <v>SEM-8</v>
      </c>
      <c r="E17" s="59" t="str">
        <f ca="1">IFERROR(__xludf.DUMMYFUNCTION("""COMPUTED_VALUE"""),"Sai Sri Priya Prasanthi Pulipati")</f>
        <v>Sai Sri Priya Prasanthi Pulipati</v>
      </c>
      <c r="F17" s="59" t="str">
        <f ca="1">IFERROR(__xludf.DUMMYFUNCTION("""COMPUTED_VALUE"""),"18331A05D2")</f>
        <v>18331A05D2</v>
      </c>
      <c r="G17" s="59" t="str">
        <f ca="1">IFERROR(__xludf.DUMMYFUNCTION("""COMPUTED_VALUE"""),"Wipro")</f>
        <v>Wipro</v>
      </c>
      <c r="H17" s="70">
        <f ca="1">IFERROR(__xludf.DUMMYFUNCTION("""COMPUTED_VALUE"""),44663)</f>
        <v>44663</v>
      </c>
      <c r="I17" s="59" t="str">
        <f ca="1">IFERROR(__xludf.DUMMYFUNCTION("""COMPUTED_VALUE"""),"Vizianagaram")</f>
        <v>Vizianagaram</v>
      </c>
      <c r="J17" s="59"/>
      <c r="K17" s="71" t="str">
        <f ca="1">IFERROR(__xludf.DUMMYFUNCTION("""COMPUTED_VALUE"""),"https://drive.google.com/open?id=1rlINLdDNg-MSnn6DBnOVVMwxnH4wwjcj")</f>
        <v>https://drive.google.com/open?id=1rlINLdDNg-MSnn6DBnOVVMwxnH4wwjcj</v>
      </c>
      <c r="L17" s="99"/>
      <c r="M17" s="99"/>
      <c r="N17" s="99"/>
      <c r="O17" s="99"/>
      <c r="P17" s="99"/>
      <c r="Q17" s="99"/>
      <c r="R17" s="99"/>
      <c r="S17" s="99"/>
      <c r="T17" s="99"/>
      <c r="U17" s="99"/>
      <c r="V17" s="99"/>
      <c r="W17" s="99"/>
      <c r="X17" s="99"/>
      <c r="Y17" s="99"/>
      <c r="Z17" s="99"/>
      <c r="AA17" s="99"/>
      <c r="AB17" s="99"/>
      <c r="AC17" s="99"/>
      <c r="AD17" s="99"/>
    </row>
    <row r="18" spans="1:30" ht="28.5" customHeight="1" x14ac:dyDescent="0.15">
      <c r="A18" s="59" t="str">
        <f ca="1">IFERROR(__xludf.DUMMYFUNCTION("""COMPUTED_VALUE"""),"2018-2022")</f>
        <v>2018-2022</v>
      </c>
      <c r="B18" s="59" t="str">
        <f ca="1">IFERROR(__xludf.DUMMYFUNCTION("""COMPUTED_VALUE"""),"S18: Students Placements")</f>
        <v>S18: Students Placements</v>
      </c>
      <c r="C18" s="59" t="str">
        <f ca="1">IFERROR(__xludf.DUMMYFUNCTION("""COMPUTED_VALUE"""),"tadisatishreddy2000@gmail.com")</f>
        <v>tadisatishreddy2000@gmail.com</v>
      </c>
      <c r="D18" s="59" t="str">
        <f ca="1">IFERROR(__xludf.DUMMYFUNCTION("""COMPUTED_VALUE"""),"SEM-8")</f>
        <v>SEM-8</v>
      </c>
      <c r="E18" s="59" t="str">
        <f ca="1">IFERROR(__xludf.DUMMYFUNCTION("""COMPUTED_VALUE"""),"Tadi Satish Reddy")</f>
        <v>Tadi Satish Reddy</v>
      </c>
      <c r="F18" s="59" t="str">
        <f ca="1">IFERROR(__xludf.DUMMYFUNCTION("""COMPUTED_VALUE"""),"18331A05F0")</f>
        <v>18331A05F0</v>
      </c>
      <c r="G18" s="59" t="str">
        <f ca="1">IFERROR(__xludf.DUMMYFUNCTION("""COMPUTED_VALUE"""),"Hyundai Mobis")</f>
        <v>Hyundai Mobis</v>
      </c>
      <c r="H18" s="70">
        <f ca="1">IFERROR(__xludf.DUMMYFUNCTION("""COMPUTED_VALUE"""),44743)</f>
        <v>44743</v>
      </c>
      <c r="I18" s="59" t="str">
        <f ca="1">IFERROR(__xludf.DUMMYFUNCTION("""COMPUTED_VALUE"""),"Hyderabad")</f>
        <v>Hyderabad</v>
      </c>
      <c r="J18" s="59"/>
      <c r="K18" s="71" t="str">
        <f ca="1">IFERROR(__xludf.DUMMYFUNCTION("""COMPUTED_VALUE"""),"https://drive.google.com/open?id=1oE8-5Rv1pgHd2n7iM2-tekmBSDdmdp1X")</f>
        <v>https://drive.google.com/open?id=1oE8-5Rv1pgHd2n7iM2-tekmBSDdmdp1X</v>
      </c>
      <c r="L18" s="99"/>
      <c r="M18" s="99"/>
      <c r="N18" s="99"/>
      <c r="O18" s="99"/>
      <c r="P18" s="99"/>
      <c r="Q18" s="99"/>
      <c r="R18" s="99"/>
      <c r="S18" s="99"/>
      <c r="T18" s="99"/>
      <c r="U18" s="99"/>
      <c r="V18" s="99"/>
      <c r="W18" s="99"/>
      <c r="X18" s="99"/>
      <c r="Y18" s="99"/>
      <c r="Z18" s="99"/>
      <c r="AA18" s="99"/>
      <c r="AB18" s="99"/>
      <c r="AC18" s="99"/>
      <c r="AD18" s="99"/>
    </row>
    <row r="19" spans="1:30" ht="28.5" customHeight="1" x14ac:dyDescent="0.15">
      <c r="A19" s="59" t="str">
        <f ca="1">IFERROR(__xludf.DUMMYFUNCTION("""COMPUTED_VALUE"""),"2018-2022")</f>
        <v>2018-2022</v>
      </c>
      <c r="B19" s="59" t="str">
        <f ca="1">IFERROR(__xludf.DUMMYFUNCTION("""COMPUTED_VALUE"""),"S18: Students Placements")</f>
        <v>S18: Students Placements</v>
      </c>
      <c r="C19" s="59" t="str">
        <f ca="1">IFERROR(__xludf.DUMMYFUNCTION("""COMPUTED_VALUE"""),"pitlachandana@gmail.com")</f>
        <v>pitlachandana@gmail.com</v>
      </c>
      <c r="D19" s="59" t="str">
        <f ca="1">IFERROR(__xludf.DUMMYFUNCTION("""COMPUTED_VALUE"""),"SEM-8")</f>
        <v>SEM-8</v>
      </c>
      <c r="E19" s="59" t="str">
        <f ca="1">IFERROR(__xludf.DUMMYFUNCTION("""COMPUTED_VALUE"""),"pitla chandana")</f>
        <v>pitla chandana</v>
      </c>
      <c r="F19" s="59" t="str">
        <f ca="1">IFERROR(__xludf.DUMMYFUNCTION("""COMPUTED_VALUE"""),"18331A05C1")</f>
        <v>18331A05C1</v>
      </c>
      <c r="G19" s="59" t="str">
        <f ca="1">IFERROR(__xludf.DUMMYFUNCTION("""COMPUTED_VALUE"""),"COGNIZANT")</f>
        <v>COGNIZANT</v>
      </c>
      <c r="H19" s="70">
        <f ca="1">IFERROR(__xludf.DUMMYFUNCTION("""COMPUTED_VALUE"""),44628)</f>
        <v>44628</v>
      </c>
      <c r="I19" s="59" t="str">
        <f ca="1">IFERROR(__xludf.DUMMYFUNCTION("""COMPUTED_VALUE"""),"HYDERABAD")</f>
        <v>HYDERABAD</v>
      </c>
      <c r="J19" s="59"/>
      <c r="K19" s="71" t="str">
        <f ca="1">IFERROR(__xludf.DUMMYFUNCTION("""COMPUTED_VALUE"""),"https://drive.google.com/open?id=15n55aEqfKyP6UPUXflhsoxybtRV7Im2Z")</f>
        <v>https://drive.google.com/open?id=15n55aEqfKyP6UPUXflhsoxybtRV7Im2Z</v>
      </c>
      <c r="L19" s="99"/>
      <c r="M19" s="99"/>
      <c r="N19" s="99"/>
      <c r="O19" s="99"/>
      <c r="P19" s="99"/>
      <c r="Q19" s="99"/>
      <c r="R19" s="99"/>
      <c r="S19" s="99"/>
      <c r="T19" s="99"/>
      <c r="U19" s="99"/>
      <c r="V19" s="99"/>
      <c r="W19" s="99"/>
      <c r="X19" s="99"/>
      <c r="Y19" s="99"/>
      <c r="Z19" s="99"/>
      <c r="AA19" s="99"/>
      <c r="AB19" s="99"/>
      <c r="AC19" s="99"/>
      <c r="AD19" s="99"/>
    </row>
    <row r="20" spans="1:30" ht="28.5" customHeight="1" x14ac:dyDescent="0.15">
      <c r="A20" s="59" t="str">
        <f ca="1">IFERROR(__xludf.DUMMYFUNCTION("""COMPUTED_VALUE"""),"2018-2022")</f>
        <v>2018-2022</v>
      </c>
      <c r="B20" s="59" t="str">
        <f ca="1">IFERROR(__xludf.DUMMYFUNCTION("""COMPUTED_VALUE"""),"S18: Students Placements")</f>
        <v>S18: Students Placements</v>
      </c>
      <c r="C20" s="59" t="str">
        <f ca="1">IFERROR(__xludf.DUMMYFUNCTION("""COMPUTED_VALUE"""),"pragnabuddharaju@gmail.com")</f>
        <v>pragnabuddharaju@gmail.com</v>
      </c>
      <c r="D20" s="59" t="str">
        <f ca="1">IFERROR(__xludf.DUMMYFUNCTION("""COMPUTED_VALUE"""),"SEM-6")</f>
        <v>SEM-6</v>
      </c>
      <c r="E20" s="59" t="str">
        <f ca="1">IFERROR(__xludf.DUMMYFUNCTION("""COMPUTED_VALUE"""),"Buddharaju Pragna")</f>
        <v>Buddharaju Pragna</v>
      </c>
      <c r="F20" s="59" t="str">
        <f ca="1">IFERROR(__xludf.DUMMYFUNCTION("""COMPUTED_VALUE"""),"18331A05H2")</f>
        <v>18331A05H2</v>
      </c>
      <c r="G20" s="59" t="str">
        <f ca="1">IFERROR(__xludf.DUMMYFUNCTION("""COMPUTED_VALUE"""),"TCS")</f>
        <v>TCS</v>
      </c>
      <c r="H20" s="70">
        <f ca="1">IFERROR(__xludf.DUMMYFUNCTION("""COMPUTED_VALUE"""),44748)</f>
        <v>44748</v>
      </c>
      <c r="I20" s="59" t="str">
        <f ca="1">IFERROR(__xludf.DUMMYFUNCTION("""COMPUTED_VALUE"""),"Not given")</f>
        <v>Not given</v>
      </c>
      <c r="J20" s="59">
        <f ca="1">IFERROR(__xludf.DUMMYFUNCTION("""COMPUTED_VALUE"""),3.36)</f>
        <v>3.36</v>
      </c>
      <c r="K20" s="71" t="str">
        <f ca="1">IFERROR(__xludf.DUMMYFUNCTION("""COMPUTED_VALUE"""),"https://drive.google.com/open?id=1dKrpoYYtE0hUM6zbt2JQ32HhCmpAw7eb")</f>
        <v>https://drive.google.com/open?id=1dKrpoYYtE0hUM6zbt2JQ32HhCmpAw7eb</v>
      </c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</row>
    <row r="21" spans="1:30" ht="28.5" customHeight="1" x14ac:dyDescent="0.15">
      <c r="A21" s="59" t="str">
        <f ca="1">IFERROR(__xludf.DUMMYFUNCTION("""COMPUTED_VALUE"""),"2018-2022")</f>
        <v>2018-2022</v>
      </c>
      <c r="B21" s="59" t="str">
        <f ca="1">IFERROR(__xludf.DUMMYFUNCTION("""COMPUTED_VALUE"""),"S18: Students Placements")</f>
        <v>S18: Students Placements</v>
      </c>
      <c r="C21" s="59" t="str">
        <f ca="1">IFERROR(__xludf.DUMMYFUNCTION("""COMPUTED_VALUE"""),"pragnabuddharaju@gmail.com")</f>
        <v>pragnabuddharaju@gmail.com</v>
      </c>
      <c r="D21" s="59" t="str">
        <f ca="1">IFERROR(__xludf.DUMMYFUNCTION("""COMPUTED_VALUE"""),"SEM-6")</f>
        <v>SEM-6</v>
      </c>
      <c r="E21" s="59" t="str">
        <f ca="1">IFERROR(__xludf.DUMMYFUNCTION("""COMPUTED_VALUE"""),"Buddharaju Pragna")</f>
        <v>Buddharaju Pragna</v>
      </c>
      <c r="F21" s="59" t="str">
        <f ca="1">IFERROR(__xludf.DUMMYFUNCTION("""COMPUTED_VALUE"""),"18331A05H2")</f>
        <v>18331A05H2</v>
      </c>
      <c r="G21" s="59" t="str">
        <f ca="1">IFERROR(__xludf.DUMMYFUNCTION("""COMPUTED_VALUE"""),"Capgemini")</f>
        <v>Capgemini</v>
      </c>
      <c r="H21" s="70">
        <f ca="1">IFERROR(__xludf.DUMMYFUNCTION("""COMPUTED_VALUE"""),44762)</f>
        <v>44762</v>
      </c>
      <c r="I21" s="59" t="str">
        <f ca="1">IFERROR(__xludf.DUMMYFUNCTION("""COMPUTED_VALUE"""),"Not given")</f>
        <v>Not given</v>
      </c>
      <c r="J21" s="59">
        <f ca="1">IFERROR(__xludf.DUMMYFUNCTION("""COMPUTED_VALUE"""),4)</f>
        <v>4</v>
      </c>
      <c r="K21" s="71" t="str">
        <f ca="1">IFERROR(__xludf.DUMMYFUNCTION("""COMPUTED_VALUE"""),"https://drive.google.com/open?id=11I6_ATL91tvllYsQB01c8ZC_aPNM__yt")</f>
        <v>https://drive.google.com/open?id=11I6_ATL91tvllYsQB01c8ZC_aPNM__yt</v>
      </c>
      <c r="L21" s="99"/>
      <c r="M21" s="99"/>
      <c r="N21" s="99"/>
      <c r="O21" s="99"/>
      <c r="P21" s="99"/>
      <c r="Q21" s="99"/>
      <c r="R21" s="99"/>
      <c r="S21" s="99"/>
      <c r="T21" s="99"/>
      <c r="U21" s="99"/>
      <c r="V21" s="99"/>
      <c r="W21" s="99"/>
      <c r="X21" s="99"/>
      <c r="Y21" s="99"/>
      <c r="Z21" s="99"/>
      <c r="AA21" s="99"/>
      <c r="AB21" s="99"/>
      <c r="AC21" s="99"/>
      <c r="AD21" s="99"/>
    </row>
    <row r="22" spans="1:30" ht="28.5" customHeight="1" x14ac:dyDescent="0.15">
      <c r="A22" s="59" t="str">
        <f ca="1">IFERROR(__xludf.DUMMYFUNCTION("""COMPUTED_VALUE"""),"2018-2022")</f>
        <v>2018-2022</v>
      </c>
      <c r="B22" s="59" t="str">
        <f ca="1">IFERROR(__xludf.DUMMYFUNCTION("""COMPUTED_VALUE"""),"S18: Students Placements")</f>
        <v>S18: Students Placements</v>
      </c>
      <c r="C22" s="59" t="str">
        <f ca="1">IFERROR(__xludf.DUMMYFUNCTION("""COMPUTED_VALUE"""),"sagigayathri02@gmail.com")</f>
        <v>sagigayathri02@gmail.com</v>
      </c>
      <c r="D22" s="59" t="str">
        <f ca="1">IFERROR(__xludf.DUMMYFUNCTION("""COMPUTED_VALUE"""),"SEM-8")</f>
        <v>SEM-8</v>
      </c>
      <c r="E22" s="59" t="str">
        <f ca="1">IFERROR(__xludf.DUMMYFUNCTION("""COMPUTED_VALUE"""),"Sagi Gayathri")</f>
        <v>Sagi Gayathri</v>
      </c>
      <c r="F22" s="59" t="str">
        <f ca="1">IFERROR(__xludf.DUMMYFUNCTION("""COMPUTED_VALUE"""),"18331A05C7")</f>
        <v>18331A05C7</v>
      </c>
      <c r="G22" s="59" t="str">
        <f ca="1">IFERROR(__xludf.DUMMYFUNCTION("""COMPUTED_VALUE"""),"Wipro")</f>
        <v>Wipro</v>
      </c>
      <c r="H22" s="70">
        <f ca="1">IFERROR(__xludf.DUMMYFUNCTION("""COMPUTED_VALUE"""),44656)</f>
        <v>44656</v>
      </c>
      <c r="I22" s="59" t="str">
        <f ca="1">IFERROR(__xludf.DUMMYFUNCTION("""COMPUTED_VALUE"""),"Not given")</f>
        <v>Not given</v>
      </c>
      <c r="J22" s="59">
        <f ca="1">IFERROR(__xludf.DUMMYFUNCTION("""COMPUTED_VALUE"""),3.5)</f>
        <v>3.5</v>
      </c>
      <c r="K22" s="71" t="str">
        <f ca="1">IFERROR(__xludf.DUMMYFUNCTION("""COMPUTED_VALUE"""),"https://drive.google.com/open?id=1WPQVCAEf6avo8QyVvfSh5zhD9uLCPNij")</f>
        <v>https://drive.google.com/open?id=1WPQVCAEf6avo8QyVvfSh5zhD9uLCPNij</v>
      </c>
      <c r="L22" s="99"/>
      <c r="M22" s="99"/>
      <c r="N22" s="99"/>
      <c r="O22" s="99"/>
      <c r="P22" s="99"/>
      <c r="Q22" s="99"/>
      <c r="R22" s="99"/>
      <c r="S22" s="99"/>
      <c r="T22" s="99"/>
      <c r="U22" s="99"/>
      <c r="V22" s="99"/>
      <c r="W22" s="99"/>
      <c r="X22" s="99"/>
      <c r="Y22" s="99"/>
      <c r="Z22" s="99"/>
      <c r="AA22" s="99"/>
      <c r="AB22" s="99"/>
      <c r="AC22" s="99"/>
      <c r="AD22" s="99"/>
    </row>
    <row r="23" spans="1:30" ht="28.5" customHeight="1" x14ac:dyDescent="0.15">
      <c r="A23" s="59" t="str">
        <f ca="1">IFERROR(__xludf.DUMMYFUNCTION("""COMPUTED_VALUE"""),"2018-2022")</f>
        <v>2018-2022</v>
      </c>
      <c r="B23" s="59" t="str">
        <f ca="1">IFERROR(__xludf.DUMMYFUNCTION("""COMPUTED_VALUE"""),"S18: Students Placements")</f>
        <v>S18: Students Placements</v>
      </c>
      <c r="C23" s="59" t="str">
        <f ca="1">IFERROR(__xludf.DUMMYFUNCTION("""COMPUTED_VALUE"""),"sureshkasi06@gmail.com")</f>
        <v>sureshkasi06@gmail.com</v>
      </c>
      <c r="D23" s="59" t="str">
        <f ca="1">IFERROR(__xludf.DUMMYFUNCTION("""COMPUTED_VALUE"""),"SEM-8")</f>
        <v>SEM-8</v>
      </c>
      <c r="E23" s="59" t="str">
        <f ca="1">IFERROR(__xludf.DUMMYFUNCTION("""COMPUTED_VALUE"""),"Kasi Suresh")</f>
        <v>Kasi Suresh</v>
      </c>
      <c r="F23" s="59" t="str">
        <f ca="1">IFERROR(__xludf.DUMMYFUNCTION("""COMPUTED_VALUE"""),"18331A0573")</f>
        <v>18331A0573</v>
      </c>
      <c r="G23" s="59" t="str">
        <f ca="1">IFERROR(__xludf.DUMMYFUNCTION("""COMPUTED_VALUE"""),"Wipro")</f>
        <v>Wipro</v>
      </c>
      <c r="H23" s="70">
        <f ca="1">IFERROR(__xludf.DUMMYFUNCTION("""COMPUTED_VALUE"""),44743)</f>
        <v>44743</v>
      </c>
      <c r="I23" s="59" t="str">
        <f ca="1">IFERROR(__xludf.DUMMYFUNCTION("""COMPUTED_VALUE"""),"Unknown")</f>
        <v>Unknown</v>
      </c>
      <c r="J23" s="59"/>
      <c r="K23" s="71" t="str">
        <f ca="1">IFERROR(__xludf.DUMMYFUNCTION("""COMPUTED_VALUE"""),"https://drive.google.com/open?id=1WqlqoKN7RCPaHZu3tKUP64aR1eTIIRms")</f>
        <v>https://drive.google.com/open?id=1WqlqoKN7RCPaHZu3tKUP64aR1eTIIRms</v>
      </c>
      <c r="L23" s="99"/>
      <c r="M23" s="99"/>
      <c r="N23" s="99"/>
      <c r="O23" s="99"/>
      <c r="P23" s="99"/>
      <c r="Q23" s="99"/>
      <c r="R23" s="99"/>
      <c r="S23" s="99"/>
      <c r="T23" s="99"/>
      <c r="U23" s="99"/>
      <c r="V23" s="99"/>
      <c r="W23" s="99"/>
      <c r="X23" s="99"/>
      <c r="Y23" s="99"/>
      <c r="Z23" s="99"/>
      <c r="AA23" s="99"/>
      <c r="AB23" s="99"/>
      <c r="AC23" s="99"/>
      <c r="AD23" s="99"/>
    </row>
    <row r="24" spans="1:30" ht="28.5" customHeight="1" x14ac:dyDescent="0.15">
      <c r="A24" s="59" t="str">
        <f ca="1">IFERROR(__xludf.DUMMYFUNCTION("""COMPUTED_VALUE"""),"2018-2022")</f>
        <v>2018-2022</v>
      </c>
      <c r="B24" s="59" t="str">
        <f ca="1">IFERROR(__xludf.DUMMYFUNCTION("""COMPUTED_VALUE"""),"S18: Students Placements")</f>
        <v>S18: Students Placements</v>
      </c>
      <c r="C24" s="59" t="str">
        <f ca="1">IFERROR(__xludf.DUMMYFUNCTION("""COMPUTED_VALUE"""),"sureshkasi06@gmail.com")</f>
        <v>sureshkasi06@gmail.com</v>
      </c>
      <c r="D24" s="59" t="str">
        <f ca="1">IFERROR(__xludf.DUMMYFUNCTION("""COMPUTED_VALUE"""),"SEM-8")</f>
        <v>SEM-8</v>
      </c>
      <c r="E24" s="59" t="str">
        <f ca="1">IFERROR(__xludf.DUMMYFUNCTION("""COMPUTED_VALUE"""),"Kasi Suresh")</f>
        <v>Kasi Suresh</v>
      </c>
      <c r="F24" s="59" t="str">
        <f ca="1">IFERROR(__xludf.DUMMYFUNCTION("""COMPUTED_VALUE"""),"18331A0573")</f>
        <v>18331A0573</v>
      </c>
      <c r="G24" s="59" t="str">
        <f ca="1">IFERROR(__xludf.DUMMYFUNCTION("""COMPUTED_VALUE"""),"Capgemini")</f>
        <v>Capgemini</v>
      </c>
      <c r="H24" s="70">
        <f ca="1">IFERROR(__xludf.DUMMYFUNCTION("""COMPUTED_VALUE"""),44743)</f>
        <v>44743</v>
      </c>
      <c r="I24" s="59" t="str">
        <f ca="1">IFERROR(__xludf.DUMMYFUNCTION("""COMPUTED_VALUE"""),"Unknown")</f>
        <v>Unknown</v>
      </c>
      <c r="J24" s="59"/>
      <c r="K24" s="71" t="str">
        <f ca="1">IFERROR(__xludf.DUMMYFUNCTION("""COMPUTED_VALUE"""),"https://drive.google.com/open?id=1mupstIOV7geibVsKyebzZh5v-A2TfVam")</f>
        <v>https://drive.google.com/open?id=1mupstIOV7geibVsKyebzZh5v-A2TfVam</v>
      </c>
      <c r="L24" s="99"/>
      <c r="M24" s="99"/>
      <c r="N24" s="99"/>
      <c r="O24" s="99"/>
      <c r="P24" s="99"/>
      <c r="Q24" s="99"/>
      <c r="R24" s="99"/>
      <c r="S24" s="99"/>
      <c r="T24" s="99"/>
      <c r="U24" s="99"/>
      <c r="V24" s="99"/>
      <c r="W24" s="99"/>
      <c r="X24" s="99"/>
      <c r="Y24" s="99"/>
      <c r="Z24" s="99"/>
      <c r="AA24" s="99"/>
      <c r="AB24" s="99"/>
      <c r="AC24" s="99"/>
      <c r="AD24" s="99"/>
    </row>
    <row r="25" spans="1:30" ht="28.5" customHeight="1" x14ac:dyDescent="0.15">
      <c r="A25" s="59" t="str">
        <f ca="1">IFERROR(__xludf.DUMMYFUNCTION("""COMPUTED_VALUE"""),"2018-2022")</f>
        <v>2018-2022</v>
      </c>
      <c r="B25" s="59" t="str">
        <f ca="1">IFERROR(__xludf.DUMMYFUNCTION("""COMPUTED_VALUE"""),"S18: Students Placements")</f>
        <v>S18: Students Placements</v>
      </c>
      <c r="C25" s="59" t="str">
        <f ca="1">IFERROR(__xludf.DUMMYFUNCTION("""COMPUTED_VALUE"""),"sharmilavattikulla@gmail.com")</f>
        <v>sharmilavattikulla@gmail.com</v>
      </c>
      <c r="D25" s="59" t="str">
        <f ca="1">IFERROR(__xludf.DUMMYFUNCTION("""COMPUTED_VALUE"""),"SEM-8")</f>
        <v>SEM-8</v>
      </c>
      <c r="E25" s="59" t="str">
        <f ca="1">IFERROR(__xludf.DUMMYFUNCTION("""COMPUTED_VALUE"""),"Vattikulla Sharmila")</f>
        <v>Vattikulla Sharmila</v>
      </c>
      <c r="F25" s="59" t="str">
        <f ca="1">IFERROR(__xludf.DUMMYFUNCTION("""COMPUTED_VALUE"""),"18331A05H8")</f>
        <v>18331A05H8</v>
      </c>
      <c r="G25" s="59" t="str">
        <f ca="1">IFERROR(__xludf.DUMMYFUNCTION("""COMPUTED_VALUE"""),"Wipro")</f>
        <v>Wipro</v>
      </c>
      <c r="H25" s="70">
        <f ca="1">IFERROR(__xludf.DUMMYFUNCTION("""COMPUTED_VALUE"""),44641)</f>
        <v>44641</v>
      </c>
      <c r="I25" s="59" t="str">
        <f ca="1">IFERROR(__xludf.DUMMYFUNCTION("""COMPUTED_VALUE"""),"Not yet known")</f>
        <v>Not yet known</v>
      </c>
      <c r="J25" s="59">
        <f ca="1">IFERROR(__xludf.DUMMYFUNCTION("""COMPUTED_VALUE"""),3.5)</f>
        <v>3.5</v>
      </c>
      <c r="K25" s="71" t="str">
        <f ca="1">IFERROR(__xludf.DUMMYFUNCTION("""COMPUTED_VALUE"""),"https://drive.google.com/open?id=1Sc50u7O2yN6wdOggs836WOqMRMciijHi")</f>
        <v>https://drive.google.com/open?id=1Sc50u7O2yN6wdOggs836WOqMRMciijHi</v>
      </c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99"/>
      <c r="X25" s="99"/>
      <c r="Y25" s="99"/>
      <c r="Z25" s="99"/>
      <c r="AA25" s="99"/>
      <c r="AB25" s="99"/>
      <c r="AC25" s="99"/>
      <c r="AD25" s="99"/>
    </row>
    <row r="26" spans="1:30" ht="28.5" customHeight="1" x14ac:dyDescent="0.15">
      <c r="A26" s="59" t="str">
        <f ca="1">IFERROR(__xludf.DUMMYFUNCTION("""COMPUTED_VALUE"""),"2018-2022")</f>
        <v>2018-2022</v>
      </c>
      <c r="B26" s="59" t="str">
        <f ca="1">IFERROR(__xludf.DUMMYFUNCTION("""COMPUTED_VALUE"""),"S18: Students Placements")</f>
        <v>S18: Students Placements</v>
      </c>
      <c r="C26" s="59" t="str">
        <f ca="1">IFERROR(__xludf.DUMMYFUNCTION("""COMPUTED_VALUE"""),"jamiharshini123@gmail.com")</f>
        <v>jamiharshini123@gmail.com</v>
      </c>
      <c r="D26" s="59" t="str">
        <f ca="1">IFERROR(__xludf.DUMMYFUNCTION("""COMPUTED_VALUE"""),"SEM-8")</f>
        <v>SEM-8</v>
      </c>
      <c r="E26" s="59" t="str">
        <f ca="1">IFERROR(__xludf.DUMMYFUNCTION("""COMPUTED_VALUE"""),"Jami Harshini")</f>
        <v>Jami Harshini</v>
      </c>
      <c r="F26" s="59" t="str">
        <f ca="1">IFERROR(__xludf.DUMMYFUNCTION("""COMPUTED_VALUE"""),"18331A0560")</f>
        <v>18331A0560</v>
      </c>
      <c r="G26" s="59" t="str">
        <f ca="1">IFERROR(__xludf.DUMMYFUNCTION("""COMPUTED_VALUE"""),"TCS")</f>
        <v>TCS</v>
      </c>
      <c r="H26" s="70">
        <f ca="1">IFERROR(__xludf.DUMMYFUNCTION("""COMPUTED_VALUE"""),44717)</f>
        <v>44717</v>
      </c>
      <c r="I26" s="59" t="str">
        <f ca="1">IFERROR(__xludf.DUMMYFUNCTION("""COMPUTED_VALUE"""),"Hyderabad")</f>
        <v>Hyderabad</v>
      </c>
      <c r="J26" s="59"/>
      <c r="K26" s="71" t="str">
        <f ca="1">IFERROR(__xludf.DUMMYFUNCTION("""COMPUTED_VALUE"""),"https://drive.google.com/open?id=1ygSpxfiwRrg2HFxEQJvY4dUJ1FceX5cU")</f>
        <v>https://drive.google.com/open?id=1ygSpxfiwRrg2HFxEQJvY4dUJ1FceX5cU</v>
      </c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</row>
    <row r="27" spans="1:30" ht="28.5" customHeight="1" x14ac:dyDescent="0.15">
      <c r="A27" s="59" t="str">
        <f ca="1">IFERROR(__xludf.DUMMYFUNCTION("""COMPUTED_VALUE"""),"2018-2022")</f>
        <v>2018-2022</v>
      </c>
      <c r="B27" s="59" t="str">
        <f ca="1">IFERROR(__xludf.DUMMYFUNCTION("""COMPUTED_VALUE"""),"S18: Students Placements")</f>
        <v>S18: Students Placements</v>
      </c>
      <c r="C27" s="59" t="str">
        <f ca="1">IFERROR(__xludf.DUMMYFUNCTION("""COMPUTED_VALUE"""),"jamiharshini123@gmail.com")</f>
        <v>jamiharshini123@gmail.com</v>
      </c>
      <c r="D27" s="59" t="str">
        <f ca="1">IFERROR(__xludf.DUMMYFUNCTION("""COMPUTED_VALUE"""),"SEM-8")</f>
        <v>SEM-8</v>
      </c>
      <c r="E27" s="59" t="str">
        <f ca="1">IFERROR(__xludf.DUMMYFUNCTION("""COMPUTED_VALUE"""),"Jami Harshini")</f>
        <v>Jami Harshini</v>
      </c>
      <c r="F27" s="59" t="str">
        <f ca="1">IFERROR(__xludf.DUMMYFUNCTION("""COMPUTED_VALUE"""),"18331A0560")</f>
        <v>18331A0560</v>
      </c>
      <c r="G27" s="59" t="str">
        <f ca="1">IFERROR(__xludf.DUMMYFUNCTION("""COMPUTED_VALUE"""),"Infrasoft")</f>
        <v>Infrasoft</v>
      </c>
      <c r="H27" s="70">
        <f ca="1">IFERROR(__xludf.DUMMYFUNCTION("""COMPUTED_VALUE"""),44727)</f>
        <v>44727</v>
      </c>
      <c r="I27" s="59" t="str">
        <f ca="1">IFERROR(__xludf.DUMMYFUNCTION("""COMPUTED_VALUE"""),"Chennai")</f>
        <v>Chennai</v>
      </c>
      <c r="J27" s="59"/>
      <c r="K27" s="71" t="str">
        <f ca="1">IFERROR(__xludf.DUMMYFUNCTION("""COMPUTED_VALUE"""),"https://drive.google.com/open?id=1b_sBzr_AVYvGHgUPUw4RBFGXzGbjNYxw")</f>
        <v>https://drive.google.com/open?id=1b_sBzr_AVYvGHgUPUw4RBFGXzGbjNYxw</v>
      </c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</row>
    <row r="28" spans="1:30" ht="28.5" customHeight="1" x14ac:dyDescent="0.15">
      <c r="A28" s="59" t="str">
        <f ca="1">IFERROR(__xludf.DUMMYFUNCTION("""COMPUTED_VALUE"""),"2018-2022")</f>
        <v>2018-2022</v>
      </c>
      <c r="B28" s="59" t="str">
        <f ca="1">IFERROR(__xludf.DUMMYFUNCTION("""COMPUTED_VALUE"""),"S18: Students Placements")</f>
        <v>S18: Students Placements</v>
      </c>
      <c r="C28" s="59" t="str">
        <f ca="1">IFERROR(__xludf.DUMMYFUNCTION("""COMPUTED_VALUE"""),"ranjeetgara123@gmail.com")</f>
        <v>ranjeetgara123@gmail.com</v>
      </c>
      <c r="D28" s="59" t="str">
        <f ca="1">IFERROR(__xludf.DUMMYFUNCTION("""COMPUTED_VALUE"""),"SEM-8")</f>
        <v>SEM-8</v>
      </c>
      <c r="E28" s="59" t="str">
        <f ca="1">IFERROR(__xludf.DUMMYFUNCTION("""COMPUTED_VALUE"""),"Gara Ranjeet")</f>
        <v>Gara Ranjeet</v>
      </c>
      <c r="F28" s="59" t="str">
        <f ca="1">IFERROR(__xludf.DUMMYFUNCTION("""COMPUTED_VALUE"""),"18331A0544")</f>
        <v>18331A0544</v>
      </c>
      <c r="G28" s="59" t="str">
        <f ca="1">IFERROR(__xludf.DUMMYFUNCTION("""COMPUTED_VALUE"""),"Trn Digital")</f>
        <v>Trn Digital</v>
      </c>
      <c r="H28" s="70">
        <f ca="1">IFERROR(__xludf.DUMMYFUNCTION("""COMPUTED_VALUE"""),44743)</f>
        <v>44743</v>
      </c>
      <c r="I28" s="59" t="str">
        <f ca="1">IFERROR(__xludf.DUMMYFUNCTION("""COMPUTED_VALUE"""),"Bengulur")</f>
        <v>Bengulur</v>
      </c>
      <c r="J28" s="59"/>
      <c r="K28" s="71" t="str">
        <f ca="1">IFERROR(__xludf.DUMMYFUNCTION("""COMPUTED_VALUE"""),"https://drive.google.com/open?id=1nZEMt24baX0onTXz2Liyrd92-XxHFnF0")</f>
        <v>https://drive.google.com/open?id=1nZEMt24baX0onTXz2Liyrd92-XxHFnF0</v>
      </c>
      <c r="L28" s="99"/>
      <c r="M28" s="99"/>
      <c r="N28" s="99"/>
      <c r="O28" s="99"/>
      <c r="P28" s="99"/>
      <c r="Q28" s="99"/>
      <c r="R28" s="99"/>
      <c r="S28" s="99"/>
      <c r="T28" s="99"/>
      <c r="U28" s="99"/>
      <c r="V28" s="99"/>
      <c r="W28" s="99"/>
      <c r="X28" s="99"/>
      <c r="Y28" s="99"/>
      <c r="Z28" s="99"/>
      <c r="AA28" s="99"/>
      <c r="AB28" s="99"/>
      <c r="AC28" s="99"/>
      <c r="AD28" s="99"/>
    </row>
    <row r="29" spans="1:30" ht="28.5" customHeight="1" x14ac:dyDescent="0.15">
      <c r="A29" s="59" t="str">
        <f ca="1">IFERROR(__xludf.DUMMYFUNCTION("""COMPUTED_VALUE"""),"2018-2022")</f>
        <v>2018-2022</v>
      </c>
      <c r="B29" s="59" t="str">
        <f ca="1">IFERROR(__xludf.DUMMYFUNCTION("""COMPUTED_VALUE"""),"S18: Students Placements")</f>
        <v>S18: Students Placements</v>
      </c>
      <c r="C29" s="59" t="str">
        <f ca="1">IFERROR(__xludf.DUMMYFUNCTION("""COMPUTED_VALUE"""),"prasunamedi5@gmail.com")</f>
        <v>prasunamedi5@gmail.com</v>
      </c>
      <c r="D29" s="59" t="str">
        <f ca="1">IFERROR(__xludf.DUMMYFUNCTION("""COMPUTED_VALUE"""),"SEM-8")</f>
        <v>SEM-8</v>
      </c>
      <c r="E29" s="59" t="str">
        <f ca="1">IFERROR(__xludf.DUMMYFUNCTION("""COMPUTED_VALUE"""),"Medi Prasuna")</f>
        <v>Medi Prasuna</v>
      </c>
      <c r="F29" s="59" t="str">
        <f ca="1">IFERROR(__xludf.DUMMYFUNCTION("""COMPUTED_VALUE"""),"18331A0596")</f>
        <v>18331A0596</v>
      </c>
      <c r="G29" s="59" t="str">
        <f ca="1">IFERROR(__xludf.DUMMYFUNCTION("""COMPUTED_VALUE"""),"Nineleaps")</f>
        <v>Nineleaps</v>
      </c>
      <c r="H29" s="70">
        <f ca="1">IFERROR(__xludf.DUMMYFUNCTION("""COMPUTED_VALUE"""),44578)</f>
        <v>44578</v>
      </c>
      <c r="I29" s="59" t="str">
        <f ca="1">IFERROR(__xludf.DUMMYFUNCTION("""COMPUTED_VALUE"""),"Bangalore")</f>
        <v>Bangalore</v>
      </c>
      <c r="J29" s="59"/>
      <c r="K29" s="71" t="str">
        <f ca="1">IFERROR(__xludf.DUMMYFUNCTION("""COMPUTED_VALUE"""),"https://drive.google.com/open?id=1KuNBmpMZS_uA0_73kYuTsGnKJkSaxJNR")</f>
        <v>https://drive.google.com/open?id=1KuNBmpMZS_uA0_73kYuTsGnKJkSaxJNR</v>
      </c>
      <c r="L29" s="99"/>
      <c r="M29" s="99"/>
      <c r="N29" s="99"/>
      <c r="O29" s="99"/>
      <c r="P29" s="99"/>
      <c r="Q29" s="99"/>
      <c r="R29" s="99"/>
      <c r="S29" s="99"/>
      <c r="T29" s="99"/>
      <c r="U29" s="99"/>
      <c r="V29" s="99"/>
      <c r="W29" s="99"/>
      <c r="X29" s="99"/>
      <c r="Y29" s="99"/>
      <c r="Z29" s="99"/>
      <c r="AA29" s="99"/>
      <c r="AB29" s="99"/>
      <c r="AC29" s="99"/>
      <c r="AD29" s="99"/>
    </row>
    <row r="30" spans="1:30" ht="28.5" customHeight="1" x14ac:dyDescent="0.15">
      <c r="A30" s="59" t="str">
        <f ca="1">IFERROR(__xludf.DUMMYFUNCTION("""COMPUTED_VALUE"""),"2018-2022")</f>
        <v>2018-2022</v>
      </c>
      <c r="B30" s="59" t="str">
        <f ca="1">IFERROR(__xludf.DUMMYFUNCTION("""COMPUTED_VALUE"""),"S18: Students Placements")</f>
        <v>S18: Students Placements</v>
      </c>
      <c r="C30" s="59" t="str">
        <f ca="1">IFERROR(__xludf.DUMMYFUNCTION("""COMPUTED_VALUE"""),"haneefleo10@gmail.com")</f>
        <v>haneefleo10@gmail.com</v>
      </c>
      <c r="D30" s="59" t="str">
        <f ca="1">IFERROR(__xludf.DUMMYFUNCTION("""COMPUTED_VALUE"""),"SEM-8")</f>
        <v>SEM-8</v>
      </c>
      <c r="E30" s="59" t="str">
        <f ca="1">IFERROR(__xludf.DUMMYFUNCTION("""COMPUTED_VALUE"""),"mohammad riyazul haneef sharief")</f>
        <v>mohammad riyazul haneef sharief</v>
      </c>
      <c r="F30" s="59" t="str">
        <f ca="1">IFERROR(__xludf.DUMMYFUNCTION("""COMPUTED_VALUE"""),"18331A05H6")</f>
        <v>18331A05H6</v>
      </c>
      <c r="G30" s="59" t="str">
        <f ca="1">IFERROR(__xludf.DUMMYFUNCTION("""COMPUTED_VALUE"""),"wipro")</f>
        <v>wipro</v>
      </c>
      <c r="H30" s="70">
        <f ca="1">IFERROR(__xludf.DUMMYFUNCTION("""COMPUTED_VALUE"""),44641)</f>
        <v>44641</v>
      </c>
      <c r="I30" s="59" t="str">
        <f ca="1">IFERROR(__xludf.DUMMYFUNCTION("""COMPUTED_VALUE"""),"hyderabad")</f>
        <v>hyderabad</v>
      </c>
      <c r="J30" s="59">
        <f ca="1">IFERROR(__xludf.DUMMYFUNCTION("""COMPUTED_VALUE"""),3.5)</f>
        <v>3.5</v>
      </c>
      <c r="K30" s="71" t="str">
        <f ca="1">IFERROR(__xludf.DUMMYFUNCTION("""COMPUTED_VALUE"""),"https://drive.google.com/open?id=1hBqV4sg4Pw3O_UkYZNPEOc25dVaFCQ2c")</f>
        <v>https://drive.google.com/open?id=1hBqV4sg4Pw3O_UkYZNPEOc25dVaFCQ2c</v>
      </c>
      <c r="L30" s="99"/>
      <c r="M30" s="99"/>
      <c r="N30" s="99"/>
      <c r="O30" s="99"/>
      <c r="P30" s="99"/>
      <c r="Q30" s="99"/>
      <c r="R30" s="99"/>
      <c r="S30" s="99"/>
      <c r="T30" s="99"/>
      <c r="U30" s="99"/>
      <c r="V30" s="99"/>
      <c r="W30" s="99"/>
      <c r="X30" s="99"/>
      <c r="Y30" s="99"/>
      <c r="Z30" s="99"/>
      <c r="AA30" s="99"/>
      <c r="AB30" s="99"/>
      <c r="AC30" s="99"/>
      <c r="AD30" s="99"/>
    </row>
    <row r="31" spans="1:30" ht="28.5" customHeight="1" x14ac:dyDescent="0.15">
      <c r="A31" s="59" t="str">
        <f ca="1">IFERROR(__xludf.DUMMYFUNCTION("""COMPUTED_VALUE"""),"2018-2022")</f>
        <v>2018-2022</v>
      </c>
      <c r="B31" s="59" t="str">
        <f ca="1">IFERROR(__xludf.DUMMYFUNCTION("""COMPUTED_VALUE"""),"S18: Students Placements")</f>
        <v>S18: Students Placements</v>
      </c>
      <c r="C31" s="59" t="str">
        <f ca="1">IFERROR(__xludf.DUMMYFUNCTION("""COMPUTED_VALUE"""),"haneefleo10@gmail.com")</f>
        <v>haneefleo10@gmail.com</v>
      </c>
      <c r="D31" s="59" t="str">
        <f ca="1">IFERROR(__xludf.DUMMYFUNCTION("""COMPUTED_VALUE"""),"SEM-8")</f>
        <v>SEM-8</v>
      </c>
      <c r="E31" s="59" t="str">
        <f ca="1">IFERROR(__xludf.DUMMYFUNCTION("""COMPUTED_VALUE"""),"mohammad riyazul haneef sharief")</f>
        <v>mohammad riyazul haneef sharief</v>
      </c>
      <c r="F31" s="59" t="str">
        <f ca="1">IFERROR(__xludf.DUMMYFUNCTION("""COMPUTED_VALUE"""),"18331A05H6")</f>
        <v>18331A05H6</v>
      </c>
      <c r="G31" s="59" t="str">
        <f ca="1">IFERROR(__xludf.DUMMYFUNCTION("""COMPUTED_VALUE"""),"wipro")</f>
        <v>wipro</v>
      </c>
      <c r="H31" s="70">
        <f ca="1">IFERROR(__xludf.DUMMYFUNCTION("""COMPUTED_VALUE"""),44642)</f>
        <v>44642</v>
      </c>
      <c r="I31" s="59" t="str">
        <f ca="1">IFERROR(__xludf.DUMMYFUNCTION("""COMPUTED_VALUE"""),"hyderabad")</f>
        <v>hyderabad</v>
      </c>
      <c r="J31" s="59">
        <f ca="1">IFERROR(__xludf.DUMMYFUNCTION("""COMPUTED_VALUE"""),3.6)</f>
        <v>3.6</v>
      </c>
      <c r="K31" s="71" t="str">
        <f ca="1">IFERROR(__xludf.DUMMYFUNCTION("""COMPUTED_VALUE"""),"https://drive.google.com/open?id=12IpAFvbUR9zj0mziUqWU7AgiiGFeWJDn")</f>
        <v>https://drive.google.com/open?id=12IpAFvbUR9zj0mziUqWU7AgiiGFeWJDn</v>
      </c>
      <c r="L31" s="99"/>
      <c r="M31" s="99"/>
      <c r="N31" s="99"/>
      <c r="O31" s="99"/>
      <c r="P31" s="99"/>
      <c r="Q31" s="99"/>
      <c r="R31" s="99"/>
      <c r="S31" s="99"/>
      <c r="T31" s="99"/>
      <c r="U31" s="99"/>
      <c r="V31" s="99"/>
      <c r="W31" s="99"/>
      <c r="X31" s="99"/>
      <c r="Y31" s="99"/>
      <c r="Z31" s="99"/>
      <c r="AA31" s="99"/>
      <c r="AB31" s="99"/>
      <c r="AC31" s="99"/>
      <c r="AD31" s="99"/>
    </row>
    <row r="32" spans="1:30" ht="28.5" customHeight="1" x14ac:dyDescent="0.15">
      <c r="A32" s="59" t="str">
        <f ca="1">IFERROR(__xludf.DUMMYFUNCTION("""COMPUTED_VALUE"""),"2018-2022")</f>
        <v>2018-2022</v>
      </c>
      <c r="B32" s="59" t="str">
        <f ca="1">IFERROR(__xludf.DUMMYFUNCTION("""COMPUTED_VALUE"""),"S18: Students Placements")</f>
        <v>S18: Students Placements</v>
      </c>
      <c r="C32" s="59" t="str">
        <f ca="1">IFERROR(__xludf.DUMMYFUNCTION("""COMPUTED_VALUE"""),"manojvarmaaa13@gmail.com")</f>
        <v>manojvarmaaa13@gmail.com</v>
      </c>
      <c r="D32" s="59" t="str">
        <f ca="1">IFERROR(__xludf.DUMMYFUNCTION("""COMPUTED_VALUE"""),"SEM-8")</f>
        <v>SEM-8</v>
      </c>
      <c r="E32" s="59" t="str">
        <f ca="1">IFERROR(__xludf.DUMMYFUNCTION("""COMPUTED_VALUE"""),"Manoj varma sagi")</f>
        <v>Manoj varma sagi</v>
      </c>
      <c r="F32" s="59" t="str">
        <f ca="1">IFERROR(__xludf.DUMMYFUNCTION("""COMPUTED_VALUE"""),"18331A05C8")</f>
        <v>18331A05C8</v>
      </c>
      <c r="G32" s="59" t="str">
        <f ca="1">IFERROR(__xludf.DUMMYFUNCTION("""COMPUTED_VALUE"""),"Revature")</f>
        <v>Revature</v>
      </c>
      <c r="H32" s="70">
        <f ca="1">IFERROR(__xludf.DUMMYFUNCTION("""COMPUTED_VALUE"""),44705)</f>
        <v>44705</v>
      </c>
      <c r="I32" s="59" t="str">
        <f ca="1">IFERROR(__xludf.DUMMYFUNCTION("""COMPUTED_VALUE"""),"Chennai")</f>
        <v>Chennai</v>
      </c>
      <c r="J32" s="59"/>
      <c r="K32" s="71" t="str">
        <f ca="1">IFERROR(__xludf.DUMMYFUNCTION("""COMPUTED_VALUE"""),"https://drive.google.com/open?id=18CSIBf0DwDGccDZjuZgC5i44VXJQgrE0")</f>
        <v>https://drive.google.com/open?id=18CSIBf0DwDGccDZjuZgC5i44VXJQgrE0</v>
      </c>
      <c r="L32" s="99"/>
      <c r="M32" s="99"/>
      <c r="N32" s="99"/>
      <c r="O32" s="99"/>
      <c r="P32" s="99"/>
      <c r="Q32" s="99"/>
      <c r="R32" s="99"/>
      <c r="S32" s="99"/>
      <c r="T32" s="99"/>
      <c r="U32" s="99"/>
      <c r="V32" s="99"/>
      <c r="W32" s="99"/>
      <c r="X32" s="99"/>
      <c r="Y32" s="99"/>
      <c r="Z32" s="99"/>
      <c r="AA32" s="99"/>
      <c r="AB32" s="99"/>
      <c r="AC32" s="99"/>
      <c r="AD32" s="99"/>
    </row>
    <row r="33" spans="1:30" ht="28.5" customHeight="1" x14ac:dyDescent="0.15">
      <c r="A33" s="59" t="str">
        <f ca="1">IFERROR(__xludf.DUMMYFUNCTION("""COMPUTED_VALUE"""),"2018-2022")</f>
        <v>2018-2022</v>
      </c>
      <c r="B33" s="59" t="str">
        <f ca="1">IFERROR(__xludf.DUMMYFUNCTION("""COMPUTED_VALUE"""),"S18: Students Placements")</f>
        <v>S18: Students Placements</v>
      </c>
      <c r="C33" s="59" t="str">
        <f ca="1">IFERROR(__xludf.DUMMYFUNCTION("""COMPUTED_VALUE"""),"pratyukuppili2001@gmail.com")</f>
        <v>pratyukuppili2001@gmail.com</v>
      </c>
      <c r="D33" s="59" t="str">
        <f ca="1">IFERROR(__xludf.DUMMYFUNCTION("""COMPUTED_VALUE"""),"SEM-8")</f>
        <v>SEM-8</v>
      </c>
      <c r="E33" s="59" t="str">
        <f ca="1">IFERROR(__xludf.DUMMYFUNCTION("""COMPUTED_VALUE"""),"Kuppili Pratyusha")</f>
        <v>Kuppili Pratyusha</v>
      </c>
      <c r="F33" s="59" t="str">
        <f ca="1">IFERROR(__xludf.DUMMYFUNCTION("""COMPUTED_VALUE"""),"18331A0583")</f>
        <v>18331A0583</v>
      </c>
      <c r="G33" s="59" t="str">
        <f ca="1">IFERROR(__xludf.DUMMYFUNCTION("""COMPUTED_VALUE"""),"Wipro")</f>
        <v>Wipro</v>
      </c>
      <c r="H33" s="70">
        <f ca="1">IFERROR(__xludf.DUMMYFUNCTION("""COMPUTED_VALUE"""),44718)</f>
        <v>44718</v>
      </c>
      <c r="I33" s="59" t="str">
        <f ca="1">IFERROR(__xludf.DUMMYFUNCTION("""COMPUTED_VALUE"""),"NA")</f>
        <v>NA</v>
      </c>
      <c r="J33" s="59">
        <f ca="1">IFERROR(__xludf.DUMMYFUNCTION("""COMPUTED_VALUE"""),3.5)</f>
        <v>3.5</v>
      </c>
      <c r="K33" s="71" t="str">
        <f ca="1">IFERROR(__xludf.DUMMYFUNCTION("""COMPUTED_VALUE"""),"https://drive.google.com/open?id=1xnS1kpvZ4yuMLZLTiAlOP-A_y-Vyza1i")</f>
        <v>https://drive.google.com/open?id=1xnS1kpvZ4yuMLZLTiAlOP-A_y-Vyza1i</v>
      </c>
      <c r="L33" s="99"/>
      <c r="M33" s="99"/>
      <c r="N33" s="99"/>
      <c r="O33" s="99"/>
      <c r="P33" s="99"/>
      <c r="Q33" s="99"/>
      <c r="R33" s="99"/>
      <c r="S33" s="99"/>
      <c r="T33" s="99"/>
      <c r="U33" s="99"/>
      <c r="V33" s="99"/>
      <c r="W33" s="99"/>
      <c r="X33" s="99"/>
      <c r="Y33" s="99"/>
      <c r="Z33" s="99"/>
      <c r="AA33" s="99"/>
      <c r="AB33" s="99"/>
      <c r="AC33" s="99"/>
      <c r="AD33" s="99"/>
    </row>
    <row r="34" spans="1:30" ht="28.5" customHeight="1" x14ac:dyDescent="0.15">
      <c r="A34" s="59" t="str">
        <f ca="1">IFERROR(__xludf.DUMMYFUNCTION("""COMPUTED_VALUE"""),"2018-2022")</f>
        <v>2018-2022</v>
      </c>
      <c r="B34" s="59" t="str">
        <f ca="1">IFERROR(__xludf.DUMMYFUNCTION("""COMPUTED_VALUE"""),"S18: Students Placements")</f>
        <v>S18: Students Placements</v>
      </c>
      <c r="C34" s="59" t="str">
        <f ca="1">IFERROR(__xludf.DUMMYFUNCTION("""COMPUTED_VALUE"""),"sumitha.donthamsetti@gmail.com")</f>
        <v>sumitha.donthamsetti@gmail.com</v>
      </c>
      <c r="D34" s="59" t="str">
        <f ca="1">IFERROR(__xludf.DUMMYFUNCTION("""COMPUTED_VALUE"""),"SEM-4")</f>
        <v>SEM-4</v>
      </c>
      <c r="E34" s="59" t="str">
        <f ca="1">IFERROR(__xludf.DUMMYFUNCTION("""COMPUTED_VALUE"""),"Donthamsetti Sumitha")</f>
        <v>Donthamsetti Sumitha</v>
      </c>
      <c r="F34" s="59" t="str">
        <f ca="1">IFERROR(__xludf.DUMMYFUNCTION("""COMPUTED_VALUE"""),"18331A0535")</f>
        <v>18331A0535</v>
      </c>
      <c r="G34" s="59" t="str">
        <f ca="1">IFERROR(__xludf.DUMMYFUNCTION("""COMPUTED_VALUE"""),"Capgemini")</f>
        <v>Capgemini</v>
      </c>
      <c r="H34" s="70">
        <f ca="1">IFERROR(__xludf.DUMMYFUNCTION("""COMPUTED_VALUE"""),44715)</f>
        <v>44715</v>
      </c>
      <c r="I34" s="59" t="str">
        <f ca="1">IFERROR(__xludf.DUMMYFUNCTION("""COMPUTED_VALUE"""),"Hyderabad")</f>
        <v>Hyderabad</v>
      </c>
      <c r="J34" s="59"/>
      <c r="K34" s="71" t="str">
        <f ca="1">IFERROR(__xludf.DUMMYFUNCTION("""COMPUTED_VALUE"""),"https://drive.google.com/open?id=1kI4PwakFQ2t4yeEjeLQQ1x8M8NSXTHlj")</f>
        <v>https://drive.google.com/open?id=1kI4PwakFQ2t4yeEjeLQQ1x8M8NSXTHlj</v>
      </c>
      <c r="L34" s="99"/>
      <c r="M34" s="99"/>
      <c r="N34" s="99"/>
      <c r="O34" s="99"/>
      <c r="P34" s="99"/>
      <c r="Q34" s="99"/>
      <c r="R34" s="99"/>
      <c r="S34" s="99"/>
      <c r="T34" s="99"/>
      <c r="U34" s="99"/>
      <c r="V34" s="99"/>
      <c r="W34" s="99"/>
      <c r="X34" s="99"/>
      <c r="Y34" s="99"/>
      <c r="Z34" s="99"/>
      <c r="AA34" s="99"/>
      <c r="AB34" s="99"/>
      <c r="AC34" s="99"/>
      <c r="AD34" s="99"/>
    </row>
    <row r="35" spans="1:30" ht="28.5" customHeight="1" x14ac:dyDescent="0.15">
      <c r="A35" s="66" t="str">
        <f ca="1">IFERROR(__xludf.DUMMYFUNCTION("""COMPUTED_VALUE"""),"2018-2022")</f>
        <v>2018-2022</v>
      </c>
      <c r="B35" s="66" t="str">
        <f ca="1">IFERROR(__xludf.DUMMYFUNCTION("""COMPUTED_VALUE"""),"S18: Students Placements")</f>
        <v>S18: Students Placements</v>
      </c>
      <c r="C35" s="66" t="str">
        <f ca="1">IFERROR(__xludf.DUMMYFUNCTION("""COMPUTED_VALUE"""),"sachinvenkyindian@gmail.com")</f>
        <v>sachinvenkyindian@gmail.com</v>
      </c>
      <c r="D35" s="66" t="str">
        <f ca="1">IFERROR(__xludf.DUMMYFUNCTION("""COMPUTED_VALUE"""),"SEM-8")</f>
        <v>SEM-8</v>
      </c>
      <c r="E35" s="66" t="str">
        <f ca="1">IFERROR(__xludf.DUMMYFUNCTION("""COMPUTED_VALUE"""),"Bevara Venkatesh ")</f>
        <v xml:space="preserve">Bevara Venkatesh </v>
      </c>
      <c r="F35" s="66" t="str">
        <f ca="1">IFERROR(__xludf.DUMMYFUNCTION("""COMPUTED_VALUE"""),"18331A0513")</f>
        <v>18331A0513</v>
      </c>
      <c r="G35" s="66" t="str">
        <f ca="1">IFERROR(__xludf.DUMMYFUNCTION("""COMPUTED_VALUE"""),"Mindtree")</f>
        <v>Mindtree</v>
      </c>
      <c r="H35" s="67">
        <f ca="1">IFERROR(__xludf.DUMMYFUNCTION("""COMPUTED_VALUE"""),44662)</f>
        <v>44662</v>
      </c>
      <c r="I35" s="66" t="str">
        <f ca="1">IFERROR(__xludf.DUMMYFUNCTION("""COMPUTED_VALUE"""),"Dont know")</f>
        <v>Dont know</v>
      </c>
      <c r="J35" s="66"/>
      <c r="K35" s="68" t="str">
        <f ca="1">IFERROR(__xludf.DUMMYFUNCTION("""COMPUTED_VALUE"""),"https://drive.google.com/open?id=1SzwVma1bvQzySAMcnIUyR86UB4_jEDZx")</f>
        <v>https://drive.google.com/open?id=1SzwVma1bvQzySAMcnIUyR86UB4_jEDZx</v>
      </c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</row>
    <row r="36" spans="1:30" ht="28.5" customHeight="1" x14ac:dyDescent="0.15">
      <c r="A36" s="59" t="str">
        <f ca="1">IFERROR(__xludf.DUMMYFUNCTION("""COMPUTED_VALUE"""),"2018-2022")</f>
        <v>2018-2022</v>
      </c>
      <c r="B36" s="59" t="str">
        <f ca="1">IFERROR(__xludf.DUMMYFUNCTION("""COMPUTED_VALUE"""),"S18: Students Placements")</f>
        <v>S18: Students Placements</v>
      </c>
      <c r="C36" s="59" t="str">
        <f ca="1">IFERROR(__xludf.DUMMYFUNCTION("""COMPUTED_VALUE"""),"sachinvenkyindian@gmail.com")</f>
        <v>sachinvenkyindian@gmail.com</v>
      </c>
      <c r="D36" s="59" t="str">
        <f ca="1">IFERROR(__xludf.DUMMYFUNCTION("""COMPUTED_VALUE"""),"SEM-8")</f>
        <v>SEM-8</v>
      </c>
      <c r="E36" s="59" t="str">
        <f ca="1">IFERROR(__xludf.DUMMYFUNCTION("""COMPUTED_VALUE"""),"Bevara Venkatesh ")</f>
        <v xml:space="preserve">Bevara Venkatesh </v>
      </c>
      <c r="F36" s="59" t="str">
        <f ca="1">IFERROR(__xludf.DUMMYFUNCTION("""COMPUTED_VALUE"""),"18331A0513")</f>
        <v>18331A0513</v>
      </c>
      <c r="G36" s="59" t="str">
        <f ca="1">IFERROR(__xludf.DUMMYFUNCTION("""COMPUTED_VALUE"""),"Capgemini ")</f>
        <v xml:space="preserve">Capgemini </v>
      </c>
      <c r="H36" s="70">
        <f ca="1">IFERROR(__xludf.DUMMYFUNCTION("""COMPUTED_VALUE"""),44662)</f>
        <v>44662</v>
      </c>
      <c r="I36" s="59" t="str">
        <f ca="1">IFERROR(__xludf.DUMMYFUNCTION("""COMPUTED_VALUE"""),"Dont know")</f>
        <v>Dont know</v>
      </c>
      <c r="J36" s="59"/>
      <c r="K36" s="71" t="str">
        <f ca="1">IFERROR(__xludf.DUMMYFUNCTION("""COMPUTED_VALUE"""),"https://drive.google.com/open?id=1xh-6CUN_jqOL7YsUT-Wu8T20JJbUj-UT")</f>
        <v>https://drive.google.com/open?id=1xh-6CUN_jqOL7YsUT-Wu8T20JJbUj-UT</v>
      </c>
      <c r="L36" s="99"/>
      <c r="M36" s="99"/>
      <c r="N36" s="99"/>
      <c r="O36" s="99"/>
      <c r="P36" s="99"/>
      <c r="Q36" s="99"/>
      <c r="R36" s="99"/>
      <c r="S36" s="99"/>
      <c r="T36" s="99"/>
      <c r="U36" s="99"/>
      <c r="V36" s="99"/>
      <c r="W36" s="99"/>
      <c r="X36" s="99"/>
      <c r="Y36" s="99"/>
      <c r="Z36" s="99"/>
      <c r="AA36" s="99"/>
      <c r="AB36" s="99"/>
      <c r="AC36" s="99"/>
      <c r="AD36" s="99"/>
    </row>
    <row r="37" spans="1:30" ht="28.5" customHeight="1" x14ac:dyDescent="0.15">
      <c r="A37" s="59" t="str">
        <f ca="1">IFERROR(__xludf.DUMMYFUNCTION("""COMPUTED_VALUE"""),"2018-2022")</f>
        <v>2018-2022</v>
      </c>
      <c r="B37" s="59" t="str">
        <f ca="1">IFERROR(__xludf.DUMMYFUNCTION("""COMPUTED_VALUE"""),"S18: Students Placements")</f>
        <v>S18: Students Placements</v>
      </c>
      <c r="C37" s="59" t="str">
        <f ca="1">IFERROR(__xludf.DUMMYFUNCTION("""COMPUTED_VALUE"""),"praveen.tarun115@gmail.com")</f>
        <v>praveen.tarun115@gmail.com</v>
      </c>
      <c r="D37" s="59" t="str">
        <f ca="1">IFERROR(__xludf.DUMMYFUNCTION("""COMPUTED_VALUE"""),"SEM-8")</f>
        <v>SEM-8</v>
      </c>
      <c r="E37" s="59" t="str">
        <f ca="1">IFERROR(__xludf.DUMMYFUNCTION("""COMPUTED_VALUE"""),"Bugata Praveen")</f>
        <v>Bugata Praveen</v>
      </c>
      <c r="F37" s="59" t="str">
        <f ca="1">IFERROR(__xludf.DUMMYFUNCTION("""COMPUTED_VALUE"""),"18331A0523")</f>
        <v>18331A0523</v>
      </c>
      <c r="G37" s="59" t="str">
        <f ca="1">IFERROR(__xludf.DUMMYFUNCTION("""COMPUTED_VALUE"""),"TCS")</f>
        <v>TCS</v>
      </c>
      <c r="H37" s="70">
        <f ca="1">IFERROR(__xludf.DUMMYFUNCTION("""COMPUTED_VALUE"""),44774)</f>
        <v>44774</v>
      </c>
      <c r="I37" s="59" t="str">
        <f ca="1">IFERROR(__xludf.DUMMYFUNCTION("""COMPUTED_VALUE"""),"Hyderabad ")</f>
        <v xml:space="preserve">Hyderabad </v>
      </c>
      <c r="J37" s="59">
        <f ca="1">IFERROR(__xludf.DUMMYFUNCTION("""COMPUTED_VALUE"""),3.36)</f>
        <v>3.36</v>
      </c>
      <c r="K37" s="71" t="str">
        <f ca="1">IFERROR(__xludf.DUMMYFUNCTION("""COMPUTED_VALUE"""),"https://drive.google.com/open?id=1oQTlIUlLTU4l6H3Z8lsz7HxqgYeHhzzs")</f>
        <v>https://drive.google.com/open?id=1oQTlIUlLTU4l6H3Z8lsz7HxqgYeHhzzs</v>
      </c>
      <c r="L37" s="99"/>
      <c r="M37" s="99"/>
      <c r="N37" s="99"/>
      <c r="O37" s="99"/>
      <c r="P37" s="99"/>
      <c r="Q37" s="99"/>
      <c r="R37" s="99"/>
      <c r="S37" s="99"/>
      <c r="T37" s="99"/>
      <c r="U37" s="99"/>
      <c r="V37" s="99"/>
      <c r="W37" s="99"/>
      <c r="X37" s="99"/>
      <c r="Y37" s="99"/>
      <c r="Z37" s="99"/>
      <c r="AA37" s="99"/>
      <c r="AB37" s="99"/>
      <c r="AC37" s="99"/>
      <c r="AD37" s="99"/>
    </row>
    <row r="38" spans="1:30" ht="28.5" customHeight="1" x14ac:dyDescent="0.15">
      <c r="A38" s="59" t="str">
        <f ca="1">IFERROR(__xludf.DUMMYFUNCTION("""COMPUTED_VALUE"""),"2018-2022")</f>
        <v>2018-2022</v>
      </c>
      <c r="B38" s="59" t="str">
        <f ca="1">IFERROR(__xludf.DUMMYFUNCTION("""COMPUTED_VALUE"""),"S18: Students Placements")</f>
        <v>S18: Students Placements</v>
      </c>
      <c r="C38" s="59" t="str">
        <f ca="1">IFERROR(__xludf.DUMMYFUNCTION("""COMPUTED_VALUE"""),"sachinvenkyindian@gmail.com")</f>
        <v>sachinvenkyindian@gmail.com</v>
      </c>
      <c r="D38" s="59" t="str">
        <f ca="1">IFERROR(__xludf.DUMMYFUNCTION("""COMPUTED_VALUE"""),"SEM-8")</f>
        <v>SEM-8</v>
      </c>
      <c r="E38" s="59" t="str">
        <f ca="1">IFERROR(__xludf.DUMMYFUNCTION("""COMPUTED_VALUE"""),"Bevara Venkatesh ")</f>
        <v xml:space="preserve">Bevara Venkatesh </v>
      </c>
      <c r="F38" s="59" t="str">
        <f ca="1">IFERROR(__xludf.DUMMYFUNCTION("""COMPUTED_VALUE"""),"18331A0513")</f>
        <v>18331A0513</v>
      </c>
      <c r="G38" s="59" t="str">
        <f ca="1">IFERROR(__xludf.DUMMYFUNCTION("""COMPUTED_VALUE"""),"Hexaware ")</f>
        <v xml:space="preserve">Hexaware </v>
      </c>
      <c r="H38" s="70">
        <f ca="1">IFERROR(__xludf.DUMMYFUNCTION("""COMPUTED_VALUE"""),44662)</f>
        <v>44662</v>
      </c>
      <c r="I38" s="59" t="str">
        <f ca="1">IFERROR(__xludf.DUMMYFUNCTION("""COMPUTED_VALUE"""),"Dont know ")</f>
        <v xml:space="preserve">Dont know </v>
      </c>
      <c r="J38" s="59"/>
      <c r="K38" s="71" t="str">
        <f ca="1">IFERROR(__xludf.DUMMYFUNCTION("""COMPUTED_VALUE"""),"https://drive.google.com/open?id=1HxRFFojddfZhy4pNdOKAY6TXBt1DeE3G")</f>
        <v>https://drive.google.com/open?id=1HxRFFojddfZhy4pNdOKAY6TXBt1DeE3G</v>
      </c>
      <c r="L38" s="99"/>
      <c r="M38" s="99"/>
      <c r="N38" s="99"/>
      <c r="O38" s="99"/>
      <c r="P38" s="99"/>
      <c r="Q38" s="99"/>
      <c r="R38" s="99"/>
      <c r="S38" s="99"/>
      <c r="T38" s="99"/>
      <c r="U38" s="99"/>
      <c r="V38" s="99"/>
      <c r="W38" s="99"/>
      <c r="X38" s="99"/>
      <c r="Y38" s="99"/>
      <c r="Z38" s="99"/>
      <c r="AA38" s="99"/>
      <c r="AB38" s="99"/>
      <c r="AC38" s="99"/>
      <c r="AD38" s="99"/>
    </row>
    <row r="39" spans="1:30" ht="28.5" customHeight="1" x14ac:dyDescent="0.15">
      <c r="A39" s="59" t="str">
        <f ca="1">IFERROR(__xludf.DUMMYFUNCTION("""COMPUTED_VALUE"""),"2018-2022")</f>
        <v>2018-2022</v>
      </c>
      <c r="B39" s="59" t="str">
        <f ca="1">IFERROR(__xludf.DUMMYFUNCTION("""COMPUTED_VALUE"""),"S18: Students Placements")</f>
        <v>S18: Students Placements</v>
      </c>
      <c r="C39" s="59" t="str">
        <f ca="1">IFERROR(__xludf.DUMMYFUNCTION("""COMPUTED_VALUE"""),"sachinvenkyindian@gmail.com")</f>
        <v>sachinvenkyindian@gmail.com</v>
      </c>
      <c r="D39" s="59" t="str">
        <f ca="1">IFERROR(__xludf.DUMMYFUNCTION("""COMPUTED_VALUE"""),"SEM-8")</f>
        <v>SEM-8</v>
      </c>
      <c r="E39" s="59" t="str">
        <f ca="1">IFERROR(__xludf.DUMMYFUNCTION("""COMPUTED_VALUE"""),"Bevara Venkatesh ")</f>
        <v xml:space="preserve">Bevara Venkatesh </v>
      </c>
      <c r="F39" s="59" t="str">
        <f ca="1">IFERROR(__xludf.DUMMYFUNCTION("""COMPUTED_VALUE"""),"18331A0513")</f>
        <v>18331A0513</v>
      </c>
      <c r="G39" s="59" t="str">
        <f ca="1">IFERROR(__xludf.DUMMYFUNCTION("""COMPUTED_VALUE"""),"Wipro")</f>
        <v>Wipro</v>
      </c>
      <c r="H39" s="70">
        <f ca="1">IFERROR(__xludf.DUMMYFUNCTION("""COMPUTED_VALUE"""),44662)</f>
        <v>44662</v>
      </c>
      <c r="I39" s="59" t="str">
        <f ca="1">IFERROR(__xludf.DUMMYFUNCTION("""COMPUTED_VALUE"""),"Dont know")</f>
        <v>Dont know</v>
      </c>
      <c r="J39" s="59">
        <f ca="1">IFERROR(__xludf.DUMMYFUNCTION("""COMPUTED_VALUE"""),5.5)</f>
        <v>5.5</v>
      </c>
      <c r="K39" s="71" t="str">
        <f ca="1">IFERROR(__xludf.DUMMYFUNCTION("""COMPUTED_VALUE"""),"https://drive.google.com/open?id=1v9JLEHywb-uUy8bGNC3GjW6SgkJmpS0c")</f>
        <v>https://drive.google.com/open?id=1v9JLEHywb-uUy8bGNC3GjW6SgkJmpS0c</v>
      </c>
      <c r="L39" s="99"/>
      <c r="M39" s="99"/>
      <c r="N39" s="99"/>
      <c r="O39" s="99"/>
      <c r="P39" s="99"/>
      <c r="Q39" s="99"/>
      <c r="R39" s="99"/>
      <c r="S39" s="99"/>
      <c r="T39" s="99"/>
      <c r="U39" s="99"/>
      <c r="V39" s="99"/>
      <c r="W39" s="99"/>
      <c r="X39" s="99"/>
      <c r="Y39" s="99"/>
      <c r="Z39" s="99"/>
      <c r="AA39" s="99"/>
      <c r="AB39" s="99"/>
      <c r="AC39" s="99"/>
      <c r="AD39" s="99"/>
    </row>
    <row r="40" spans="1:30" ht="28.5" customHeight="1" x14ac:dyDescent="0.15">
      <c r="A40" s="59" t="str">
        <f ca="1">IFERROR(__xludf.DUMMYFUNCTION("""COMPUTED_VALUE"""),"2018-2022")</f>
        <v>2018-2022</v>
      </c>
      <c r="B40" s="59" t="str">
        <f ca="1">IFERROR(__xludf.DUMMYFUNCTION("""COMPUTED_VALUE"""),"S18: Students Placements")</f>
        <v>S18: Students Placements</v>
      </c>
      <c r="C40" s="59" t="str">
        <f ca="1">IFERROR(__xludf.DUMMYFUNCTION("""COMPUTED_VALUE"""),"nani.bhogapurapu1106@gmail.com")</f>
        <v>nani.bhogapurapu1106@gmail.com</v>
      </c>
      <c r="D40" s="59" t="str">
        <f ca="1">IFERROR(__xludf.DUMMYFUNCTION("""COMPUTED_VALUE"""),"SEM-8")</f>
        <v>SEM-8</v>
      </c>
      <c r="E40" s="59" t="str">
        <f ca="1">IFERROR(__xludf.DUMMYFUNCTION("""COMPUTED_VALUE"""),"B Prasad")</f>
        <v>B Prasad</v>
      </c>
      <c r="F40" s="59" t="str">
        <f ca="1">IFERROR(__xludf.DUMMYFUNCTION("""COMPUTED_VALUE"""),"18331A0514")</f>
        <v>18331A0514</v>
      </c>
      <c r="G40" s="59" t="str">
        <f ca="1">IFERROR(__xludf.DUMMYFUNCTION("""COMPUTED_VALUE"""),"Virtusa")</f>
        <v>Virtusa</v>
      </c>
      <c r="H40" s="70">
        <f ca="1">IFERROR(__xludf.DUMMYFUNCTION("""COMPUTED_VALUE"""),44723)</f>
        <v>44723</v>
      </c>
      <c r="I40" s="59" t="str">
        <f ca="1">IFERROR(__xludf.DUMMYFUNCTION("""COMPUTED_VALUE"""),"—")</f>
        <v>—</v>
      </c>
      <c r="J40" s="59">
        <f ca="1">IFERROR(__xludf.DUMMYFUNCTION("""COMPUTED_VALUE"""),450000)</f>
        <v>450000</v>
      </c>
      <c r="K40" s="71" t="str">
        <f ca="1">IFERROR(__xludf.DUMMYFUNCTION("""COMPUTED_VALUE"""),"https://drive.google.com/open?id=1Gi_5ij4VeUVfCmlwcC-fub9ubQUZaqe2")</f>
        <v>https://drive.google.com/open?id=1Gi_5ij4VeUVfCmlwcC-fub9ubQUZaqe2</v>
      </c>
      <c r="L40" s="99"/>
      <c r="M40" s="99"/>
      <c r="N40" s="99"/>
      <c r="O40" s="99"/>
      <c r="P40" s="99"/>
      <c r="Q40" s="99"/>
      <c r="R40" s="99"/>
      <c r="S40" s="99"/>
      <c r="T40" s="99"/>
      <c r="U40" s="99"/>
      <c r="V40" s="99"/>
      <c r="W40" s="99"/>
      <c r="X40" s="99"/>
      <c r="Y40" s="99"/>
      <c r="Z40" s="99"/>
      <c r="AA40" s="99"/>
      <c r="AB40" s="99"/>
      <c r="AC40" s="99"/>
      <c r="AD40" s="99"/>
    </row>
    <row r="41" spans="1:30" ht="28.5" customHeight="1" x14ac:dyDescent="0.15">
      <c r="A41" s="59" t="str">
        <f ca="1">IFERROR(__xludf.DUMMYFUNCTION("""COMPUTED_VALUE"""),"2018-2022")</f>
        <v>2018-2022</v>
      </c>
      <c r="B41" s="59" t="str">
        <f ca="1">IFERROR(__xludf.DUMMYFUNCTION("""COMPUTED_VALUE"""),"S18: Students Placements")</f>
        <v>S18: Students Placements</v>
      </c>
      <c r="C41" s="59" t="str">
        <f ca="1">IFERROR(__xludf.DUMMYFUNCTION("""COMPUTED_VALUE"""),"annam.venkat24a@gmail.com")</f>
        <v>annam.venkat24a@gmail.com</v>
      </c>
      <c r="D41" s="59" t="str">
        <f ca="1">IFERROR(__xludf.DUMMYFUNCTION("""COMPUTED_VALUE"""),"SEM-8")</f>
        <v>SEM-8</v>
      </c>
      <c r="E41" s="59" t="str">
        <f ca="1">IFERROR(__xludf.DUMMYFUNCTION("""COMPUTED_VALUE"""),"Lohith venkat Annam ")</f>
        <v xml:space="preserve">Lohith venkat Annam </v>
      </c>
      <c r="F41" s="59" t="str">
        <f ca="1">IFERROR(__xludf.DUMMYFUNCTION("""COMPUTED_VALUE"""),"18331A0506")</f>
        <v>18331A0506</v>
      </c>
      <c r="G41" s="59" t="str">
        <f ca="1">IFERROR(__xludf.DUMMYFUNCTION("""COMPUTED_VALUE"""),"Zensar ")</f>
        <v xml:space="preserve">Zensar </v>
      </c>
      <c r="H41" s="70">
        <f ca="1">IFERROR(__xludf.DUMMYFUNCTION("""COMPUTED_VALUE"""),44762)</f>
        <v>44762</v>
      </c>
      <c r="I41" s="59" t="str">
        <f ca="1">IFERROR(__xludf.DUMMYFUNCTION("""COMPUTED_VALUE"""),"Hyderabad ")</f>
        <v xml:space="preserve">Hyderabad </v>
      </c>
      <c r="J41" s="59">
        <f ca="1">IFERROR(__xludf.DUMMYFUNCTION("""COMPUTED_VALUE"""),4)</f>
        <v>4</v>
      </c>
      <c r="K41" s="71" t="str">
        <f ca="1">IFERROR(__xludf.DUMMYFUNCTION("""COMPUTED_VALUE"""),"https://drive.google.com/open?id=1EDQ4Q2i0hjkmh99LPVKvOHUeTL69iJz-")</f>
        <v>https://drive.google.com/open?id=1EDQ4Q2i0hjkmh99LPVKvOHUeTL69iJz-</v>
      </c>
      <c r="L41" s="99"/>
      <c r="M41" s="99"/>
      <c r="N41" s="99"/>
      <c r="O41" s="99"/>
      <c r="P41" s="99"/>
      <c r="Q41" s="99"/>
      <c r="R41" s="99"/>
      <c r="S41" s="99"/>
      <c r="T41" s="99"/>
      <c r="U41" s="99"/>
      <c r="V41" s="99"/>
      <c r="W41" s="99"/>
      <c r="X41" s="99"/>
      <c r="Y41" s="99"/>
      <c r="Z41" s="99"/>
      <c r="AA41" s="99"/>
      <c r="AB41" s="99"/>
      <c r="AC41" s="99"/>
      <c r="AD41" s="99"/>
    </row>
    <row r="42" spans="1:30" ht="28.5" customHeight="1" x14ac:dyDescent="0.15">
      <c r="A42" s="59" t="str">
        <f ca="1">IFERROR(__xludf.DUMMYFUNCTION("""COMPUTED_VALUE"""),"2018-2022")</f>
        <v>2018-2022</v>
      </c>
      <c r="B42" s="59" t="str">
        <f ca="1">IFERROR(__xludf.DUMMYFUNCTION("""COMPUTED_VALUE"""),"S18: Students Placements")</f>
        <v>S18: Students Placements</v>
      </c>
      <c r="C42" s="59" t="str">
        <f ca="1">IFERROR(__xludf.DUMMYFUNCTION("""COMPUTED_VALUE"""),"nani.bhogapurapu1106@gmail.com")</f>
        <v>nani.bhogapurapu1106@gmail.com</v>
      </c>
      <c r="D42" s="59" t="str">
        <f ca="1">IFERROR(__xludf.DUMMYFUNCTION("""COMPUTED_VALUE"""),"SEM-8")</f>
        <v>SEM-8</v>
      </c>
      <c r="E42" s="59" t="str">
        <f ca="1">IFERROR(__xludf.DUMMYFUNCTION("""COMPUTED_VALUE"""),"B Prasad")</f>
        <v>B Prasad</v>
      </c>
      <c r="F42" s="59" t="str">
        <f ca="1">IFERROR(__xludf.DUMMYFUNCTION("""COMPUTED_VALUE"""),"18331A0514")</f>
        <v>18331A0514</v>
      </c>
      <c r="G42" s="59" t="str">
        <f ca="1">IFERROR(__xludf.DUMMYFUNCTION("""COMPUTED_VALUE"""),"Wipro")</f>
        <v>Wipro</v>
      </c>
      <c r="H42" s="70">
        <f ca="1">IFERROR(__xludf.DUMMYFUNCTION("""COMPUTED_VALUE"""),44723)</f>
        <v>44723</v>
      </c>
      <c r="I42" s="59" t="str">
        <f ca="1">IFERROR(__xludf.DUMMYFUNCTION("""COMPUTED_VALUE"""),"—")</f>
        <v>—</v>
      </c>
      <c r="J42" s="59">
        <f ca="1">IFERROR(__xludf.DUMMYFUNCTION("""COMPUTED_VALUE"""),360000)</f>
        <v>360000</v>
      </c>
      <c r="K42" s="71" t="str">
        <f ca="1">IFERROR(__xludf.DUMMYFUNCTION("""COMPUTED_VALUE"""),"https://drive.google.com/open?id=1PRE1qe4Sha5GpZbyDT-TrczxIuR5f2Bv")</f>
        <v>https://drive.google.com/open?id=1PRE1qe4Sha5GpZbyDT-TrczxIuR5f2Bv</v>
      </c>
      <c r="L42" s="99"/>
      <c r="M42" s="99"/>
      <c r="N42" s="99"/>
      <c r="O42" s="99"/>
      <c r="P42" s="99"/>
      <c r="Q42" s="99"/>
      <c r="R42" s="99"/>
      <c r="S42" s="99"/>
      <c r="T42" s="99"/>
      <c r="U42" s="99"/>
      <c r="V42" s="99"/>
      <c r="W42" s="99"/>
      <c r="X42" s="99"/>
      <c r="Y42" s="99"/>
      <c r="Z42" s="99"/>
      <c r="AA42" s="99"/>
      <c r="AB42" s="99"/>
      <c r="AC42" s="99"/>
      <c r="AD42" s="99"/>
    </row>
    <row r="43" spans="1:30" ht="28.5" customHeight="1" x14ac:dyDescent="0.15">
      <c r="A43" s="59" t="str">
        <f ca="1">IFERROR(__xludf.DUMMYFUNCTION("""COMPUTED_VALUE"""),"2018-2022")</f>
        <v>2018-2022</v>
      </c>
      <c r="B43" s="59" t="str">
        <f ca="1">IFERROR(__xludf.DUMMYFUNCTION("""COMPUTED_VALUE"""),"S18: Students Placements")</f>
        <v>S18: Students Placements</v>
      </c>
      <c r="C43" s="59" t="str">
        <f ca="1">IFERROR(__xludf.DUMMYFUNCTION("""COMPUTED_VALUE"""),"nani.bhogapurapu1106@gmail.com")</f>
        <v>nani.bhogapurapu1106@gmail.com</v>
      </c>
      <c r="D43" s="59" t="str">
        <f ca="1">IFERROR(__xludf.DUMMYFUNCTION("""COMPUTED_VALUE"""),"SEM-8")</f>
        <v>SEM-8</v>
      </c>
      <c r="E43" s="59" t="str">
        <f ca="1">IFERROR(__xludf.DUMMYFUNCTION("""COMPUTED_VALUE"""),"B Prasad")</f>
        <v>B Prasad</v>
      </c>
      <c r="F43" s="59" t="str">
        <f ca="1">IFERROR(__xludf.DUMMYFUNCTION("""COMPUTED_VALUE"""),"18331A0514")</f>
        <v>18331A0514</v>
      </c>
      <c r="G43" s="59" t="str">
        <f ca="1">IFERROR(__xludf.DUMMYFUNCTION("""COMPUTED_VALUE"""),"Infosys")</f>
        <v>Infosys</v>
      </c>
      <c r="H43" s="70">
        <f ca="1">IFERROR(__xludf.DUMMYFUNCTION("""COMPUTED_VALUE"""),44723)</f>
        <v>44723</v>
      </c>
      <c r="I43" s="59" t="str">
        <f ca="1">IFERROR(__xludf.DUMMYFUNCTION("""COMPUTED_VALUE"""),"—")</f>
        <v>—</v>
      </c>
      <c r="J43" s="59">
        <f ca="1">IFERROR(__xludf.DUMMYFUNCTION("""COMPUTED_VALUE"""),625000)</f>
        <v>625000</v>
      </c>
      <c r="K43" s="71" t="str">
        <f ca="1">IFERROR(__xludf.DUMMYFUNCTION("""COMPUTED_VALUE"""),"https://drive.google.com/open?id=10Ku5E62Gd_X9NlW3SyI23bLo1nHVOOTr")</f>
        <v>https://drive.google.com/open?id=10Ku5E62Gd_X9NlW3SyI23bLo1nHVOOTr</v>
      </c>
      <c r="L43" s="99"/>
      <c r="M43" s="99"/>
      <c r="N43" s="99"/>
      <c r="O43" s="99"/>
      <c r="P43" s="99"/>
      <c r="Q43" s="99"/>
      <c r="R43" s="99"/>
      <c r="S43" s="99"/>
      <c r="T43" s="99"/>
      <c r="U43" s="99"/>
      <c r="V43" s="99"/>
      <c r="W43" s="99"/>
      <c r="X43" s="99"/>
      <c r="Y43" s="99"/>
      <c r="Z43" s="99"/>
      <c r="AA43" s="99"/>
      <c r="AB43" s="99"/>
      <c r="AC43" s="99"/>
      <c r="AD43" s="99"/>
    </row>
    <row r="44" spans="1:30" ht="28.5" customHeight="1" x14ac:dyDescent="0.15">
      <c r="A44" s="59" t="str">
        <f ca="1">IFERROR(__xludf.DUMMYFUNCTION("""COMPUTED_VALUE"""),"2018-2022")</f>
        <v>2018-2022</v>
      </c>
      <c r="B44" s="59" t="str">
        <f ca="1">IFERROR(__xludf.DUMMYFUNCTION("""COMPUTED_VALUE"""),"S18: Students Placements")</f>
        <v>S18: Students Placements</v>
      </c>
      <c r="C44" s="59" t="str">
        <f ca="1">IFERROR(__xludf.DUMMYFUNCTION("""COMPUTED_VALUE"""),"tammineniyashwanth@gmail.com")</f>
        <v>tammineniyashwanth@gmail.com</v>
      </c>
      <c r="D44" s="59" t="str">
        <f ca="1">IFERROR(__xludf.DUMMYFUNCTION("""COMPUTED_VALUE"""),"SEM-8")</f>
        <v>SEM-8</v>
      </c>
      <c r="E44" s="59" t="str">
        <f ca="1">IFERROR(__xludf.DUMMYFUNCTION("""COMPUTED_VALUE"""),"TAMMINANA YASHWANTH")</f>
        <v>TAMMINANA YASHWANTH</v>
      </c>
      <c r="F44" s="59" t="str">
        <f ca="1">IFERROR(__xludf.DUMMYFUNCTION("""COMPUTED_VALUE"""),"18331A05F2")</f>
        <v>18331A05F2</v>
      </c>
      <c r="G44" s="59" t="str">
        <f ca="1">IFERROR(__xludf.DUMMYFUNCTION("""COMPUTED_VALUE"""),"INFOSYS, WIPRO, COGNIZANT")</f>
        <v>INFOSYS, WIPRO, COGNIZANT</v>
      </c>
      <c r="H44" s="70">
        <f ca="1">IFERROR(__xludf.DUMMYFUNCTION("""COMPUTED_VALUE"""),44757)</f>
        <v>44757</v>
      </c>
      <c r="I44" s="59" t="str">
        <f ca="1">IFERROR(__xludf.DUMMYFUNCTION("""COMPUTED_VALUE"""),"Hyderabad &amp; Chennai")</f>
        <v>Hyderabad &amp; Chennai</v>
      </c>
      <c r="J44" s="59"/>
      <c r="K44" s="71" t="str">
        <f ca="1">IFERROR(__xludf.DUMMYFUNCTION("""COMPUTED_VALUE"""),"https://drive.google.com/open?id=1aoUkZBcN2ML6PLKzMhKZOLGvSduWTyzX")</f>
        <v>https://drive.google.com/open?id=1aoUkZBcN2ML6PLKzMhKZOLGvSduWTyzX</v>
      </c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99"/>
      <c r="AD44" s="99"/>
    </row>
    <row r="45" spans="1:30" ht="28.5" customHeight="1" x14ac:dyDescent="0.15">
      <c r="A45" s="59" t="str">
        <f ca="1">IFERROR(__xludf.DUMMYFUNCTION("""COMPUTED_VALUE"""),"2018-2022")</f>
        <v>2018-2022</v>
      </c>
      <c r="B45" s="59" t="str">
        <f ca="1">IFERROR(__xludf.DUMMYFUNCTION("""COMPUTED_VALUE"""),"S18: Students Placements")</f>
        <v>S18: Students Placements</v>
      </c>
      <c r="C45" s="59" t="str">
        <f ca="1">IFERROR(__xludf.DUMMYFUNCTION("""COMPUTED_VALUE"""),"visrutha2001@gmail.com")</f>
        <v>visrutha2001@gmail.com</v>
      </c>
      <c r="D45" s="59" t="str">
        <f ca="1">IFERROR(__xludf.DUMMYFUNCTION("""COMPUTED_VALUE"""),"SEM-8")</f>
        <v>SEM-8</v>
      </c>
      <c r="E45" s="59" t="str">
        <f ca="1">IFERROR(__xludf.DUMMYFUNCTION("""COMPUTED_VALUE"""),"Nakkina Visrutha")</f>
        <v>Nakkina Visrutha</v>
      </c>
      <c r="F45" s="59" t="str">
        <f ca="1">IFERROR(__xludf.DUMMYFUNCTION("""COMPUTED_VALUE"""),"18331A05A6")</f>
        <v>18331A05A6</v>
      </c>
      <c r="G45" s="59" t="str">
        <f ca="1">IFERROR(__xludf.DUMMYFUNCTION("""COMPUTED_VALUE"""),"Wipro")</f>
        <v>Wipro</v>
      </c>
      <c r="H45" s="70">
        <f ca="1">IFERROR(__xludf.DUMMYFUNCTION("""COMPUTED_VALUE"""),44580)</f>
        <v>44580</v>
      </c>
      <c r="I45" s="59" t="str">
        <f ca="1">IFERROR(__xludf.DUMMYFUNCTION("""COMPUTED_VALUE"""),"Not given")</f>
        <v>Not given</v>
      </c>
      <c r="J45" s="59">
        <f ca="1">IFERROR(__xludf.DUMMYFUNCTION("""COMPUTED_VALUE"""),3.5)</f>
        <v>3.5</v>
      </c>
      <c r="K45" s="71" t="str">
        <f ca="1">IFERROR(__xludf.DUMMYFUNCTION("""COMPUTED_VALUE"""),"https://drive.google.com/open?id=1Fq8ntn83IQFZjCmTbG2xuGOFjEVnA7oP")</f>
        <v>https://drive.google.com/open?id=1Fq8ntn83IQFZjCmTbG2xuGOFjEVnA7oP</v>
      </c>
      <c r="L45" s="99"/>
      <c r="M45" s="99"/>
      <c r="N45" s="99"/>
      <c r="O45" s="99"/>
      <c r="P45" s="99"/>
      <c r="Q45" s="99"/>
      <c r="R45" s="99"/>
      <c r="S45" s="99"/>
      <c r="T45" s="99"/>
      <c r="U45" s="99"/>
      <c r="V45" s="99"/>
      <c r="W45" s="99"/>
      <c r="X45" s="99"/>
      <c r="Y45" s="99"/>
      <c r="Z45" s="99"/>
      <c r="AA45" s="99"/>
      <c r="AB45" s="99"/>
      <c r="AC45" s="99"/>
      <c r="AD45" s="99"/>
    </row>
    <row r="46" spans="1:30" ht="28.5" customHeight="1" x14ac:dyDescent="0.15">
      <c r="A46" s="59" t="str">
        <f ca="1">IFERROR(__xludf.DUMMYFUNCTION("""COMPUTED_VALUE"""),"2018-2022")</f>
        <v>2018-2022</v>
      </c>
      <c r="B46" s="59" t="str">
        <f ca="1">IFERROR(__xludf.DUMMYFUNCTION("""COMPUTED_VALUE"""),"S18: Students Placements")</f>
        <v>S18: Students Placements</v>
      </c>
      <c r="C46" s="59" t="str">
        <f ca="1">IFERROR(__xludf.DUMMYFUNCTION("""COMPUTED_VALUE"""),"gorsaumamahesh@gmail.com")</f>
        <v>gorsaumamahesh@gmail.com</v>
      </c>
      <c r="D46" s="59" t="str">
        <f ca="1">IFERROR(__xludf.DUMMYFUNCTION("""COMPUTED_VALUE"""),"SEM-8")</f>
        <v>SEM-8</v>
      </c>
      <c r="E46" s="59" t="str">
        <f ca="1">IFERROR(__xludf.DUMMYFUNCTION("""COMPUTED_VALUE"""),"Gorsa Uma Mahesh")</f>
        <v>Gorsa Uma Mahesh</v>
      </c>
      <c r="F46" s="59" t="str">
        <f ca="1">IFERROR(__xludf.DUMMYFUNCTION("""COMPUTED_VALUE"""),"18331A0550")</f>
        <v>18331A0550</v>
      </c>
      <c r="G46" s="59" t="str">
        <f ca="1">IFERROR(__xludf.DUMMYFUNCTION("""COMPUTED_VALUE"""),"Capgemini")</f>
        <v>Capgemini</v>
      </c>
      <c r="H46" s="70">
        <f ca="1">IFERROR(__xludf.DUMMYFUNCTION("""COMPUTED_VALUE"""),44622)</f>
        <v>44622</v>
      </c>
      <c r="I46" s="59" t="str">
        <f ca="1">IFERROR(__xludf.DUMMYFUNCTION("""COMPUTED_VALUE"""),"Hyderabad, Bangalore, Chennai, Pune")</f>
        <v>Hyderabad, Bangalore, Chennai, Pune</v>
      </c>
      <c r="J46" s="59"/>
      <c r="K46" s="71" t="str">
        <f ca="1">IFERROR(__xludf.DUMMYFUNCTION("""COMPUTED_VALUE"""),"https://drive.google.com/open?id=1kDF-MB6lGC-Z5LbMtHfLutR5nCFaEE1X")</f>
        <v>https://drive.google.com/open?id=1kDF-MB6lGC-Z5LbMtHfLutR5nCFaEE1X</v>
      </c>
      <c r="L46" s="99"/>
      <c r="M46" s="99"/>
      <c r="N46" s="99"/>
      <c r="O46" s="99"/>
      <c r="P46" s="99"/>
      <c r="Q46" s="99"/>
      <c r="R46" s="99"/>
      <c r="S46" s="99"/>
      <c r="T46" s="99"/>
      <c r="U46" s="99"/>
      <c r="V46" s="99"/>
      <c r="W46" s="99"/>
      <c r="X46" s="99"/>
      <c r="Y46" s="99"/>
      <c r="Z46" s="99"/>
      <c r="AA46" s="99"/>
      <c r="AB46" s="99"/>
      <c r="AC46" s="99"/>
      <c r="AD46" s="99"/>
    </row>
    <row r="47" spans="1:30" ht="28.5" customHeight="1" x14ac:dyDescent="0.15">
      <c r="A47" s="59" t="str">
        <f ca="1">IFERROR(__xludf.DUMMYFUNCTION("""COMPUTED_VALUE"""),"2018-2022")</f>
        <v>2018-2022</v>
      </c>
      <c r="B47" s="59" t="str">
        <f ca="1">IFERROR(__xludf.DUMMYFUNCTION("""COMPUTED_VALUE"""),"S18: Students Placements")</f>
        <v>S18: Students Placements</v>
      </c>
      <c r="C47" s="59" t="str">
        <f ca="1">IFERROR(__xludf.DUMMYFUNCTION("""COMPUTED_VALUE"""),"gorsaumamahesh@gmail.com")</f>
        <v>gorsaumamahesh@gmail.com</v>
      </c>
      <c r="D47" s="59" t="str">
        <f ca="1">IFERROR(__xludf.DUMMYFUNCTION("""COMPUTED_VALUE"""),"SEM-8")</f>
        <v>SEM-8</v>
      </c>
      <c r="E47" s="59" t="str">
        <f ca="1">IFERROR(__xludf.DUMMYFUNCTION("""COMPUTED_VALUE"""),"Gorsa Uma Mahesh")</f>
        <v>Gorsa Uma Mahesh</v>
      </c>
      <c r="F47" s="59" t="str">
        <f ca="1">IFERROR(__xludf.DUMMYFUNCTION("""COMPUTED_VALUE"""),"18331A0550")</f>
        <v>18331A0550</v>
      </c>
      <c r="G47" s="59" t="str">
        <f ca="1">IFERROR(__xludf.DUMMYFUNCTION("""COMPUTED_VALUE"""),"Wipro")</f>
        <v>Wipro</v>
      </c>
      <c r="H47" s="70">
        <f ca="1">IFERROR(__xludf.DUMMYFUNCTION("""COMPUTED_VALUE"""),44641)</f>
        <v>44641</v>
      </c>
      <c r="I47" s="59" t="str">
        <f ca="1">IFERROR(__xludf.DUMMYFUNCTION("""COMPUTED_VALUE"""),"Not Mentioned")</f>
        <v>Not Mentioned</v>
      </c>
      <c r="J47" s="59"/>
      <c r="K47" s="71" t="str">
        <f ca="1">IFERROR(__xludf.DUMMYFUNCTION("""COMPUTED_VALUE"""),"https://drive.google.com/open?id=1E5XqRSmk05zWihTMLgZg6Ql9IoaxNiDl")</f>
        <v>https://drive.google.com/open?id=1E5XqRSmk05zWihTMLgZg6Ql9IoaxNiDl</v>
      </c>
      <c r="L47" s="99"/>
      <c r="M47" s="99"/>
      <c r="N47" s="99"/>
      <c r="O47" s="99"/>
      <c r="P47" s="99"/>
      <c r="Q47" s="99"/>
      <c r="R47" s="99"/>
      <c r="S47" s="99"/>
      <c r="T47" s="99"/>
      <c r="U47" s="99"/>
      <c r="V47" s="99"/>
      <c r="W47" s="99"/>
      <c r="X47" s="99"/>
      <c r="Y47" s="99"/>
      <c r="Z47" s="99"/>
      <c r="AA47" s="99"/>
      <c r="AB47" s="99"/>
      <c r="AC47" s="99"/>
      <c r="AD47" s="99"/>
    </row>
    <row r="48" spans="1:30" ht="28.5" customHeight="1" x14ac:dyDescent="0.15">
      <c r="A48" s="59" t="str">
        <f ca="1">IFERROR(__xludf.DUMMYFUNCTION("""COMPUTED_VALUE"""),"2018-2022")</f>
        <v>2018-2022</v>
      </c>
      <c r="B48" s="59" t="str">
        <f ca="1">IFERROR(__xludf.DUMMYFUNCTION("""COMPUTED_VALUE"""),"S18: Students Placements")</f>
        <v>S18: Students Placements</v>
      </c>
      <c r="C48" s="59" t="str">
        <f ca="1">IFERROR(__xludf.DUMMYFUNCTION("""COMPUTED_VALUE"""),"gorsaumamahesh@gmail.com")</f>
        <v>gorsaumamahesh@gmail.com</v>
      </c>
      <c r="D48" s="59" t="str">
        <f ca="1">IFERROR(__xludf.DUMMYFUNCTION("""COMPUTED_VALUE"""),"SEM-8")</f>
        <v>SEM-8</v>
      </c>
      <c r="E48" s="59" t="str">
        <f ca="1">IFERROR(__xludf.DUMMYFUNCTION("""COMPUTED_VALUE"""),"Gorsa Uma Mahesh")</f>
        <v>Gorsa Uma Mahesh</v>
      </c>
      <c r="F48" s="59" t="str">
        <f ca="1">IFERROR(__xludf.DUMMYFUNCTION("""COMPUTED_VALUE"""),"18331A0550")</f>
        <v>18331A0550</v>
      </c>
      <c r="G48" s="59" t="str">
        <f ca="1">IFERROR(__xludf.DUMMYFUNCTION("""COMPUTED_VALUE"""),"Infosys")</f>
        <v>Infosys</v>
      </c>
      <c r="H48" s="70">
        <f ca="1">IFERROR(__xludf.DUMMYFUNCTION("""COMPUTED_VALUE"""),44608)</f>
        <v>44608</v>
      </c>
      <c r="I48" s="59" t="str">
        <f ca="1">IFERROR(__xludf.DUMMYFUNCTION("""COMPUTED_VALUE"""),"Not Mentioned")</f>
        <v>Not Mentioned</v>
      </c>
      <c r="J48" s="59"/>
      <c r="K48" s="71" t="str">
        <f ca="1">IFERROR(__xludf.DUMMYFUNCTION("""COMPUTED_VALUE"""),"https://drive.google.com/open?id=1sdkBp2g2wlH95wnFfXO8E9JBzRju_s2I")</f>
        <v>https://drive.google.com/open?id=1sdkBp2g2wlH95wnFfXO8E9JBzRju_s2I</v>
      </c>
      <c r="L48" s="99"/>
      <c r="M48" s="99"/>
      <c r="N48" s="99"/>
      <c r="O48" s="99"/>
      <c r="P48" s="99"/>
      <c r="Q48" s="99"/>
      <c r="R48" s="99"/>
      <c r="S48" s="99"/>
      <c r="T48" s="99"/>
      <c r="U48" s="99"/>
      <c r="V48" s="99"/>
      <c r="W48" s="99"/>
      <c r="X48" s="99"/>
      <c r="Y48" s="99"/>
      <c r="Z48" s="99"/>
      <c r="AA48" s="99"/>
      <c r="AB48" s="99"/>
      <c r="AC48" s="99"/>
      <c r="AD48" s="99"/>
    </row>
    <row r="49" spans="1:30" ht="28.5" customHeight="1" x14ac:dyDescent="0.15">
      <c r="A49" s="99"/>
      <c r="B49" s="99"/>
      <c r="C49" s="99"/>
      <c r="D49" s="99"/>
      <c r="E49" s="99"/>
      <c r="F49" s="99"/>
      <c r="G49" s="99"/>
      <c r="H49" s="99"/>
      <c r="I49" s="99"/>
      <c r="J49" s="99"/>
      <c r="K49" s="99"/>
      <c r="L49" s="99"/>
      <c r="M49" s="99"/>
      <c r="N49" s="99"/>
      <c r="O49" s="99"/>
      <c r="P49" s="99"/>
      <c r="Q49" s="99"/>
      <c r="R49" s="99"/>
      <c r="S49" s="99"/>
      <c r="T49" s="99"/>
      <c r="U49" s="99"/>
      <c r="V49" s="99"/>
      <c r="W49" s="99"/>
      <c r="X49" s="99"/>
      <c r="Y49" s="99"/>
      <c r="Z49" s="99"/>
      <c r="AA49" s="99"/>
      <c r="AB49" s="99"/>
      <c r="AC49" s="99"/>
      <c r="AD49" s="99"/>
    </row>
    <row r="50" spans="1:30" ht="28.5" customHeight="1" x14ac:dyDescent="0.15">
      <c r="A50" s="99"/>
      <c r="B50" s="99"/>
      <c r="C50" s="99"/>
      <c r="D50" s="99"/>
      <c r="E50" s="99"/>
      <c r="F50" s="99"/>
      <c r="G50" s="99"/>
      <c r="H50" s="99"/>
      <c r="I50" s="99"/>
      <c r="J50" s="99"/>
      <c r="K50" s="99"/>
      <c r="L50" s="99"/>
      <c r="M50" s="99"/>
      <c r="N50" s="99"/>
      <c r="O50" s="99"/>
      <c r="P50" s="99"/>
      <c r="Q50" s="99"/>
      <c r="R50" s="99"/>
      <c r="S50" s="99"/>
      <c r="T50" s="99"/>
      <c r="U50" s="99"/>
      <c r="V50" s="99"/>
      <c r="W50" s="99"/>
      <c r="X50" s="99"/>
      <c r="Y50" s="99"/>
      <c r="Z50" s="99"/>
      <c r="AA50" s="99"/>
      <c r="AB50" s="99"/>
      <c r="AC50" s="99"/>
      <c r="AD50" s="99"/>
    </row>
    <row r="51" spans="1:30" ht="28.5" customHeight="1" x14ac:dyDescent="0.15">
      <c r="A51" s="99"/>
      <c r="B51" s="99"/>
      <c r="C51" s="99"/>
      <c r="D51" s="99"/>
      <c r="E51" s="99"/>
      <c r="F51" s="99"/>
      <c r="G51" s="99"/>
      <c r="H51" s="99"/>
      <c r="I51" s="99"/>
      <c r="J51" s="99"/>
      <c r="K51" s="99"/>
      <c r="L51" s="99"/>
      <c r="M51" s="99"/>
      <c r="N51" s="99"/>
      <c r="O51" s="99"/>
      <c r="P51" s="99"/>
      <c r="Q51" s="99"/>
      <c r="R51" s="99"/>
      <c r="S51" s="99"/>
      <c r="T51" s="99"/>
      <c r="U51" s="99"/>
      <c r="V51" s="99"/>
      <c r="W51" s="99"/>
      <c r="X51" s="99"/>
      <c r="Y51" s="99"/>
      <c r="Z51" s="99"/>
      <c r="AA51" s="99"/>
      <c r="AB51" s="99"/>
      <c r="AC51" s="99"/>
      <c r="AD51" s="99"/>
    </row>
    <row r="52" spans="1:30" ht="28.5" customHeight="1" x14ac:dyDescent="0.15">
      <c r="A52" s="99"/>
      <c r="B52" s="99"/>
      <c r="C52" s="99"/>
      <c r="D52" s="99"/>
      <c r="E52" s="99"/>
      <c r="F52" s="99"/>
      <c r="G52" s="99"/>
      <c r="H52" s="99"/>
      <c r="I52" s="99"/>
      <c r="J52" s="99"/>
      <c r="K52" s="99"/>
      <c r="L52" s="99"/>
      <c r="M52" s="99"/>
      <c r="N52" s="99"/>
      <c r="O52" s="99"/>
      <c r="P52" s="99"/>
      <c r="Q52" s="99"/>
      <c r="R52" s="99"/>
      <c r="S52" s="99"/>
      <c r="T52" s="99"/>
      <c r="U52" s="99"/>
      <c r="V52" s="99"/>
      <c r="W52" s="99"/>
      <c r="X52" s="99"/>
      <c r="Y52" s="99"/>
      <c r="Z52" s="99"/>
      <c r="AA52" s="99"/>
      <c r="AB52" s="99"/>
      <c r="AC52" s="99"/>
      <c r="AD52" s="99"/>
    </row>
    <row r="53" spans="1:30" ht="28.5" customHeight="1" x14ac:dyDescent="0.15">
      <c r="A53" s="99"/>
      <c r="B53" s="99"/>
      <c r="C53" s="99"/>
      <c r="D53" s="99"/>
      <c r="E53" s="99"/>
      <c r="F53" s="99"/>
      <c r="G53" s="99"/>
      <c r="H53" s="99"/>
      <c r="I53" s="99"/>
      <c r="J53" s="99"/>
      <c r="K53" s="99"/>
      <c r="L53" s="99"/>
      <c r="M53" s="99"/>
      <c r="N53" s="99"/>
      <c r="O53" s="99"/>
      <c r="P53" s="99"/>
      <c r="Q53" s="99"/>
      <c r="R53" s="99"/>
      <c r="S53" s="99"/>
      <c r="T53" s="99"/>
      <c r="U53" s="99"/>
      <c r="V53" s="99"/>
      <c r="W53" s="99"/>
      <c r="X53" s="99"/>
      <c r="Y53" s="99"/>
      <c r="Z53" s="99"/>
      <c r="AA53" s="99"/>
      <c r="AB53" s="99"/>
      <c r="AC53" s="99"/>
      <c r="AD53" s="99"/>
    </row>
    <row r="54" spans="1:30" ht="28.5" customHeight="1" x14ac:dyDescent="0.15">
      <c r="A54" s="99"/>
      <c r="B54" s="99"/>
      <c r="C54" s="99"/>
      <c r="D54" s="99"/>
      <c r="E54" s="99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99"/>
      <c r="AA54" s="99"/>
      <c r="AB54" s="99"/>
      <c r="AC54" s="99"/>
      <c r="AD54" s="99"/>
    </row>
    <row r="55" spans="1:30" ht="28.5" customHeight="1" x14ac:dyDescent="0.1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  <c r="AA55" s="99"/>
      <c r="AB55" s="99"/>
      <c r="AC55" s="99"/>
      <c r="AD55" s="99"/>
    </row>
    <row r="56" spans="1:30" ht="28.5" customHeight="1" x14ac:dyDescent="0.15">
      <c r="A56" s="99"/>
      <c r="B56" s="99"/>
      <c r="C56" s="99"/>
      <c r="D56" s="99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99"/>
      <c r="AA56" s="99"/>
      <c r="AB56" s="99"/>
      <c r="AC56" s="99"/>
      <c r="AD56" s="99"/>
    </row>
    <row r="57" spans="1:30" ht="28.5" customHeight="1" x14ac:dyDescent="0.15">
      <c r="A57" s="99"/>
      <c r="B57" s="99"/>
      <c r="C57" s="99"/>
      <c r="D57" s="99"/>
      <c r="E57" s="99"/>
      <c r="F57" s="99"/>
      <c r="G57" s="99"/>
      <c r="H57" s="99"/>
      <c r="I57" s="99"/>
      <c r="J57" s="99"/>
      <c r="K57" s="99"/>
      <c r="L57" s="99"/>
      <c r="M57" s="99"/>
      <c r="N57" s="99"/>
      <c r="O57" s="99"/>
      <c r="P57" s="99"/>
      <c r="Q57" s="99"/>
      <c r="R57" s="99"/>
      <c r="S57" s="99"/>
      <c r="T57" s="99"/>
      <c r="U57" s="99"/>
      <c r="V57" s="99"/>
      <c r="W57" s="99"/>
      <c r="X57" s="99"/>
      <c r="Y57" s="99"/>
      <c r="Z57" s="99"/>
      <c r="AA57" s="99"/>
      <c r="AB57" s="99"/>
      <c r="AC57" s="99"/>
      <c r="AD57" s="99"/>
    </row>
    <row r="58" spans="1:30" ht="28.5" customHeight="1" x14ac:dyDescent="0.15">
      <c r="A58" s="99"/>
      <c r="B58" s="99"/>
      <c r="C58" s="99"/>
      <c r="D58" s="99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99"/>
      <c r="P58" s="99"/>
      <c r="Q58" s="99"/>
      <c r="R58" s="99"/>
      <c r="S58" s="99"/>
      <c r="T58" s="99"/>
      <c r="U58" s="99"/>
      <c r="V58" s="99"/>
      <c r="W58" s="99"/>
      <c r="X58" s="99"/>
      <c r="Y58" s="99"/>
      <c r="Z58" s="99"/>
      <c r="AA58" s="99"/>
      <c r="AB58" s="99"/>
      <c r="AC58" s="99"/>
      <c r="AD58" s="99"/>
    </row>
    <row r="59" spans="1:30" ht="28.5" customHeight="1" x14ac:dyDescent="0.15">
      <c r="A59" s="99"/>
      <c r="B59" s="99"/>
      <c r="C59" s="99"/>
      <c r="D59" s="99"/>
      <c r="E59" s="99"/>
      <c r="F59" s="99"/>
      <c r="G59" s="99"/>
      <c r="H59" s="99"/>
      <c r="I59" s="99"/>
      <c r="J59" s="99"/>
      <c r="K59" s="99"/>
      <c r="L59" s="99"/>
      <c r="M59" s="99"/>
      <c r="N59" s="99"/>
      <c r="O59" s="99"/>
      <c r="P59" s="99"/>
      <c r="Q59" s="99"/>
      <c r="R59" s="99"/>
      <c r="S59" s="99"/>
      <c r="T59" s="99"/>
      <c r="U59" s="99"/>
      <c r="V59" s="99"/>
      <c r="W59" s="99"/>
      <c r="X59" s="99"/>
      <c r="Y59" s="99"/>
      <c r="Z59" s="99"/>
      <c r="AA59" s="99"/>
      <c r="AB59" s="99"/>
      <c r="AC59" s="99"/>
      <c r="AD59" s="99"/>
    </row>
    <row r="60" spans="1:30" ht="28.5" customHeight="1" x14ac:dyDescent="0.15">
      <c r="A60" s="99"/>
      <c r="B60" s="99"/>
      <c r="C60" s="99"/>
      <c r="D60" s="99"/>
      <c r="E60" s="99"/>
      <c r="F60" s="99"/>
      <c r="G60" s="99"/>
      <c r="H60" s="99"/>
      <c r="I60" s="99"/>
      <c r="J60" s="99"/>
      <c r="K60" s="99"/>
      <c r="L60" s="99"/>
      <c r="M60" s="99"/>
      <c r="N60" s="99"/>
      <c r="O60" s="99"/>
      <c r="P60" s="99"/>
      <c r="Q60" s="99"/>
      <c r="R60" s="99"/>
      <c r="S60" s="99"/>
      <c r="T60" s="99"/>
      <c r="U60" s="99"/>
      <c r="V60" s="99"/>
      <c r="W60" s="99"/>
      <c r="X60" s="99"/>
      <c r="Y60" s="99"/>
      <c r="Z60" s="99"/>
      <c r="AA60" s="99"/>
      <c r="AB60" s="99"/>
      <c r="AC60" s="99"/>
      <c r="AD60" s="99"/>
    </row>
    <row r="61" spans="1:30" ht="28.5" customHeight="1" x14ac:dyDescent="0.15">
      <c r="A61" s="99"/>
      <c r="B61" s="99"/>
      <c r="C61" s="99"/>
      <c r="D61" s="99"/>
      <c r="E61" s="99"/>
      <c r="F61" s="99"/>
      <c r="G61" s="99"/>
      <c r="H61" s="99"/>
      <c r="I61" s="99"/>
      <c r="J61" s="99"/>
      <c r="K61" s="99"/>
      <c r="L61" s="99"/>
      <c r="M61" s="99"/>
      <c r="N61" s="99"/>
      <c r="O61" s="99"/>
      <c r="P61" s="99"/>
      <c r="Q61" s="99"/>
      <c r="R61" s="99"/>
      <c r="S61" s="99"/>
      <c r="T61" s="99"/>
      <c r="U61" s="99"/>
      <c r="V61" s="99"/>
      <c r="W61" s="99"/>
      <c r="X61" s="99"/>
      <c r="Y61" s="99"/>
      <c r="Z61" s="99"/>
      <c r="AA61" s="99"/>
      <c r="AB61" s="99"/>
      <c r="AC61" s="99"/>
      <c r="AD61" s="99"/>
    </row>
    <row r="62" spans="1:30" ht="28.5" customHeight="1" x14ac:dyDescent="0.15">
      <c r="A62" s="99"/>
      <c r="B62" s="99"/>
      <c r="C62" s="99"/>
      <c r="D62" s="99"/>
      <c r="E62" s="99"/>
      <c r="F62" s="99"/>
      <c r="G62" s="99"/>
      <c r="H62" s="99"/>
      <c r="I62" s="99"/>
      <c r="J62" s="99"/>
      <c r="K62" s="99"/>
      <c r="L62" s="99"/>
      <c r="M62" s="99"/>
      <c r="N62" s="99"/>
      <c r="O62" s="99"/>
      <c r="P62" s="99"/>
      <c r="Q62" s="99"/>
      <c r="R62" s="99"/>
      <c r="S62" s="99"/>
      <c r="T62" s="99"/>
      <c r="U62" s="99"/>
      <c r="V62" s="99"/>
      <c r="W62" s="99"/>
      <c r="X62" s="99"/>
      <c r="Y62" s="99"/>
      <c r="Z62" s="99"/>
      <c r="AA62" s="99"/>
      <c r="AB62" s="99"/>
      <c r="AC62" s="99"/>
      <c r="AD62" s="99"/>
    </row>
    <row r="63" spans="1:30" ht="28.5" customHeight="1" x14ac:dyDescent="0.15">
      <c r="A63" s="99"/>
      <c r="B63" s="99"/>
      <c r="C63" s="99"/>
      <c r="D63" s="99"/>
      <c r="E63" s="99"/>
      <c r="F63" s="99"/>
      <c r="G63" s="99"/>
      <c r="H63" s="99"/>
      <c r="I63" s="99"/>
      <c r="J63" s="99"/>
      <c r="K63" s="99"/>
      <c r="L63" s="99"/>
      <c r="M63" s="99"/>
      <c r="N63" s="99"/>
      <c r="O63" s="99"/>
      <c r="P63" s="99"/>
      <c r="Q63" s="99"/>
      <c r="R63" s="99"/>
      <c r="S63" s="99"/>
      <c r="T63" s="99"/>
      <c r="U63" s="99"/>
      <c r="V63" s="99"/>
      <c r="W63" s="99"/>
      <c r="X63" s="99"/>
      <c r="Y63" s="99"/>
      <c r="Z63" s="99"/>
      <c r="AA63" s="99"/>
      <c r="AB63" s="99"/>
      <c r="AC63" s="99"/>
      <c r="AD63" s="99"/>
    </row>
    <row r="64" spans="1:30" ht="28.5" customHeight="1" x14ac:dyDescent="0.15">
      <c r="A64" s="99"/>
      <c r="B64" s="99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</row>
    <row r="65" spans="1:30" ht="28.5" customHeight="1" x14ac:dyDescent="0.15">
      <c r="A65" s="99"/>
      <c r="B65" s="99"/>
      <c r="C65" s="99"/>
      <c r="D65" s="99"/>
      <c r="E65" s="99"/>
      <c r="F65" s="99"/>
      <c r="G65" s="99"/>
      <c r="H65" s="99"/>
      <c r="I65" s="99"/>
      <c r="J65" s="99"/>
      <c r="K65" s="99"/>
      <c r="L65" s="99"/>
      <c r="M65" s="99"/>
      <c r="N65" s="99"/>
      <c r="O65" s="99"/>
      <c r="P65" s="99"/>
      <c r="Q65" s="99"/>
      <c r="R65" s="99"/>
      <c r="S65" s="99"/>
      <c r="T65" s="99"/>
      <c r="U65" s="99"/>
      <c r="V65" s="99"/>
      <c r="W65" s="99"/>
      <c r="X65" s="99"/>
      <c r="Y65" s="99"/>
      <c r="Z65" s="99"/>
      <c r="AA65" s="99"/>
      <c r="AB65" s="99"/>
      <c r="AC65" s="99"/>
      <c r="AD65" s="99"/>
    </row>
    <row r="66" spans="1:30" ht="28.5" customHeight="1" x14ac:dyDescent="0.15">
      <c r="A66" s="99"/>
      <c r="B66" s="99"/>
      <c r="C66" s="99"/>
      <c r="D66" s="99"/>
      <c r="E66" s="99"/>
      <c r="F66" s="99"/>
      <c r="G66" s="99"/>
      <c r="H66" s="99"/>
      <c r="I66" s="99"/>
      <c r="J66" s="99"/>
      <c r="K66" s="99"/>
      <c r="L66" s="99"/>
      <c r="M66" s="99"/>
      <c r="N66" s="99"/>
      <c r="O66" s="99"/>
      <c r="P66" s="99"/>
      <c r="Q66" s="99"/>
      <c r="R66" s="99"/>
      <c r="S66" s="99"/>
      <c r="T66" s="99"/>
      <c r="U66" s="99"/>
      <c r="V66" s="99"/>
      <c r="W66" s="99"/>
      <c r="X66" s="99"/>
      <c r="Y66" s="99"/>
      <c r="Z66" s="99"/>
      <c r="AA66" s="99"/>
      <c r="AB66" s="99"/>
      <c r="AC66" s="99"/>
      <c r="AD66" s="99"/>
    </row>
    <row r="67" spans="1:30" ht="28.5" customHeight="1" x14ac:dyDescent="0.15">
      <c r="A67" s="99"/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99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</row>
    <row r="68" spans="1:30" ht="28.5" customHeight="1" x14ac:dyDescent="0.15">
      <c r="A68" s="99"/>
      <c r="B68" s="99"/>
      <c r="C68" s="99"/>
      <c r="D68" s="99"/>
      <c r="E68" s="99"/>
      <c r="F68" s="99"/>
      <c r="G68" s="99"/>
      <c r="H68" s="99"/>
      <c r="I68" s="99"/>
      <c r="J68" s="99"/>
      <c r="K68" s="99"/>
      <c r="L68" s="99"/>
      <c r="M68" s="99"/>
      <c r="N68" s="99"/>
      <c r="O68" s="99"/>
      <c r="P68" s="99"/>
      <c r="Q68" s="99"/>
      <c r="R68" s="99"/>
      <c r="S68" s="99"/>
      <c r="T68" s="99"/>
      <c r="U68" s="99"/>
      <c r="V68" s="99"/>
      <c r="W68" s="99"/>
      <c r="X68" s="99"/>
      <c r="Y68" s="99"/>
      <c r="Z68" s="99"/>
      <c r="AA68" s="99"/>
      <c r="AB68" s="99"/>
      <c r="AC68" s="99"/>
      <c r="AD68" s="99"/>
    </row>
    <row r="69" spans="1:30" ht="28.5" customHeight="1" x14ac:dyDescent="0.15">
      <c r="A69" s="99"/>
      <c r="B69" s="99"/>
      <c r="C69" s="99"/>
      <c r="D69" s="99"/>
      <c r="E69" s="99"/>
      <c r="F69" s="99"/>
      <c r="G69" s="99"/>
      <c r="H69" s="99"/>
      <c r="I69" s="99"/>
      <c r="J69" s="99"/>
      <c r="K69" s="99"/>
      <c r="L69" s="99"/>
      <c r="M69" s="99"/>
      <c r="N69" s="99"/>
      <c r="O69" s="99"/>
      <c r="P69" s="99"/>
      <c r="Q69" s="99"/>
      <c r="R69" s="99"/>
      <c r="S69" s="99"/>
      <c r="T69" s="99"/>
      <c r="U69" s="99"/>
      <c r="V69" s="99"/>
      <c r="W69" s="99"/>
      <c r="X69" s="99"/>
      <c r="Y69" s="99"/>
      <c r="Z69" s="99"/>
      <c r="AA69" s="99"/>
      <c r="AB69" s="99"/>
      <c r="AC69" s="99"/>
      <c r="AD69" s="99"/>
    </row>
    <row r="70" spans="1:30" ht="28.5" customHeight="1" x14ac:dyDescent="0.15">
      <c r="A70" s="99"/>
      <c r="B70" s="99"/>
      <c r="C70" s="99"/>
      <c r="D70" s="99"/>
      <c r="E70" s="99"/>
      <c r="F70" s="99"/>
      <c r="G70" s="99"/>
      <c r="H70" s="99"/>
      <c r="I70" s="99"/>
      <c r="J70" s="99"/>
      <c r="K70" s="99"/>
      <c r="L70" s="99"/>
      <c r="M70" s="99"/>
      <c r="N70" s="99"/>
      <c r="O70" s="99"/>
      <c r="P70" s="99"/>
      <c r="Q70" s="99"/>
      <c r="R70" s="99"/>
      <c r="S70" s="99"/>
      <c r="T70" s="99"/>
      <c r="U70" s="99"/>
      <c r="V70" s="99"/>
      <c r="W70" s="99"/>
      <c r="X70" s="99"/>
      <c r="Y70" s="99"/>
      <c r="Z70" s="99"/>
      <c r="AA70" s="99"/>
      <c r="AB70" s="99"/>
      <c r="AC70" s="99"/>
      <c r="AD70" s="99"/>
    </row>
    <row r="71" spans="1:30" ht="28.5" customHeight="1" x14ac:dyDescent="0.15">
      <c r="A71" s="99"/>
      <c r="B71" s="99"/>
      <c r="C71" s="99"/>
      <c r="D71" s="99"/>
      <c r="E71" s="99"/>
      <c r="F71" s="99"/>
      <c r="G71" s="99"/>
      <c r="H71" s="99"/>
      <c r="I71" s="99"/>
      <c r="J71" s="99"/>
      <c r="K71" s="99"/>
      <c r="L71" s="99"/>
      <c r="M71" s="99"/>
      <c r="N71" s="99"/>
      <c r="O71" s="99"/>
      <c r="P71" s="99"/>
      <c r="Q71" s="99"/>
      <c r="R71" s="99"/>
      <c r="S71" s="99"/>
      <c r="T71" s="99"/>
      <c r="U71" s="99"/>
      <c r="V71" s="99"/>
      <c r="W71" s="99"/>
      <c r="X71" s="99"/>
      <c r="Y71" s="99"/>
      <c r="Z71" s="99"/>
      <c r="AA71" s="99"/>
      <c r="AB71" s="99"/>
      <c r="AC71" s="99"/>
      <c r="AD71" s="99"/>
    </row>
    <row r="72" spans="1:30" ht="28.5" customHeight="1" x14ac:dyDescent="0.15">
      <c r="A72" s="99"/>
      <c r="B72" s="99"/>
      <c r="C72" s="99"/>
      <c r="D72" s="99"/>
      <c r="E72" s="99"/>
      <c r="F72" s="99"/>
      <c r="G72" s="99"/>
      <c r="H72" s="99"/>
      <c r="I72" s="99"/>
      <c r="J72" s="99"/>
      <c r="K72" s="99"/>
      <c r="L72" s="99"/>
      <c r="M72" s="99"/>
      <c r="N72" s="99"/>
      <c r="O72" s="99"/>
      <c r="P72" s="99"/>
      <c r="Q72" s="99"/>
      <c r="R72" s="99"/>
      <c r="S72" s="99"/>
      <c r="T72" s="99"/>
      <c r="U72" s="99"/>
      <c r="V72" s="99"/>
      <c r="W72" s="99"/>
      <c r="X72" s="99"/>
      <c r="Y72" s="99"/>
      <c r="Z72" s="99"/>
      <c r="AA72" s="99"/>
      <c r="AB72" s="99"/>
      <c r="AC72" s="99"/>
      <c r="AD72" s="99"/>
    </row>
    <row r="73" spans="1:30" ht="28.5" customHeight="1" x14ac:dyDescent="0.15">
      <c r="A73" s="99"/>
      <c r="B73" s="99"/>
      <c r="C73" s="99"/>
      <c r="D73" s="99"/>
      <c r="E73" s="99"/>
      <c r="F73" s="99"/>
      <c r="G73" s="99"/>
      <c r="H73" s="99"/>
      <c r="I73" s="99"/>
      <c r="J73" s="99"/>
      <c r="K73" s="99"/>
      <c r="L73" s="99"/>
      <c r="M73" s="99"/>
      <c r="N73" s="99"/>
      <c r="O73" s="99"/>
      <c r="P73" s="99"/>
      <c r="Q73" s="99"/>
      <c r="R73" s="99"/>
      <c r="S73" s="99"/>
      <c r="T73" s="99"/>
      <c r="U73" s="99"/>
      <c r="V73" s="99"/>
      <c r="W73" s="99"/>
      <c r="X73" s="99"/>
      <c r="Y73" s="99"/>
      <c r="Z73" s="99"/>
      <c r="AA73" s="99"/>
      <c r="AB73" s="99"/>
      <c r="AC73" s="99"/>
      <c r="AD73" s="99"/>
    </row>
    <row r="74" spans="1:30" ht="28.5" customHeight="1" x14ac:dyDescent="0.15">
      <c r="A74" s="99"/>
      <c r="B74" s="99"/>
      <c r="C74" s="99"/>
      <c r="D74" s="99"/>
      <c r="E74" s="99"/>
      <c r="F74" s="99"/>
      <c r="G74" s="99"/>
      <c r="H74" s="99"/>
      <c r="I74" s="99"/>
      <c r="J74" s="99"/>
      <c r="K74" s="99"/>
      <c r="L74" s="99"/>
      <c r="M74" s="99"/>
      <c r="N74" s="99"/>
      <c r="O74" s="99"/>
      <c r="P74" s="99"/>
      <c r="Q74" s="99"/>
      <c r="R74" s="99"/>
      <c r="S74" s="99"/>
      <c r="T74" s="99"/>
      <c r="U74" s="99"/>
      <c r="V74" s="99"/>
      <c r="W74" s="99"/>
      <c r="X74" s="99"/>
      <c r="Y74" s="99"/>
      <c r="Z74" s="99"/>
      <c r="AA74" s="99"/>
      <c r="AB74" s="99"/>
      <c r="AC74" s="99"/>
      <c r="AD74" s="99"/>
    </row>
    <row r="75" spans="1:30" ht="28.5" customHeight="1" x14ac:dyDescent="0.15">
      <c r="A75" s="99"/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99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</row>
    <row r="76" spans="1:30" ht="28.5" customHeight="1" x14ac:dyDescent="0.15">
      <c r="A76" s="99"/>
      <c r="B76" s="99"/>
      <c r="C76" s="99"/>
      <c r="D76" s="99"/>
      <c r="E76" s="99"/>
      <c r="F76" s="99"/>
      <c r="G76" s="99"/>
      <c r="H76" s="99"/>
      <c r="I76" s="99"/>
      <c r="J76" s="99"/>
      <c r="K76" s="99"/>
      <c r="L76" s="99"/>
      <c r="M76" s="99"/>
      <c r="N76" s="99"/>
      <c r="O76" s="99"/>
      <c r="P76" s="99"/>
      <c r="Q76" s="99"/>
      <c r="R76" s="99"/>
      <c r="S76" s="99"/>
      <c r="T76" s="99"/>
      <c r="U76" s="99"/>
      <c r="V76" s="99"/>
      <c r="W76" s="99"/>
      <c r="X76" s="99"/>
      <c r="Y76" s="99"/>
      <c r="Z76" s="99"/>
      <c r="AA76" s="99"/>
      <c r="AB76" s="99"/>
      <c r="AC76" s="99"/>
      <c r="AD76" s="99"/>
    </row>
    <row r="77" spans="1:30" ht="28.5" customHeight="1" x14ac:dyDescent="0.15">
      <c r="A77" s="99"/>
      <c r="B77" s="99"/>
      <c r="C77" s="99"/>
      <c r="D77" s="99"/>
      <c r="E77" s="99"/>
      <c r="F77" s="99"/>
      <c r="G77" s="99"/>
      <c r="H77" s="99"/>
      <c r="I77" s="99"/>
      <c r="J77" s="99"/>
      <c r="K77" s="99"/>
      <c r="L77" s="99"/>
      <c r="M77" s="99"/>
      <c r="N77" s="99"/>
      <c r="O77" s="99"/>
      <c r="P77" s="99"/>
      <c r="Q77" s="99"/>
      <c r="R77" s="99"/>
      <c r="S77" s="99"/>
      <c r="T77" s="99"/>
      <c r="U77" s="99"/>
      <c r="V77" s="99"/>
      <c r="W77" s="99"/>
      <c r="X77" s="99"/>
      <c r="Y77" s="99"/>
      <c r="Z77" s="99"/>
      <c r="AA77" s="99"/>
      <c r="AB77" s="99"/>
      <c r="AC77" s="99"/>
      <c r="AD77" s="99"/>
    </row>
    <row r="78" spans="1:30" ht="28.5" customHeight="1" x14ac:dyDescent="0.15">
      <c r="A78" s="99"/>
      <c r="B78" s="99"/>
      <c r="C78" s="99"/>
      <c r="D78" s="99"/>
      <c r="E78" s="99"/>
      <c r="F78" s="99"/>
      <c r="G78" s="99"/>
      <c r="H78" s="99"/>
      <c r="I78" s="99"/>
      <c r="J78" s="99"/>
      <c r="K78" s="99"/>
      <c r="L78" s="99"/>
      <c r="M78" s="99"/>
      <c r="N78" s="99"/>
      <c r="O78" s="99"/>
      <c r="P78" s="99"/>
      <c r="Q78" s="99"/>
      <c r="R78" s="99"/>
      <c r="S78" s="99"/>
      <c r="T78" s="99"/>
      <c r="U78" s="99"/>
      <c r="V78" s="99"/>
      <c r="W78" s="99"/>
      <c r="X78" s="99"/>
      <c r="Y78" s="99"/>
      <c r="Z78" s="99"/>
      <c r="AA78" s="99"/>
      <c r="AB78" s="99"/>
      <c r="AC78" s="99"/>
      <c r="AD78" s="99"/>
    </row>
    <row r="79" spans="1:30" ht="28.5" customHeight="1" x14ac:dyDescent="0.15">
      <c r="A79" s="99"/>
      <c r="B79" s="99"/>
      <c r="C79" s="99"/>
      <c r="D79" s="99"/>
      <c r="E79" s="99"/>
      <c r="F79" s="99"/>
      <c r="G79" s="99"/>
      <c r="H79" s="99"/>
      <c r="I79" s="99"/>
      <c r="J79" s="99"/>
      <c r="K79" s="99"/>
      <c r="L79" s="99"/>
      <c r="M79" s="99"/>
      <c r="N79" s="99"/>
      <c r="O79" s="99"/>
      <c r="P79" s="99"/>
      <c r="Q79" s="99"/>
      <c r="R79" s="99"/>
      <c r="S79" s="99"/>
      <c r="T79" s="99"/>
      <c r="U79" s="99"/>
      <c r="V79" s="99"/>
      <c r="W79" s="99"/>
      <c r="X79" s="99"/>
      <c r="Y79" s="99"/>
      <c r="Z79" s="99"/>
      <c r="AA79" s="99"/>
      <c r="AB79" s="99"/>
      <c r="AC79" s="99"/>
      <c r="AD79" s="99"/>
    </row>
    <row r="80" spans="1:30" ht="28.5" customHeight="1" x14ac:dyDescent="0.15">
      <c r="A80" s="99"/>
      <c r="B80" s="99"/>
      <c r="C80" s="99"/>
      <c r="D80" s="99"/>
      <c r="E80" s="99"/>
      <c r="F80" s="99"/>
      <c r="G80" s="99"/>
      <c r="H80" s="99"/>
      <c r="I80" s="99"/>
      <c r="J80" s="99"/>
      <c r="K80" s="99"/>
      <c r="L80" s="99"/>
      <c r="M80" s="99"/>
      <c r="N80" s="99"/>
      <c r="O80" s="99"/>
      <c r="P80" s="99"/>
      <c r="Q80" s="99"/>
      <c r="R80" s="99"/>
      <c r="S80" s="99"/>
      <c r="T80" s="99"/>
      <c r="U80" s="99"/>
      <c r="V80" s="99"/>
      <c r="W80" s="99"/>
      <c r="X80" s="99"/>
      <c r="Y80" s="99"/>
      <c r="Z80" s="99"/>
      <c r="AA80" s="99"/>
      <c r="AB80" s="99"/>
      <c r="AC80" s="99"/>
      <c r="AD80" s="99"/>
    </row>
    <row r="81" spans="1:30" ht="28.5" customHeight="1" x14ac:dyDescent="0.15">
      <c r="A81" s="99"/>
      <c r="B81" s="99"/>
      <c r="C81" s="99"/>
      <c r="D81" s="99"/>
      <c r="E81" s="99"/>
      <c r="F81" s="99"/>
      <c r="G81" s="99"/>
      <c r="H81" s="99"/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99"/>
      <c r="T81" s="99"/>
      <c r="U81" s="99"/>
      <c r="V81" s="99"/>
      <c r="W81" s="99"/>
      <c r="X81" s="99"/>
      <c r="Y81" s="99"/>
      <c r="Z81" s="99"/>
      <c r="AA81" s="99"/>
      <c r="AB81" s="99"/>
      <c r="AC81" s="99"/>
      <c r="AD81" s="99"/>
    </row>
    <row r="82" spans="1:30" ht="28.5" customHeight="1" x14ac:dyDescent="0.15">
      <c r="A82" s="99"/>
      <c r="B82" s="99"/>
      <c r="C82" s="99"/>
      <c r="D82" s="99"/>
      <c r="E82" s="99"/>
      <c r="F82" s="99"/>
      <c r="G82" s="99"/>
      <c r="H82" s="99"/>
      <c r="I82" s="99"/>
      <c r="J82" s="99"/>
      <c r="K82" s="99"/>
      <c r="L82" s="99"/>
      <c r="M82" s="99"/>
      <c r="N82" s="99"/>
      <c r="O82" s="99"/>
      <c r="P82" s="99"/>
      <c r="Q82" s="99"/>
      <c r="R82" s="99"/>
      <c r="S82" s="99"/>
      <c r="T82" s="99"/>
      <c r="U82" s="99"/>
      <c r="V82" s="99"/>
      <c r="W82" s="99"/>
      <c r="X82" s="99"/>
      <c r="Y82" s="99"/>
      <c r="Z82" s="99"/>
      <c r="AA82" s="99"/>
      <c r="AB82" s="99"/>
      <c r="AC82" s="99"/>
      <c r="AD82" s="99"/>
    </row>
    <row r="83" spans="1:30" ht="28.5" customHeight="1" x14ac:dyDescent="0.15">
      <c r="A83" s="99"/>
      <c r="B83" s="99"/>
      <c r="C83" s="99"/>
      <c r="D83" s="99"/>
      <c r="E83" s="99"/>
      <c r="F83" s="99"/>
      <c r="G83" s="99"/>
      <c r="H83" s="99"/>
      <c r="I83" s="99"/>
      <c r="J83" s="99"/>
      <c r="K83" s="99"/>
      <c r="L83" s="99"/>
      <c r="M83" s="99"/>
      <c r="N83" s="99"/>
      <c r="O83" s="99"/>
      <c r="P83" s="99"/>
      <c r="Q83" s="99"/>
      <c r="R83" s="99"/>
      <c r="S83" s="99"/>
      <c r="T83" s="99"/>
      <c r="U83" s="99"/>
      <c r="V83" s="99"/>
      <c r="W83" s="99"/>
      <c r="X83" s="99"/>
      <c r="Y83" s="99"/>
      <c r="Z83" s="99"/>
      <c r="AA83" s="99"/>
      <c r="AB83" s="99"/>
      <c r="AC83" s="99"/>
      <c r="AD83" s="99"/>
    </row>
    <row r="84" spans="1:30" ht="28.5" customHeight="1" x14ac:dyDescent="0.15">
      <c r="A84" s="99"/>
      <c r="B84" s="99"/>
      <c r="C84" s="99"/>
      <c r="D84" s="99"/>
      <c r="E84" s="99"/>
      <c r="F84" s="99"/>
      <c r="G84" s="99"/>
      <c r="H84" s="99"/>
      <c r="I84" s="99"/>
      <c r="J84" s="99"/>
      <c r="K84" s="99"/>
      <c r="L84" s="99"/>
      <c r="M84" s="99"/>
      <c r="N84" s="99"/>
      <c r="O84" s="99"/>
      <c r="P84" s="99"/>
      <c r="Q84" s="99"/>
      <c r="R84" s="99"/>
      <c r="S84" s="99"/>
      <c r="T84" s="99"/>
      <c r="U84" s="99"/>
      <c r="V84" s="99"/>
      <c r="W84" s="99"/>
      <c r="X84" s="99"/>
      <c r="Y84" s="99"/>
      <c r="Z84" s="99"/>
      <c r="AA84" s="99"/>
      <c r="AB84" s="99"/>
      <c r="AC84" s="99"/>
      <c r="AD84" s="99"/>
    </row>
    <row r="85" spans="1:30" ht="28.5" customHeight="1" x14ac:dyDescent="0.15">
      <c r="A85" s="99"/>
      <c r="B85" s="99"/>
      <c r="C85" s="99"/>
      <c r="D85" s="99"/>
      <c r="E85" s="99"/>
      <c r="F85" s="99"/>
      <c r="G85" s="99"/>
      <c r="H85" s="99"/>
      <c r="I85" s="99"/>
      <c r="J85" s="99"/>
      <c r="K85" s="99"/>
      <c r="L85" s="99"/>
      <c r="M85" s="99"/>
      <c r="N85" s="99"/>
      <c r="O85" s="99"/>
      <c r="P85" s="99"/>
      <c r="Q85" s="99"/>
      <c r="R85" s="99"/>
      <c r="S85" s="99"/>
      <c r="T85" s="99"/>
      <c r="U85" s="99"/>
      <c r="V85" s="99"/>
      <c r="W85" s="99"/>
      <c r="X85" s="99"/>
      <c r="Y85" s="99"/>
      <c r="Z85" s="99"/>
      <c r="AA85" s="99"/>
      <c r="AB85" s="99"/>
      <c r="AC85" s="99"/>
      <c r="AD85" s="99"/>
    </row>
    <row r="86" spans="1:30" ht="28.5" customHeight="1" x14ac:dyDescent="0.15">
      <c r="A86" s="99"/>
      <c r="B86" s="99"/>
      <c r="C86" s="99"/>
      <c r="D86" s="99"/>
      <c r="E86" s="99"/>
      <c r="F86" s="99"/>
      <c r="G86" s="99"/>
      <c r="H86" s="99"/>
      <c r="I86" s="99"/>
      <c r="J86" s="99"/>
      <c r="K86" s="99"/>
      <c r="L86" s="99"/>
      <c r="M86" s="99"/>
      <c r="N86" s="99"/>
      <c r="O86" s="99"/>
      <c r="P86" s="99"/>
      <c r="Q86" s="99"/>
      <c r="R86" s="99"/>
      <c r="S86" s="99"/>
      <c r="T86" s="99"/>
      <c r="U86" s="99"/>
      <c r="V86" s="99"/>
      <c r="W86" s="99"/>
      <c r="X86" s="99"/>
      <c r="Y86" s="99"/>
      <c r="Z86" s="99"/>
      <c r="AA86" s="99"/>
      <c r="AB86" s="99"/>
      <c r="AC86" s="99"/>
      <c r="AD86" s="99"/>
    </row>
    <row r="87" spans="1:30" ht="28.5" customHeight="1" x14ac:dyDescent="0.15">
      <c r="A87" s="99"/>
      <c r="B87" s="99"/>
      <c r="C87" s="99"/>
      <c r="D87" s="99"/>
      <c r="E87" s="99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99"/>
      <c r="R87" s="99"/>
      <c r="S87" s="99"/>
      <c r="T87" s="99"/>
      <c r="U87" s="99"/>
      <c r="V87" s="99"/>
      <c r="W87" s="99"/>
      <c r="X87" s="99"/>
      <c r="Y87" s="99"/>
      <c r="Z87" s="99"/>
      <c r="AA87" s="99"/>
      <c r="AB87" s="99"/>
      <c r="AC87" s="99"/>
      <c r="AD87" s="99"/>
    </row>
    <row r="88" spans="1:30" ht="28.5" customHeight="1" x14ac:dyDescent="0.15">
      <c r="A88" s="99"/>
      <c r="B88" s="99"/>
      <c r="C88" s="99"/>
      <c r="D88" s="99"/>
      <c r="E88" s="99"/>
      <c r="F88" s="99"/>
      <c r="G88" s="99"/>
      <c r="H88" s="99"/>
      <c r="I88" s="99"/>
      <c r="J88" s="99"/>
      <c r="K88" s="99"/>
      <c r="L88" s="99"/>
      <c r="M88" s="99"/>
      <c r="N88" s="99"/>
      <c r="O88" s="99"/>
      <c r="P88" s="99"/>
      <c r="Q88" s="99"/>
      <c r="R88" s="99"/>
      <c r="S88" s="99"/>
      <c r="T88" s="99"/>
      <c r="U88" s="99"/>
      <c r="V88" s="99"/>
      <c r="W88" s="99"/>
      <c r="X88" s="99"/>
      <c r="Y88" s="99"/>
      <c r="Z88" s="99"/>
      <c r="AA88" s="99"/>
      <c r="AB88" s="99"/>
      <c r="AC88" s="99"/>
      <c r="AD88" s="99"/>
    </row>
    <row r="89" spans="1:30" ht="28.5" customHeight="1" x14ac:dyDescent="0.15">
      <c r="A89" s="99"/>
      <c r="B89" s="99"/>
      <c r="C89" s="99"/>
      <c r="D89" s="99"/>
      <c r="E89" s="99"/>
      <c r="F89" s="99"/>
      <c r="G89" s="99"/>
      <c r="H89" s="99"/>
      <c r="I89" s="99"/>
      <c r="J89" s="99"/>
      <c r="K89" s="99"/>
      <c r="L89" s="99"/>
      <c r="M89" s="99"/>
      <c r="N89" s="99"/>
      <c r="O89" s="99"/>
      <c r="P89" s="99"/>
      <c r="Q89" s="99"/>
      <c r="R89" s="99"/>
      <c r="S89" s="99"/>
      <c r="T89" s="99"/>
      <c r="U89" s="99"/>
      <c r="V89" s="99"/>
      <c r="W89" s="99"/>
      <c r="X89" s="99"/>
      <c r="Y89" s="99"/>
      <c r="Z89" s="99"/>
      <c r="AA89" s="99"/>
      <c r="AB89" s="99"/>
      <c r="AC89" s="99"/>
      <c r="AD89" s="99"/>
    </row>
    <row r="90" spans="1:30" ht="28.5" customHeight="1" x14ac:dyDescent="0.15">
      <c r="A90" s="99"/>
      <c r="B90" s="99"/>
      <c r="C90" s="99"/>
      <c r="D90" s="99"/>
      <c r="E90" s="99"/>
      <c r="F90" s="99"/>
      <c r="G90" s="99"/>
      <c r="H90" s="99"/>
      <c r="I90" s="99"/>
      <c r="J90" s="99"/>
      <c r="K90" s="99"/>
      <c r="L90" s="99"/>
      <c r="M90" s="99"/>
      <c r="N90" s="99"/>
      <c r="O90" s="99"/>
      <c r="P90" s="99"/>
      <c r="Q90" s="99"/>
      <c r="R90" s="99"/>
      <c r="S90" s="99"/>
      <c r="T90" s="99"/>
      <c r="U90" s="99"/>
      <c r="V90" s="99"/>
      <c r="W90" s="99"/>
      <c r="X90" s="99"/>
      <c r="Y90" s="99"/>
      <c r="Z90" s="99"/>
      <c r="AA90" s="99"/>
      <c r="AB90" s="99"/>
      <c r="AC90" s="99"/>
      <c r="AD90" s="99"/>
    </row>
    <row r="91" spans="1:30" ht="28.5" customHeight="1" x14ac:dyDescent="0.15">
      <c r="A91" s="99"/>
      <c r="B91" s="99"/>
      <c r="C91" s="99"/>
      <c r="D91" s="99"/>
      <c r="E91" s="99"/>
      <c r="F91" s="99"/>
      <c r="G91" s="99"/>
      <c r="H91" s="99"/>
      <c r="I91" s="99"/>
      <c r="J91" s="99"/>
      <c r="K91" s="99"/>
      <c r="L91" s="99"/>
      <c r="M91" s="99"/>
      <c r="N91" s="99"/>
      <c r="O91" s="99"/>
      <c r="P91" s="99"/>
      <c r="Q91" s="99"/>
      <c r="R91" s="99"/>
      <c r="S91" s="99"/>
      <c r="T91" s="99"/>
      <c r="U91" s="99"/>
      <c r="V91" s="99"/>
      <c r="W91" s="99"/>
      <c r="X91" s="99"/>
      <c r="Y91" s="99"/>
      <c r="Z91" s="99"/>
      <c r="AA91" s="99"/>
      <c r="AB91" s="99"/>
      <c r="AC91" s="99"/>
      <c r="AD91" s="99"/>
    </row>
    <row r="92" spans="1:30" ht="28.5" customHeight="1" x14ac:dyDescent="0.15">
      <c r="A92" s="99"/>
      <c r="B92" s="99"/>
      <c r="C92" s="99"/>
      <c r="D92" s="99"/>
      <c r="E92" s="99"/>
      <c r="F92" s="99"/>
      <c r="G92" s="99"/>
      <c r="H92" s="99"/>
      <c r="I92" s="99"/>
      <c r="J92" s="99"/>
      <c r="K92" s="99"/>
      <c r="L92" s="99"/>
      <c r="M92" s="99"/>
      <c r="N92" s="99"/>
      <c r="O92" s="99"/>
      <c r="P92" s="99"/>
      <c r="Q92" s="99"/>
      <c r="R92" s="99"/>
      <c r="S92" s="99"/>
      <c r="T92" s="99"/>
      <c r="U92" s="99"/>
      <c r="V92" s="99"/>
      <c r="W92" s="99"/>
      <c r="X92" s="99"/>
      <c r="Y92" s="99"/>
      <c r="Z92" s="99"/>
      <c r="AA92" s="99"/>
      <c r="AB92" s="99"/>
      <c r="AC92" s="99"/>
      <c r="AD92" s="99"/>
    </row>
    <row r="93" spans="1:30" ht="28.5" customHeight="1" x14ac:dyDescent="0.15">
      <c r="A93" s="99"/>
      <c r="B93" s="99"/>
      <c r="C93" s="99"/>
      <c r="D93" s="99"/>
      <c r="E93" s="99"/>
      <c r="F93" s="99"/>
      <c r="G93" s="99"/>
      <c r="H93" s="99"/>
      <c r="I93" s="99"/>
      <c r="J93" s="99"/>
      <c r="K93" s="99"/>
      <c r="L93" s="99"/>
      <c r="M93" s="99"/>
      <c r="N93" s="99"/>
      <c r="O93" s="99"/>
      <c r="P93" s="99"/>
      <c r="Q93" s="99"/>
      <c r="R93" s="99"/>
      <c r="S93" s="99"/>
      <c r="T93" s="99"/>
      <c r="U93" s="99"/>
      <c r="V93" s="99"/>
      <c r="W93" s="99"/>
      <c r="X93" s="99"/>
      <c r="Y93" s="99"/>
      <c r="Z93" s="99"/>
      <c r="AA93" s="99"/>
      <c r="AB93" s="99"/>
      <c r="AC93" s="99"/>
      <c r="AD93" s="99"/>
    </row>
    <row r="94" spans="1:30" ht="28.5" customHeight="1" x14ac:dyDescent="0.15">
      <c r="A94" s="99"/>
      <c r="B94" s="99"/>
      <c r="C94" s="99"/>
      <c r="D94" s="99"/>
      <c r="E94" s="99"/>
      <c r="F94" s="99"/>
      <c r="G94" s="99"/>
      <c r="H94" s="99"/>
      <c r="I94" s="99"/>
      <c r="J94" s="99"/>
      <c r="K94" s="99"/>
      <c r="L94" s="99"/>
      <c r="M94" s="99"/>
      <c r="N94" s="99"/>
      <c r="O94" s="99"/>
      <c r="P94" s="99"/>
      <c r="Q94" s="99"/>
      <c r="R94" s="99"/>
      <c r="S94" s="99"/>
      <c r="T94" s="99"/>
      <c r="U94" s="99"/>
      <c r="V94" s="99"/>
      <c r="W94" s="99"/>
      <c r="X94" s="99"/>
      <c r="Y94" s="99"/>
      <c r="Z94" s="99"/>
      <c r="AA94" s="99"/>
      <c r="AB94" s="99"/>
      <c r="AC94" s="99"/>
      <c r="AD94" s="99"/>
    </row>
    <row r="95" spans="1:30" ht="28.5" customHeight="1" x14ac:dyDescent="0.15">
      <c r="A95" s="99"/>
      <c r="B95" s="99"/>
      <c r="C95" s="99"/>
      <c r="D95" s="99"/>
      <c r="E95" s="99"/>
      <c r="F95" s="99"/>
      <c r="G95" s="99"/>
      <c r="H95" s="99"/>
      <c r="I95" s="99"/>
      <c r="J95" s="99"/>
      <c r="K95" s="99"/>
      <c r="L95" s="99"/>
      <c r="M95" s="99"/>
      <c r="N95" s="99"/>
      <c r="O95" s="99"/>
      <c r="P95" s="99"/>
      <c r="Q95" s="99"/>
      <c r="R95" s="99"/>
      <c r="S95" s="99"/>
      <c r="T95" s="99"/>
      <c r="U95" s="99"/>
      <c r="V95" s="99"/>
      <c r="W95" s="99"/>
      <c r="X95" s="99"/>
      <c r="Y95" s="99"/>
      <c r="Z95" s="99"/>
      <c r="AA95" s="99"/>
      <c r="AB95" s="99"/>
      <c r="AC95" s="99"/>
      <c r="AD95" s="99"/>
    </row>
    <row r="96" spans="1:30" ht="28.5" customHeight="1" x14ac:dyDescent="0.15">
      <c r="A96" s="99"/>
      <c r="B96" s="99"/>
      <c r="C96" s="99"/>
      <c r="D96" s="99"/>
      <c r="E96" s="99"/>
      <c r="F96" s="99"/>
      <c r="G96" s="99"/>
      <c r="H96" s="99"/>
      <c r="I96" s="99"/>
      <c r="J96" s="99"/>
      <c r="K96" s="99"/>
      <c r="L96" s="99"/>
      <c r="M96" s="99"/>
      <c r="N96" s="99"/>
      <c r="O96" s="99"/>
      <c r="P96" s="99"/>
      <c r="Q96" s="99"/>
      <c r="R96" s="99"/>
      <c r="S96" s="99"/>
      <c r="T96" s="99"/>
      <c r="U96" s="99"/>
      <c r="V96" s="99"/>
      <c r="W96" s="99"/>
      <c r="X96" s="99"/>
      <c r="Y96" s="99"/>
      <c r="Z96" s="99"/>
      <c r="AA96" s="99"/>
      <c r="AB96" s="99"/>
      <c r="AC96" s="99"/>
      <c r="AD96" s="99"/>
    </row>
    <row r="97" spans="1:30" ht="28.5" customHeight="1" x14ac:dyDescent="0.15">
      <c r="A97" s="99"/>
      <c r="B97" s="99"/>
      <c r="C97" s="99"/>
      <c r="D97" s="99"/>
      <c r="E97" s="99"/>
      <c r="F97" s="99"/>
      <c r="G97" s="99"/>
      <c r="H97" s="99"/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99"/>
      <c r="T97" s="99"/>
      <c r="U97" s="99"/>
      <c r="V97" s="99"/>
      <c r="W97" s="99"/>
      <c r="X97" s="99"/>
      <c r="Y97" s="99"/>
      <c r="Z97" s="99"/>
      <c r="AA97" s="99"/>
      <c r="AB97" s="99"/>
      <c r="AC97" s="99"/>
      <c r="AD97" s="99"/>
    </row>
    <row r="98" spans="1:30" ht="28.5" customHeight="1" x14ac:dyDescent="0.15">
      <c r="A98" s="99"/>
      <c r="B98" s="99"/>
      <c r="C98" s="99"/>
      <c r="D98" s="99"/>
      <c r="E98" s="99"/>
      <c r="F98" s="99"/>
      <c r="G98" s="99"/>
      <c r="H98" s="99"/>
      <c r="I98" s="99"/>
      <c r="J98" s="99"/>
      <c r="K98" s="99"/>
      <c r="L98" s="99"/>
      <c r="M98" s="99"/>
      <c r="N98" s="99"/>
      <c r="O98" s="99"/>
      <c r="P98" s="99"/>
      <c r="Q98" s="99"/>
      <c r="R98" s="99"/>
      <c r="S98" s="99"/>
      <c r="T98" s="99"/>
      <c r="U98" s="99"/>
      <c r="V98" s="99"/>
      <c r="W98" s="99"/>
      <c r="X98" s="99"/>
      <c r="Y98" s="99"/>
      <c r="Z98" s="99"/>
      <c r="AA98" s="99"/>
      <c r="AB98" s="99"/>
      <c r="AC98" s="99"/>
      <c r="AD98" s="99"/>
    </row>
    <row r="99" spans="1:30" ht="28.5" customHeight="1" x14ac:dyDescent="0.15">
      <c r="A99" s="99"/>
      <c r="B99" s="99"/>
      <c r="C99" s="99"/>
      <c r="D99" s="99"/>
      <c r="E99" s="99"/>
      <c r="F99" s="99"/>
      <c r="G99" s="99"/>
      <c r="H99" s="99"/>
      <c r="I99" s="99"/>
      <c r="J99" s="99"/>
      <c r="K99" s="99"/>
      <c r="L99" s="99"/>
      <c r="M99" s="99"/>
      <c r="N99" s="99"/>
      <c r="O99" s="99"/>
      <c r="P99" s="99"/>
      <c r="Q99" s="99"/>
      <c r="R99" s="99"/>
      <c r="S99" s="99"/>
      <c r="T99" s="99"/>
      <c r="U99" s="99"/>
      <c r="V99" s="99"/>
      <c r="W99" s="99"/>
      <c r="X99" s="99"/>
      <c r="Y99" s="99"/>
      <c r="Z99" s="99"/>
      <c r="AA99" s="99"/>
      <c r="AB99" s="99"/>
      <c r="AC99" s="99"/>
      <c r="AD99" s="99"/>
    </row>
    <row r="100" spans="1:30" ht="28.5" customHeight="1" x14ac:dyDescent="0.15">
      <c r="A100" s="99"/>
      <c r="B100" s="99"/>
      <c r="C100" s="99"/>
      <c r="D100" s="99"/>
      <c r="E100" s="99"/>
      <c r="F100" s="99"/>
      <c r="G100" s="99"/>
      <c r="H100" s="99"/>
      <c r="I100" s="99"/>
      <c r="J100" s="99"/>
      <c r="K100" s="99"/>
      <c r="L100" s="99"/>
      <c r="M100" s="99"/>
      <c r="N100" s="99"/>
      <c r="O100" s="99"/>
      <c r="P100" s="99"/>
      <c r="Q100" s="99"/>
      <c r="R100" s="99"/>
      <c r="S100" s="99"/>
      <c r="T100" s="99"/>
      <c r="U100" s="99"/>
      <c r="V100" s="99"/>
      <c r="W100" s="99"/>
      <c r="X100" s="99"/>
      <c r="Y100" s="99"/>
      <c r="Z100" s="99"/>
      <c r="AA100" s="99"/>
      <c r="AB100" s="99"/>
      <c r="AC100" s="99"/>
      <c r="AD100" s="99"/>
    </row>
    <row r="101" spans="1:30" ht="28.5" customHeight="1" x14ac:dyDescent="0.15">
      <c r="A101" s="99"/>
      <c r="B101" s="99"/>
      <c r="C101" s="99"/>
      <c r="D101" s="99"/>
      <c r="E101" s="99"/>
      <c r="F101" s="99"/>
      <c r="G101" s="99"/>
      <c r="H101" s="99"/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99"/>
      <c r="T101" s="99"/>
      <c r="U101" s="99"/>
      <c r="V101" s="99"/>
      <c r="W101" s="99"/>
      <c r="X101" s="99"/>
      <c r="Y101" s="99"/>
      <c r="Z101" s="99"/>
      <c r="AA101" s="99"/>
      <c r="AB101" s="99"/>
      <c r="AC101" s="99"/>
      <c r="AD101" s="99"/>
    </row>
    <row r="102" spans="1:30" ht="28.5" customHeight="1" x14ac:dyDescent="0.15">
      <c r="A102" s="99"/>
      <c r="B102" s="99"/>
      <c r="C102" s="99"/>
      <c r="D102" s="99"/>
      <c r="E102" s="99"/>
      <c r="F102" s="99"/>
      <c r="G102" s="99"/>
      <c r="H102" s="99"/>
      <c r="I102" s="99"/>
      <c r="J102" s="99"/>
      <c r="K102" s="99"/>
      <c r="L102" s="99"/>
      <c r="M102" s="99"/>
      <c r="N102" s="99"/>
      <c r="O102" s="99"/>
      <c r="P102" s="99"/>
      <c r="Q102" s="99"/>
      <c r="R102" s="99"/>
      <c r="S102" s="99"/>
      <c r="T102" s="99"/>
      <c r="U102" s="99"/>
      <c r="V102" s="99"/>
      <c r="W102" s="99"/>
      <c r="X102" s="99"/>
      <c r="Y102" s="99"/>
      <c r="Z102" s="99"/>
      <c r="AA102" s="99"/>
      <c r="AB102" s="99"/>
      <c r="AC102" s="99"/>
      <c r="AD102" s="99"/>
    </row>
    <row r="103" spans="1:30" ht="28.5" customHeight="1" x14ac:dyDescent="0.15">
      <c r="A103" s="99"/>
      <c r="B103" s="99"/>
      <c r="C103" s="99"/>
      <c r="D103" s="99"/>
      <c r="E103" s="99"/>
      <c r="F103" s="99"/>
      <c r="G103" s="99"/>
      <c r="H103" s="99"/>
      <c r="I103" s="99"/>
      <c r="J103" s="99"/>
      <c r="K103" s="99"/>
      <c r="L103" s="99"/>
      <c r="M103" s="99"/>
      <c r="N103" s="99"/>
      <c r="O103" s="99"/>
      <c r="P103" s="99"/>
      <c r="Q103" s="99"/>
      <c r="R103" s="99"/>
      <c r="S103" s="99"/>
      <c r="T103" s="99"/>
      <c r="U103" s="99"/>
      <c r="V103" s="99"/>
      <c r="W103" s="99"/>
      <c r="X103" s="99"/>
      <c r="Y103" s="99"/>
      <c r="Z103" s="99"/>
      <c r="AA103" s="99"/>
      <c r="AB103" s="99"/>
      <c r="AC103" s="99"/>
      <c r="AD103" s="99"/>
    </row>
    <row r="104" spans="1:30" ht="28.5" customHeight="1" x14ac:dyDescent="0.15">
      <c r="A104" s="99"/>
      <c r="B104" s="99"/>
      <c r="C104" s="99"/>
      <c r="D104" s="99"/>
      <c r="E104" s="99"/>
      <c r="F104" s="99"/>
      <c r="G104" s="99"/>
      <c r="H104" s="99"/>
      <c r="I104" s="99"/>
      <c r="J104" s="99"/>
      <c r="K104" s="99"/>
      <c r="L104" s="99"/>
      <c r="M104" s="99"/>
      <c r="N104" s="99"/>
      <c r="O104" s="99"/>
      <c r="P104" s="99"/>
      <c r="Q104" s="99"/>
      <c r="R104" s="99"/>
      <c r="S104" s="99"/>
      <c r="T104" s="99"/>
      <c r="U104" s="99"/>
      <c r="V104" s="99"/>
      <c r="W104" s="99"/>
      <c r="X104" s="99"/>
      <c r="Y104" s="99"/>
      <c r="Z104" s="99"/>
      <c r="AA104" s="99"/>
      <c r="AB104" s="99"/>
      <c r="AC104" s="99"/>
      <c r="AD104" s="99"/>
    </row>
    <row r="105" spans="1:30" ht="28.5" customHeight="1" x14ac:dyDescent="0.15">
      <c r="A105" s="99"/>
      <c r="B105" s="99"/>
      <c r="C105" s="99"/>
      <c r="D105" s="99"/>
      <c r="E105" s="99"/>
      <c r="F105" s="99"/>
      <c r="G105" s="99"/>
      <c r="H105" s="99"/>
      <c r="I105" s="99"/>
      <c r="J105" s="99"/>
      <c r="K105" s="99"/>
      <c r="L105" s="99"/>
      <c r="M105" s="99"/>
      <c r="N105" s="99"/>
      <c r="O105" s="99"/>
      <c r="P105" s="99"/>
      <c r="Q105" s="99"/>
      <c r="R105" s="99"/>
      <c r="S105" s="99"/>
      <c r="T105" s="99"/>
      <c r="U105" s="99"/>
      <c r="V105" s="99"/>
      <c r="W105" s="99"/>
      <c r="X105" s="99"/>
      <c r="Y105" s="99"/>
      <c r="Z105" s="99"/>
      <c r="AA105" s="99"/>
      <c r="AB105" s="99"/>
      <c r="AC105" s="99"/>
      <c r="AD105" s="99"/>
    </row>
    <row r="106" spans="1:30" ht="28.5" customHeight="1" x14ac:dyDescent="0.15">
      <c r="A106" s="99"/>
      <c r="B106" s="99"/>
      <c r="C106" s="99"/>
      <c r="D106" s="99"/>
      <c r="E106" s="99"/>
      <c r="F106" s="99"/>
      <c r="G106" s="99"/>
      <c r="H106" s="99"/>
      <c r="I106" s="99"/>
      <c r="J106" s="99"/>
      <c r="K106" s="99"/>
      <c r="L106" s="99"/>
      <c r="M106" s="99"/>
      <c r="N106" s="99"/>
      <c r="O106" s="99"/>
      <c r="P106" s="99"/>
      <c r="Q106" s="99"/>
      <c r="R106" s="99"/>
      <c r="S106" s="99"/>
      <c r="T106" s="99"/>
      <c r="U106" s="99"/>
      <c r="V106" s="99"/>
      <c r="W106" s="99"/>
      <c r="X106" s="99"/>
      <c r="Y106" s="99"/>
      <c r="Z106" s="99"/>
      <c r="AA106" s="99"/>
      <c r="AB106" s="99"/>
      <c r="AC106" s="99"/>
      <c r="AD106" s="99"/>
    </row>
    <row r="107" spans="1:30" ht="28.5" customHeight="1" x14ac:dyDescent="0.15">
      <c r="A107" s="99"/>
      <c r="B107" s="99"/>
      <c r="C107" s="99"/>
      <c r="D107" s="99"/>
      <c r="E107" s="99"/>
      <c r="F107" s="99"/>
      <c r="G107" s="99"/>
      <c r="H107" s="99"/>
      <c r="I107" s="99"/>
      <c r="J107" s="99"/>
      <c r="K107" s="99"/>
      <c r="L107" s="99"/>
      <c r="M107" s="99"/>
      <c r="N107" s="99"/>
      <c r="O107" s="99"/>
      <c r="P107" s="99"/>
      <c r="Q107" s="99"/>
      <c r="R107" s="99"/>
      <c r="S107" s="99"/>
      <c r="T107" s="99"/>
      <c r="U107" s="99"/>
      <c r="V107" s="99"/>
      <c r="W107" s="99"/>
      <c r="X107" s="99"/>
      <c r="Y107" s="99"/>
      <c r="Z107" s="99"/>
      <c r="AA107" s="99"/>
      <c r="AB107" s="99"/>
      <c r="AC107" s="99"/>
      <c r="AD107" s="99"/>
    </row>
    <row r="108" spans="1:30" ht="28.5" customHeight="1" x14ac:dyDescent="0.15">
      <c r="A108" s="99"/>
      <c r="B108" s="99"/>
      <c r="C108" s="99"/>
      <c r="D108" s="99"/>
      <c r="E108" s="99"/>
      <c r="F108" s="99"/>
      <c r="G108" s="99"/>
      <c r="H108" s="99"/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99"/>
      <c r="T108" s="99"/>
      <c r="U108" s="99"/>
      <c r="V108" s="99"/>
      <c r="W108" s="99"/>
      <c r="X108" s="99"/>
      <c r="Y108" s="99"/>
      <c r="Z108" s="99"/>
      <c r="AA108" s="99"/>
      <c r="AB108" s="99"/>
      <c r="AC108" s="99"/>
      <c r="AD108" s="99"/>
    </row>
    <row r="109" spans="1:30" ht="28.5" customHeight="1" x14ac:dyDescent="0.15">
      <c r="A109" s="99"/>
      <c r="B109" s="99"/>
      <c r="C109" s="99"/>
      <c r="D109" s="99"/>
      <c r="E109" s="99"/>
      <c r="F109" s="99"/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99"/>
      <c r="T109" s="99"/>
      <c r="U109" s="99"/>
      <c r="V109" s="99"/>
      <c r="W109" s="99"/>
      <c r="X109" s="99"/>
      <c r="Y109" s="99"/>
      <c r="Z109" s="99"/>
      <c r="AA109" s="99"/>
      <c r="AB109" s="99"/>
      <c r="AC109" s="99"/>
      <c r="AD109" s="99"/>
    </row>
    <row r="110" spans="1:30" ht="28.5" customHeight="1" x14ac:dyDescent="0.15">
      <c r="A110" s="99"/>
      <c r="B110" s="99"/>
      <c r="C110" s="99"/>
      <c r="D110" s="99"/>
      <c r="E110" s="99"/>
      <c r="F110" s="99"/>
      <c r="G110" s="99"/>
      <c r="H110" s="99"/>
      <c r="I110" s="99"/>
      <c r="J110" s="99"/>
      <c r="K110" s="99"/>
      <c r="L110" s="99"/>
      <c r="M110" s="99"/>
      <c r="N110" s="99"/>
      <c r="O110" s="99"/>
      <c r="P110" s="99"/>
      <c r="Q110" s="99"/>
      <c r="R110" s="99"/>
      <c r="S110" s="99"/>
      <c r="T110" s="99"/>
      <c r="U110" s="99"/>
      <c r="V110" s="99"/>
      <c r="W110" s="99"/>
      <c r="X110" s="99"/>
      <c r="Y110" s="99"/>
      <c r="Z110" s="99"/>
      <c r="AA110" s="99"/>
      <c r="AB110" s="99"/>
      <c r="AC110" s="99"/>
      <c r="AD110" s="99"/>
    </row>
    <row r="111" spans="1:30" ht="28.5" customHeight="1" x14ac:dyDescent="0.15">
      <c r="A111" s="99"/>
      <c r="B111" s="99"/>
      <c r="C111" s="99"/>
      <c r="D111" s="99"/>
      <c r="E111" s="99"/>
      <c r="F111" s="99"/>
      <c r="G111" s="99"/>
      <c r="H111" s="99"/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99"/>
      <c r="T111" s="99"/>
      <c r="U111" s="99"/>
      <c r="V111" s="99"/>
      <c r="W111" s="99"/>
      <c r="X111" s="99"/>
      <c r="Y111" s="99"/>
      <c r="Z111" s="99"/>
      <c r="AA111" s="99"/>
      <c r="AB111" s="99"/>
      <c r="AC111" s="99"/>
      <c r="AD111" s="99"/>
    </row>
    <row r="112" spans="1:30" ht="28.5" customHeight="1" x14ac:dyDescent="0.15">
      <c r="A112" s="99"/>
      <c r="B112" s="99"/>
      <c r="C112" s="99"/>
      <c r="D112" s="99"/>
      <c r="E112" s="99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99"/>
      <c r="T112" s="99"/>
      <c r="U112" s="99"/>
      <c r="V112" s="99"/>
      <c r="W112" s="99"/>
      <c r="X112" s="99"/>
      <c r="Y112" s="99"/>
      <c r="Z112" s="99"/>
      <c r="AA112" s="99"/>
      <c r="AB112" s="99"/>
      <c r="AC112" s="99"/>
      <c r="AD112" s="99"/>
    </row>
    <row r="113" spans="1:30" ht="28.5" customHeight="1" x14ac:dyDescent="0.15">
      <c r="A113" s="99"/>
      <c r="B113" s="99"/>
      <c r="C113" s="99"/>
      <c r="D113" s="99"/>
      <c r="E113" s="99"/>
      <c r="F113" s="99"/>
      <c r="G113" s="99"/>
      <c r="H113" s="99"/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99"/>
      <c r="T113" s="99"/>
      <c r="U113" s="99"/>
      <c r="V113" s="99"/>
      <c r="W113" s="99"/>
      <c r="X113" s="99"/>
      <c r="Y113" s="99"/>
      <c r="Z113" s="99"/>
      <c r="AA113" s="99"/>
      <c r="AB113" s="99"/>
      <c r="AC113" s="99"/>
      <c r="AD113" s="99"/>
    </row>
    <row r="114" spans="1:30" ht="28.5" customHeight="1" x14ac:dyDescent="0.15">
      <c r="A114" s="99"/>
      <c r="B114" s="99"/>
      <c r="C114" s="99"/>
      <c r="D114" s="99"/>
      <c r="E114" s="99"/>
      <c r="F114" s="99"/>
      <c r="G114" s="99"/>
      <c r="H114" s="99"/>
      <c r="I114" s="99"/>
      <c r="J114" s="99"/>
      <c r="K114" s="99"/>
      <c r="L114" s="99"/>
      <c r="M114" s="99"/>
      <c r="N114" s="99"/>
      <c r="O114" s="99"/>
      <c r="P114" s="99"/>
      <c r="Q114" s="99"/>
      <c r="R114" s="99"/>
      <c r="S114" s="99"/>
      <c r="T114" s="99"/>
      <c r="U114" s="99"/>
      <c r="V114" s="99"/>
      <c r="W114" s="99"/>
      <c r="X114" s="99"/>
      <c r="Y114" s="99"/>
      <c r="Z114" s="99"/>
      <c r="AA114" s="99"/>
      <c r="AB114" s="99"/>
      <c r="AC114" s="99"/>
      <c r="AD114" s="99"/>
    </row>
    <row r="115" spans="1:30" ht="28.5" customHeight="1" x14ac:dyDescent="0.15">
      <c r="A115" s="99"/>
      <c r="B115" s="99"/>
      <c r="C115" s="99"/>
      <c r="D115" s="99"/>
      <c r="E115" s="99"/>
      <c r="F115" s="99"/>
      <c r="G115" s="99"/>
      <c r="H115" s="99"/>
      <c r="I115" s="99"/>
      <c r="J115" s="99"/>
      <c r="K115" s="99"/>
      <c r="L115" s="99"/>
      <c r="M115" s="99"/>
      <c r="N115" s="99"/>
      <c r="O115" s="99"/>
      <c r="P115" s="99"/>
      <c r="Q115" s="99"/>
      <c r="R115" s="99"/>
      <c r="S115" s="99"/>
      <c r="T115" s="99"/>
      <c r="U115" s="99"/>
      <c r="V115" s="99"/>
      <c r="W115" s="99"/>
      <c r="X115" s="99"/>
      <c r="Y115" s="99"/>
      <c r="Z115" s="99"/>
      <c r="AA115" s="99"/>
      <c r="AB115" s="99"/>
      <c r="AC115" s="99"/>
      <c r="AD115" s="99"/>
    </row>
    <row r="116" spans="1:30" ht="28.5" customHeight="1" x14ac:dyDescent="0.15">
      <c r="A116" s="99"/>
      <c r="B116" s="99"/>
      <c r="C116" s="99"/>
      <c r="D116" s="99"/>
      <c r="E116" s="99"/>
      <c r="F116" s="99"/>
      <c r="G116" s="99"/>
      <c r="H116" s="99"/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9"/>
      <c r="T116" s="99"/>
      <c r="U116" s="99"/>
      <c r="V116" s="99"/>
      <c r="W116" s="99"/>
      <c r="X116" s="99"/>
      <c r="Y116" s="99"/>
      <c r="Z116" s="99"/>
      <c r="AA116" s="99"/>
      <c r="AB116" s="99"/>
      <c r="AC116" s="99"/>
      <c r="AD116" s="99"/>
    </row>
    <row r="117" spans="1:30" ht="28.5" customHeight="1" x14ac:dyDescent="0.15">
      <c r="A117" s="99"/>
      <c r="B117" s="99"/>
      <c r="C117" s="99"/>
      <c r="D117" s="99"/>
      <c r="E117" s="99"/>
      <c r="F117" s="99"/>
      <c r="G117" s="99"/>
      <c r="H117" s="99"/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9"/>
      <c r="T117" s="99"/>
      <c r="U117" s="99"/>
      <c r="V117" s="99"/>
      <c r="W117" s="99"/>
      <c r="X117" s="99"/>
      <c r="Y117" s="99"/>
      <c r="Z117" s="99"/>
      <c r="AA117" s="99"/>
      <c r="AB117" s="99"/>
      <c r="AC117" s="99"/>
      <c r="AD117" s="99"/>
    </row>
    <row r="118" spans="1:30" ht="28.5" customHeight="1" x14ac:dyDescent="0.15">
      <c r="A118" s="99"/>
      <c r="B118" s="99"/>
      <c r="C118" s="99"/>
      <c r="D118" s="99"/>
      <c r="E118" s="99"/>
      <c r="F118" s="99"/>
      <c r="G118" s="99"/>
      <c r="H118" s="99"/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9"/>
      <c r="T118" s="99"/>
      <c r="U118" s="99"/>
      <c r="V118" s="99"/>
      <c r="W118" s="99"/>
      <c r="X118" s="99"/>
      <c r="Y118" s="99"/>
      <c r="Z118" s="99"/>
      <c r="AA118" s="99"/>
      <c r="AB118" s="99"/>
      <c r="AC118" s="99"/>
      <c r="AD118" s="99"/>
    </row>
    <row r="119" spans="1:30" ht="28.5" customHeight="1" x14ac:dyDescent="0.15">
      <c r="A119" s="99"/>
      <c r="B119" s="99"/>
      <c r="C119" s="99"/>
      <c r="D119" s="99"/>
      <c r="E119" s="99"/>
      <c r="F119" s="99"/>
      <c r="G119" s="99"/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99"/>
      <c r="U119" s="99"/>
      <c r="V119" s="99"/>
      <c r="W119" s="99"/>
      <c r="X119" s="99"/>
      <c r="Y119" s="99"/>
      <c r="Z119" s="99"/>
      <c r="AA119" s="99"/>
      <c r="AB119" s="99"/>
      <c r="AC119" s="99"/>
      <c r="AD119" s="99"/>
    </row>
    <row r="120" spans="1:30" ht="28.5" customHeight="1" x14ac:dyDescent="0.15">
      <c r="A120" s="99"/>
      <c r="B120" s="99"/>
      <c r="C120" s="99"/>
      <c r="D120" s="99"/>
      <c r="E120" s="99"/>
      <c r="F120" s="99"/>
      <c r="G120" s="99"/>
      <c r="H120" s="99"/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99"/>
      <c r="U120" s="99"/>
      <c r="V120" s="99"/>
      <c r="W120" s="99"/>
      <c r="X120" s="99"/>
      <c r="Y120" s="99"/>
      <c r="Z120" s="99"/>
      <c r="AA120" s="99"/>
      <c r="AB120" s="99"/>
      <c r="AC120" s="99"/>
      <c r="AD120" s="99"/>
    </row>
    <row r="121" spans="1:30" ht="28.5" customHeight="1" x14ac:dyDescent="0.15">
      <c r="A121" s="99"/>
      <c r="B121" s="99"/>
      <c r="C121" s="99"/>
      <c r="D121" s="99"/>
      <c r="E121" s="99"/>
      <c r="F121" s="99"/>
      <c r="G121" s="99"/>
      <c r="H121" s="99"/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99"/>
      <c r="T121" s="99"/>
      <c r="U121" s="99"/>
      <c r="V121" s="99"/>
      <c r="W121" s="99"/>
      <c r="X121" s="99"/>
      <c r="Y121" s="99"/>
      <c r="Z121" s="99"/>
      <c r="AA121" s="99"/>
      <c r="AB121" s="99"/>
      <c r="AC121" s="99"/>
      <c r="AD121" s="99"/>
    </row>
    <row r="122" spans="1:30" ht="28.5" customHeight="1" x14ac:dyDescent="0.15">
      <c r="A122" s="99"/>
      <c r="B122" s="99"/>
      <c r="C122" s="99"/>
      <c r="D122" s="99"/>
      <c r="E122" s="99"/>
      <c r="F122" s="99"/>
      <c r="G122" s="99"/>
      <c r="H122" s="99"/>
      <c r="I122" s="99"/>
      <c r="J122" s="99"/>
      <c r="K122" s="99"/>
      <c r="L122" s="99"/>
      <c r="M122" s="99"/>
      <c r="N122" s="99"/>
      <c r="O122" s="99"/>
      <c r="P122" s="99"/>
      <c r="Q122" s="99"/>
      <c r="R122" s="99"/>
      <c r="S122" s="99"/>
      <c r="T122" s="99"/>
      <c r="U122" s="99"/>
      <c r="V122" s="99"/>
      <c r="W122" s="99"/>
      <c r="X122" s="99"/>
      <c r="Y122" s="99"/>
      <c r="Z122" s="99"/>
      <c r="AA122" s="99"/>
      <c r="AB122" s="99"/>
      <c r="AC122" s="99"/>
      <c r="AD122" s="99"/>
    </row>
    <row r="123" spans="1:30" ht="28.5" customHeight="1" x14ac:dyDescent="0.15">
      <c r="A123" s="99"/>
      <c r="B123" s="99"/>
      <c r="C123" s="99"/>
      <c r="D123" s="99"/>
      <c r="E123" s="99"/>
      <c r="F123" s="99"/>
      <c r="G123" s="99"/>
      <c r="H123" s="99"/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99"/>
      <c r="U123" s="99"/>
      <c r="V123" s="99"/>
      <c r="W123" s="99"/>
      <c r="X123" s="99"/>
      <c r="Y123" s="99"/>
      <c r="Z123" s="99"/>
      <c r="AA123" s="99"/>
      <c r="AB123" s="99"/>
      <c r="AC123" s="99"/>
      <c r="AD123" s="99"/>
    </row>
    <row r="124" spans="1:30" ht="28.5" customHeight="1" x14ac:dyDescent="0.15">
      <c r="A124" s="99"/>
      <c r="B124" s="99"/>
      <c r="C124" s="99"/>
      <c r="D124" s="99"/>
      <c r="E124" s="99"/>
      <c r="F124" s="99"/>
      <c r="G124" s="99"/>
      <c r="H124" s="99"/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99"/>
      <c r="T124" s="99"/>
      <c r="U124" s="99"/>
      <c r="V124" s="99"/>
      <c r="W124" s="99"/>
      <c r="X124" s="99"/>
      <c r="Y124" s="99"/>
      <c r="Z124" s="99"/>
      <c r="AA124" s="99"/>
      <c r="AB124" s="99"/>
      <c r="AC124" s="99"/>
      <c r="AD124" s="99"/>
    </row>
    <row r="125" spans="1:30" ht="28.5" customHeight="1" x14ac:dyDescent="0.15">
      <c r="A125" s="99"/>
      <c r="B125" s="99"/>
      <c r="C125" s="99"/>
      <c r="D125" s="99"/>
      <c r="E125" s="99"/>
      <c r="F125" s="99"/>
      <c r="G125" s="99"/>
      <c r="H125" s="99"/>
      <c r="I125" s="99"/>
      <c r="J125" s="99"/>
      <c r="K125" s="99"/>
      <c r="L125" s="99"/>
      <c r="M125" s="99"/>
      <c r="N125" s="99"/>
      <c r="O125" s="99"/>
      <c r="P125" s="99"/>
      <c r="Q125" s="99"/>
      <c r="R125" s="99"/>
      <c r="S125" s="99"/>
      <c r="T125" s="99"/>
      <c r="U125" s="99"/>
      <c r="V125" s="99"/>
      <c r="W125" s="99"/>
      <c r="X125" s="99"/>
      <c r="Y125" s="99"/>
      <c r="Z125" s="99"/>
      <c r="AA125" s="99"/>
      <c r="AB125" s="99"/>
      <c r="AC125" s="99"/>
      <c r="AD125" s="99"/>
    </row>
    <row r="126" spans="1:30" ht="28.5" customHeight="1" x14ac:dyDescent="0.15">
      <c r="A126" s="99"/>
      <c r="B126" s="99"/>
      <c r="C126" s="99"/>
      <c r="D126" s="99"/>
      <c r="E126" s="99"/>
      <c r="F126" s="99"/>
      <c r="G126" s="99"/>
      <c r="H126" s="99"/>
      <c r="I126" s="99"/>
      <c r="J126" s="99"/>
      <c r="K126" s="99"/>
      <c r="L126" s="99"/>
      <c r="M126" s="99"/>
      <c r="N126" s="99"/>
      <c r="O126" s="99"/>
      <c r="P126" s="99"/>
      <c r="Q126" s="99"/>
      <c r="R126" s="99"/>
      <c r="S126" s="99"/>
      <c r="T126" s="99"/>
      <c r="U126" s="99"/>
      <c r="V126" s="99"/>
      <c r="W126" s="99"/>
      <c r="X126" s="99"/>
      <c r="Y126" s="99"/>
      <c r="Z126" s="99"/>
      <c r="AA126" s="99"/>
      <c r="AB126" s="99"/>
      <c r="AC126" s="99"/>
      <c r="AD126" s="99"/>
    </row>
    <row r="127" spans="1:30" ht="28.5" customHeight="1" x14ac:dyDescent="0.15">
      <c r="A127" s="99"/>
      <c r="B127" s="99"/>
      <c r="C127" s="99"/>
      <c r="D127" s="99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</row>
    <row r="128" spans="1:30" ht="28.5" customHeight="1" x14ac:dyDescent="0.15">
      <c r="A128" s="99"/>
      <c r="B128" s="99"/>
      <c r="C128" s="99"/>
      <c r="D128" s="99"/>
      <c r="E128" s="99"/>
      <c r="F128" s="99"/>
      <c r="G128" s="99"/>
      <c r="H128" s="99"/>
      <c r="I128" s="99"/>
      <c r="J128" s="99"/>
      <c r="K128" s="99"/>
      <c r="L128" s="99"/>
      <c r="M128" s="99"/>
      <c r="N128" s="99"/>
      <c r="O128" s="99"/>
      <c r="P128" s="99"/>
      <c r="Q128" s="99"/>
      <c r="R128" s="99"/>
      <c r="S128" s="99"/>
      <c r="T128" s="99"/>
      <c r="U128" s="99"/>
      <c r="V128" s="99"/>
      <c r="W128" s="99"/>
      <c r="X128" s="99"/>
      <c r="Y128" s="99"/>
      <c r="Z128" s="99"/>
      <c r="AA128" s="99"/>
      <c r="AB128" s="99"/>
      <c r="AC128" s="99"/>
      <c r="AD128" s="99"/>
    </row>
    <row r="129" spans="1:30" ht="28.5" customHeight="1" x14ac:dyDescent="0.15">
      <c r="A129" s="99"/>
      <c r="B129" s="99"/>
      <c r="C129" s="99"/>
      <c r="D129" s="99"/>
      <c r="E129" s="99"/>
      <c r="F129" s="99"/>
      <c r="G129" s="99"/>
      <c r="H129" s="99"/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99"/>
      <c r="T129" s="99"/>
      <c r="U129" s="99"/>
      <c r="V129" s="99"/>
      <c r="W129" s="99"/>
      <c r="X129" s="99"/>
      <c r="Y129" s="99"/>
      <c r="Z129" s="99"/>
      <c r="AA129" s="99"/>
      <c r="AB129" s="99"/>
      <c r="AC129" s="99"/>
      <c r="AD129" s="99"/>
    </row>
    <row r="130" spans="1:30" ht="28.5" customHeight="1" x14ac:dyDescent="0.15">
      <c r="A130" s="99"/>
      <c r="B130" s="99"/>
      <c r="C130" s="99"/>
      <c r="D130" s="99"/>
      <c r="E130" s="99"/>
      <c r="F130" s="99"/>
      <c r="G130" s="99"/>
      <c r="H130" s="99"/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99"/>
      <c r="T130" s="99"/>
      <c r="U130" s="99"/>
      <c r="V130" s="99"/>
      <c r="W130" s="99"/>
      <c r="X130" s="99"/>
      <c r="Y130" s="99"/>
      <c r="Z130" s="99"/>
      <c r="AA130" s="99"/>
      <c r="AB130" s="99"/>
      <c r="AC130" s="99"/>
      <c r="AD130" s="99"/>
    </row>
    <row r="131" spans="1:30" ht="28.5" customHeight="1" x14ac:dyDescent="0.15">
      <c r="A131" s="99"/>
      <c r="B131" s="99"/>
      <c r="C131" s="99"/>
      <c r="D131" s="99"/>
      <c r="E131" s="99"/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99"/>
      <c r="R131" s="99"/>
      <c r="S131" s="99"/>
      <c r="T131" s="99"/>
      <c r="U131" s="99"/>
      <c r="V131" s="99"/>
      <c r="W131" s="99"/>
      <c r="X131" s="99"/>
      <c r="Y131" s="99"/>
      <c r="Z131" s="99"/>
      <c r="AA131" s="99"/>
      <c r="AB131" s="99"/>
      <c r="AC131" s="99"/>
      <c r="AD131" s="99"/>
    </row>
    <row r="132" spans="1:30" ht="28.5" customHeight="1" x14ac:dyDescent="0.15">
      <c r="A132" s="99"/>
      <c r="B132" s="99"/>
      <c r="C132" s="99"/>
      <c r="D132" s="99"/>
      <c r="E132" s="99"/>
      <c r="F132" s="99"/>
      <c r="G132" s="99"/>
      <c r="H132" s="99"/>
      <c r="I132" s="99"/>
      <c r="J132" s="99"/>
      <c r="K132" s="99"/>
      <c r="L132" s="99"/>
      <c r="M132" s="99"/>
      <c r="N132" s="99"/>
      <c r="O132" s="99"/>
      <c r="P132" s="99"/>
      <c r="Q132" s="99"/>
      <c r="R132" s="99"/>
      <c r="S132" s="99"/>
      <c r="T132" s="99"/>
      <c r="U132" s="99"/>
      <c r="V132" s="99"/>
      <c r="W132" s="99"/>
      <c r="X132" s="99"/>
      <c r="Y132" s="99"/>
      <c r="Z132" s="99"/>
      <c r="AA132" s="99"/>
      <c r="AB132" s="99"/>
      <c r="AC132" s="99"/>
      <c r="AD132" s="99"/>
    </row>
    <row r="133" spans="1:30" ht="28.5" customHeight="1" x14ac:dyDescent="0.15">
      <c r="A133" s="99"/>
      <c r="B133" s="99"/>
      <c r="C133" s="99"/>
      <c r="D133" s="99"/>
      <c r="E133" s="99"/>
      <c r="F133" s="99"/>
      <c r="G133" s="99"/>
      <c r="H133" s="99"/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99"/>
      <c r="T133" s="99"/>
      <c r="U133" s="99"/>
      <c r="V133" s="99"/>
      <c r="W133" s="99"/>
      <c r="X133" s="99"/>
      <c r="Y133" s="99"/>
      <c r="Z133" s="99"/>
      <c r="AA133" s="99"/>
      <c r="AB133" s="99"/>
      <c r="AC133" s="99"/>
      <c r="AD133" s="99"/>
    </row>
    <row r="134" spans="1:30" ht="28.5" customHeight="1" x14ac:dyDescent="0.15">
      <c r="A134" s="99"/>
      <c r="B134" s="99"/>
      <c r="C134" s="99"/>
      <c r="D134" s="99"/>
      <c r="E134" s="99"/>
      <c r="F134" s="99"/>
      <c r="G134" s="99"/>
      <c r="H134" s="99"/>
      <c r="I134" s="99"/>
      <c r="J134" s="99"/>
      <c r="K134" s="99"/>
      <c r="L134" s="99"/>
      <c r="M134" s="99"/>
      <c r="N134" s="99"/>
      <c r="O134" s="99"/>
      <c r="P134" s="99"/>
      <c r="Q134" s="99"/>
      <c r="R134" s="99"/>
      <c r="S134" s="99"/>
      <c r="T134" s="99"/>
      <c r="U134" s="99"/>
      <c r="V134" s="99"/>
      <c r="W134" s="99"/>
      <c r="X134" s="99"/>
      <c r="Y134" s="99"/>
      <c r="Z134" s="99"/>
      <c r="AA134" s="99"/>
      <c r="AB134" s="99"/>
      <c r="AC134" s="99"/>
      <c r="AD134" s="99"/>
    </row>
    <row r="135" spans="1:30" ht="28.5" customHeight="1" x14ac:dyDescent="0.15">
      <c r="A135" s="99"/>
      <c r="B135" s="99"/>
      <c r="C135" s="99"/>
      <c r="D135" s="99"/>
      <c r="E135" s="99"/>
      <c r="F135" s="99"/>
      <c r="G135" s="99"/>
      <c r="H135" s="99"/>
      <c r="I135" s="99"/>
      <c r="J135" s="99"/>
      <c r="K135" s="99"/>
      <c r="L135" s="99"/>
      <c r="M135" s="99"/>
      <c r="N135" s="99"/>
      <c r="O135" s="99"/>
      <c r="P135" s="99"/>
      <c r="Q135" s="99"/>
      <c r="R135" s="99"/>
      <c r="S135" s="99"/>
      <c r="T135" s="99"/>
      <c r="U135" s="99"/>
      <c r="V135" s="99"/>
      <c r="W135" s="99"/>
      <c r="X135" s="99"/>
      <c r="Y135" s="99"/>
      <c r="Z135" s="99"/>
      <c r="AA135" s="99"/>
      <c r="AB135" s="99"/>
      <c r="AC135" s="99"/>
      <c r="AD135" s="99"/>
    </row>
    <row r="136" spans="1:30" ht="28.5" customHeight="1" x14ac:dyDescent="0.15">
      <c r="A136" s="99"/>
      <c r="B136" s="99"/>
      <c r="C136" s="99"/>
      <c r="D136" s="99"/>
      <c r="E136" s="99"/>
      <c r="F136" s="99"/>
      <c r="G136" s="99"/>
      <c r="H136" s="99"/>
      <c r="I136" s="99"/>
      <c r="J136" s="99"/>
      <c r="K136" s="99"/>
      <c r="L136" s="99"/>
      <c r="M136" s="99"/>
      <c r="N136" s="99"/>
      <c r="O136" s="99"/>
      <c r="P136" s="99"/>
      <c r="Q136" s="99"/>
      <c r="R136" s="99"/>
      <c r="S136" s="99"/>
      <c r="T136" s="99"/>
      <c r="U136" s="99"/>
      <c r="V136" s="99"/>
      <c r="W136" s="99"/>
      <c r="X136" s="99"/>
      <c r="Y136" s="99"/>
      <c r="Z136" s="99"/>
      <c r="AA136" s="99"/>
      <c r="AB136" s="99"/>
      <c r="AC136" s="99"/>
      <c r="AD136" s="99"/>
    </row>
    <row r="137" spans="1:30" ht="28.5" customHeight="1" x14ac:dyDescent="0.15">
      <c r="A137" s="99"/>
      <c r="B137" s="99"/>
      <c r="C137" s="99"/>
      <c r="D137" s="99"/>
      <c r="E137" s="99"/>
      <c r="F137" s="99"/>
      <c r="G137" s="99"/>
      <c r="H137" s="99"/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99"/>
      <c r="T137" s="99"/>
      <c r="U137" s="99"/>
      <c r="V137" s="99"/>
      <c r="W137" s="99"/>
      <c r="X137" s="99"/>
      <c r="Y137" s="99"/>
      <c r="Z137" s="99"/>
      <c r="AA137" s="99"/>
      <c r="AB137" s="99"/>
      <c r="AC137" s="99"/>
      <c r="AD137" s="99"/>
    </row>
    <row r="138" spans="1:30" ht="28.5" customHeight="1" x14ac:dyDescent="0.15">
      <c r="A138" s="99"/>
      <c r="B138" s="99"/>
      <c r="C138" s="99"/>
      <c r="D138" s="99"/>
      <c r="E138" s="99"/>
      <c r="F138" s="99"/>
      <c r="G138" s="99"/>
      <c r="H138" s="99"/>
      <c r="I138" s="99"/>
      <c r="J138" s="99"/>
      <c r="K138" s="99"/>
      <c r="L138" s="99"/>
      <c r="M138" s="99"/>
      <c r="N138" s="99"/>
      <c r="O138" s="99"/>
      <c r="P138" s="99"/>
      <c r="Q138" s="99"/>
      <c r="R138" s="99"/>
      <c r="S138" s="99"/>
      <c r="T138" s="99"/>
      <c r="U138" s="99"/>
      <c r="V138" s="99"/>
      <c r="W138" s="99"/>
      <c r="X138" s="99"/>
      <c r="Y138" s="99"/>
      <c r="Z138" s="99"/>
      <c r="AA138" s="99"/>
      <c r="AB138" s="99"/>
      <c r="AC138" s="99"/>
      <c r="AD138" s="99"/>
    </row>
    <row r="139" spans="1:30" ht="28.5" customHeight="1" x14ac:dyDescent="0.15">
      <c r="A139" s="99"/>
      <c r="B139" s="99"/>
      <c r="C139" s="99"/>
      <c r="D139" s="99"/>
      <c r="E139" s="99"/>
      <c r="F139" s="99"/>
      <c r="G139" s="99"/>
      <c r="H139" s="99"/>
      <c r="I139" s="99"/>
      <c r="J139" s="99"/>
      <c r="K139" s="99"/>
      <c r="L139" s="99"/>
      <c r="M139" s="99"/>
      <c r="N139" s="99"/>
      <c r="O139" s="99"/>
      <c r="P139" s="99"/>
      <c r="Q139" s="99"/>
      <c r="R139" s="99"/>
      <c r="S139" s="99"/>
      <c r="T139" s="99"/>
      <c r="U139" s="99"/>
      <c r="V139" s="99"/>
      <c r="W139" s="99"/>
      <c r="X139" s="99"/>
      <c r="Y139" s="99"/>
      <c r="Z139" s="99"/>
      <c r="AA139" s="99"/>
      <c r="AB139" s="99"/>
      <c r="AC139" s="99"/>
      <c r="AD139" s="99"/>
    </row>
    <row r="140" spans="1:30" ht="28.5" customHeight="1" x14ac:dyDescent="0.15">
      <c r="A140" s="99"/>
      <c r="B140" s="99"/>
      <c r="C140" s="99"/>
      <c r="D140" s="99"/>
      <c r="E140" s="99"/>
      <c r="F140" s="99"/>
      <c r="G140" s="99"/>
      <c r="H140" s="99"/>
      <c r="I140" s="99"/>
      <c r="J140" s="99"/>
      <c r="K140" s="99"/>
      <c r="L140" s="99"/>
      <c r="M140" s="99"/>
      <c r="N140" s="99"/>
      <c r="O140" s="99"/>
      <c r="P140" s="99"/>
      <c r="Q140" s="99"/>
      <c r="R140" s="99"/>
      <c r="S140" s="99"/>
      <c r="T140" s="99"/>
      <c r="U140" s="99"/>
      <c r="V140" s="99"/>
      <c r="W140" s="99"/>
      <c r="X140" s="99"/>
      <c r="Y140" s="99"/>
      <c r="Z140" s="99"/>
      <c r="AA140" s="99"/>
      <c r="AB140" s="99"/>
      <c r="AC140" s="99"/>
      <c r="AD140" s="99"/>
    </row>
    <row r="141" spans="1:30" ht="28.5" customHeight="1" x14ac:dyDescent="0.15">
      <c r="A141" s="99"/>
      <c r="B141" s="99"/>
      <c r="C141" s="99"/>
      <c r="D141" s="99"/>
      <c r="E141" s="99"/>
      <c r="F141" s="99"/>
      <c r="G141" s="99"/>
      <c r="H141" s="99"/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99"/>
      <c r="T141" s="99"/>
      <c r="U141" s="99"/>
      <c r="V141" s="99"/>
      <c r="W141" s="99"/>
      <c r="X141" s="99"/>
      <c r="Y141" s="99"/>
      <c r="Z141" s="99"/>
      <c r="AA141" s="99"/>
      <c r="AB141" s="99"/>
      <c r="AC141" s="99"/>
      <c r="AD141" s="99"/>
    </row>
    <row r="142" spans="1:30" ht="28.5" customHeight="1" x14ac:dyDescent="0.15">
      <c r="A142" s="99"/>
      <c r="B142" s="99"/>
      <c r="C142" s="99"/>
      <c r="D142" s="99"/>
      <c r="E142" s="99"/>
      <c r="F142" s="99"/>
      <c r="G142" s="99"/>
      <c r="H142" s="99"/>
      <c r="I142" s="99"/>
      <c r="J142" s="99"/>
      <c r="K142" s="99"/>
      <c r="L142" s="99"/>
      <c r="M142" s="99"/>
      <c r="N142" s="99"/>
      <c r="O142" s="99"/>
      <c r="P142" s="99"/>
      <c r="Q142" s="99"/>
      <c r="R142" s="99"/>
      <c r="S142" s="99"/>
      <c r="T142" s="99"/>
      <c r="U142" s="99"/>
      <c r="V142" s="99"/>
      <c r="W142" s="99"/>
      <c r="X142" s="99"/>
      <c r="Y142" s="99"/>
      <c r="Z142" s="99"/>
      <c r="AA142" s="99"/>
      <c r="AB142" s="99"/>
      <c r="AC142" s="99"/>
      <c r="AD142" s="99"/>
    </row>
    <row r="143" spans="1:30" ht="28.5" customHeight="1" x14ac:dyDescent="0.15">
      <c r="A143" s="99"/>
      <c r="B143" s="99"/>
      <c r="C143" s="99"/>
      <c r="D143" s="99"/>
      <c r="E143" s="99"/>
      <c r="F143" s="99"/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99"/>
      <c r="T143" s="99"/>
      <c r="U143" s="99"/>
      <c r="V143" s="99"/>
      <c r="W143" s="99"/>
      <c r="X143" s="99"/>
      <c r="Y143" s="99"/>
      <c r="Z143" s="99"/>
      <c r="AA143" s="99"/>
      <c r="AB143" s="99"/>
      <c r="AC143" s="99"/>
      <c r="AD143" s="99"/>
    </row>
    <row r="144" spans="1:30" ht="28.5" customHeight="1" x14ac:dyDescent="0.15">
      <c r="A144" s="99"/>
      <c r="B144" s="99"/>
      <c r="C144" s="99"/>
      <c r="D144" s="99"/>
      <c r="E144" s="99"/>
      <c r="F144" s="99"/>
      <c r="G144" s="99"/>
      <c r="H144" s="99"/>
      <c r="I144" s="99"/>
      <c r="J144" s="99"/>
      <c r="K144" s="99"/>
      <c r="L144" s="99"/>
      <c r="M144" s="99"/>
      <c r="N144" s="99"/>
      <c r="O144" s="99"/>
      <c r="P144" s="99"/>
      <c r="Q144" s="99"/>
      <c r="R144" s="99"/>
      <c r="S144" s="99"/>
      <c r="T144" s="99"/>
      <c r="U144" s="99"/>
      <c r="V144" s="99"/>
      <c r="W144" s="99"/>
      <c r="X144" s="99"/>
      <c r="Y144" s="99"/>
      <c r="Z144" s="99"/>
      <c r="AA144" s="99"/>
      <c r="AB144" s="99"/>
      <c r="AC144" s="99"/>
      <c r="AD144" s="99"/>
    </row>
    <row r="145" spans="1:30" ht="28.5" customHeight="1" x14ac:dyDescent="0.15">
      <c r="A145" s="99"/>
      <c r="B145" s="99"/>
      <c r="C145" s="99"/>
      <c r="D145" s="99"/>
      <c r="E145" s="99"/>
      <c r="F145" s="99"/>
      <c r="G145" s="99"/>
      <c r="H145" s="99"/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99"/>
      <c r="T145" s="99"/>
      <c r="U145" s="99"/>
      <c r="V145" s="99"/>
      <c r="W145" s="99"/>
      <c r="X145" s="99"/>
      <c r="Y145" s="99"/>
      <c r="Z145" s="99"/>
      <c r="AA145" s="99"/>
      <c r="AB145" s="99"/>
      <c r="AC145" s="99"/>
      <c r="AD145" s="99"/>
    </row>
    <row r="146" spans="1:30" ht="28.5" customHeight="1" x14ac:dyDescent="0.15">
      <c r="A146" s="99"/>
      <c r="B146" s="99"/>
      <c r="C146" s="99"/>
      <c r="D146" s="99"/>
      <c r="E146" s="99"/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99"/>
      <c r="U146" s="99"/>
      <c r="V146" s="99"/>
      <c r="W146" s="99"/>
      <c r="X146" s="99"/>
      <c r="Y146" s="99"/>
      <c r="Z146" s="99"/>
      <c r="AA146" s="99"/>
      <c r="AB146" s="99"/>
      <c r="AC146" s="99"/>
      <c r="AD146" s="99"/>
    </row>
    <row r="147" spans="1:30" ht="28.5" customHeight="1" x14ac:dyDescent="0.15">
      <c r="A147" s="99"/>
      <c r="B147" s="99"/>
      <c r="C147" s="99"/>
      <c r="D147" s="99"/>
      <c r="E147" s="99"/>
      <c r="F147" s="99"/>
      <c r="G147" s="99"/>
      <c r="H147" s="99"/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99"/>
      <c r="T147" s="99"/>
      <c r="U147" s="99"/>
      <c r="V147" s="99"/>
      <c r="W147" s="99"/>
      <c r="X147" s="99"/>
      <c r="Y147" s="99"/>
      <c r="Z147" s="99"/>
      <c r="AA147" s="99"/>
      <c r="AB147" s="99"/>
      <c r="AC147" s="99"/>
      <c r="AD147" s="99"/>
    </row>
    <row r="148" spans="1:30" ht="28.5" customHeight="1" x14ac:dyDescent="0.15">
      <c r="A148" s="99"/>
      <c r="B148" s="99"/>
      <c r="C148" s="99"/>
      <c r="D148" s="99"/>
      <c r="E148" s="99"/>
      <c r="F148" s="99"/>
      <c r="G148" s="99"/>
      <c r="H148" s="99"/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99"/>
      <c r="T148" s="99"/>
      <c r="U148" s="99"/>
      <c r="V148" s="99"/>
      <c r="W148" s="99"/>
      <c r="X148" s="99"/>
      <c r="Y148" s="99"/>
      <c r="Z148" s="99"/>
      <c r="AA148" s="99"/>
      <c r="AB148" s="99"/>
      <c r="AC148" s="99"/>
      <c r="AD148" s="99"/>
    </row>
    <row r="149" spans="1:30" ht="28.5" customHeight="1" x14ac:dyDescent="0.15">
      <c r="A149" s="99"/>
      <c r="B149" s="99"/>
      <c r="C149" s="99"/>
      <c r="D149" s="99"/>
      <c r="E149" s="99"/>
      <c r="F149" s="99"/>
      <c r="G149" s="99"/>
      <c r="H149" s="99"/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99"/>
      <c r="T149" s="99"/>
      <c r="U149" s="99"/>
      <c r="V149" s="99"/>
      <c r="W149" s="99"/>
      <c r="X149" s="99"/>
      <c r="Y149" s="99"/>
      <c r="Z149" s="99"/>
      <c r="AA149" s="99"/>
      <c r="AB149" s="99"/>
      <c r="AC149" s="99"/>
      <c r="AD149" s="99"/>
    </row>
    <row r="150" spans="1:30" ht="28.5" customHeight="1" x14ac:dyDescent="0.15">
      <c r="A150" s="99"/>
      <c r="B150" s="99"/>
      <c r="C150" s="99"/>
      <c r="D150" s="99"/>
      <c r="E150" s="99"/>
      <c r="F150" s="99"/>
      <c r="G150" s="99"/>
      <c r="H150" s="99"/>
      <c r="I150" s="99"/>
      <c r="J150" s="99"/>
      <c r="K150" s="99"/>
      <c r="L150" s="99"/>
      <c r="M150" s="99"/>
      <c r="N150" s="99"/>
      <c r="O150" s="99"/>
      <c r="P150" s="99"/>
      <c r="Q150" s="99"/>
      <c r="R150" s="99"/>
      <c r="S150" s="99"/>
      <c r="T150" s="99"/>
      <c r="U150" s="99"/>
      <c r="V150" s="99"/>
      <c r="W150" s="99"/>
      <c r="X150" s="99"/>
      <c r="Y150" s="99"/>
      <c r="Z150" s="99"/>
      <c r="AA150" s="99"/>
      <c r="AB150" s="99"/>
      <c r="AC150" s="99"/>
      <c r="AD150" s="99"/>
    </row>
    <row r="151" spans="1:30" ht="28.5" customHeight="1" x14ac:dyDescent="0.15">
      <c r="A151" s="99"/>
      <c r="B151" s="99"/>
      <c r="C151" s="99"/>
      <c r="D151" s="99"/>
      <c r="E151" s="99"/>
      <c r="F151" s="99"/>
      <c r="G151" s="99"/>
      <c r="H151" s="99"/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99"/>
      <c r="T151" s="99"/>
      <c r="U151" s="99"/>
      <c r="V151" s="99"/>
      <c r="W151" s="99"/>
      <c r="X151" s="99"/>
      <c r="Y151" s="99"/>
      <c r="Z151" s="99"/>
      <c r="AA151" s="99"/>
      <c r="AB151" s="99"/>
      <c r="AC151" s="99"/>
      <c r="AD151" s="99"/>
    </row>
    <row r="152" spans="1:30" ht="28.5" customHeight="1" x14ac:dyDescent="0.15">
      <c r="A152" s="99"/>
      <c r="B152" s="99"/>
      <c r="C152" s="99"/>
      <c r="D152" s="99"/>
      <c r="E152" s="99"/>
      <c r="F152" s="99"/>
      <c r="G152" s="99"/>
      <c r="H152" s="99"/>
      <c r="I152" s="99"/>
      <c r="J152" s="99"/>
      <c r="K152" s="99"/>
      <c r="L152" s="99"/>
      <c r="M152" s="99"/>
      <c r="N152" s="99"/>
      <c r="O152" s="99"/>
      <c r="P152" s="99"/>
      <c r="Q152" s="99"/>
      <c r="R152" s="99"/>
      <c r="S152" s="99"/>
      <c r="T152" s="99"/>
      <c r="U152" s="99"/>
      <c r="V152" s="99"/>
      <c r="W152" s="99"/>
      <c r="X152" s="99"/>
      <c r="Y152" s="99"/>
      <c r="Z152" s="99"/>
      <c r="AA152" s="99"/>
      <c r="AB152" s="99"/>
      <c r="AC152" s="99"/>
      <c r="AD152" s="99"/>
    </row>
    <row r="153" spans="1:30" ht="28.5" customHeight="1" x14ac:dyDescent="0.15">
      <c r="A153" s="99"/>
      <c r="B153" s="99"/>
      <c r="C153" s="99"/>
      <c r="D153" s="99"/>
      <c r="E153" s="99"/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99"/>
      <c r="T153" s="99"/>
      <c r="U153" s="99"/>
      <c r="V153" s="99"/>
      <c r="W153" s="99"/>
      <c r="X153" s="99"/>
      <c r="Y153" s="99"/>
      <c r="Z153" s="99"/>
      <c r="AA153" s="99"/>
      <c r="AB153" s="99"/>
      <c r="AC153" s="99"/>
      <c r="AD153" s="99"/>
    </row>
    <row r="154" spans="1:30" ht="28.5" customHeight="1" x14ac:dyDescent="0.15">
      <c r="A154" s="99"/>
      <c r="B154" s="99"/>
      <c r="C154" s="99"/>
      <c r="D154" s="99"/>
      <c r="E154" s="99"/>
      <c r="F154" s="99"/>
      <c r="G154" s="99"/>
      <c r="H154" s="99"/>
      <c r="I154" s="99"/>
      <c r="J154" s="99"/>
      <c r="K154" s="99"/>
      <c r="L154" s="99"/>
      <c r="M154" s="99"/>
      <c r="N154" s="99"/>
      <c r="O154" s="99"/>
      <c r="P154" s="99"/>
      <c r="Q154" s="99"/>
      <c r="R154" s="99"/>
      <c r="S154" s="99"/>
      <c r="T154" s="99"/>
      <c r="U154" s="99"/>
      <c r="V154" s="99"/>
      <c r="W154" s="99"/>
      <c r="X154" s="99"/>
      <c r="Y154" s="99"/>
      <c r="Z154" s="99"/>
      <c r="AA154" s="99"/>
      <c r="AB154" s="99"/>
      <c r="AC154" s="99"/>
      <c r="AD154" s="99"/>
    </row>
    <row r="155" spans="1:30" ht="28.5" customHeight="1" x14ac:dyDescent="0.15">
      <c r="A155" s="99"/>
      <c r="B155" s="99"/>
      <c r="C155" s="99"/>
      <c r="D155" s="99"/>
      <c r="E155" s="99"/>
      <c r="F155" s="99"/>
      <c r="G155" s="99"/>
      <c r="H155" s="99"/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99"/>
      <c r="T155" s="99"/>
      <c r="U155" s="99"/>
      <c r="V155" s="99"/>
      <c r="W155" s="99"/>
      <c r="X155" s="99"/>
      <c r="Y155" s="99"/>
      <c r="Z155" s="99"/>
      <c r="AA155" s="99"/>
      <c r="AB155" s="99"/>
      <c r="AC155" s="99"/>
      <c r="AD155" s="99"/>
    </row>
    <row r="156" spans="1:30" ht="28.5" customHeight="1" x14ac:dyDescent="0.15">
      <c r="A156" s="99"/>
      <c r="B156" s="99"/>
      <c r="C156" s="99"/>
      <c r="D156" s="99"/>
      <c r="E156" s="99"/>
      <c r="F156" s="99"/>
      <c r="G156" s="99"/>
      <c r="H156" s="99"/>
      <c r="I156" s="99"/>
      <c r="J156" s="99"/>
      <c r="K156" s="99"/>
      <c r="L156" s="99"/>
      <c r="M156" s="99"/>
      <c r="N156" s="99"/>
      <c r="O156" s="99"/>
      <c r="P156" s="99"/>
      <c r="Q156" s="99"/>
      <c r="R156" s="99"/>
      <c r="S156" s="99"/>
      <c r="T156" s="99"/>
      <c r="U156" s="99"/>
      <c r="V156" s="99"/>
      <c r="W156" s="99"/>
      <c r="X156" s="99"/>
      <c r="Y156" s="99"/>
      <c r="Z156" s="99"/>
      <c r="AA156" s="99"/>
      <c r="AB156" s="99"/>
      <c r="AC156" s="99"/>
      <c r="AD156" s="99"/>
    </row>
    <row r="157" spans="1:30" ht="28.5" customHeight="1" x14ac:dyDescent="0.15">
      <c r="A157" s="99"/>
      <c r="B157" s="99"/>
      <c r="C157" s="99"/>
      <c r="D157" s="99"/>
      <c r="E157" s="99"/>
      <c r="F157" s="99"/>
      <c r="G157" s="99"/>
      <c r="H157" s="99"/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99"/>
      <c r="T157" s="99"/>
      <c r="U157" s="99"/>
      <c r="V157" s="99"/>
      <c r="W157" s="99"/>
      <c r="X157" s="99"/>
      <c r="Y157" s="99"/>
      <c r="Z157" s="99"/>
      <c r="AA157" s="99"/>
      <c r="AB157" s="99"/>
      <c r="AC157" s="99"/>
      <c r="AD157" s="99"/>
    </row>
    <row r="158" spans="1:30" ht="28.5" customHeight="1" x14ac:dyDescent="0.15">
      <c r="A158" s="99"/>
      <c r="B158" s="99"/>
      <c r="C158" s="99"/>
      <c r="D158" s="99"/>
      <c r="E158" s="99"/>
      <c r="F158" s="99"/>
      <c r="G158" s="99"/>
      <c r="H158" s="99"/>
      <c r="I158" s="99"/>
      <c r="J158" s="99"/>
      <c r="K158" s="99"/>
      <c r="L158" s="99"/>
      <c r="M158" s="99"/>
      <c r="N158" s="99"/>
      <c r="O158" s="99"/>
      <c r="P158" s="99"/>
      <c r="Q158" s="99"/>
      <c r="R158" s="99"/>
      <c r="S158" s="99"/>
      <c r="T158" s="99"/>
      <c r="U158" s="99"/>
      <c r="V158" s="99"/>
      <c r="W158" s="99"/>
      <c r="X158" s="99"/>
      <c r="Y158" s="99"/>
      <c r="Z158" s="99"/>
      <c r="AA158" s="99"/>
      <c r="AB158" s="99"/>
      <c r="AC158" s="99"/>
      <c r="AD158" s="99"/>
    </row>
    <row r="159" spans="1:30" ht="28.5" customHeight="1" x14ac:dyDescent="0.15">
      <c r="A159" s="99"/>
      <c r="B159" s="99"/>
      <c r="C159" s="99"/>
      <c r="D159" s="99"/>
      <c r="E159" s="99"/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99"/>
      <c r="T159" s="99"/>
      <c r="U159" s="99"/>
      <c r="V159" s="99"/>
      <c r="W159" s="99"/>
      <c r="X159" s="99"/>
      <c r="Y159" s="99"/>
      <c r="Z159" s="99"/>
      <c r="AA159" s="99"/>
      <c r="AB159" s="99"/>
      <c r="AC159" s="99"/>
      <c r="AD159" s="99"/>
    </row>
    <row r="160" spans="1:30" ht="28.5" customHeight="1" x14ac:dyDescent="0.15">
      <c r="A160" s="99"/>
      <c r="B160" s="99"/>
      <c r="C160" s="99"/>
      <c r="D160" s="99"/>
      <c r="E160" s="99"/>
      <c r="F160" s="99"/>
      <c r="G160" s="99"/>
      <c r="H160" s="99"/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99"/>
      <c r="T160" s="99"/>
      <c r="U160" s="99"/>
      <c r="V160" s="99"/>
      <c r="W160" s="99"/>
      <c r="X160" s="99"/>
      <c r="Y160" s="99"/>
      <c r="Z160" s="99"/>
      <c r="AA160" s="99"/>
      <c r="AB160" s="99"/>
      <c r="AC160" s="99"/>
      <c r="AD160" s="99"/>
    </row>
    <row r="161" spans="1:30" ht="28.5" customHeight="1" x14ac:dyDescent="0.15">
      <c r="A161" s="99"/>
      <c r="B161" s="99"/>
      <c r="C161" s="99"/>
      <c r="D161" s="99"/>
      <c r="E161" s="99"/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99"/>
      <c r="T161" s="99"/>
      <c r="U161" s="99"/>
      <c r="V161" s="99"/>
      <c r="W161" s="99"/>
      <c r="X161" s="99"/>
      <c r="Y161" s="99"/>
      <c r="Z161" s="99"/>
      <c r="AA161" s="99"/>
      <c r="AB161" s="99"/>
      <c r="AC161" s="99"/>
      <c r="AD161" s="99"/>
    </row>
    <row r="162" spans="1:30" ht="28.5" customHeight="1" x14ac:dyDescent="0.15">
      <c r="A162" s="99"/>
      <c r="B162" s="99"/>
      <c r="C162" s="99"/>
      <c r="D162" s="99"/>
      <c r="E162" s="99"/>
      <c r="F162" s="99"/>
      <c r="G162" s="99"/>
      <c r="H162" s="99"/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99"/>
      <c r="T162" s="99"/>
      <c r="U162" s="99"/>
      <c r="V162" s="99"/>
      <c r="W162" s="99"/>
      <c r="X162" s="99"/>
      <c r="Y162" s="99"/>
      <c r="Z162" s="99"/>
      <c r="AA162" s="99"/>
      <c r="AB162" s="99"/>
      <c r="AC162" s="99"/>
      <c r="AD162" s="99"/>
    </row>
    <row r="163" spans="1:30" ht="28.5" customHeight="1" x14ac:dyDescent="0.15">
      <c r="A163" s="99"/>
      <c r="B163" s="99"/>
      <c r="C163" s="99"/>
      <c r="D163" s="99"/>
      <c r="E163" s="99"/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99"/>
      <c r="T163" s="99"/>
      <c r="U163" s="99"/>
      <c r="V163" s="99"/>
      <c r="W163" s="99"/>
      <c r="X163" s="99"/>
      <c r="Y163" s="99"/>
      <c r="Z163" s="99"/>
      <c r="AA163" s="99"/>
      <c r="AB163" s="99"/>
      <c r="AC163" s="99"/>
      <c r="AD163" s="99"/>
    </row>
    <row r="164" spans="1:30" ht="28.5" customHeight="1" x14ac:dyDescent="0.15">
      <c r="A164" s="99"/>
      <c r="B164" s="99"/>
      <c r="C164" s="99"/>
      <c r="D164" s="99"/>
      <c r="E164" s="99"/>
      <c r="F164" s="99"/>
      <c r="G164" s="99"/>
      <c r="H164" s="99"/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99"/>
      <c r="T164" s="99"/>
      <c r="U164" s="99"/>
      <c r="V164" s="99"/>
      <c r="W164" s="99"/>
      <c r="X164" s="99"/>
      <c r="Y164" s="99"/>
      <c r="Z164" s="99"/>
      <c r="AA164" s="99"/>
      <c r="AB164" s="99"/>
      <c r="AC164" s="99"/>
      <c r="AD164" s="99"/>
    </row>
    <row r="165" spans="1:30" ht="28.5" customHeight="1" x14ac:dyDescent="0.15">
      <c r="A165" s="99"/>
      <c r="B165" s="99"/>
      <c r="C165" s="99"/>
      <c r="D165" s="99"/>
      <c r="E165" s="99"/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99"/>
      <c r="T165" s="99"/>
      <c r="U165" s="99"/>
      <c r="V165" s="99"/>
      <c r="W165" s="99"/>
      <c r="X165" s="99"/>
      <c r="Y165" s="99"/>
      <c r="Z165" s="99"/>
      <c r="AA165" s="99"/>
      <c r="AB165" s="99"/>
      <c r="AC165" s="99"/>
      <c r="AD165" s="99"/>
    </row>
    <row r="166" spans="1:30" ht="28.5" customHeight="1" x14ac:dyDescent="0.15">
      <c r="A166" s="99"/>
      <c r="B166" s="99"/>
      <c r="C166" s="99"/>
      <c r="D166" s="99"/>
      <c r="E166" s="99"/>
      <c r="F166" s="99"/>
      <c r="G166" s="99"/>
      <c r="H166" s="99"/>
      <c r="I166" s="99"/>
      <c r="J166" s="99"/>
      <c r="K166" s="99"/>
      <c r="L166" s="99"/>
      <c r="M166" s="99"/>
      <c r="N166" s="99"/>
      <c r="O166" s="99"/>
      <c r="P166" s="99"/>
      <c r="Q166" s="99"/>
      <c r="R166" s="99"/>
      <c r="S166" s="99"/>
      <c r="T166" s="99"/>
      <c r="U166" s="99"/>
      <c r="V166" s="99"/>
      <c r="W166" s="99"/>
      <c r="X166" s="99"/>
      <c r="Y166" s="99"/>
      <c r="Z166" s="99"/>
      <c r="AA166" s="99"/>
      <c r="AB166" s="99"/>
      <c r="AC166" s="99"/>
      <c r="AD166" s="99"/>
    </row>
    <row r="167" spans="1:30" ht="28.5" customHeight="1" x14ac:dyDescent="0.15">
      <c r="A167" s="99"/>
      <c r="B167" s="99"/>
      <c r="C167" s="99"/>
      <c r="D167" s="99"/>
      <c r="E167" s="99"/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99"/>
      <c r="T167" s="99"/>
      <c r="U167" s="99"/>
      <c r="V167" s="99"/>
      <c r="W167" s="99"/>
      <c r="X167" s="99"/>
      <c r="Y167" s="99"/>
      <c r="Z167" s="99"/>
      <c r="AA167" s="99"/>
      <c r="AB167" s="99"/>
      <c r="AC167" s="99"/>
      <c r="AD167" s="99"/>
    </row>
    <row r="168" spans="1:30" ht="28.5" customHeight="1" x14ac:dyDescent="0.15">
      <c r="A168" s="99"/>
      <c r="B168" s="99"/>
      <c r="C168" s="99"/>
      <c r="D168" s="99"/>
      <c r="E168" s="99"/>
      <c r="F168" s="99"/>
      <c r="G168" s="99"/>
      <c r="H168" s="99"/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99"/>
      <c r="T168" s="99"/>
      <c r="U168" s="99"/>
      <c r="V168" s="99"/>
      <c r="W168" s="99"/>
      <c r="X168" s="99"/>
      <c r="Y168" s="99"/>
      <c r="Z168" s="99"/>
      <c r="AA168" s="99"/>
      <c r="AB168" s="99"/>
      <c r="AC168" s="99"/>
      <c r="AD168" s="99"/>
    </row>
    <row r="169" spans="1:30" ht="28.5" customHeight="1" x14ac:dyDescent="0.15">
      <c r="A169" s="99"/>
      <c r="B169" s="99"/>
      <c r="C169" s="99"/>
      <c r="D169" s="99"/>
      <c r="E169" s="99"/>
      <c r="F169" s="99"/>
      <c r="G169" s="99"/>
      <c r="H169" s="99"/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99"/>
      <c r="T169" s="99"/>
      <c r="U169" s="99"/>
      <c r="V169" s="99"/>
      <c r="W169" s="99"/>
      <c r="X169" s="99"/>
      <c r="Y169" s="99"/>
      <c r="Z169" s="99"/>
      <c r="AA169" s="99"/>
      <c r="AB169" s="99"/>
      <c r="AC169" s="99"/>
      <c r="AD169" s="99"/>
    </row>
    <row r="170" spans="1:30" ht="28.5" customHeight="1" x14ac:dyDescent="0.15">
      <c r="A170" s="99"/>
      <c r="B170" s="99"/>
      <c r="C170" s="99"/>
      <c r="D170" s="99"/>
      <c r="E170" s="99"/>
      <c r="F170" s="99"/>
      <c r="G170" s="99"/>
      <c r="H170" s="99"/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99"/>
      <c r="T170" s="99"/>
      <c r="U170" s="99"/>
      <c r="V170" s="99"/>
      <c r="W170" s="99"/>
      <c r="X170" s="99"/>
      <c r="Y170" s="99"/>
      <c r="Z170" s="99"/>
      <c r="AA170" s="99"/>
      <c r="AB170" s="99"/>
      <c r="AC170" s="99"/>
      <c r="AD170" s="99"/>
    </row>
    <row r="171" spans="1:30" ht="28.5" customHeight="1" x14ac:dyDescent="0.15">
      <c r="A171" s="99"/>
      <c r="B171" s="99"/>
      <c r="C171" s="99"/>
      <c r="D171" s="99"/>
      <c r="E171" s="99"/>
      <c r="F171" s="99"/>
      <c r="G171" s="99"/>
      <c r="H171" s="99"/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99"/>
      <c r="T171" s="99"/>
      <c r="U171" s="99"/>
      <c r="V171" s="99"/>
      <c r="W171" s="99"/>
      <c r="X171" s="99"/>
      <c r="Y171" s="99"/>
      <c r="Z171" s="99"/>
      <c r="AA171" s="99"/>
      <c r="AB171" s="99"/>
      <c r="AC171" s="99"/>
      <c r="AD171" s="99"/>
    </row>
    <row r="172" spans="1:30" ht="28.5" customHeight="1" x14ac:dyDescent="0.15">
      <c r="A172" s="99"/>
      <c r="B172" s="99"/>
      <c r="C172" s="99"/>
      <c r="D172" s="99"/>
      <c r="E172" s="99"/>
      <c r="F172" s="99"/>
      <c r="G172" s="99"/>
      <c r="H172" s="99"/>
      <c r="I172" s="99"/>
      <c r="J172" s="99"/>
      <c r="K172" s="99"/>
      <c r="L172" s="99"/>
      <c r="M172" s="99"/>
      <c r="N172" s="99"/>
      <c r="O172" s="99"/>
      <c r="P172" s="99"/>
      <c r="Q172" s="99"/>
      <c r="R172" s="99"/>
      <c r="S172" s="99"/>
      <c r="T172" s="99"/>
      <c r="U172" s="99"/>
      <c r="V172" s="99"/>
      <c r="W172" s="99"/>
      <c r="X172" s="99"/>
      <c r="Y172" s="99"/>
      <c r="Z172" s="99"/>
      <c r="AA172" s="99"/>
      <c r="AB172" s="99"/>
      <c r="AC172" s="99"/>
      <c r="AD172" s="99"/>
    </row>
    <row r="173" spans="1:30" ht="28.5" customHeight="1" x14ac:dyDescent="0.15">
      <c r="A173" s="99"/>
      <c r="B173" s="99"/>
      <c r="C173" s="99"/>
      <c r="D173" s="99"/>
      <c r="E173" s="99"/>
      <c r="F173" s="99"/>
      <c r="G173" s="99"/>
      <c r="H173" s="99"/>
      <c r="I173" s="99"/>
      <c r="J173" s="99"/>
      <c r="K173" s="99"/>
      <c r="L173" s="99"/>
      <c r="M173" s="99"/>
      <c r="N173" s="99"/>
      <c r="O173" s="99"/>
      <c r="P173" s="99"/>
      <c r="Q173" s="99"/>
      <c r="R173" s="99"/>
      <c r="S173" s="99"/>
      <c r="T173" s="99"/>
      <c r="U173" s="99"/>
      <c r="V173" s="99"/>
      <c r="W173" s="99"/>
      <c r="X173" s="99"/>
      <c r="Y173" s="99"/>
      <c r="Z173" s="99"/>
      <c r="AA173" s="99"/>
      <c r="AB173" s="99"/>
      <c r="AC173" s="99"/>
      <c r="AD173" s="99"/>
    </row>
    <row r="174" spans="1:30" ht="28.5" customHeight="1" x14ac:dyDescent="0.15">
      <c r="A174" s="99"/>
      <c r="B174" s="99"/>
      <c r="C174" s="99"/>
      <c r="D174" s="99"/>
      <c r="E174" s="99"/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  <c r="T174" s="99"/>
      <c r="U174" s="99"/>
      <c r="V174" s="99"/>
      <c r="W174" s="99"/>
      <c r="X174" s="99"/>
      <c r="Y174" s="99"/>
      <c r="Z174" s="99"/>
      <c r="AA174" s="99"/>
      <c r="AB174" s="99"/>
      <c r="AC174" s="99"/>
      <c r="AD174" s="99"/>
    </row>
    <row r="175" spans="1:30" ht="28.5" customHeight="1" x14ac:dyDescent="0.15">
      <c r="A175" s="99"/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99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</row>
    <row r="176" spans="1:30" ht="28.5" customHeight="1" x14ac:dyDescent="0.15">
      <c r="A176" s="99"/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</row>
    <row r="177" spans="1:30" ht="28.5" customHeight="1" x14ac:dyDescent="0.15">
      <c r="A177" s="99"/>
      <c r="B177" s="99"/>
      <c r="C177" s="99"/>
      <c r="D177" s="99"/>
      <c r="E177" s="99"/>
      <c r="F177" s="99"/>
      <c r="G177" s="99"/>
      <c r="H177" s="99"/>
      <c r="I177" s="99"/>
      <c r="J177" s="99"/>
      <c r="K177" s="99"/>
      <c r="L177" s="99"/>
      <c r="M177" s="99"/>
      <c r="N177" s="99"/>
      <c r="O177" s="99"/>
      <c r="P177" s="99"/>
      <c r="Q177" s="99"/>
      <c r="R177" s="99"/>
      <c r="S177" s="99"/>
      <c r="T177" s="99"/>
      <c r="U177" s="99"/>
      <c r="V177" s="99"/>
      <c r="W177" s="99"/>
      <c r="X177" s="99"/>
      <c r="Y177" s="99"/>
      <c r="Z177" s="99"/>
      <c r="AA177" s="99"/>
      <c r="AB177" s="99"/>
      <c r="AC177" s="99"/>
      <c r="AD177" s="99"/>
    </row>
    <row r="178" spans="1:30" ht="28.5" customHeight="1" x14ac:dyDescent="0.15">
      <c r="A178" s="99"/>
      <c r="B178" s="99"/>
      <c r="C178" s="99"/>
      <c r="D178" s="99"/>
      <c r="E178" s="99"/>
      <c r="F178" s="99"/>
      <c r="G178" s="99"/>
      <c r="H178" s="99"/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99"/>
      <c r="T178" s="99"/>
      <c r="U178" s="99"/>
      <c r="V178" s="99"/>
      <c r="W178" s="99"/>
      <c r="X178" s="99"/>
      <c r="Y178" s="99"/>
      <c r="Z178" s="99"/>
      <c r="AA178" s="99"/>
      <c r="AB178" s="99"/>
      <c r="AC178" s="99"/>
      <c r="AD178" s="99"/>
    </row>
    <row r="179" spans="1:30" ht="28.5" customHeight="1" x14ac:dyDescent="0.15">
      <c r="A179" s="99"/>
      <c r="B179" s="99"/>
      <c r="C179" s="99"/>
      <c r="D179" s="99"/>
      <c r="E179" s="99"/>
      <c r="F179" s="99"/>
      <c r="G179" s="99"/>
      <c r="H179" s="99"/>
      <c r="I179" s="99"/>
      <c r="J179" s="99"/>
      <c r="K179" s="99"/>
      <c r="L179" s="99"/>
      <c r="M179" s="99"/>
      <c r="N179" s="99"/>
      <c r="O179" s="99"/>
      <c r="P179" s="99"/>
      <c r="Q179" s="99"/>
      <c r="R179" s="99"/>
      <c r="S179" s="99"/>
      <c r="T179" s="99"/>
      <c r="U179" s="99"/>
      <c r="V179" s="99"/>
      <c r="W179" s="99"/>
      <c r="X179" s="99"/>
      <c r="Y179" s="99"/>
      <c r="Z179" s="99"/>
      <c r="AA179" s="99"/>
      <c r="AB179" s="99"/>
      <c r="AC179" s="99"/>
      <c r="AD179" s="99"/>
    </row>
    <row r="180" spans="1:30" ht="28.5" customHeight="1" x14ac:dyDescent="0.15">
      <c r="A180" s="99"/>
      <c r="B180" s="99"/>
      <c r="C180" s="99"/>
      <c r="D180" s="99"/>
      <c r="E180" s="99"/>
      <c r="F180" s="99"/>
      <c r="G180" s="99"/>
      <c r="H180" s="99"/>
      <c r="I180" s="99"/>
      <c r="J180" s="99"/>
      <c r="K180" s="99"/>
      <c r="L180" s="99"/>
      <c r="M180" s="99"/>
      <c r="N180" s="99"/>
      <c r="O180" s="99"/>
      <c r="P180" s="99"/>
      <c r="Q180" s="99"/>
      <c r="R180" s="99"/>
      <c r="S180" s="99"/>
      <c r="T180" s="99"/>
      <c r="U180" s="99"/>
      <c r="V180" s="99"/>
      <c r="W180" s="99"/>
      <c r="X180" s="99"/>
      <c r="Y180" s="99"/>
      <c r="Z180" s="99"/>
      <c r="AA180" s="99"/>
      <c r="AB180" s="99"/>
      <c r="AC180" s="99"/>
      <c r="AD180" s="99"/>
    </row>
    <row r="181" spans="1:30" ht="28.5" customHeight="1" x14ac:dyDescent="0.15">
      <c r="A181" s="99"/>
      <c r="B181" s="99"/>
      <c r="C181" s="99"/>
      <c r="D181" s="99"/>
      <c r="E181" s="99"/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99"/>
      <c r="Q181" s="99"/>
      <c r="R181" s="99"/>
      <c r="S181" s="99"/>
      <c r="T181" s="99"/>
      <c r="U181" s="99"/>
      <c r="V181" s="99"/>
      <c r="W181" s="99"/>
      <c r="X181" s="99"/>
      <c r="Y181" s="99"/>
      <c r="Z181" s="99"/>
      <c r="AA181" s="99"/>
      <c r="AB181" s="99"/>
      <c r="AC181" s="99"/>
      <c r="AD181" s="99"/>
    </row>
    <row r="182" spans="1:30" ht="28.5" customHeight="1" x14ac:dyDescent="0.15">
      <c r="A182" s="99"/>
      <c r="B182" s="99"/>
      <c r="C182" s="99"/>
      <c r="D182" s="99"/>
      <c r="E182" s="99"/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99"/>
      <c r="T182" s="99"/>
      <c r="U182" s="99"/>
      <c r="V182" s="99"/>
      <c r="W182" s="99"/>
      <c r="X182" s="99"/>
      <c r="Y182" s="99"/>
      <c r="Z182" s="99"/>
      <c r="AA182" s="99"/>
      <c r="AB182" s="99"/>
      <c r="AC182" s="99"/>
      <c r="AD182" s="99"/>
    </row>
    <row r="183" spans="1:30" ht="28.5" customHeight="1" x14ac:dyDescent="0.15">
      <c r="A183" s="99"/>
      <c r="B183" s="99"/>
      <c r="C183" s="99"/>
      <c r="D183" s="99"/>
      <c r="E183" s="99"/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99"/>
      <c r="Q183" s="99"/>
      <c r="R183" s="99"/>
      <c r="S183" s="99"/>
      <c r="T183" s="99"/>
      <c r="U183" s="99"/>
      <c r="V183" s="99"/>
      <c r="W183" s="99"/>
      <c r="X183" s="99"/>
      <c r="Y183" s="99"/>
      <c r="Z183" s="99"/>
      <c r="AA183" s="99"/>
      <c r="AB183" s="99"/>
      <c r="AC183" s="99"/>
      <c r="AD183" s="99"/>
    </row>
    <row r="184" spans="1:30" ht="28.5" customHeight="1" x14ac:dyDescent="0.15">
      <c r="A184" s="99"/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99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</row>
    <row r="185" spans="1:30" ht="28.5" customHeight="1" x14ac:dyDescent="0.15">
      <c r="A185" s="99"/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99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</row>
    <row r="186" spans="1:30" ht="28.5" customHeight="1" x14ac:dyDescent="0.15">
      <c r="A186" s="99"/>
      <c r="B186" s="99"/>
      <c r="C186" s="99"/>
      <c r="D186" s="99"/>
      <c r="E186" s="99"/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99"/>
      <c r="T186" s="99"/>
      <c r="U186" s="99"/>
      <c r="V186" s="99"/>
      <c r="W186" s="99"/>
      <c r="X186" s="99"/>
      <c r="Y186" s="99"/>
      <c r="Z186" s="99"/>
      <c r="AA186" s="99"/>
      <c r="AB186" s="99"/>
      <c r="AC186" s="99"/>
      <c r="AD186" s="99"/>
    </row>
    <row r="187" spans="1:30" ht="28.5" customHeight="1" x14ac:dyDescent="0.15">
      <c r="A187" s="99"/>
      <c r="B187" s="99"/>
      <c r="C187" s="99"/>
      <c r="D187" s="99"/>
      <c r="E187" s="99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99"/>
      <c r="T187" s="99"/>
      <c r="U187" s="99"/>
      <c r="V187" s="99"/>
      <c r="W187" s="99"/>
      <c r="X187" s="99"/>
      <c r="Y187" s="99"/>
      <c r="Z187" s="99"/>
      <c r="AA187" s="99"/>
      <c r="AB187" s="99"/>
      <c r="AC187" s="99"/>
      <c r="AD187" s="99"/>
    </row>
    <row r="188" spans="1:30" ht="28.5" customHeight="1" x14ac:dyDescent="0.15">
      <c r="A188" s="99"/>
      <c r="B188" s="99"/>
      <c r="C188" s="99"/>
      <c r="D188" s="99"/>
      <c r="E188" s="99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99"/>
      <c r="U188" s="99"/>
      <c r="V188" s="99"/>
      <c r="W188" s="99"/>
      <c r="X188" s="99"/>
      <c r="Y188" s="99"/>
      <c r="Z188" s="99"/>
      <c r="AA188" s="99"/>
      <c r="AB188" s="99"/>
      <c r="AC188" s="99"/>
      <c r="AD188" s="99"/>
    </row>
    <row r="189" spans="1:30" ht="28.5" customHeight="1" x14ac:dyDescent="0.15">
      <c r="A189" s="99"/>
      <c r="B189" s="99"/>
      <c r="C189" s="99"/>
      <c r="D189" s="99"/>
      <c r="E189" s="99"/>
      <c r="F189" s="99"/>
      <c r="G189" s="99"/>
      <c r="H189" s="99"/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99"/>
      <c r="T189" s="99"/>
      <c r="U189" s="99"/>
      <c r="V189" s="99"/>
      <c r="W189" s="99"/>
      <c r="X189" s="99"/>
      <c r="Y189" s="99"/>
      <c r="Z189" s="99"/>
      <c r="AA189" s="99"/>
      <c r="AB189" s="99"/>
      <c r="AC189" s="99"/>
      <c r="AD189" s="99"/>
    </row>
    <row r="190" spans="1:30" ht="28.5" customHeight="1" x14ac:dyDescent="0.15">
      <c r="A190" s="99"/>
      <c r="B190" s="99"/>
      <c r="C190" s="99"/>
      <c r="D190" s="99"/>
      <c r="E190" s="99"/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  <c r="T190" s="99"/>
      <c r="U190" s="99"/>
      <c r="V190" s="99"/>
      <c r="W190" s="99"/>
      <c r="X190" s="99"/>
      <c r="Y190" s="99"/>
      <c r="Z190" s="99"/>
      <c r="AA190" s="99"/>
      <c r="AB190" s="99"/>
      <c r="AC190" s="99"/>
      <c r="AD190" s="99"/>
    </row>
    <row r="191" spans="1:30" ht="28.5" customHeight="1" x14ac:dyDescent="0.15">
      <c r="A191" s="99"/>
      <c r="B191" s="99"/>
      <c r="C191" s="99"/>
      <c r="D191" s="99"/>
      <c r="E191" s="99"/>
      <c r="F191" s="99"/>
      <c r="G191" s="99"/>
      <c r="H191" s="99"/>
      <c r="I191" s="99"/>
      <c r="J191" s="99"/>
      <c r="K191" s="99"/>
      <c r="L191" s="99"/>
      <c r="M191" s="99"/>
      <c r="N191" s="99"/>
      <c r="O191" s="99"/>
      <c r="P191" s="99"/>
      <c r="Q191" s="99"/>
      <c r="R191" s="99"/>
      <c r="S191" s="99"/>
      <c r="T191" s="99"/>
      <c r="U191" s="99"/>
      <c r="V191" s="99"/>
      <c r="W191" s="99"/>
      <c r="X191" s="99"/>
      <c r="Y191" s="99"/>
      <c r="Z191" s="99"/>
      <c r="AA191" s="99"/>
      <c r="AB191" s="99"/>
      <c r="AC191" s="99"/>
      <c r="AD191" s="99"/>
    </row>
    <row r="192" spans="1:30" ht="28.5" customHeight="1" x14ac:dyDescent="0.15">
      <c r="A192" s="99"/>
      <c r="B192" s="99"/>
      <c r="C192" s="99"/>
      <c r="D192" s="99"/>
      <c r="E192" s="99"/>
      <c r="F192" s="99"/>
      <c r="G192" s="99"/>
      <c r="H192" s="99"/>
      <c r="I192" s="99"/>
      <c r="J192" s="99"/>
      <c r="K192" s="99"/>
      <c r="L192" s="99"/>
      <c r="M192" s="99"/>
      <c r="N192" s="99"/>
      <c r="O192" s="99"/>
      <c r="P192" s="99"/>
      <c r="Q192" s="99"/>
      <c r="R192" s="99"/>
      <c r="S192" s="99"/>
      <c r="T192" s="99"/>
      <c r="U192" s="99"/>
      <c r="V192" s="99"/>
      <c r="W192" s="99"/>
      <c r="X192" s="99"/>
      <c r="Y192" s="99"/>
      <c r="Z192" s="99"/>
      <c r="AA192" s="99"/>
      <c r="AB192" s="99"/>
      <c r="AC192" s="99"/>
      <c r="AD192" s="99"/>
    </row>
    <row r="193" spans="1:30" ht="28.5" customHeight="1" x14ac:dyDescent="0.15">
      <c r="A193" s="99"/>
      <c r="B193" s="99"/>
      <c r="C193" s="99"/>
      <c r="D193" s="99"/>
      <c r="E193" s="99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99"/>
      <c r="U193" s="99"/>
      <c r="V193" s="99"/>
      <c r="W193" s="99"/>
      <c r="X193" s="99"/>
      <c r="Y193" s="99"/>
      <c r="Z193" s="99"/>
      <c r="AA193" s="99"/>
      <c r="AB193" s="99"/>
      <c r="AC193" s="99"/>
      <c r="AD193" s="99"/>
    </row>
    <row r="194" spans="1:30" ht="28.5" customHeight="1" x14ac:dyDescent="0.15">
      <c r="A194" s="99"/>
      <c r="B194" s="99"/>
      <c r="C194" s="99"/>
      <c r="D194" s="99"/>
      <c r="E194" s="99"/>
      <c r="F194" s="99"/>
      <c r="G194" s="99"/>
      <c r="H194" s="99"/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99"/>
      <c r="T194" s="99"/>
      <c r="U194" s="99"/>
      <c r="V194" s="99"/>
      <c r="W194" s="99"/>
      <c r="X194" s="99"/>
      <c r="Y194" s="99"/>
      <c r="Z194" s="99"/>
      <c r="AA194" s="99"/>
      <c r="AB194" s="99"/>
      <c r="AC194" s="99"/>
      <c r="AD194" s="99"/>
    </row>
    <row r="195" spans="1:30" ht="28.5" customHeight="1" x14ac:dyDescent="0.15">
      <c r="A195" s="99"/>
      <c r="B195" s="99"/>
      <c r="C195" s="99"/>
      <c r="D195" s="99"/>
      <c r="E195" s="99"/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99"/>
      <c r="T195" s="99"/>
      <c r="U195" s="99"/>
      <c r="V195" s="99"/>
      <c r="W195" s="99"/>
      <c r="X195" s="99"/>
      <c r="Y195" s="99"/>
      <c r="Z195" s="99"/>
      <c r="AA195" s="99"/>
      <c r="AB195" s="99"/>
      <c r="AC195" s="99"/>
      <c r="AD195" s="99"/>
    </row>
    <row r="196" spans="1:30" ht="28.5" customHeight="1" x14ac:dyDescent="0.15">
      <c r="A196" s="99"/>
      <c r="B196" s="99"/>
      <c r="C196" s="99"/>
      <c r="D196" s="99"/>
      <c r="E196" s="99"/>
      <c r="F196" s="99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99"/>
      <c r="T196" s="99"/>
      <c r="U196" s="99"/>
      <c r="V196" s="99"/>
      <c r="W196" s="99"/>
      <c r="X196" s="99"/>
      <c r="Y196" s="99"/>
      <c r="Z196" s="99"/>
      <c r="AA196" s="99"/>
      <c r="AB196" s="99"/>
      <c r="AC196" s="99"/>
      <c r="AD196" s="99"/>
    </row>
    <row r="197" spans="1:30" ht="28.5" customHeight="1" x14ac:dyDescent="0.15">
      <c r="A197" s="99"/>
      <c r="B197" s="99"/>
      <c r="C197" s="99"/>
      <c r="D197" s="99"/>
      <c r="E197" s="99"/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99"/>
      <c r="T197" s="99"/>
      <c r="U197" s="99"/>
      <c r="V197" s="99"/>
      <c r="W197" s="99"/>
      <c r="X197" s="99"/>
      <c r="Y197" s="99"/>
      <c r="Z197" s="99"/>
      <c r="AA197" s="99"/>
      <c r="AB197" s="99"/>
      <c r="AC197" s="99"/>
      <c r="AD197" s="99"/>
    </row>
    <row r="198" spans="1:30" ht="28.5" customHeight="1" x14ac:dyDescent="0.15">
      <c r="A198" s="99"/>
      <c r="B198" s="99"/>
      <c r="C198" s="99"/>
      <c r="D198" s="99"/>
      <c r="E198" s="99"/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99"/>
      <c r="T198" s="99"/>
      <c r="U198" s="99"/>
      <c r="V198" s="99"/>
      <c r="W198" s="99"/>
      <c r="X198" s="99"/>
      <c r="Y198" s="99"/>
      <c r="Z198" s="99"/>
      <c r="AA198" s="99"/>
      <c r="AB198" s="99"/>
      <c r="AC198" s="99"/>
      <c r="AD198" s="99"/>
    </row>
    <row r="199" spans="1:30" ht="28.5" customHeight="1" x14ac:dyDescent="0.15">
      <c r="A199" s="99"/>
      <c r="B199" s="99"/>
      <c r="C199" s="99"/>
      <c r="D199" s="99"/>
      <c r="E199" s="99"/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  <c r="T199" s="99"/>
      <c r="U199" s="99"/>
      <c r="V199" s="99"/>
      <c r="W199" s="99"/>
      <c r="X199" s="99"/>
      <c r="Y199" s="99"/>
      <c r="Z199" s="99"/>
      <c r="AA199" s="99"/>
      <c r="AB199" s="99"/>
      <c r="AC199" s="99"/>
      <c r="AD199" s="99"/>
    </row>
    <row r="200" spans="1:30" ht="28.5" customHeight="1" x14ac:dyDescent="0.15">
      <c r="A200" s="99"/>
      <c r="B200" s="99"/>
      <c r="C200" s="99"/>
      <c r="D200" s="99"/>
      <c r="E200" s="99"/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  <c r="T200" s="99"/>
      <c r="U200" s="99"/>
      <c r="V200" s="99"/>
      <c r="W200" s="99"/>
      <c r="X200" s="99"/>
      <c r="Y200" s="99"/>
      <c r="Z200" s="99"/>
      <c r="AA200" s="99"/>
      <c r="AB200" s="99"/>
      <c r="AC200" s="99"/>
      <c r="AD200" s="99"/>
    </row>
    <row r="201" spans="1:30" ht="28.5" customHeight="1" x14ac:dyDescent="0.15">
      <c r="A201" s="99"/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</row>
    <row r="202" spans="1:30" ht="28.5" customHeight="1" x14ac:dyDescent="0.15">
      <c r="A202" s="99"/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99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</row>
    <row r="203" spans="1:30" ht="28.5" customHeight="1" x14ac:dyDescent="0.15">
      <c r="A203" s="99"/>
      <c r="B203" s="99"/>
      <c r="C203" s="99"/>
      <c r="D203" s="99"/>
      <c r="E203" s="99"/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99"/>
      <c r="T203" s="99"/>
      <c r="U203" s="99"/>
      <c r="V203" s="99"/>
      <c r="W203" s="99"/>
      <c r="X203" s="99"/>
      <c r="Y203" s="99"/>
      <c r="Z203" s="99"/>
      <c r="AA203" s="99"/>
      <c r="AB203" s="99"/>
      <c r="AC203" s="99"/>
      <c r="AD203" s="99"/>
    </row>
    <row r="204" spans="1:30" ht="28.5" customHeight="1" x14ac:dyDescent="0.15">
      <c r="A204" s="99"/>
      <c r="B204" s="99"/>
      <c r="C204" s="99"/>
      <c r="D204" s="99"/>
      <c r="E204" s="99"/>
      <c r="F204" s="99"/>
      <c r="G204" s="99"/>
      <c r="H204" s="99"/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99"/>
      <c r="T204" s="99"/>
      <c r="U204" s="99"/>
      <c r="V204" s="99"/>
      <c r="W204" s="99"/>
      <c r="X204" s="99"/>
      <c r="Y204" s="99"/>
      <c r="Z204" s="99"/>
      <c r="AA204" s="99"/>
      <c r="AB204" s="99"/>
      <c r="AC204" s="99"/>
      <c r="AD204" s="99"/>
    </row>
    <row r="205" spans="1:30" ht="28.5" customHeight="1" x14ac:dyDescent="0.15">
      <c r="A205" s="99"/>
      <c r="B205" s="99"/>
      <c r="C205" s="99"/>
      <c r="D205" s="99"/>
      <c r="E205" s="99"/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99"/>
      <c r="U205" s="99"/>
      <c r="V205" s="99"/>
      <c r="W205" s="99"/>
      <c r="X205" s="99"/>
      <c r="Y205" s="99"/>
      <c r="Z205" s="99"/>
      <c r="AA205" s="99"/>
      <c r="AB205" s="99"/>
      <c r="AC205" s="99"/>
      <c r="AD205" s="99"/>
    </row>
    <row r="206" spans="1:30" ht="28.5" customHeight="1" x14ac:dyDescent="0.15">
      <c r="A206" s="99"/>
      <c r="B206" s="99"/>
      <c r="C206" s="99"/>
      <c r="D206" s="99"/>
      <c r="E206" s="99"/>
      <c r="F206" s="99"/>
      <c r="G206" s="99"/>
      <c r="H206" s="99"/>
      <c r="I206" s="99"/>
      <c r="J206" s="99"/>
      <c r="K206" s="99"/>
      <c r="L206" s="99"/>
      <c r="M206" s="99"/>
      <c r="N206" s="99"/>
      <c r="O206" s="99"/>
      <c r="P206" s="99"/>
      <c r="Q206" s="99"/>
      <c r="R206" s="99"/>
      <c r="S206" s="99"/>
      <c r="T206" s="99"/>
      <c r="U206" s="99"/>
      <c r="V206" s="99"/>
      <c r="W206" s="99"/>
      <c r="X206" s="99"/>
      <c r="Y206" s="99"/>
      <c r="Z206" s="99"/>
      <c r="AA206" s="99"/>
      <c r="AB206" s="99"/>
      <c r="AC206" s="99"/>
      <c r="AD206" s="99"/>
    </row>
    <row r="207" spans="1:30" ht="28.5" customHeight="1" x14ac:dyDescent="0.15">
      <c r="A207" s="99"/>
      <c r="B207" s="99"/>
      <c r="C207" s="99"/>
      <c r="D207" s="99"/>
      <c r="E207" s="99"/>
      <c r="F207" s="9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  <c r="T207" s="99"/>
      <c r="U207" s="99"/>
      <c r="V207" s="99"/>
      <c r="W207" s="99"/>
      <c r="X207" s="99"/>
      <c r="Y207" s="99"/>
      <c r="Z207" s="99"/>
      <c r="AA207" s="99"/>
      <c r="AB207" s="99"/>
      <c r="AC207" s="99"/>
      <c r="AD207" s="99"/>
    </row>
    <row r="208" spans="1:30" ht="28.5" customHeight="1" x14ac:dyDescent="0.15">
      <c r="A208" s="99"/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</row>
    <row r="209" spans="1:30" ht="28.5" customHeight="1" x14ac:dyDescent="0.15">
      <c r="A209" s="99"/>
      <c r="B209" s="99"/>
      <c r="C209" s="99"/>
      <c r="D209" s="99"/>
      <c r="E209" s="99"/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9"/>
      <c r="T209" s="99"/>
      <c r="U209" s="99"/>
      <c r="V209" s="99"/>
      <c r="W209" s="99"/>
      <c r="X209" s="99"/>
      <c r="Y209" s="99"/>
      <c r="Z209" s="99"/>
      <c r="AA209" s="99"/>
      <c r="AB209" s="99"/>
      <c r="AC209" s="99"/>
      <c r="AD209" s="99"/>
    </row>
    <row r="210" spans="1:30" ht="28.5" customHeight="1" x14ac:dyDescent="0.15">
      <c r="A210" s="99"/>
      <c r="B210" s="99"/>
      <c r="C210" s="99"/>
      <c r="D210" s="99"/>
      <c r="E210" s="99"/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99"/>
      <c r="T210" s="99"/>
      <c r="U210" s="99"/>
      <c r="V210" s="99"/>
      <c r="W210" s="99"/>
      <c r="X210" s="99"/>
      <c r="Y210" s="99"/>
      <c r="Z210" s="99"/>
      <c r="AA210" s="99"/>
      <c r="AB210" s="99"/>
      <c r="AC210" s="99"/>
      <c r="AD210" s="99"/>
    </row>
    <row r="211" spans="1:30" ht="28.5" customHeight="1" x14ac:dyDescent="0.15">
      <c r="A211" s="99"/>
      <c r="B211" s="99"/>
      <c r="C211" s="99"/>
      <c r="D211" s="99"/>
      <c r="E211" s="99"/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99"/>
      <c r="T211" s="99"/>
      <c r="U211" s="99"/>
      <c r="V211" s="99"/>
      <c r="W211" s="99"/>
      <c r="X211" s="99"/>
      <c r="Y211" s="99"/>
      <c r="Z211" s="99"/>
      <c r="AA211" s="99"/>
      <c r="AB211" s="99"/>
      <c r="AC211" s="99"/>
      <c r="AD211" s="99"/>
    </row>
    <row r="212" spans="1:30" ht="28.5" customHeight="1" x14ac:dyDescent="0.15">
      <c r="A212" s="99"/>
      <c r="B212" s="99"/>
      <c r="C212" s="99"/>
      <c r="D212" s="99"/>
      <c r="E212" s="99"/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99"/>
      <c r="T212" s="99"/>
      <c r="U212" s="99"/>
      <c r="V212" s="99"/>
      <c r="W212" s="99"/>
      <c r="X212" s="99"/>
      <c r="Y212" s="99"/>
      <c r="Z212" s="99"/>
      <c r="AA212" s="99"/>
      <c r="AB212" s="99"/>
      <c r="AC212" s="99"/>
      <c r="AD212" s="99"/>
    </row>
    <row r="213" spans="1:30" ht="28.5" customHeight="1" x14ac:dyDescent="0.15">
      <c r="A213" s="99"/>
      <c r="B213" s="99"/>
      <c r="C213" s="99"/>
      <c r="D213" s="99"/>
      <c r="E213" s="99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  <c r="Z213" s="99"/>
      <c r="AA213" s="99"/>
      <c r="AB213" s="99"/>
      <c r="AC213" s="99"/>
      <c r="AD213" s="99"/>
    </row>
    <row r="214" spans="1:30" ht="28.5" customHeight="1" x14ac:dyDescent="0.15">
      <c r="A214" s="99"/>
      <c r="B214" s="99"/>
      <c r="C214" s="99"/>
      <c r="D214" s="99"/>
      <c r="E214" s="99"/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99"/>
      <c r="T214" s="99"/>
      <c r="U214" s="99"/>
      <c r="V214" s="99"/>
      <c r="W214" s="99"/>
      <c r="X214" s="99"/>
      <c r="Y214" s="99"/>
      <c r="Z214" s="99"/>
      <c r="AA214" s="99"/>
      <c r="AB214" s="99"/>
      <c r="AC214" s="99"/>
      <c r="AD214" s="99"/>
    </row>
    <row r="215" spans="1:30" ht="28.5" customHeight="1" x14ac:dyDescent="0.15">
      <c r="A215" s="99"/>
      <c r="B215" s="99"/>
      <c r="C215" s="99"/>
      <c r="D215" s="99"/>
      <c r="E215" s="99"/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99"/>
      <c r="Q215" s="99"/>
      <c r="R215" s="99"/>
      <c r="S215" s="99"/>
      <c r="T215" s="99"/>
      <c r="U215" s="99"/>
      <c r="V215" s="99"/>
      <c r="W215" s="99"/>
      <c r="X215" s="99"/>
      <c r="Y215" s="99"/>
      <c r="Z215" s="99"/>
      <c r="AA215" s="99"/>
      <c r="AB215" s="99"/>
      <c r="AC215" s="99"/>
      <c r="AD215" s="99"/>
    </row>
    <row r="216" spans="1:30" ht="28.5" customHeight="1" x14ac:dyDescent="0.15">
      <c r="A216" s="99"/>
      <c r="B216" s="99"/>
      <c r="C216" s="99"/>
      <c r="D216" s="99"/>
      <c r="E216" s="99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99"/>
      <c r="T216" s="99"/>
      <c r="U216" s="99"/>
      <c r="V216" s="99"/>
      <c r="W216" s="99"/>
      <c r="X216" s="99"/>
      <c r="Y216" s="99"/>
      <c r="Z216" s="99"/>
      <c r="AA216" s="99"/>
      <c r="AB216" s="99"/>
      <c r="AC216" s="99"/>
      <c r="AD216" s="99"/>
    </row>
    <row r="217" spans="1:30" ht="28.5" customHeight="1" x14ac:dyDescent="0.15">
      <c r="A217" s="99"/>
      <c r="B217" s="99"/>
      <c r="C217" s="99"/>
      <c r="D217" s="99"/>
      <c r="E217" s="99"/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99"/>
      <c r="Q217" s="99"/>
      <c r="R217" s="99"/>
      <c r="S217" s="99"/>
      <c r="T217" s="99"/>
      <c r="U217" s="99"/>
      <c r="V217" s="99"/>
      <c r="W217" s="99"/>
      <c r="X217" s="99"/>
      <c r="Y217" s="99"/>
      <c r="Z217" s="99"/>
      <c r="AA217" s="99"/>
      <c r="AB217" s="99"/>
      <c r="AC217" s="99"/>
      <c r="AD217" s="99"/>
    </row>
    <row r="218" spans="1:30" ht="28.5" customHeight="1" x14ac:dyDescent="0.15">
      <c r="A218" s="99"/>
      <c r="B218" s="99"/>
      <c r="C218" s="99"/>
      <c r="D218" s="99"/>
      <c r="E218" s="99"/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99"/>
      <c r="T218" s="99"/>
      <c r="U218" s="99"/>
      <c r="V218" s="99"/>
      <c r="W218" s="99"/>
      <c r="X218" s="99"/>
      <c r="Y218" s="99"/>
      <c r="Z218" s="99"/>
      <c r="AA218" s="99"/>
      <c r="AB218" s="99"/>
      <c r="AC218" s="99"/>
      <c r="AD218" s="99"/>
    </row>
    <row r="219" spans="1:30" ht="28.5" customHeight="1" x14ac:dyDescent="0.15">
      <c r="A219" s="99"/>
      <c r="B219" s="99"/>
      <c r="C219" s="99"/>
      <c r="D219" s="99"/>
      <c r="E219" s="99"/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99"/>
      <c r="T219" s="99"/>
      <c r="U219" s="99"/>
      <c r="V219" s="99"/>
      <c r="W219" s="99"/>
      <c r="X219" s="99"/>
      <c r="Y219" s="99"/>
      <c r="Z219" s="99"/>
      <c r="AA219" s="99"/>
      <c r="AB219" s="99"/>
      <c r="AC219" s="99"/>
      <c r="AD219" s="99"/>
    </row>
    <row r="220" spans="1:30" ht="28.5" customHeight="1" x14ac:dyDescent="0.15">
      <c r="A220" s="99"/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99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</row>
    <row r="221" spans="1:30" ht="28.5" customHeight="1" x14ac:dyDescent="0.15">
      <c r="A221" s="99"/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</row>
    <row r="222" spans="1:30" ht="28.5" customHeight="1" x14ac:dyDescent="0.15">
      <c r="A222" s="99"/>
      <c r="B222" s="99"/>
      <c r="C222" s="99"/>
      <c r="D222" s="99"/>
      <c r="E222" s="99"/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99"/>
      <c r="R222" s="99"/>
      <c r="S222" s="99"/>
      <c r="T222" s="99"/>
      <c r="U222" s="99"/>
      <c r="V222" s="99"/>
      <c r="W222" s="99"/>
      <c r="X222" s="99"/>
      <c r="Y222" s="99"/>
      <c r="Z222" s="99"/>
      <c r="AA222" s="99"/>
      <c r="AB222" s="99"/>
      <c r="AC222" s="99"/>
      <c r="AD222" s="99"/>
    </row>
    <row r="223" spans="1:30" ht="28.5" customHeight="1" x14ac:dyDescent="0.15">
      <c r="A223" s="99"/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99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</row>
    <row r="224" spans="1:30" ht="28.5" customHeight="1" x14ac:dyDescent="0.15">
      <c r="A224" s="99"/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99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</row>
    <row r="225" spans="1:30" ht="28.5" customHeight="1" x14ac:dyDescent="0.15">
      <c r="A225" s="99"/>
      <c r="B225" s="99"/>
      <c r="C225" s="99"/>
      <c r="D225" s="99"/>
      <c r="E225" s="99"/>
      <c r="F225" s="99"/>
      <c r="G225" s="99"/>
      <c r="H225" s="99"/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99"/>
      <c r="T225" s="99"/>
      <c r="U225" s="99"/>
      <c r="V225" s="99"/>
      <c r="W225" s="99"/>
      <c r="X225" s="99"/>
      <c r="Y225" s="99"/>
      <c r="Z225" s="99"/>
      <c r="AA225" s="99"/>
      <c r="AB225" s="99"/>
      <c r="AC225" s="99"/>
      <c r="AD225" s="99"/>
    </row>
    <row r="226" spans="1:30" ht="28.5" customHeight="1" x14ac:dyDescent="0.15">
      <c r="A226" s="99"/>
      <c r="B226" s="99"/>
      <c r="C226" s="99"/>
      <c r="D226" s="99"/>
      <c r="E226" s="99"/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99"/>
      <c r="T226" s="99"/>
      <c r="U226" s="99"/>
      <c r="V226" s="99"/>
      <c r="W226" s="99"/>
      <c r="X226" s="99"/>
      <c r="Y226" s="99"/>
      <c r="Z226" s="99"/>
      <c r="AA226" s="99"/>
      <c r="AB226" s="99"/>
      <c r="AC226" s="99"/>
      <c r="AD226" s="99"/>
    </row>
    <row r="227" spans="1:30" ht="28.5" customHeight="1" x14ac:dyDescent="0.15">
      <c r="A227" s="99"/>
      <c r="B227" s="99"/>
      <c r="C227" s="99"/>
      <c r="D227" s="99"/>
      <c r="E227" s="99"/>
      <c r="F227" s="99"/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99"/>
      <c r="T227" s="99"/>
      <c r="U227" s="99"/>
      <c r="V227" s="99"/>
      <c r="W227" s="99"/>
      <c r="X227" s="99"/>
      <c r="Y227" s="99"/>
      <c r="Z227" s="99"/>
      <c r="AA227" s="99"/>
      <c r="AB227" s="99"/>
      <c r="AC227" s="99"/>
      <c r="AD227" s="99"/>
    </row>
    <row r="228" spans="1:30" ht="28.5" customHeight="1" x14ac:dyDescent="0.15">
      <c r="A228" s="99"/>
      <c r="B228" s="99"/>
      <c r="C228" s="99"/>
      <c r="D228" s="99"/>
      <c r="E228" s="99"/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99"/>
      <c r="T228" s="99"/>
      <c r="U228" s="99"/>
      <c r="V228" s="99"/>
      <c r="W228" s="99"/>
      <c r="X228" s="99"/>
      <c r="Y228" s="99"/>
      <c r="Z228" s="99"/>
      <c r="AA228" s="99"/>
      <c r="AB228" s="99"/>
      <c r="AC228" s="99"/>
      <c r="AD228" s="99"/>
    </row>
    <row r="229" spans="1:30" ht="28.5" customHeight="1" x14ac:dyDescent="0.15">
      <c r="A229" s="99"/>
      <c r="B229" s="99"/>
      <c r="C229" s="99"/>
      <c r="D229" s="99"/>
      <c r="E229" s="99"/>
      <c r="F229" s="99"/>
      <c r="G229" s="99"/>
      <c r="H229" s="99"/>
      <c r="I229" s="99"/>
      <c r="J229" s="99"/>
      <c r="K229" s="99"/>
      <c r="L229" s="99"/>
      <c r="M229" s="99"/>
      <c r="N229" s="99"/>
      <c r="O229" s="99"/>
      <c r="P229" s="99"/>
      <c r="Q229" s="99"/>
      <c r="R229" s="99"/>
      <c r="S229" s="99"/>
      <c r="T229" s="99"/>
      <c r="U229" s="99"/>
      <c r="V229" s="99"/>
      <c r="W229" s="99"/>
      <c r="X229" s="99"/>
      <c r="Y229" s="99"/>
      <c r="Z229" s="99"/>
      <c r="AA229" s="99"/>
      <c r="AB229" s="99"/>
      <c r="AC229" s="99"/>
      <c r="AD229" s="99"/>
    </row>
    <row r="230" spans="1:30" ht="28.5" customHeight="1" x14ac:dyDescent="0.15">
      <c r="A230" s="99"/>
      <c r="B230" s="99"/>
      <c r="C230" s="99"/>
      <c r="D230" s="99"/>
      <c r="E230" s="99"/>
      <c r="F230" s="99"/>
      <c r="G230" s="99"/>
      <c r="H230" s="99"/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99"/>
      <c r="T230" s="99"/>
      <c r="U230" s="99"/>
      <c r="V230" s="99"/>
      <c r="W230" s="99"/>
      <c r="X230" s="99"/>
      <c r="Y230" s="99"/>
      <c r="Z230" s="99"/>
      <c r="AA230" s="99"/>
      <c r="AB230" s="99"/>
      <c r="AC230" s="99"/>
      <c r="AD230" s="99"/>
    </row>
    <row r="231" spans="1:30" ht="28.5" customHeight="1" x14ac:dyDescent="0.15">
      <c r="A231" s="99"/>
      <c r="B231" s="99"/>
      <c r="C231" s="99"/>
      <c r="D231" s="99"/>
      <c r="E231" s="99"/>
      <c r="F231" s="99"/>
      <c r="G231" s="99"/>
      <c r="H231" s="99"/>
      <c r="I231" s="99"/>
      <c r="J231" s="99"/>
      <c r="K231" s="99"/>
      <c r="L231" s="99"/>
      <c r="M231" s="99"/>
      <c r="N231" s="99"/>
      <c r="O231" s="99"/>
      <c r="P231" s="99"/>
      <c r="Q231" s="99"/>
      <c r="R231" s="99"/>
      <c r="S231" s="99"/>
      <c r="T231" s="99"/>
      <c r="U231" s="99"/>
      <c r="V231" s="99"/>
      <c r="W231" s="99"/>
      <c r="X231" s="99"/>
      <c r="Y231" s="99"/>
      <c r="Z231" s="99"/>
      <c r="AA231" s="99"/>
      <c r="AB231" s="99"/>
      <c r="AC231" s="99"/>
      <c r="AD231" s="99"/>
    </row>
    <row r="232" spans="1:30" ht="28.5" customHeight="1" x14ac:dyDescent="0.15">
      <c r="A232" s="99"/>
      <c r="B232" s="99"/>
      <c r="C232" s="99"/>
      <c r="D232" s="99"/>
      <c r="E232" s="99"/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99"/>
      <c r="T232" s="99"/>
      <c r="U232" s="99"/>
      <c r="V232" s="99"/>
      <c r="W232" s="99"/>
      <c r="X232" s="99"/>
      <c r="Y232" s="99"/>
      <c r="Z232" s="99"/>
      <c r="AA232" s="99"/>
      <c r="AB232" s="99"/>
      <c r="AC232" s="99"/>
      <c r="AD232" s="99"/>
    </row>
    <row r="233" spans="1:30" ht="28.5" customHeight="1" x14ac:dyDescent="0.15">
      <c r="A233" s="99"/>
      <c r="B233" s="99"/>
      <c r="C233" s="99"/>
      <c r="D233" s="99"/>
      <c r="E233" s="99"/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99"/>
      <c r="U233" s="99"/>
      <c r="V233" s="99"/>
      <c r="W233" s="99"/>
      <c r="X233" s="99"/>
      <c r="Y233" s="99"/>
      <c r="Z233" s="99"/>
      <c r="AA233" s="99"/>
      <c r="AB233" s="99"/>
      <c r="AC233" s="99"/>
      <c r="AD233" s="99"/>
    </row>
    <row r="234" spans="1:30" ht="28.5" customHeight="1" x14ac:dyDescent="0.15">
      <c r="A234" s="99"/>
      <c r="B234" s="99"/>
      <c r="C234" s="99"/>
      <c r="D234" s="99"/>
      <c r="E234" s="99"/>
      <c r="F234" s="99"/>
      <c r="G234" s="99"/>
      <c r="H234" s="99"/>
      <c r="I234" s="99"/>
      <c r="J234" s="99"/>
      <c r="K234" s="99"/>
      <c r="L234" s="99"/>
      <c r="M234" s="99"/>
      <c r="N234" s="99"/>
      <c r="O234" s="99"/>
      <c r="P234" s="99"/>
      <c r="Q234" s="99"/>
      <c r="R234" s="99"/>
      <c r="S234" s="99"/>
      <c r="T234" s="99"/>
      <c r="U234" s="99"/>
      <c r="V234" s="99"/>
      <c r="W234" s="99"/>
      <c r="X234" s="99"/>
      <c r="Y234" s="99"/>
      <c r="Z234" s="99"/>
      <c r="AA234" s="99"/>
      <c r="AB234" s="99"/>
      <c r="AC234" s="99"/>
      <c r="AD234" s="99"/>
    </row>
    <row r="235" spans="1:30" ht="28.5" customHeight="1" x14ac:dyDescent="0.15">
      <c r="A235" s="99"/>
      <c r="B235" s="99"/>
      <c r="C235" s="99"/>
      <c r="D235" s="99"/>
      <c r="E235" s="99"/>
      <c r="F235" s="99"/>
      <c r="G235" s="99"/>
      <c r="H235" s="99"/>
      <c r="I235" s="99"/>
      <c r="J235" s="99"/>
      <c r="K235" s="99"/>
      <c r="L235" s="99"/>
      <c r="M235" s="99"/>
      <c r="N235" s="99"/>
      <c r="O235" s="99"/>
      <c r="P235" s="99"/>
      <c r="Q235" s="99"/>
      <c r="R235" s="99"/>
      <c r="S235" s="99"/>
      <c r="T235" s="99"/>
      <c r="U235" s="99"/>
      <c r="V235" s="99"/>
      <c r="W235" s="99"/>
      <c r="X235" s="99"/>
      <c r="Y235" s="99"/>
      <c r="Z235" s="99"/>
      <c r="AA235" s="99"/>
      <c r="AB235" s="99"/>
      <c r="AC235" s="99"/>
      <c r="AD235" s="99"/>
    </row>
    <row r="236" spans="1:30" ht="28.5" customHeight="1" x14ac:dyDescent="0.15">
      <c r="A236" s="99"/>
      <c r="B236" s="99"/>
      <c r="C236" s="99"/>
      <c r="D236" s="99"/>
      <c r="E236" s="99"/>
      <c r="F236" s="99"/>
      <c r="G236" s="99"/>
      <c r="H236" s="99"/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99"/>
      <c r="T236" s="99"/>
      <c r="U236" s="99"/>
      <c r="V236" s="99"/>
      <c r="W236" s="99"/>
      <c r="X236" s="99"/>
      <c r="Y236" s="99"/>
      <c r="Z236" s="99"/>
      <c r="AA236" s="99"/>
      <c r="AB236" s="99"/>
      <c r="AC236" s="99"/>
      <c r="AD236" s="99"/>
    </row>
    <row r="237" spans="1:30" ht="28.5" customHeight="1" x14ac:dyDescent="0.15">
      <c r="A237" s="99"/>
      <c r="B237" s="99"/>
      <c r="C237" s="99"/>
      <c r="D237" s="99"/>
      <c r="E237" s="99"/>
      <c r="F237" s="99"/>
      <c r="G237" s="99"/>
      <c r="H237" s="99"/>
      <c r="I237" s="99"/>
      <c r="J237" s="99"/>
      <c r="K237" s="99"/>
      <c r="L237" s="99"/>
      <c r="M237" s="99"/>
      <c r="N237" s="99"/>
      <c r="O237" s="99"/>
      <c r="P237" s="99"/>
      <c r="Q237" s="99"/>
      <c r="R237" s="99"/>
      <c r="S237" s="99"/>
      <c r="T237" s="99"/>
      <c r="U237" s="99"/>
      <c r="V237" s="99"/>
      <c r="W237" s="99"/>
      <c r="X237" s="99"/>
      <c r="Y237" s="99"/>
      <c r="Z237" s="99"/>
      <c r="AA237" s="99"/>
      <c r="AB237" s="99"/>
      <c r="AC237" s="99"/>
      <c r="AD237" s="99"/>
    </row>
    <row r="238" spans="1:30" ht="28.5" customHeight="1" x14ac:dyDescent="0.15">
      <c r="A238" s="99"/>
      <c r="B238" s="99"/>
      <c r="C238" s="99"/>
      <c r="D238" s="99"/>
      <c r="E238" s="99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99"/>
      <c r="U238" s="99"/>
      <c r="V238" s="99"/>
      <c r="W238" s="99"/>
      <c r="X238" s="99"/>
      <c r="Y238" s="99"/>
      <c r="Z238" s="99"/>
      <c r="AA238" s="99"/>
      <c r="AB238" s="99"/>
      <c r="AC238" s="99"/>
      <c r="AD238" s="99"/>
    </row>
    <row r="239" spans="1:30" ht="28.5" customHeight="1" x14ac:dyDescent="0.15">
      <c r="A239" s="99"/>
      <c r="B239" s="99"/>
      <c r="C239" s="99"/>
      <c r="D239" s="99"/>
      <c r="E239" s="99"/>
      <c r="F239" s="99"/>
      <c r="G239" s="99"/>
      <c r="H239" s="99"/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99"/>
      <c r="T239" s="99"/>
      <c r="U239" s="99"/>
      <c r="V239" s="99"/>
      <c r="W239" s="99"/>
      <c r="X239" s="99"/>
      <c r="Y239" s="99"/>
      <c r="Z239" s="99"/>
      <c r="AA239" s="99"/>
      <c r="AB239" s="99"/>
      <c r="AC239" s="99"/>
      <c r="AD239" s="99"/>
    </row>
    <row r="240" spans="1:30" ht="28.5" customHeight="1" x14ac:dyDescent="0.15">
      <c r="A240" s="99"/>
      <c r="B240" s="99"/>
      <c r="C240" s="99"/>
      <c r="D240" s="99"/>
      <c r="E240" s="99"/>
      <c r="F240" s="99"/>
      <c r="G240" s="99"/>
      <c r="H240" s="99"/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99"/>
      <c r="T240" s="99"/>
      <c r="U240" s="99"/>
      <c r="V240" s="99"/>
      <c r="W240" s="99"/>
      <c r="X240" s="99"/>
      <c r="Y240" s="99"/>
      <c r="Z240" s="99"/>
      <c r="AA240" s="99"/>
      <c r="AB240" s="99"/>
      <c r="AC240" s="99"/>
      <c r="AD240" s="99"/>
    </row>
    <row r="241" spans="1:30" ht="28.5" customHeight="1" x14ac:dyDescent="0.15">
      <c r="A241" s="99"/>
      <c r="B241" s="99"/>
      <c r="C241" s="99"/>
      <c r="D241" s="99"/>
      <c r="E241" s="99"/>
      <c r="F241" s="99"/>
      <c r="G241" s="99"/>
      <c r="H241" s="99"/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  <c r="AA241" s="99"/>
      <c r="AB241" s="99"/>
      <c r="AC241" s="99"/>
      <c r="AD241" s="99"/>
    </row>
    <row r="242" spans="1:30" ht="28.5" customHeight="1" x14ac:dyDescent="0.15">
      <c r="A242" s="99"/>
      <c r="B242" s="99"/>
      <c r="C242" s="99"/>
      <c r="D242" s="99"/>
      <c r="E242" s="99"/>
      <c r="F242" s="99"/>
      <c r="G242" s="99"/>
      <c r="H242" s="99"/>
      <c r="I242" s="99"/>
      <c r="J242" s="99"/>
      <c r="K242" s="99"/>
      <c r="L242" s="99"/>
      <c r="M242" s="99"/>
      <c r="N242" s="99"/>
      <c r="O242" s="99"/>
      <c r="P242" s="99"/>
      <c r="Q242" s="99"/>
      <c r="R242" s="99"/>
      <c r="S242" s="99"/>
      <c r="T242" s="99"/>
      <c r="U242" s="99"/>
      <c r="V242" s="99"/>
      <c r="W242" s="99"/>
      <c r="X242" s="99"/>
      <c r="Y242" s="99"/>
      <c r="Z242" s="99"/>
      <c r="AA242" s="99"/>
      <c r="AB242" s="99"/>
      <c r="AC242" s="99"/>
      <c r="AD242" s="99"/>
    </row>
    <row r="243" spans="1:30" ht="28.5" customHeight="1" x14ac:dyDescent="0.15">
      <c r="A243" s="99"/>
      <c r="B243" s="99"/>
      <c r="C243" s="99"/>
      <c r="D243" s="99"/>
      <c r="E243" s="99"/>
      <c r="F243" s="99"/>
      <c r="G243" s="99"/>
      <c r="H243" s="99"/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99"/>
      <c r="T243" s="99"/>
      <c r="U243" s="99"/>
      <c r="V243" s="99"/>
      <c r="W243" s="99"/>
      <c r="X243" s="99"/>
      <c r="Y243" s="99"/>
      <c r="Z243" s="99"/>
      <c r="AA243" s="99"/>
      <c r="AB243" s="99"/>
      <c r="AC243" s="99"/>
      <c r="AD243" s="99"/>
    </row>
    <row r="244" spans="1:30" ht="28.5" customHeight="1" x14ac:dyDescent="0.15">
      <c r="A244" s="99"/>
      <c r="B244" s="99"/>
      <c r="C244" s="99"/>
      <c r="D244" s="99"/>
      <c r="E244" s="99"/>
      <c r="F244" s="99"/>
      <c r="G244" s="99"/>
      <c r="H244" s="99"/>
      <c r="I244" s="99"/>
      <c r="J244" s="99"/>
      <c r="K244" s="99"/>
      <c r="L244" s="99"/>
      <c r="M244" s="99"/>
      <c r="N244" s="99"/>
      <c r="O244" s="99"/>
      <c r="P244" s="99"/>
      <c r="Q244" s="99"/>
      <c r="R244" s="99"/>
      <c r="S244" s="99"/>
      <c r="T244" s="99"/>
      <c r="U244" s="99"/>
      <c r="V244" s="99"/>
      <c r="W244" s="99"/>
      <c r="X244" s="99"/>
      <c r="Y244" s="99"/>
      <c r="Z244" s="99"/>
      <c r="AA244" s="99"/>
      <c r="AB244" s="99"/>
      <c r="AC244" s="99"/>
      <c r="AD244" s="99"/>
    </row>
    <row r="245" spans="1:30" ht="28.5" customHeight="1" x14ac:dyDescent="0.15">
      <c r="A245" s="99"/>
      <c r="B245" s="99"/>
      <c r="C245" s="99"/>
      <c r="D245" s="99"/>
      <c r="E245" s="99"/>
      <c r="F245" s="99"/>
      <c r="G245" s="99"/>
      <c r="H245" s="99"/>
      <c r="I245" s="99"/>
      <c r="J245" s="99"/>
      <c r="K245" s="99"/>
      <c r="L245" s="99"/>
      <c r="M245" s="99"/>
      <c r="N245" s="99"/>
      <c r="O245" s="99"/>
      <c r="P245" s="99"/>
      <c r="Q245" s="99"/>
      <c r="R245" s="99"/>
      <c r="S245" s="99"/>
      <c r="T245" s="99"/>
      <c r="U245" s="99"/>
      <c r="V245" s="99"/>
      <c r="W245" s="99"/>
      <c r="X245" s="99"/>
      <c r="Y245" s="99"/>
      <c r="Z245" s="99"/>
      <c r="AA245" s="99"/>
      <c r="AB245" s="99"/>
      <c r="AC245" s="99"/>
      <c r="AD245" s="99"/>
    </row>
    <row r="246" spans="1:30" ht="28.5" customHeight="1" x14ac:dyDescent="0.15">
      <c r="A246" s="99"/>
      <c r="B246" s="99"/>
      <c r="C246" s="99"/>
      <c r="D246" s="99"/>
      <c r="E246" s="99"/>
      <c r="F246" s="99"/>
      <c r="G246" s="99"/>
      <c r="H246" s="99"/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99"/>
      <c r="T246" s="99"/>
      <c r="U246" s="99"/>
      <c r="V246" s="99"/>
      <c r="W246" s="99"/>
      <c r="X246" s="99"/>
      <c r="Y246" s="99"/>
      <c r="Z246" s="99"/>
      <c r="AA246" s="99"/>
      <c r="AB246" s="99"/>
      <c r="AC246" s="99"/>
      <c r="AD246" s="99"/>
    </row>
    <row r="247" spans="1:30" ht="28.5" customHeight="1" x14ac:dyDescent="0.15">
      <c r="A247" s="99"/>
      <c r="B247" s="99"/>
      <c r="C247" s="99"/>
      <c r="D247" s="99"/>
      <c r="E247" s="99"/>
      <c r="F247" s="99"/>
      <c r="G247" s="99"/>
      <c r="H247" s="99"/>
      <c r="I247" s="99"/>
      <c r="J247" s="99"/>
      <c r="K247" s="99"/>
      <c r="L247" s="99"/>
      <c r="M247" s="99"/>
      <c r="N247" s="99"/>
      <c r="O247" s="99"/>
      <c r="P247" s="99"/>
      <c r="Q247" s="99"/>
      <c r="R247" s="99"/>
      <c r="S247" s="99"/>
      <c r="T247" s="99"/>
      <c r="U247" s="99"/>
      <c r="V247" s="99"/>
      <c r="W247" s="99"/>
      <c r="X247" s="99"/>
      <c r="Y247" s="99"/>
      <c r="Z247" s="99"/>
      <c r="AA247" s="99"/>
      <c r="AB247" s="99"/>
      <c r="AC247" s="99"/>
      <c r="AD247" s="99"/>
    </row>
    <row r="248" spans="1:30" ht="28.5" customHeight="1" x14ac:dyDescent="0.15">
      <c r="A248" s="99"/>
      <c r="B248" s="99"/>
      <c r="C248" s="99"/>
      <c r="D248" s="99"/>
      <c r="E248" s="99"/>
      <c r="F248" s="99"/>
      <c r="G248" s="99"/>
      <c r="H248" s="99"/>
      <c r="I248" s="99"/>
      <c r="J248" s="99"/>
      <c r="K248" s="99"/>
      <c r="L248" s="99"/>
      <c r="M248" s="99"/>
      <c r="N248" s="99"/>
      <c r="O248" s="99"/>
      <c r="P248" s="99"/>
      <c r="Q248" s="99"/>
      <c r="R248" s="99"/>
      <c r="S248" s="99"/>
      <c r="T248" s="99"/>
      <c r="U248" s="99"/>
      <c r="V248" s="99"/>
      <c r="W248" s="99"/>
      <c r="X248" s="99"/>
      <c r="Y248" s="99"/>
      <c r="Z248" s="99"/>
      <c r="AA248" s="99"/>
      <c r="AB248" s="99"/>
      <c r="AC248" s="99"/>
      <c r="AD248" s="99"/>
    </row>
    <row r="249" spans="1:30" ht="28.5" customHeight="1" x14ac:dyDescent="0.15">
      <c r="A249" s="99"/>
      <c r="B249" s="99"/>
      <c r="C249" s="99"/>
      <c r="D249" s="99"/>
      <c r="E249" s="99"/>
      <c r="F249" s="99"/>
      <c r="G249" s="99"/>
      <c r="H249" s="99"/>
      <c r="I249" s="99"/>
      <c r="J249" s="99"/>
      <c r="K249" s="99"/>
      <c r="L249" s="99"/>
      <c r="M249" s="99"/>
      <c r="N249" s="99"/>
      <c r="O249" s="99"/>
      <c r="P249" s="99"/>
      <c r="Q249" s="99"/>
      <c r="R249" s="99"/>
      <c r="S249" s="99"/>
      <c r="T249" s="99"/>
      <c r="U249" s="99"/>
      <c r="V249" s="99"/>
      <c r="W249" s="99"/>
      <c r="X249" s="99"/>
      <c r="Y249" s="99"/>
      <c r="Z249" s="99"/>
      <c r="AA249" s="99"/>
      <c r="AB249" s="99"/>
      <c r="AC249" s="99"/>
      <c r="AD249" s="99"/>
    </row>
    <row r="250" spans="1:30" ht="28.5" customHeight="1" x14ac:dyDescent="0.15">
      <c r="A250" s="99"/>
      <c r="B250" s="99"/>
      <c r="C250" s="99"/>
      <c r="D250" s="99"/>
      <c r="E250" s="99"/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/>
      <c r="Q250" s="99"/>
      <c r="R250" s="99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</row>
    <row r="251" spans="1:30" ht="28.5" customHeight="1" x14ac:dyDescent="0.15">
      <c r="A251" s="99"/>
      <c r="B251" s="99"/>
      <c r="C251" s="99"/>
      <c r="D251" s="99"/>
      <c r="E251" s="99"/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/>
      <c r="Q251" s="99"/>
      <c r="R251" s="99"/>
      <c r="S251" s="99"/>
      <c r="T251" s="99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</row>
    <row r="252" spans="1:30" ht="28.5" customHeight="1" x14ac:dyDescent="0.15">
      <c r="A252" s="99"/>
      <c r="B252" s="99"/>
      <c r="C252" s="99"/>
      <c r="D252" s="99"/>
      <c r="E252" s="99"/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</row>
    <row r="253" spans="1:30" ht="28.5" customHeight="1" x14ac:dyDescent="0.15">
      <c r="A253" s="99"/>
      <c r="B253" s="99"/>
      <c r="C253" s="99"/>
      <c r="D253" s="99"/>
      <c r="E253" s="99"/>
      <c r="F253" s="99"/>
      <c r="G253" s="99"/>
      <c r="H253" s="99"/>
      <c r="I253" s="99"/>
      <c r="J253" s="99"/>
      <c r="K253" s="99"/>
      <c r="L253" s="99"/>
      <c r="M253" s="99"/>
      <c r="N253" s="99"/>
      <c r="O253" s="99"/>
      <c r="P253" s="99"/>
      <c r="Q253" s="99"/>
      <c r="R253" s="99"/>
      <c r="S253" s="99"/>
      <c r="T253" s="99"/>
      <c r="U253" s="99"/>
      <c r="V253" s="99"/>
      <c r="W253" s="99"/>
      <c r="X253" s="99"/>
      <c r="Y253" s="99"/>
      <c r="Z253" s="99"/>
      <c r="AA253" s="99"/>
      <c r="AB253" s="99"/>
      <c r="AC253" s="99"/>
      <c r="AD253" s="99"/>
    </row>
    <row r="254" spans="1:30" ht="28.5" customHeight="1" x14ac:dyDescent="0.15">
      <c r="A254" s="99"/>
      <c r="B254" s="99"/>
      <c r="C254" s="99"/>
      <c r="D254" s="99"/>
      <c r="E254" s="99"/>
      <c r="F254" s="99"/>
      <c r="G254" s="99"/>
      <c r="H254" s="99"/>
      <c r="I254" s="99"/>
      <c r="J254" s="99"/>
      <c r="K254" s="99"/>
      <c r="L254" s="99"/>
      <c r="M254" s="99"/>
      <c r="N254" s="99"/>
      <c r="O254" s="99"/>
      <c r="P254" s="99"/>
      <c r="Q254" s="99"/>
      <c r="R254" s="99"/>
      <c r="S254" s="99"/>
      <c r="T254" s="99"/>
      <c r="U254" s="99"/>
      <c r="V254" s="99"/>
      <c r="W254" s="99"/>
      <c r="X254" s="99"/>
      <c r="Y254" s="99"/>
      <c r="Z254" s="99"/>
      <c r="AA254" s="99"/>
      <c r="AB254" s="99"/>
      <c r="AC254" s="99"/>
      <c r="AD254" s="99"/>
    </row>
    <row r="255" spans="1:30" ht="28.5" customHeight="1" x14ac:dyDescent="0.15">
      <c r="A255" s="99"/>
      <c r="B255" s="99"/>
      <c r="C255" s="99"/>
      <c r="D255" s="99"/>
      <c r="E255" s="99"/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99"/>
      <c r="U255" s="99"/>
      <c r="V255" s="99"/>
      <c r="W255" s="99"/>
      <c r="X255" s="99"/>
      <c r="Y255" s="99"/>
      <c r="Z255" s="99"/>
      <c r="AA255" s="99"/>
      <c r="AB255" s="99"/>
      <c r="AC255" s="99"/>
      <c r="AD255" s="99"/>
    </row>
    <row r="256" spans="1:30" ht="28.5" customHeight="1" x14ac:dyDescent="0.15">
      <c r="A256" s="99"/>
      <c r="B256" s="99"/>
      <c r="C256" s="99"/>
      <c r="D256" s="99"/>
      <c r="E256" s="99"/>
      <c r="F256" s="99"/>
      <c r="G256" s="99"/>
      <c r="H256" s="99"/>
      <c r="I256" s="99"/>
      <c r="J256" s="99"/>
      <c r="K256" s="99"/>
      <c r="L256" s="99"/>
      <c r="M256" s="99"/>
      <c r="N256" s="99"/>
      <c r="O256" s="99"/>
      <c r="P256" s="99"/>
      <c r="Q256" s="99"/>
      <c r="R256" s="99"/>
      <c r="S256" s="99"/>
      <c r="T256" s="99"/>
      <c r="U256" s="99"/>
      <c r="V256" s="99"/>
      <c r="W256" s="99"/>
      <c r="X256" s="99"/>
      <c r="Y256" s="99"/>
      <c r="Z256" s="99"/>
      <c r="AA256" s="99"/>
      <c r="AB256" s="99"/>
      <c r="AC256" s="99"/>
      <c r="AD256" s="99"/>
    </row>
    <row r="257" spans="1:30" ht="28.5" customHeight="1" x14ac:dyDescent="0.15">
      <c r="A257" s="99"/>
      <c r="B257" s="99"/>
      <c r="C257" s="99"/>
      <c r="D257" s="99"/>
      <c r="E257" s="99"/>
      <c r="F257" s="99"/>
      <c r="G257" s="99"/>
      <c r="H257" s="99"/>
      <c r="I257" s="99"/>
      <c r="J257" s="99"/>
      <c r="K257" s="99"/>
      <c r="L257" s="99"/>
      <c r="M257" s="99"/>
      <c r="N257" s="99"/>
      <c r="O257" s="99"/>
      <c r="P257" s="99"/>
      <c r="Q257" s="99"/>
      <c r="R257" s="99"/>
      <c r="S257" s="99"/>
      <c r="T257" s="99"/>
      <c r="U257" s="99"/>
      <c r="V257" s="99"/>
      <c r="W257" s="99"/>
      <c r="X257" s="99"/>
      <c r="Y257" s="99"/>
      <c r="Z257" s="99"/>
      <c r="AA257" s="99"/>
      <c r="AB257" s="99"/>
      <c r="AC257" s="99"/>
      <c r="AD257" s="99"/>
    </row>
    <row r="258" spans="1:30" ht="28.5" customHeight="1" x14ac:dyDescent="0.15">
      <c r="A258" s="99"/>
      <c r="B258" s="99"/>
      <c r="C258" s="99"/>
      <c r="D258" s="99"/>
      <c r="E258" s="99"/>
      <c r="F258" s="99"/>
      <c r="G258" s="99"/>
      <c r="H258" s="99"/>
      <c r="I258" s="99"/>
      <c r="J258" s="99"/>
      <c r="K258" s="99"/>
      <c r="L258" s="99"/>
      <c r="M258" s="99"/>
      <c r="N258" s="99"/>
      <c r="O258" s="99"/>
      <c r="P258" s="99"/>
      <c r="Q258" s="99"/>
      <c r="R258" s="99"/>
      <c r="S258" s="99"/>
      <c r="T258" s="99"/>
      <c r="U258" s="99"/>
      <c r="V258" s="99"/>
      <c r="W258" s="99"/>
      <c r="X258" s="99"/>
      <c r="Y258" s="99"/>
      <c r="Z258" s="99"/>
      <c r="AA258" s="99"/>
      <c r="AB258" s="99"/>
      <c r="AC258" s="99"/>
      <c r="AD258" s="99"/>
    </row>
    <row r="259" spans="1:30" ht="28.5" customHeight="1" x14ac:dyDescent="0.15">
      <c r="A259" s="99"/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99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</row>
    <row r="260" spans="1:30" ht="28.5" customHeight="1" x14ac:dyDescent="0.15">
      <c r="A260" s="99"/>
      <c r="B260" s="99"/>
      <c r="C260" s="99"/>
      <c r="D260" s="99"/>
      <c r="E260" s="99"/>
      <c r="F260" s="99"/>
      <c r="G260" s="99"/>
      <c r="H260" s="99"/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99"/>
      <c r="T260" s="99"/>
      <c r="U260" s="99"/>
      <c r="V260" s="99"/>
      <c r="W260" s="99"/>
      <c r="X260" s="99"/>
      <c r="Y260" s="99"/>
      <c r="Z260" s="99"/>
      <c r="AA260" s="99"/>
      <c r="AB260" s="99"/>
      <c r="AC260" s="99"/>
      <c r="AD260" s="99"/>
    </row>
    <row r="261" spans="1:30" ht="28.5" customHeight="1" x14ac:dyDescent="0.15">
      <c r="A261" s="99"/>
      <c r="B261" s="99"/>
      <c r="C261" s="99"/>
      <c r="D261" s="99"/>
      <c r="E261" s="99"/>
      <c r="F261" s="99"/>
      <c r="G261" s="99"/>
      <c r="H261" s="99"/>
      <c r="I261" s="99"/>
      <c r="J261" s="99"/>
      <c r="K261" s="99"/>
      <c r="L261" s="99"/>
      <c r="M261" s="99"/>
      <c r="N261" s="99"/>
      <c r="O261" s="99"/>
      <c r="P261" s="99"/>
      <c r="Q261" s="99"/>
      <c r="R261" s="99"/>
      <c r="S261" s="99"/>
      <c r="T261" s="99"/>
      <c r="U261" s="99"/>
      <c r="V261" s="99"/>
      <c r="W261" s="99"/>
      <c r="X261" s="99"/>
      <c r="Y261" s="99"/>
      <c r="Z261" s="99"/>
      <c r="AA261" s="99"/>
      <c r="AB261" s="99"/>
      <c r="AC261" s="99"/>
      <c r="AD261" s="99"/>
    </row>
    <row r="262" spans="1:30" ht="28.5" customHeight="1" x14ac:dyDescent="0.15">
      <c r="A262" s="99"/>
      <c r="B262" s="99"/>
      <c r="C262" s="99"/>
      <c r="D262" s="99"/>
      <c r="E262" s="99"/>
      <c r="F262" s="99"/>
      <c r="G262" s="99"/>
      <c r="H262" s="99"/>
      <c r="I262" s="99"/>
      <c r="J262" s="99"/>
      <c r="K262" s="99"/>
      <c r="L262" s="99"/>
      <c r="M262" s="99"/>
      <c r="N262" s="99"/>
      <c r="O262" s="99"/>
      <c r="P262" s="99"/>
      <c r="Q262" s="99"/>
      <c r="R262" s="99"/>
      <c r="S262" s="99"/>
      <c r="T262" s="99"/>
      <c r="U262" s="99"/>
      <c r="V262" s="99"/>
      <c r="W262" s="99"/>
      <c r="X262" s="99"/>
      <c r="Y262" s="99"/>
      <c r="Z262" s="99"/>
      <c r="AA262" s="99"/>
      <c r="AB262" s="99"/>
      <c r="AC262" s="99"/>
      <c r="AD262" s="99"/>
    </row>
    <row r="263" spans="1:30" ht="28.5" customHeight="1" x14ac:dyDescent="0.15">
      <c r="A263" s="99"/>
      <c r="B263" s="99"/>
      <c r="C263" s="99"/>
      <c r="D263" s="99"/>
      <c r="E263" s="99"/>
      <c r="F263" s="99"/>
      <c r="G263" s="99"/>
      <c r="H263" s="99"/>
      <c r="I263" s="99"/>
      <c r="J263" s="99"/>
      <c r="K263" s="99"/>
      <c r="L263" s="99"/>
      <c r="M263" s="99"/>
      <c r="N263" s="99"/>
      <c r="O263" s="99"/>
      <c r="P263" s="99"/>
      <c r="Q263" s="99"/>
      <c r="R263" s="99"/>
      <c r="S263" s="99"/>
      <c r="T263" s="99"/>
      <c r="U263" s="99"/>
      <c r="V263" s="99"/>
      <c r="W263" s="99"/>
      <c r="X263" s="99"/>
      <c r="Y263" s="99"/>
      <c r="Z263" s="99"/>
      <c r="AA263" s="99"/>
      <c r="AB263" s="99"/>
      <c r="AC263" s="99"/>
      <c r="AD263" s="99"/>
    </row>
    <row r="264" spans="1:30" ht="28.5" customHeight="1" x14ac:dyDescent="0.15">
      <c r="A264" s="99"/>
      <c r="B264" s="99"/>
      <c r="C264" s="99"/>
      <c r="D264" s="99"/>
      <c r="E264" s="99"/>
      <c r="F264" s="99"/>
      <c r="G264" s="99"/>
      <c r="H264" s="99"/>
      <c r="I264" s="99"/>
      <c r="J264" s="99"/>
      <c r="K264" s="99"/>
      <c r="L264" s="99"/>
      <c r="M264" s="99"/>
      <c r="N264" s="99"/>
      <c r="O264" s="99"/>
      <c r="P264" s="99"/>
      <c r="Q264" s="99"/>
      <c r="R264" s="99"/>
      <c r="S264" s="99"/>
      <c r="T264" s="99"/>
      <c r="U264" s="99"/>
      <c r="V264" s="99"/>
      <c r="W264" s="99"/>
      <c r="X264" s="99"/>
      <c r="Y264" s="99"/>
      <c r="Z264" s="99"/>
      <c r="AA264" s="99"/>
      <c r="AB264" s="99"/>
      <c r="AC264" s="99"/>
      <c r="AD264" s="99"/>
    </row>
    <row r="265" spans="1:30" ht="28.5" customHeight="1" x14ac:dyDescent="0.15">
      <c r="A265" s="99"/>
      <c r="B265" s="99"/>
      <c r="C265" s="99"/>
      <c r="D265" s="99"/>
      <c r="E265" s="99"/>
      <c r="F265" s="99"/>
      <c r="G265" s="99"/>
      <c r="H265" s="99"/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99"/>
      <c r="T265" s="99"/>
      <c r="U265" s="99"/>
      <c r="V265" s="99"/>
      <c r="W265" s="99"/>
      <c r="X265" s="99"/>
      <c r="Y265" s="99"/>
      <c r="Z265" s="99"/>
      <c r="AA265" s="99"/>
      <c r="AB265" s="99"/>
      <c r="AC265" s="99"/>
      <c r="AD265" s="99"/>
    </row>
    <row r="266" spans="1:30" ht="28.5" customHeight="1" x14ac:dyDescent="0.15">
      <c r="A266" s="99"/>
      <c r="B266" s="99"/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99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</row>
    <row r="267" spans="1:30" ht="28.5" customHeight="1" x14ac:dyDescent="0.15">
      <c r="A267" s="99"/>
      <c r="B267" s="99"/>
      <c r="C267" s="99"/>
      <c r="D267" s="99"/>
      <c r="E267" s="99"/>
      <c r="F267" s="99"/>
      <c r="G267" s="99"/>
      <c r="H267" s="99"/>
      <c r="I267" s="99"/>
      <c r="J267" s="99"/>
      <c r="K267" s="99"/>
      <c r="L267" s="99"/>
      <c r="M267" s="99"/>
      <c r="N267" s="99"/>
      <c r="O267" s="99"/>
      <c r="P267" s="99"/>
      <c r="Q267" s="99"/>
      <c r="R267" s="99"/>
      <c r="S267" s="99"/>
      <c r="T267" s="99"/>
      <c r="U267" s="99"/>
      <c r="V267" s="99"/>
      <c r="W267" s="99"/>
      <c r="X267" s="99"/>
      <c r="Y267" s="99"/>
      <c r="Z267" s="99"/>
      <c r="AA267" s="99"/>
      <c r="AB267" s="99"/>
      <c r="AC267" s="99"/>
      <c r="AD267" s="99"/>
    </row>
    <row r="268" spans="1:30" ht="28.5" customHeight="1" x14ac:dyDescent="0.15">
      <c r="A268" s="99"/>
      <c r="B268" s="99"/>
      <c r="C268" s="99"/>
      <c r="D268" s="99"/>
      <c r="E268" s="99"/>
      <c r="F268" s="99"/>
      <c r="G268" s="99"/>
      <c r="H268" s="99"/>
      <c r="I268" s="99"/>
      <c r="J268" s="99"/>
      <c r="K268" s="99"/>
      <c r="L268" s="99"/>
      <c r="M268" s="99"/>
      <c r="N268" s="99"/>
      <c r="O268" s="99"/>
      <c r="P268" s="99"/>
      <c r="Q268" s="99"/>
      <c r="R268" s="99"/>
      <c r="S268" s="99"/>
      <c r="T268" s="99"/>
      <c r="U268" s="99"/>
      <c r="V268" s="99"/>
      <c r="W268" s="99"/>
      <c r="X268" s="99"/>
      <c r="Y268" s="99"/>
      <c r="Z268" s="99"/>
      <c r="AA268" s="99"/>
      <c r="AB268" s="99"/>
      <c r="AC268" s="99"/>
      <c r="AD268" s="99"/>
    </row>
    <row r="269" spans="1:30" ht="28.5" customHeight="1" x14ac:dyDescent="0.15">
      <c r="A269" s="99"/>
      <c r="B269" s="99"/>
      <c r="C269" s="99"/>
      <c r="D269" s="99"/>
      <c r="E269" s="99"/>
      <c r="F269" s="99"/>
      <c r="G269" s="99"/>
      <c r="H269" s="99"/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99"/>
      <c r="T269" s="99"/>
      <c r="U269" s="99"/>
      <c r="V269" s="99"/>
      <c r="W269" s="99"/>
      <c r="X269" s="99"/>
      <c r="Y269" s="99"/>
      <c r="Z269" s="99"/>
      <c r="AA269" s="99"/>
      <c r="AB269" s="99"/>
      <c r="AC269" s="99"/>
      <c r="AD269" s="99"/>
    </row>
    <row r="270" spans="1:30" ht="28.5" customHeight="1" x14ac:dyDescent="0.15">
      <c r="A270" s="99"/>
      <c r="B270" s="99"/>
      <c r="C270" s="99"/>
      <c r="D270" s="99"/>
      <c r="E270" s="99"/>
      <c r="F270" s="99"/>
      <c r="G270" s="99"/>
      <c r="H270" s="99"/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99"/>
      <c r="T270" s="99"/>
      <c r="U270" s="99"/>
      <c r="V270" s="99"/>
      <c r="W270" s="99"/>
      <c r="X270" s="99"/>
      <c r="Y270" s="99"/>
      <c r="Z270" s="99"/>
      <c r="AA270" s="99"/>
      <c r="AB270" s="99"/>
      <c r="AC270" s="99"/>
      <c r="AD270" s="99"/>
    </row>
    <row r="271" spans="1:30" ht="28.5" customHeight="1" x14ac:dyDescent="0.15">
      <c r="A271" s="99"/>
      <c r="B271" s="99"/>
      <c r="C271" s="99"/>
      <c r="D271" s="99"/>
      <c r="E271" s="99"/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99"/>
      <c r="T271" s="99"/>
      <c r="U271" s="99"/>
      <c r="V271" s="99"/>
      <c r="W271" s="99"/>
      <c r="X271" s="99"/>
      <c r="Y271" s="99"/>
      <c r="Z271" s="99"/>
      <c r="AA271" s="99"/>
      <c r="AB271" s="99"/>
      <c r="AC271" s="99"/>
      <c r="AD271" s="99"/>
    </row>
    <row r="272" spans="1:30" ht="28.5" customHeight="1" x14ac:dyDescent="0.15">
      <c r="A272" s="99"/>
      <c r="B272" s="99"/>
      <c r="C272" s="99"/>
      <c r="D272" s="99"/>
      <c r="E272" s="99"/>
      <c r="F272" s="99"/>
      <c r="G272" s="99"/>
      <c r="H272" s="99"/>
      <c r="I272" s="99"/>
      <c r="J272" s="99"/>
      <c r="K272" s="99"/>
      <c r="L272" s="99"/>
      <c r="M272" s="99"/>
      <c r="N272" s="99"/>
      <c r="O272" s="99"/>
      <c r="P272" s="99"/>
      <c r="Q272" s="99"/>
      <c r="R272" s="99"/>
      <c r="S272" s="99"/>
      <c r="T272" s="99"/>
      <c r="U272" s="99"/>
      <c r="V272" s="99"/>
      <c r="W272" s="99"/>
      <c r="X272" s="99"/>
      <c r="Y272" s="99"/>
      <c r="Z272" s="99"/>
      <c r="AA272" s="99"/>
      <c r="AB272" s="99"/>
      <c r="AC272" s="99"/>
      <c r="AD272" s="99"/>
    </row>
    <row r="273" spans="1:30" ht="28.5" customHeight="1" x14ac:dyDescent="0.15">
      <c r="A273" s="99"/>
      <c r="B273" s="99"/>
      <c r="C273" s="99"/>
      <c r="D273" s="99"/>
      <c r="E273" s="99"/>
      <c r="F273" s="99"/>
      <c r="G273" s="99"/>
      <c r="H273" s="99"/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99"/>
      <c r="T273" s="99"/>
      <c r="U273" s="99"/>
      <c r="V273" s="99"/>
      <c r="W273" s="99"/>
      <c r="X273" s="99"/>
      <c r="Y273" s="99"/>
      <c r="Z273" s="99"/>
      <c r="AA273" s="99"/>
      <c r="AB273" s="99"/>
      <c r="AC273" s="99"/>
      <c r="AD273" s="99"/>
    </row>
    <row r="274" spans="1:30" ht="28.5" customHeight="1" x14ac:dyDescent="0.15">
      <c r="A274" s="99"/>
      <c r="B274" s="99"/>
      <c r="C274" s="99"/>
      <c r="D274" s="99"/>
      <c r="E274" s="99"/>
      <c r="F274" s="99"/>
      <c r="G274" s="99"/>
      <c r="H274" s="99"/>
      <c r="I274" s="99"/>
      <c r="J274" s="99"/>
      <c r="K274" s="99"/>
      <c r="L274" s="99"/>
      <c r="M274" s="99"/>
      <c r="N274" s="99"/>
      <c r="O274" s="99"/>
      <c r="P274" s="99"/>
      <c r="Q274" s="99"/>
      <c r="R274" s="99"/>
      <c r="S274" s="99"/>
      <c r="T274" s="99"/>
      <c r="U274" s="99"/>
      <c r="V274" s="99"/>
      <c r="W274" s="99"/>
      <c r="X274" s="99"/>
      <c r="Y274" s="99"/>
      <c r="Z274" s="99"/>
      <c r="AA274" s="99"/>
      <c r="AB274" s="99"/>
      <c r="AC274" s="99"/>
      <c r="AD274" s="99"/>
    </row>
    <row r="275" spans="1:30" ht="28.5" customHeight="1" x14ac:dyDescent="0.15">
      <c r="A275" s="99"/>
      <c r="B275" s="99"/>
      <c r="C275" s="99"/>
      <c r="D275" s="99"/>
      <c r="E275" s="99"/>
      <c r="F275" s="99"/>
      <c r="G275" s="99"/>
      <c r="H275" s="99"/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99"/>
      <c r="T275" s="99"/>
      <c r="U275" s="99"/>
      <c r="V275" s="99"/>
      <c r="W275" s="99"/>
      <c r="X275" s="99"/>
      <c r="Y275" s="99"/>
      <c r="Z275" s="99"/>
      <c r="AA275" s="99"/>
      <c r="AB275" s="99"/>
      <c r="AC275" s="99"/>
      <c r="AD275" s="99"/>
    </row>
    <row r="276" spans="1:30" ht="28.5" customHeight="1" x14ac:dyDescent="0.15">
      <c r="A276" s="99"/>
      <c r="B276" s="99"/>
      <c r="C276" s="99"/>
      <c r="D276" s="99"/>
      <c r="E276" s="99"/>
      <c r="F276" s="99"/>
      <c r="G276" s="99"/>
      <c r="H276" s="99"/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99"/>
      <c r="T276" s="99"/>
      <c r="U276" s="99"/>
      <c r="V276" s="99"/>
      <c r="W276" s="99"/>
      <c r="X276" s="99"/>
      <c r="Y276" s="99"/>
      <c r="Z276" s="99"/>
      <c r="AA276" s="99"/>
      <c r="AB276" s="99"/>
      <c r="AC276" s="99"/>
      <c r="AD276" s="99"/>
    </row>
    <row r="277" spans="1:30" ht="28.5" customHeight="1" x14ac:dyDescent="0.15">
      <c r="A277" s="99"/>
      <c r="B277" s="99"/>
      <c r="C277" s="99"/>
      <c r="D277" s="99"/>
      <c r="E277" s="99"/>
      <c r="F277" s="99"/>
      <c r="G277" s="99"/>
      <c r="H277" s="99"/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99"/>
      <c r="T277" s="99"/>
      <c r="U277" s="99"/>
      <c r="V277" s="99"/>
      <c r="W277" s="99"/>
      <c r="X277" s="99"/>
      <c r="Y277" s="99"/>
      <c r="Z277" s="99"/>
      <c r="AA277" s="99"/>
      <c r="AB277" s="99"/>
      <c r="AC277" s="99"/>
      <c r="AD277" s="99"/>
    </row>
    <row r="278" spans="1:30" ht="28.5" customHeight="1" x14ac:dyDescent="0.15">
      <c r="A278" s="99"/>
      <c r="B278" s="99"/>
      <c r="C278" s="99"/>
      <c r="D278" s="99"/>
      <c r="E278" s="99"/>
      <c r="F278" s="99"/>
      <c r="G278" s="99"/>
      <c r="H278" s="99"/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99"/>
      <c r="T278" s="99"/>
      <c r="U278" s="99"/>
      <c r="V278" s="99"/>
      <c r="W278" s="99"/>
      <c r="X278" s="99"/>
      <c r="Y278" s="99"/>
      <c r="Z278" s="99"/>
      <c r="AA278" s="99"/>
      <c r="AB278" s="99"/>
      <c r="AC278" s="99"/>
      <c r="AD278" s="99"/>
    </row>
    <row r="279" spans="1:30" ht="28.5" customHeight="1" x14ac:dyDescent="0.15">
      <c r="A279" s="99"/>
      <c r="B279" s="99"/>
      <c r="C279" s="99"/>
      <c r="D279" s="99"/>
      <c r="E279" s="99"/>
      <c r="F279" s="99"/>
      <c r="G279" s="99"/>
      <c r="H279" s="99"/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99"/>
      <c r="T279" s="99"/>
      <c r="U279" s="99"/>
      <c r="V279" s="99"/>
      <c r="W279" s="99"/>
      <c r="X279" s="99"/>
      <c r="Y279" s="99"/>
      <c r="Z279" s="99"/>
      <c r="AA279" s="99"/>
      <c r="AB279" s="99"/>
      <c r="AC279" s="99"/>
      <c r="AD279" s="99"/>
    </row>
    <row r="280" spans="1:30" ht="28.5" customHeight="1" x14ac:dyDescent="0.15">
      <c r="A280" s="99"/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99"/>
      <c r="T280" s="99"/>
      <c r="U280" s="99"/>
      <c r="V280" s="99"/>
      <c r="W280" s="99"/>
      <c r="X280" s="99"/>
      <c r="Y280" s="99"/>
      <c r="Z280" s="99"/>
      <c r="AA280" s="99"/>
      <c r="AB280" s="99"/>
      <c r="AC280" s="99"/>
      <c r="AD280" s="99"/>
    </row>
    <row r="281" spans="1:30" ht="28.5" customHeight="1" x14ac:dyDescent="0.15">
      <c r="A281" s="99"/>
      <c r="B281" s="99"/>
      <c r="C281" s="99"/>
      <c r="D281" s="99"/>
      <c r="E281" s="99"/>
      <c r="F281" s="99"/>
      <c r="G281" s="99"/>
      <c r="H281" s="99"/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99"/>
      <c r="T281" s="99"/>
      <c r="U281" s="99"/>
      <c r="V281" s="99"/>
      <c r="W281" s="99"/>
      <c r="X281" s="99"/>
      <c r="Y281" s="99"/>
      <c r="Z281" s="99"/>
      <c r="AA281" s="99"/>
      <c r="AB281" s="99"/>
      <c r="AC281" s="99"/>
      <c r="AD281" s="99"/>
    </row>
    <row r="282" spans="1:30" ht="28.5" customHeight="1" x14ac:dyDescent="0.15">
      <c r="A282" s="99"/>
      <c r="B282" s="99"/>
      <c r="C282" s="99"/>
      <c r="D282" s="99"/>
      <c r="E282" s="99"/>
      <c r="F282" s="99"/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99"/>
      <c r="S282" s="99"/>
      <c r="T282" s="99"/>
      <c r="U282" s="99"/>
      <c r="V282" s="99"/>
      <c r="W282" s="99"/>
      <c r="X282" s="99"/>
      <c r="Y282" s="99"/>
      <c r="Z282" s="99"/>
      <c r="AA282" s="99"/>
      <c r="AB282" s="99"/>
      <c r="AC282" s="99"/>
      <c r="AD282" s="99"/>
    </row>
    <row r="283" spans="1:30" ht="28.5" customHeight="1" x14ac:dyDescent="0.15">
      <c r="A283" s="99"/>
      <c r="B283" s="99"/>
      <c r="C283" s="99"/>
      <c r="D283" s="99"/>
      <c r="E283" s="99"/>
      <c r="F283" s="99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99"/>
      <c r="U283" s="99"/>
      <c r="V283" s="99"/>
      <c r="W283" s="99"/>
      <c r="X283" s="99"/>
      <c r="Y283" s="99"/>
      <c r="Z283" s="99"/>
      <c r="AA283" s="99"/>
      <c r="AB283" s="99"/>
      <c r="AC283" s="99"/>
      <c r="AD283" s="99"/>
    </row>
    <row r="284" spans="1:30" ht="28.5" customHeight="1" x14ac:dyDescent="0.15">
      <c r="A284" s="99"/>
      <c r="B284" s="99"/>
      <c r="C284" s="99"/>
      <c r="D284" s="99"/>
      <c r="E284" s="99"/>
      <c r="F284" s="99"/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99"/>
      <c r="T284" s="99"/>
      <c r="U284" s="99"/>
      <c r="V284" s="99"/>
      <c r="W284" s="99"/>
      <c r="X284" s="99"/>
      <c r="Y284" s="99"/>
      <c r="Z284" s="99"/>
      <c r="AA284" s="99"/>
      <c r="AB284" s="99"/>
      <c r="AC284" s="99"/>
      <c r="AD284" s="99"/>
    </row>
    <row r="285" spans="1:30" ht="28.5" customHeight="1" x14ac:dyDescent="0.15">
      <c r="A285" s="99"/>
      <c r="B285" s="99"/>
      <c r="C285" s="99"/>
      <c r="D285" s="99"/>
      <c r="E285" s="99"/>
      <c r="F285" s="99"/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  <c r="T285" s="99"/>
      <c r="U285" s="99"/>
      <c r="V285" s="99"/>
      <c r="W285" s="99"/>
      <c r="X285" s="99"/>
      <c r="Y285" s="99"/>
      <c r="Z285" s="99"/>
      <c r="AA285" s="99"/>
      <c r="AB285" s="99"/>
      <c r="AC285" s="99"/>
      <c r="AD285" s="99"/>
    </row>
    <row r="286" spans="1:30" ht="28.5" customHeight="1" x14ac:dyDescent="0.15">
      <c r="A286" s="99"/>
      <c r="B286" s="99"/>
      <c r="C286" s="99"/>
      <c r="D286" s="99"/>
      <c r="E286" s="99"/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99"/>
      <c r="T286" s="99"/>
      <c r="U286" s="99"/>
      <c r="V286" s="99"/>
      <c r="W286" s="99"/>
      <c r="X286" s="99"/>
      <c r="Y286" s="99"/>
      <c r="Z286" s="99"/>
      <c r="AA286" s="99"/>
      <c r="AB286" s="99"/>
      <c r="AC286" s="99"/>
      <c r="AD286" s="99"/>
    </row>
    <row r="287" spans="1:30" ht="28.5" customHeight="1" x14ac:dyDescent="0.15">
      <c r="A287" s="99"/>
      <c r="B287" s="99"/>
      <c r="C287" s="99"/>
      <c r="D287" s="99"/>
      <c r="E287" s="99"/>
      <c r="F287" s="99"/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99"/>
      <c r="U287" s="99"/>
      <c r="V287" s="99"/>
      <c r="W287" s="99"/>
      <c r="X287" s="99"/>
      <c r="Y287" s="99"/>
      <c r="Z287" s="99"/>
      <c r="AA287" s="99"/>
      <c r="AB287" s="99"/>
      <c r="AC287" s="99"/>
      <c r="AD287" s="99"/>
    </row>
    <row r="288" spans="1:30" ht="28.5" customHeight="1" x14ac:dyDescent="0.15">
      <c r="A288" s="99"/>
      <c r="B288" s="99"/>
      <c r="C288" s="99"/>
      <c r="D288" s="99"/>
      <c r="E288" s="99"/>
      <c r="F288" s="99"/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99"/>
      <c r="T288" s="99"/>
      <c r="U288" s="99"/>
      <c r="V288" s="99"/>
      <c r="W288" s="99"/>
      <c r="X288" s="99"/>
      <c r="Y288" s="99"/>
      <c r="Z288" s="99"/>
      <c r="AA288" s="99"/>
      <c r="AB288" s="99"/>
      <c r="AC288" s="99"/>
      <c r="AD288" s="99"/>
    </row>
    <row r="289" spans="1:30" ht="28.5" customHeight="1" x14ac:dyDescent="0.15">
      <c r="A289" s="99"/>
      <c r="B289" s="99"/>
      <c r="C289" s="99"/>
      <c r="D289" s="99"/>
      <c r="E289" s="99"/>
      <c r="F289" s="99"/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9"/>
      <c r="T289" s="99"/>
      <c r="U289" s="99"/>
      <c r="V289" s="99"/>
      <c r="W289" s="99"/>
      <c r="X289" s="99"/>
      <c r="Y289" s="99"/>
      <c r="Z289" s="99"/>
      <c r="AA289" s="99"/>
      <c r="AB289" s="99"/>
      <c r="AC289" s="99"/>
      <c r="AD289" s="99"/>
    </row>
    <row r="290" spans="1:30" ht="28.5" customHeight="1" x14ac:dyDescent="0.15">
      <c r="A290" s="99"/>
      <c r="B290" s="99"/>
      <c r="C290" s="99"/>
      <c r="D290" s="99"/>
      <c r="E290" s="99"/>
      <c r="F290" s="99"/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9"/>
      <c r="T290" s="99"/>
      <c r="U290" s="99"/>
      <c r="V290" s="99"/>
      <c r="W290" s="99"/>
      <c r="X290" s="99"/>
      <c r="Y290" s="99"/>
      <c r="Z290" s="99"/>
      <c r="AA290" s="99"/>
      <c r="AB290" s="99"/>
      <c r="AC290" s="99"/>
      <c r="AD290" s="99"/>
    </row>
    <row r="291" spans="1:30" ht="28.5" customHeight="1" x14ac:dyDescent="0.15">
      <c r="A291" s="99"/>
      <c r="B291" s="99"/>
      <c r="C291" s="99"/>
      <c r="D291" s="99"/>
      <c r="E291" s="99"/>
      <c r="F291" s="99"/>
      <c r="G291" s="99"/>
      <c r="H291" s="99"/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99"/>
      <c r="U291" s="99"/>
      <c r="V291" s="99"/>
      <c r="W291" s="99"/>
      <c r="X291" s="99"/>
      <c r="Y291" s="99"/>
      <c r="Z291" s="99"/>
      <c r="AA291" s="99"/>
      <c r="AB291" s="99"/>
      <c r="AC291" s="99"/>
      <c r="AD291" s="99"/>
    </row>
    <row r="292" spans="1:30" ht="28.5" customHeight="1" x14ac:dyDescent="0.15">
      <c r="A292" s="99"/>
      <c r="B292" s="99"/>
      <c r="C292" s="99"/>
      <c r="D292" s="99"/>
      <c r="E292" s="99"/>
      <c r="F292" s="99"/>
      <c r="G292" s="99"/>
      <c r="H292" s="99"/>
      <c r="I292" s="99"/>
      <c r="J292" s="99"/>
      <c r="K292" s="99"/>
      <c r="L292" s="99"/>
      <c r="M292" s="99"/>
      <c r="N292" s="99"/>
      <c r="O292" s="99"/>
      <c r="P292" s="99"/>
      <c r="Q292" s="99"/>
      <c r="R292" s="99"/>
      <c r="S292" s="99"/>
      <c r="T292" s="99"/>
      <c r="U292" s="99"/>
      <c r="V292" s="99"/>
      <c r="W292" s="99"/>
      <c r="X292" s="99"/>
      <c r="Y292" s="99"/>
      <c r="Z292" s="99"/>
      <c r="AA292" s="99"/>
      <c r="AB292" s="99"/>
      <c r="AC292" s="99"/>
      <c r="AD292" s="99"/>
    </row>
    <row r="293" spans="1:30" ht="28.5" customHeight="1" x14ac:dyDescent="0.15">
      <c r="A293" s="99"/>
      <c r="B293" s="99"/>
      <c r="C293" s="99"/>
      <c r="D293" s="99"/>
      <c r="E293" s="99"/>
      <c r="F293" s="99"/>
      <c r="G293" s="99"/>
      <c r="H293" s="99"/>
      <c r="I293" s="99"/>
      <c r="J293" s="99"/>
      <c r="K293" s="99"/>
      <c r="L293" s="99"/>
      <c r="M293" s="99"/>
      <c r="N293" s="99"/>
      <c r="O293" s="99"/>
      <c r="P293" s="99"/>
      <c r="Q293" s="99"/>
      <c r="R293" s="99"/>
      <c r="S293" s="99"/>
      <c r="T293" s="99"/>
      <c r="U293" s="99"/>
      <c r="V293" s="99"/>
      <c r="W293" s="99"/>
      <c r="X293" s="99"/>
      <c r="Y293" s="99"/>
      <c r="Z293" s="99"/>
      <c r="AA293" s="99"/>
      <c r="AB293" s="99"/>
      <c r="AC293" s="99"/>
      <c r="AD293" s="99"/>
    </row>
    <row r="294" spans="1:30" ht="28.5" customHeight="1" x14ac:dyDescent="0.15">
      <c r="A294" s="99"/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99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</row>
    <row r="295" spans="1:30" ht="28.5" customHeight="1" x14ac:dyDescent="0.15">
      <c r="A295" s="99"/>
      <c r="B295" s="99"/>
      <c r="C295" s="99"/>
      <c r="D295" s="99"/>
      <c r="E295" s="99"/>
      <c r="F295" s="99"/>
      <c r="G295" s="99"/>
      <c r="H295" s="99"/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99"/>
      <c r="T295" s="99"/>
      <c r="U295" s="99"/>
      <c r="V295" s="99"/>
      <c r="W295" s="99"/>
      <c r="X295" s="99"/>
      <c r="Y295" s="99"/>
      <c r="Z295" s="99"/>
      <c r="AA295" s="99"/>
      <c r="AB295" s="99"/>
      <c r="AC295" s="99"/>
      <c r="AD295" s="99"/>
    </row>
    <row r="296" spans="1:30" ht="28.5" customHeight="1" x14ac:dyDescent="0.15">
      <c r="A296" s="99"/>
      <c r="B296" s="99"/>
      <c r="C296" s="99"/>
      <c r="D296" s="99"/>
      <c r="E296" s="99"/>
      <c r="F296" s="99"/>
      <c r="G296" s="99"/>
      <c r="H296" s="99"/>
      <c r="I296" s="99"/>
      <c r="J296" s="99"/>
      <c r="K296" s="99"/>
      <c r="L296" s="99"/>
      <c r="M296" s="99"/>
      <c r="N296" s="99"/>
      <c r="O296" s="99"/>
      <c r="P296" s="99"/>
      <c r="Q296" s="99"/>
      <c r="R296" s="99"/>
      <c r="S296" s="99"/>
      <c r="T296" s="99"/>
      <c r="U296" s="99"/>
      <c r="V296" s="99"/>
      <c r="W296" s="99"/>
      <c r="X296" s="99"/>
      <c r="Y296" s="99"/>
      <c r="Z296" s="99"/>
      <c r="AA296" s="99"/>
      <c r="AB296" s="99"/>
      <c r="AC296" s="99"/>
      <c r="AD296" s="99"/>
    </row>
    <row r="297" spans="1:30" ht="28.5" customHeight="1" x14ac:dyDescent="0.15">
      <c r="A297" s="99"/>
      <c r="B297" s="99"/>
      <c r="C297" s="99"/>
      <c r="D297" s="99"/>
      <c r="E297" s="99"/>
      <c r="F297" s="99"/>
      <c r="G297" s="99"/>
      <c r="H297" s="99"/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99"/>
      <c r="T297" s="99"/>
      <c r="U297" s="99"/>
      <c r="V297" s="99"/>
      <c r="W297" s="99"/>
      <c r="X297" s="99"/>
      <c r="Y297" s="99"/>
      <c r="Z297" s="99"/>
      <c r="AA297" s="99"/>
      <c r="AB297" s="99"/>
      <c r="AC297" s="99"/>
      <c r="AD297" s="99"/>
    </row>
    <row r="298" spans="1:30" ht="28.5" customHeight="1" x14ac:dyDescent="0.15">
      <c r="A298" s="99"/>
      <c r="B298" s="99"/>
      <c r="C298" s="99"/>
      <c r="D298" s="99"/>
      <c r="E298" s="99"/>
      <c r="F298" s="99"/>
      <c r="G298" s="99"/>
      <c r="H298" s="99"/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99"/>
      <c r="T298" s="99"/>
      <c r="U298" s="99"/>
      <c r="V298" s="99"/>
      <c r="W298" s="99"/>
      <c r="X298" s="99"/>
      <c r="Y298" s="99"/>
      <c r="Z298" s="99"/>
      <c r="AA298" s="99"/>
      <c r="AB298" s="99"/>
      <c r="AC298" s="99"/>
      <c r="AD298" s="99"/>
    </row>
    <row r="299" spans="1:30" ht="28.5" customHeight="1" x14ac:dyDescent="0.15">
      <c r="A299" s="99"/>
      <c r="B299" s="99"/>
      <c r="C299" s="99"/>
      <c r="D299" s="99"/>
      <c r="E299" s="99"/>
      <c r="F299" s="99"/>
      <c r="G299" s="99"/>
      <c r="H299" s="99"/>
      <c r="I299" s="99"/>
      <c r="J299" s="99"/>
      <c r="K299" s="99"/>
      <c r="L299" s="99"/>
      <c r="M299" s="99"/>
      <c r="N299" s="99"/>
      <c r="O299" s="99"/>
      <c r="P299" s="99"/>
      <c r="Q299" s="99"/>
      <c r="R299" s="99"/>
      <c r="S299" s="99"/>
      <c r="T299" s="99"/>
      <c r="U299" s="99"/>
      <c r="V299" s="99"/>
      <c r="W299" s="99"/>
      <c r="X299" s="99"/>
      <c r="Y299" s="99"/>
      <c r="Z299" s="99"/>
      <c r="AA299" s="99"/>
      <c r="AB299" s="99"/>
      <c r="AC299" s="99"/>
      <c r="AD299" s="99"/>
    </row>
    <row r="300" spans="1:30" ht="28.5" customHeight="1" x14ac:dyDescent="0.15">
      <c r="A300" s="99"/>
      <c r="B300" s="99"/>
      <c r="C300" s="99"/>
      <c r="D300" s="99"/>
      <c r="E300" s="99"/>
      <c r="F300" s="99"/>
      <c r="G300" s="99"/>
      <c r="H300" s="99"/>
      <c r="I300" s="99"/>
      <c r="J300" s="99"/>
      <c r="K300" s="99"/>
      <c r="L300" s="99"/>
      <c r="M300" s="99"/>
      <c r="N300" s="99"/>
      <c r="O300" s="99"/>
      <c r="P300" s="99"/>
      <c r="Q300" s="99"/>
      <c r="R300" s="99"/>
      <c r="S300" s="99"/>
      <c r="T300" s="99"/>
      <c r="U300" s="99"/>
      <c r="V300" s="99"/>
      <c r="W300" s="99"/>
      <c r="X300" s="99"/>
      <c r="Y300" s="99"/>
      <c r="Z300" s="99"/>
      <c r="AA300" s="99"/>
      <c r="AB300" s="99"/>
      <c r="AC300" s="99"/>
      <c r="AD300" s="99"/>
    </row>
    <row r="301" spans="1:30" ht="28.5" customHeight="1" x14ac:dyDescent="0.15">
      <c r="A301" s="99"/>
      <c r="B301" s="99"/>
      <c r="C301" s="99"/>
      <c r="D301" s="99"/>
      <c r="E301" s="99"/>
      <c r="F301" s="99"/>
      <c r="G301" s="99"/>
      <c r="H301" s="99"/>
      <c r="I301" s="99"/>
      <c r="J301" s="99"/>
      <c r="K301" s="99"/>
      <c r="L301" s="99"/>
      <c r="M301" s="99"/>
      <c r="N301" s="99"/>
      <c r="O301" s="99"/>
      <c r="P301" s="99"/>
      <c r="Q301" s="99"/>
      <c r="R301" s="99"/>
      <c r="S301" s="99"/>
      <c r="T301" s="99"/>
      <c r="U301" s="99"/>
      <c r="V301" s="99"/>
      <c r="W301" s="99"/>
      <c r="X301" s="99"/>
      <c r="Y301" s="99"/>
      <c r="Z301" s="99"/>
      <c r="AA301" s="99"/>
      <c r="AB301" s="99"/>
      <c r="AC301" s="99"/>
      <c r="AD301" s="99"/>
    </row>
    <row r="302" spans="1:30" ht="28.5" customHeight="1" x14ac:dyDescent="0.15">
      <c r="A302" s="99"/>
      <c r="B302" s="99"/>
      <c r="C302" s="99"/>
      <c r="D302" s="99"/>
      <c r="E302" s="99"/>
      <c r="F302" s="99"/>
      <c r="G302" s="99"/>
      <c r="H302" s="99"/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99"/>
      <c r="T302" s="99"/>
      <c r="U302" s="99"/>
      <c r="V302" s="99"/>
      <c r="W302" s="99"/>
      <c r="X302" s="99"/>
      <c r="Y302" s="99"/>
      <c r="Z302" s="99"/>
      <c r="AA302" s="99"/>
      <c r="AB302" s="99"/>
      <c r="AC302" s="99"/>
      <c r="AD302" s="99"/>
    </row>
    <row r="303" spans="1:30" ht="28.5" customHeight="1" x14ac:dyDescent="0.15">
      <c r="A303" s="99"/>
      <c r="B303" s="99"/>
      <c r="C303" s="99"/>
      <c r="D303" s="99"/>
      <c r="E303" s="99"/>
      <c r="F303" s="99"/>
      <c r="G303" s="99"/>
      <c r="H303" s="99"/>
      <c r="I303" s="99"/>
      <c r="J303" s="99"/>
      <c r="K303" s="99"/>
      <c r="L303" s="99"/>
      <c r="M303" s="99"/>
      <c r="N303" s="99"/>
      <c r="O303" s="99"/>
      <c r="P303" s="99"/>
      <c r="Q303" s="99"/>
      <c r="R303" s="99"/>
      <c r="S303" s="99"/>
      <c r="T303" s="99"/>
      <c r="U303" s="99"/>
      <c r="V303" s="99"/>
      <c r="W303" s="99"/>
      <c r="X303" s="99"/>
      <c r="Y303" s="99"/>
      <c r="Z303" s="99"/>
      <c r="AA303" s="99"/>
      <c r="AB303" s="99"/>
      <c r="AC303" s="99"/>
      <c r="AD303" s="99"/>
    </row>
    <row r="304" spans="1:30" ht="28.5" customHeight="1" x14ac:dyDescent="0.15">
      <c r="A304" s="99"/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99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</row>
    <row r="305" spans="1:30" ht="28.5" customHeight="1" x14ac:dyDescent="0.15">
      <c r="A305" s="99"/>
      <c r="B305" s="99"/>
      <c r="C305" s="99"/>
      <c r="D305" s="99"/>
      <c r="E305" s="99"/>
      <c r="F305" s="99"/>
      <c r="G305" s="99"/>
      <c r="H305" s="99"/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99"/>
      <c r="T305" s="99"/>
      <c r="U305" s="99"/>
      <c r="V305" s="99"/>
      <c r="W305" s="99"/>
      <c r="X305" s="99"/>
      <c r="Y305" s="99"/>
      <c r="Z305" s="99"/>
      <c r="AA305" s="99"/>
      <c r="AB305" s="99"/>
      <c r="AC305" s="99"/>
      <c r="AD305" s="99"/>
    </row>
    <row r="306" spans="1:30" ht="28.5" customHeight="1" x14ac:dyDescent="0.15">
      <c r="A306" s="99"/>
      <c r="B306" s="99"/>
      <c r="C306" s="99"/>
      <c r="D306" s="99"/>
      <c r="E306" s="99"/>
      <c r="F306" s="99"/>
      <c r="G306" s="99"/>
      <c r="H306" s="99"/>
      <c r="I306" s="99"/>
      <c r="J306" s="99"/>
      <c r="K306" s="99"/>
      <c r="L306" s="99"/>
      <c r="M306" s="99"/>
      <c r="N306" s="99"/>
      <c r="O306" s="99"/>
      <c r="P306" s="99"/>
      <c r="Q306" s="99"/>
      <c r="R306" s="99"/>
      <c r="S306" s="99"/>
      <c r="T306" s="99"/>
      <c r="U306" s="99"/>
      <c r="V306" s="99"/>
      <c r="W306" s="99"/>
      <c r="X306" s="99"/>
      <c r="Y306" s="99"/>
      <c r="Z306" s="99"/>
      <c r="AA306" s="99"/>
      <c r="AB306" s="99"/>
      <c r="AC306" s="99"/>
      <c r="AD306" s="99"/>
    </row>
    <row r="307" spans="1:30" ht="28.5" customHeight="1" x14ac:dyDescent="0.15">
      <c r="A307" s="99"/>
      <c r="B307" s="99"/>
      <c r="C307" s="99"/>
      <c r="D307" s="99"/>
      <c r="E307" s="99"/>
      <c r="F307" s="99"/>
      <c r="G307" s="99"/>
      <c r="H307" s="99"/>
      <c r="I307" s="99"/>
      <c r="J307" s="99"/>
      <c r="K307" s="99"/>
      <c r="L307" s="99"/>
      <c r="M307" s="99"/>
      <c r="N307" s="99"/>
      <c r="O307" s="99"/>
      <c r="P307" s="99"/>
      <c r="Q307" s="99"/>
      <c r="R307" s="99"/>
      <c r="S307" s="99"/>
      <c r="T307" s="99"/>
      <c r="U307" s="99"/>
      <c r="V307" s="99"/>
      <c r="W307" s="99"/>
      <c r="X307" s="99"/>
      <c r="Y307" s="99"/>
      <c r="Z307" s="99"/>
      <c r="AA307" s="99"/>
      <c r="AB307" s="99"/>
      <c r="AC307" s="99"/>
      <c r="AD307" s="99"/>
    </row>
    <row r="308" spans="1:30" ht="28.5" customHeight="1" x14ac:dyDescent="0.15">
      <c r="A308" s="99"/>
      <c r="B308" s="99"/>
      <c r="C308" s="99"/>
      <c r="D308" s="99"/>
      <c r="E308" s="99"/>
      <c r="F308" s="99"/>
      <c r="G308" s="99"/>
      <c r="H308" s="99"/>
      <c r="I308" s="99"/>
      <c r="J308" s="99"/>
      <c r="K308" s="99"/>
      <c r="L308" s="99"/>
      <c r="M308" s="99"/>
      <c r="N308" s="99"/>
      <c r="O308" s="99"/>
      <c r="P308" s="99"/>
      <c r="Q308" s="99"/>
      <c r="R308" s="99"/>
      <c r="S308" s="99"/>
      <c r="T308" s="99"/>
      <c r="U308" s="99"/>
      <c r="V308" s="99"/>
      <c r="W308" s="99"/>
      <c r="X308" s="99"/>
      <c r="Y308" s="99"/>
      <c r="Z308" s="99"/>
      <c r="AA308" s="99"/>
      <c r="AB308" s="99"/>
      <c r="AC308" s="99"/>
      <c r="AD308" s="99"/>
    </row>
    <row r="309" spans="1:30" ht="28.5" customHeight="1" x14ac:dyDescent="0.15">
      <c r="A309" s="99"/>
      <c r="B309" s="99"/>
      <c r="C309" s="99"/>
      <c r="D309" s="99"/>
      <c r="E309" s="99"/>
      <c r="F309" s="99"/>
      <c r="G309" s="99"/>
      <c r="H309" s="99"/>
      <c r="I309" s="99"/>
      <c r="J309" s="99"/>
      <c r="K309" s="99"/>
      <c r="L309" s="99"/>
      <c r="M309" s="99"/>
      <c r="N309" s="99"/>
      <c r="O309" s="99"/>
      <c r="P309" s="99"/>
      <c r="Q309" s="99"/>
      <c r="R309" s="99"/>
      <c r="S309" s="99"/>
      <c r="T309" s="99"/>
      <c r="U309" s="99"/>
      <c r="V309" s="99"/>
      <c r="W309" s="99"/>
      <c r="X309" s="99"/>
      <c r="Y309" s="99"/>
      <c r="Z309" s="99"/>
      <c r="AA309" s="99"/>
      <c r="AB309" s="99"/>
      <c r="AC309" s="99"/>
      <c r="AD309" s="99"/>
    </row>
    <row r="310" spans="1:30" ht="28.5" customHeight="1" x14ac:dyDescent="0.15">
      <c r="A310" s="99"/>
      <c r="B310" s="99"/>
      <c r="C310" s="99"/>
      <c r="D310" s="99"/>
      <c r="E310" s="99"/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99"/>
      <c r="Q310" s="99"/>
      <c r="R310" s="99"/>
      <c r="S310" s="99"/>
      <c r="T310" s="99"/>
      <c r="U310" s="99"/>
      <c r="V310" s="99"/>
      <c r="W310" s="99"/>
      <c r="X310" s="99"/>
      <c r="Y310" s="99"/>
      <c r="Z310" s="99"/>
      <c r="AA310" s="99"/>
      <c r="AB310" s="99"/>
      <c r="AC310" s="99"/>
      <c r="AD310" s="99"/>
    </row>
    <row r="311" spans="1:30" ht="28.5" customHeight="1" x14ac:dyDescent="0.15">
      <c r="A311" s="99"/>
      <c r="B311" s="99"/>
      <c r="C311" s="99"/>
      <c r="D311" s="99"/>
      <c r="E311" s="99"/>
      <c r="F311" s="99"/>
      <c r="G311" s="99"/>
      <c r="H311" s="99"/>
      <c r="I311" s="99"/>
      <c r="J311" s="99"/>
      <c r="K311" s="99"/>
      <c r="L311" s="99"/>
      <c r="M311" s="99"/>
      <c r="N311" s="99"/>
      <c r="O311" s="99"/>
      <c r="P311" s="99"/>
      <c r="Q311" s="99"/>
      <c r="R311" s="99"/>
      <c r="S311" s="99"/>
      <c r="T311" s="99"/>
      <c r="U311" s="99"/>
      <c r="V311" s="99"/>
      <c r="W311" s="99"/>
      <c r="X311" s="99"/>
      <c r="Y311" s="99"/>
      <c r="Z311" s="99"/>
      <c r="AA311" s="99"/>
      <c r="AB311" s="99"/>
      <c r="AC311" s="99"/>
      <c r="AD311" s="99"/>
    </row>
    <row r="312" spans="1:30" ht="28.5" customHeight="1" x14ac:dyDescent="0.15">
      <c r="A312" s="99"/>
      <c r="B312" s="99"/>
      <c r="C312" s="99"/>
      <c r="D312" s="99"/>
      <c r="E312" s="99"/>
      <c r="F312" s="99"/>
      <c r="G312" s="99"/>
      <c r="H312" s="99"/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99"/>
      <c r="T312" s="99"/>
      <c r="U312" s="99"/>
      <c r="V312" s="99"/>
      <c r="W312" s="99"/>
      <c r="X312" s="99"/>
      <c r="Y312" s="99"/>
      <c r="Z312" s="99"/>
      <c r="AA312" s="99"/>
      <c r="AB312" s="99"/>
      <c r="AC312" s="99"/>
      <c r="AD312" s="99"/>
    </row>
    <row r="313" spans="1:30" ht="28.5" customHeight="1" x14ac:dyDescent="0.15">
      <c r="A313" s="99"/>
      <c r="B313" s="99"/>
      <c r="C313" s="99"/>
      <c r="D313" s="99"/>
      <c r="E313" s="99"/>
      <c r="F313" s="99"/>
      <c r="G313" s="99"/>
      <c r="H313" s="99"/>
      <c r="I313" s="99"/>
      <c r="J313" s="99"/>
      <c r="K313" s="99"/>
      <c r="L313" s="99"/>
      <c r="M313" s="99"/>
      <c r="N313" s="99"/>
      <c r="O313" s="99"/>
      <c r="P313" s="99"/>
      <c r="Q313" s="99"/>
      <c r="R313" s="99"/>
      <c r="S313" s="99"/>
      <c r="T313" s="99"/>
      <c r="U313" s="99"/>
      <c r="V313" s="99"/>
      <c r="W313" s="99"/>
      <c r="X313" s="99"/>
      <c r="Y313" s="99"/>
      <c r="Z313" s="99"/>
      <c r="AA313" s="99"/>
      <c r="AB313" s="99"/>
      <c r="AC313" s="99"/>
      <c r="AD313" s="99"/>
    </row>
    <row r="314" spans="1:30" ht="28.5" customHeight="1" x14ac:dyDescent="0.15">
      <c r="A314" s="99"/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99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</row>
    <row r="315" spans="1:30" ht="28.5" customHeight="1" x14ac:dyDescent="0.15">
      <c r="A315" s="99"/>
      <c r="B315" s="99"/>
      <c r="C315" s="99"/>
      <c r="D315" s="99"/>
      <c r="E315" s="99"/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99"/>
      <c r="Q315" s="99"/>
      <c r="R315" s="99"/>
      <c r="S315" s="99"/>
      <c r="T315" s="99"/>
      <c r="U315" s="99"/>
      <c r="V315" s="99"/>
      <c r="W315" s="99"/>
      <c r="X315" s="99"/>
      <c r="Y315" s="99"/>
      <c r="Z315" s="99"/>
      <c r="AA315" s="99"/>
      <c r="AB315" s="99"/>
      <c r="AC315" s="99"/>
      <c r="AD315" s="99"/>
    </row>
    <row r="316" spans="1:30" ht="28.5" customHeight="1" x14ac:dyDescent="0.15">
      <c r="A316" s="99"/>
      <c r="B316" s="99"/>
      <c r="C316" s="99"/>
      <c r="D316" s="99"/>
      <c r="E316" s="99"/>
      <c r="F316" s="99"/>
      <c r="G316" s="99"/>
      <c r="H316" s="99"/>
      <c r="I316" s="99"/>
      <c r="J316" s="99"/>
      <c r="K316" s="99"/>
      <c r="L316" s="99"/>
      <c r="M316" s="99"/>
      <c r="N316" s="99"/>
      <c r="O316" s="99"/>
      <c r="P316" s="99"/>
      <c r="Q316" s="99"/>
      <c r="R316" s="99"/>
      <c r="S316" s="99"/>
      <c r="T316" s="99"/>
      <c r="U316" s="99"/>
      <c r="V316" s="99"/>
      <c r="W316" s="99"/>
      <c r="X316" s="99"/>
      <c r="Y316" s="99"/>
      <c r="Z316" s="99"/>
      <c r="AA316" s="99"/>
      <c r="AB316" s="99"/>
      <c r="AC316" s="99"/>
      <c r="AD316" s="99"/>
    </row>
    <row r="317" spans="1:30" ht="28.5" customHeight="1" x14ac:dyDescent="0.15">
      <c r="A317" s="99"/>
      <c r="B317" s="99"/>
      <c r="C317" s="99"/>
      <c r="D317" s="99"/>
      <c r="E317" s="99"/>
      <c r="F317" s="99"/>
      <c r="G317" s="99"/>
      <c r="H317" s="99"/>
      <c r="I317" s="99"/>
      <c r="J317" s="99"/>
      <c r="K317" s="99"/>
      <c r="L317" s="99"/>
      <c r="M317" s="99"/>
      <c r="N317" s="99"/>
      <c r="O317" s="99"/>
      <c r="P317" s="99"/>
      <c r="Q317" s="99"/>
      <c r="R317" s="99"/>
      <c r="S317" s="99"/>
      <c r="T317" s="99"/>
      <c r="U317" s="99"/>
      <c r="V317" s="99"/>
      <c r="W317" s="99"/>
      <c r="X317" s="99"/>
      <c r="Y317" s="99"/>
      <c r="Z317" s="99"/>
      <c r="AA317" s="99"/>
      <c r="AB317" s="99"/>
      <c r="AC317" s="99"/>
      <c r="AD317" s="99"/>
    </row>
    <row r="318" spans="1:30" ht="28.5" customHeight="1" x14ac:dyDescent="0.15">
      <c r="A318" s="99"/>
      <c r="B318" s="99"/>
      <c r="C318" s="99"/>
      <c r="D318" s="99"/>
      <c r="E318" s="99"/>
      <c r="F318" s="99"/>
      <c r="G318" s="99"/>
      <c r="H318" s="99"/>
      <c r="I318" s="99"/>
      <c r="J318" s="99"/>
      <c r="K318" s="99"/>
      <c r="L318" s="99"/>
      <c r="M318" s="99"/>
      <c r="N318" s="99"/>
      <c r="O318" s="99"/>
      <c r="P318" s="99"/>
      <c r="Q318" s="99"/>
      <c r="R318" s="99"/>
      <c r="S318" s="99"/>
      <c r="T318" s="99"/>
      <c r="U318" s="99"/>
      <c r="V318" s="99"/>
      <c r="W318" s="99"/>
      <c r="X318" s="99"/>
      <c r="Y318" s="99"/>
      <c r="Z318" s="99"/>
      <c r="AA318" s="99"/>
      <c r="AB318" s="99"/>
      <c r="AC318" s="99"/>
      <c r="AD318" s="99"/>
    </row>
    <row r="319" spans="1:30" ht="28.5" customHeight="1" x14ac:dyDescent="0.15">
      <c r="A319" s="99"/>
      <c r="B319" s="99"/>
      <c r="C319" s="99"/>
      <c r="D319" s="99"/>
      <c r="E319" s="99"/>
      <c r="F319" s="99"/>
      <c r="G319" s="99"/>
      <c r="H319" s="99"/>
      <c r="I319" s="99"/>
      <c r="J319" s="99"/>
      <c r="K319" s="99"/>
      <c r="L319" s="99"/>
      <c r="M319" s="99"/>
      <c r="N319" s="99"/>
      <c r="O319" s="99"/>
      <c r="P319" s="99"/>
      <c r="Q319" s="99"/>
      <c r="R319" s="99"/>
      <c r="S319" s="99"/>
      <c r="T319" s="99"/>
      <c r="U319" s="99"/>
      <c r="V319" s="99"/>
      <c r="W319" s="99"/>
      <c r="X319" s="99"/>
      <c r="Y319" s="99"/>
      <c r="Z319" s="99"/>
      <c r="AA319" s="99"/>
      <c r="AB319" s="99"/>
      <c r="AC319" s="99"/>
      <c r="AD319" s="99"/>
    </row>
    <row r="320" spans="1:30" ht="28.5" customHeight="1" x14ac:dyDescent="0.15">
      <c r="A320" s="99"/>
      <c r="B320" s="99"/>
      <c r="C320" s="99"/>
      <c r="D320" s="99"/>
      <c r="E320" s="99"/>
      <c r="F320" s="99"/>
      <c r="G320" s="99"/>
      <c r="H320" s="99"/>
      <c r="I320" s="99"/>
      <c r="J320" s="99"/>
      <c r="K320" s="99"/>
      <c r="L320" s="99"/>
      <c r="M320" s="99"/>
      <c r="N320" s="99"/>
      <c r="O320" s="99"/>
      <c r="P320" s="99"/>
      <c r="Q320" s="99"/>
      <c r="R320" s="99"/>
      <c r="S320" s="99"/>
      <c r="T320" s="99"/>
      <c r="U320" s="99"/>
      <c r="V320" s="99"/>
      <c r="W320" s="99"/>
      <c r="X320" s="99"/>
      <c r="Y320" s="99"/>
      <c r="Z320" s="99"/>
      <c r="AA320" s="99"/>
      <c r="AB320" s="99"/>
      <c r="AC320" s="99"/>
      <c r="AD320" s="99"/>
    </row>
    <row r="321" spans="1:30" ht="28.5" customHeight="1" x14ac:dyDescent="0.15">
      <c r="A321" s="99"/>
      <c r="B321" s="99"/>
      <c r="C321" s="99"/>
      <c r="D321" s="99"/>
      <c r="E321" s="99"/>
      <c r="F321" s="99"/>
      <c r="G321" s="99"/>
      <c r="H321" s="99"/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99"/>
      <c r="T321" s="99"/>
      <c r="U321" s="99"/>
      <c r="V321" s="99"/>
      <c r="W321" s="99"/>
      <c r="X321" s="99"/>
      <c r="Y321" s="99"/>
      <c r="Z321" s="99"/>
      <c r="AA321" s="99"/>
      <c r="AB321" s="99"/>
      <c r="AC321" s="99"/>
      <c r="AD321" s="99"/>
    </row>
    <row r="322" spans="1:30" ht="28.5" customHeight="1" x14ac:dyDescent="0.15">
      <c r="A322" s="99"/>
      <c r="B322" s="99"/>
      <c r="C322" s="99"/>
      <c r="D322" s="99"/>
      <c r="E322" s="99"/>
      <c r="F322" s="99"/>
      <c r="G322" s="99"/>
      <c r="H322" s="99"/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99"/>
      <c r="T322" s="99"/>
      <c r="U322" s="99"/>
      <c r="V322" s="99"/>
      <c r="W322" s="99"/>
      <c r="X322" s="99"/>
      <c r="Y322" s="99"/>
      <c r="Z322" s="99"/>
      <c r="AA322" s="99"/>
      <c r="AB322" s="99"/>
      <c r="AC322" s="99"/>
      <c r="AD322" s="99"/>
    </row>
    <row r="323" spans="1:30" ht="28.5" customHeight="1" x14ac:dyDescent="0.15">
      <c r="A323" s="99"/>
      <c r="B323" s="99"/>
      <c r="C323" s="99"/>
      <c r="D323" s="99"/>
      <c r="E323" s="99"/>
      <c r="F323" s="99"/>
      <c r="G323" s="99"/>
      <c r="H323" s="99"/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99"/>
      <c r="T323" s="99"/>
      <c r="U323" s="99"/>
      <c r="V323" s="99"/>
      <c r="W323" s="99"/>
      <c r="X323" s="99"/>
      <c r="Y323" s="99"/>
      <c r="Z323" s="99"/>
      <c r="AA323" s="99"/>
      <c r="AB323" s="99"/>
      <c r="AC323" s="99"/>
      <c r="AD323" s="99"/>
    </row>
    <row r="324" spans="1:30" ht="28.5" customHeight="1" x14ac:dyDescent="0.15">
      <c r="A324" s="99"/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99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</row>
    <row r="325" spans="1:30" ht="28.5" customHeight="1" x14ac:dyDescent="0.15">
      <c r="A325" s="99"/>
      <c r="B325" s="99"/>
      <c r="C325" s="99"/>
      <c r="D325" s="99"/>
      <c r="E325" s="99"/>
      <c r="F325" s="99"/>
      <c r="G325" s="99"/>
      <c r="H325" s="99"/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99"/>
      <c r="T325" s="99"/>
      <c r="U325" s="99"/>
      <c r="V325" s="99"/>
      <c r="W325" s="99"/>
      <c r="X325" s="99"/>
      <c r="Y325" s="99"/>
      <c r="Z325" s="99"/>
      <c r="AA325" s="99"/>
      <c r="AB325" s="99"/>
      <c r="AC325" s="99"/>
      <c r="AD325" s="99"/>
    </row>
    <row r="326" spans="1:30" ht="28.5" customHeight="1" x14ac:dyDescent="0.15">
      <c r="A326" s="99"/>
      <c r="B326" s="99"/>
      <c r="C326" s="99"/>
      <c r="D326" s="99"/>
      <c r="E326" s="99"/>
      <c r="F326" s="99"/>
      <c r="G326" s="99"/>
      <c r="H326" s="99"/>
      <c r="I326" s="99"/>
      <c r="J326" s="99"/>
      <c r="K326" s="99"/>
      <c r="L326" s="99"/>
      <c r="M326" s="99"/>
      <c r="N326" s="99"/>
      <c r="O326" s="99"/>
      <c r="P326" s="99"/>
      <c r="Q326" s="99"/>
      <c r="R326" s="99"/>
      <c r="S326" s="99"/>
      <c r="T326" s="99"/>
      <c r="U326" s="99"/>
      <c r="V326" s="99"/>
      <c r="W326" s="99"/>
      <c r="X326" s="99"/>
      <c r="Y326" s="99"/>
      <c r="Z326" s="99"/>
      <c r="AA326" s="99"/>
      <c r="AB326" s="99"/>
      <c r="AC326" s="99"/>
      <c r="AD326" s="99"/>
    </row>
    <row r="327" spans="1:30" ht="28.5" customHeight="1" x14ac:dyDescent="0.15">
      <c r="A327" s="99"/>
      <c r="B327" s="99"/>
      <c r="C327" s="99"/>
      <c r="D327" s="99"/>
      <c r="E327" s="99"/>
      <c r="F327" s="99"/>
      <c r="G327" s="99"/>
      <c r="H327" s="99"/>
      <c r="I327" s="99"/>
      <c r="J327" s="99"/>
      <c r="K327" s="99"/>
      <c r="L327" s="99"/>
      <c r="M327" s="99"/>
      <c r="N327" s="99"/>
      <c r="O327" s="99"/>
      <c r="P327" s="99"/>
      <c r="Q327" s="99"/>
      <c r="R327" s="99"/>
      <c r="S327" s="99"/>
      <c r="T327" s="99"/>
      <c r="U327" s="99"/>
      <c r="V327" s="99"/>
      <c r="W327" s="99"/>
      <c r="X327" s="99"/>
      <c r="Y327" s="99"/>
      <c r="Z327" s="99"/>
      <c r="AA327" s="99"/>
      <c r="AB327" s="99"/>
      <c r="AC327" s="99"/>
      <c r="AD327" s="99"/>
    </row>
    <row r="328" spans="1:30" ht="28.5" customHeight="1" x14ac:dyDescent="0.15">
      <c r="A328" s="99"/>
      <c r="B328" s="99"/>
      <c r="C328" s="99"/>
      <c r="D328" s="99"/>
      <c r="E328" s="99"/>
      <c r="F328" s="99"/>
      <c r="G328" s="99"/>
      <c r="H328" s="99"/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S328" s="99"/>
      <c r="T328" s="99"/>
      <c r="U328" s="99"/>
      <c r="V328" s="99"/>
      <c r="W328" s="99"/>
      <c r="X328" s="99"/>
      <c r="Y328" s="99"/>
      <c r="Z328" s="99"/>
      <c r="AA328" s="99"/>
      <c r="AB328" s="99"/>
      <c r="AC328" s="99"/>
      <c r="AD328" s="99"/>
    </row>
    <row r="329" spans="1:30" ht="28.5" customHeight="1" x14ac:dyDescent="0.15">
      <c r="A329" s="99"/>
      <c r="B329" s="99"/>
      <c r="C329" s="99"/>
      <c r="D329" s="99"/>
      <c r="E329" s="99"/>
      <c r="F329" s="99"/>
      <c r="G329" s="99"/>
      <c r="H329" s="99"/>
      <c r="I329" s="99"/>
      <c r="J329" s="99"/>
      <c r="K329" s="99"/>
      <c r="L329" s="99"/>
      <c r="M329" s="99"/>
      <c r="N329" s="99"/>
      <c r="O329" s="99"/>
      <c r="P329" s="99"/>
      <c r="Q329" s="99"/>
      <c r="R329" s="99"/>
      <c r="S329" s="99"/>
      <c r="T329" s="99"/>
      <c r="U329" s="99"/>
      <c r="V329" s="99"/>
      <c r="W329" s="99"/>
      <c r="X329" s="99"/>
      <c r="Y329" s="99"/>
      <c r="Z329" s="99"/>
      <c r="AA329" s="99"/>
      <c r="AB329" s="99"/>
      <c r="AC329" s="99"/>
      <c r="AD329" s="99"/>
    </row>
    <row r="330" spans="1:30" ht="28.5" customHeight="1" x14ac:dyDescent="0.15">
      <c r="A330" s="99"/>
      <c r="B330" s="99"/>
      <c r="C330" s="99"/>
      <c r="D330" s="99"/>
      <c r="E330" s="99"/>
      <c r="F330" s="99"/>
      <c r="G330" s="99"/>
      <c r="H330" s="99"/>
      <c r="I330" s="99"/>
      <c r="J330" s="99"/>
      <c r="K330" s="99"/>
      <c r="L330" s="99"/>
      <c r="M330" s="99"/>
      <c r="N330" s="99"/>
      <c r="O330" s="99"/>
      <c r="P330" s="99"/>
      <c r="Q330" s="99"/>
      <c r="R330" s="99"/>
      <c r="S330" s="99"/>
      <c r="T330" s="99"/>
      <c r="U330" s="99"/>
      <c r="V330" s="99"/>
      <c r="W330" s="99"/>
      <c r="X330" s="99"/>
      <c r="Y330" s="99"/>
      <c r="Z330" s="99"/>
      <c r="AA330" s="99"/>
      <c r="AB330" s="99"/>
      <c r="AC330" s="99"/>
      <c r="AD330" s="99"/>
    </row>
    <row r="331" spans="1:30" ht="28.5" customHeight="1" x14ac:dyDescent="0.15">
      <c r="A331" s="99"/>
      <c r="B331" s="99"/>
      <c r="C331" s="99"/>
      <c r="D331" s="99"/>
      <c r="E331" s="99"/>
      <c r="F331" s="99"/>
      <c r="G331" s="99"/>
      <c r="H331" s="99"/>
      <c r="I331" s="99"/>
      <c r="J331" s="99"/>
      <c r="K331" s="99"/>
      <c r="L331" s="99"/>
      <c r="M331" s="99"/>
      <c r="N331" s="99"/>
      <c r="O331" s="99"/>
      <c r="P331" s="99"/>
      <c r="Q331" s="99"/>
      <c r="R331" s="99"/>
      <c r="S331" s="99"/>
      <c r="T331" s="99"/>
      <c r="U331" s="99"/>
      <c r="V331" s="99"/>
      <c r="W331" s="99"/>
      <c r="X331" s="99"/>
      <c r="Y331" s="99"/>
      <c r="Z331" s="99"/>
      <c r="AA331" s="99"/>
      <c r="AB331" s="99"/>
      <c r="AC331" s="99"/>
      <c r="AD331" s="99"/>
    </row>
    <row r="332" spans="1:30" ht="28.5" customHeight="1" x14ac:dyDescent="0.15">
      <c r="A332" s="99"/>
      <c r="B332" s="99"/>
      <c r="C332" s="99"/>
      <c r="D332" s="99"/>
      <c r="E332" s="99"/>
      <c r="F332" s="99"/>
      <c r="G332" s="99"/>
      <c r="H332" s="99"/>
      <c r="I332" s="99"/>
      <c r="J332" s="99"/>
      <c r="K332" s="99"/>
      <c r="L332" s="99"/>
      <c r="M332" s="99"/>
      <c r="N332" s="99"/>
      <c r="O332" s="99"/>
      <c r="P332" s="99"/>
      <c r="Q332" s="99"/>
      <c r="R332" s="99"/>
      <c r="S332" s="99"/>
      <c r="T332" s="99"/>
      <c r="U332" s="99"/>
      <c r="V332" s="99"/>
      <c r="W332" s="99"/>
      <c r="X332" s="99"/>
      <c r="Y332" s="99"/>
      <c r="Z332" s="99"/>
      <c r="AA332" s="99"/>
      <c r="AB332" s="99"/>
      <c r="AC332" s="99"/>
      <c r="AD332" s="99"/>
    </row>
    <row r="333" spans="1:30" ht="28.5" customHeight="1" x14ac:dyDescent="0.15">
      <c r="A333" s="99"/>
      <c r="B333" s="99"/>
      <c r="C333" s="99"/>
      <c r="D333" s="99"/>
      <c r="E333" s="99"/>
      <c r="F333" s="99"/>
      <c r="G333" s="99"/>
      <c r="H333" s="99"/>
      <c r="I333" s="99"/>
      <c r="J333" s="99"/>
      <c r="K333" s="99"/>
      <c r="L333" s="99"/>
      <c r="M333" s="99"/>
      <c r="N333" s="99"/>
      <c r="O333" s="99"/>
      <c r="P333" s="99"/>
      <c r="Q333" s="99"/>
      <c r="R333" s="99"/>
      <c r="S333" s="99"/>
      <c r="T333" s="99"/>
      <c r="U333" s="99"/>
      <c r="V333" s="99"/>
      <c r="W333" s="99"/>
      <c r="X333" s="99"/>
      <c r="Y333" s="99"/>
      <c r="Z333" s="99"/>
      <c r="AA333" s="99"/>
      <c r="AB333" s="99"/>
      <c r="AC333" s="99"/>
      <c r="AD333" s="99"/>
    </row>
    <row r="334" spans="1:30" ht="28.5" customHeight="1" x14ac:dyDescent="0.15">
      <c r="A334" s="99"/>
      <c r="B334" s="99"/>
      <c r="C334" s="99"/>
      <c r="D334" s="99"/>
      <c r="E334" s="99"/>
      <c r="F334" s="99"/>
      <c r="G334" s="99"/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99"/>
      <c r="T334" s="99"/>
      <c r="U334" s="99"/>
      <c r="V334" s="99"/>
      <c r="W334" s="99"/>
      <c r="X334" s="99"/>
      <c r="Y334" s="99"/>
      <c r="Z334" s="99"/>
      <c r="AA334" s="99"/>
      <c r="AB334" s="99"/>
      <c r="AC334" s="99"/>
      <c r="AD334" s="99"/>
    </row>
    <row r="335" spans="1:30" ht="28.5" customHeight="1" x14ac:dyDescent="0.15">
      <c r="A335" s="99"/>
      <c r="B335" s="99"/>
      <c r="C335" s="99"/>
      <c r="D335" s="99"/>
      <c r="E335" s="99"/>
      <c r="F335" s="99"/>
      <c r="G335" s="99"/>
      <c r="H335" s="99"/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99"/>
      <c r="T335" s="99"/>
      <c r="U335" s="99"/>
      <c r="V335" s="99"/>
      <c r="W335" s="99"/>
      <c r="X335" s="99"/>
      <c r="Y335" s="99"/>
      <c r="Z335" s="99"/>
      <c r="AA335" s="99"/>
      <c r="AB335" s="99"/>
      <c r="AC335" s="99"/>
      <c r="AD335" s="99"/>
    </row>
    <row r="336" spans="1:30" ht="28.5" customHeight="1" x14ac:dyDescent="0.15">
      <c r="A336" s="99"/>
      <c r="B336" s="99"/>
      <c r="C336" s="99"/>
      <c r="D336" s="99"/>
      <c r="E336" s="99"/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  <c r="Z336" s="99"/>
      <c r="AA336" s="99"/>
      <c r="AB336" s="99"/>
      <c r="AC336" s="99"/>
      <c r="AD336" s="99"/>
    </row>
    <row r="337" spans="1:30" ht="28.5" customHeight="1" x14ac:dyDescent="0.15">
      <c r="A337" s="99"/>
      <c r="B337" s="99"/>
      <c r="C337" s="99"/>
      <c r="D337" s="99"/>
      <c r="E337" s="99"/>
      <c r="F337" s="99"/>
      <c r="G337" s="99"/>
      <c r="H337" s="99"/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99"/>
      <c r="T337" s="99"/>
      <c r="U337" s="99"/>
      <c r="V337" s="99"/>
      <c r="W337" s="99"/>
      <c r="X337" s="99"/>
      <c r="Y337" s="99"/>
      <c r="Z337" s="99"/>
      <c r="AA337" s="99"/>
      <c r="AB337" s="99"/>
      <c r="AC337" s="99"/>
      <c r="AD337" s="99"/>
    </row>
    <row r="338" spans="1:30" ht="28.5" customHeight="1" x14ac:dyDescent="0.15">
      <c r="A338" s="99"/>
      <c r="B338" s="99"/>
      <c r="C338" s="99"/>
      <c r="D338" s="99"/>
      <c r="E338" s="99"/>
      <c r="F338" s="99"/>
      <c r="G338" s="99"/>
      <c r="H338" s="99"/>
      <c r="I338" s="99"/>
      <c r="J338" s="99"/>
      <c r="K338" s="99"/>
      <c r="L338" s="99"/>
      <c r="M338" s="99"/>
      <c r="N338" s="99"/>
      <c r="O338" s="99"/>
      <c r="P338" s="99"/>
      <c r="Q338" s="99"/>
      <c r="R338" s="99"/>
      <c r="S338" s="99"/>
      <c r="T338" s="99"/>
      <c r="U338" s="99"/>
      <c r="V338" s="99"/>
      <c r="W338" s="99"/>
      <c r="X338" s="99"/>
      <c r="Y338" s="99"/>
      <c r="Z338" s="99"/>
      <c r="AA338" s="99"/>
      <c r="AB338" s="99"/>
      <c r="AC338" s="99"/>
      <c r="AD338" s="99"/>
    </row>
    <row r="339" spans="1:30" ht="28.5" customHeight="1" x14ac:dyDescent="0.15">
      <c r="A339" s="99"/>
      <c r="B339" s="99"/>
      <c r="C339" s="99"/>
      <c r="D339" s="99"/>
      <c r="E339" s="99"/>
      <c r="F339" s="99"/>
      <c r="G339" s="99"/>
      <c r="H339" s="99"/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99"/>
      <c r="T339" s="99"/>
      <c r="U339" s="99"/>
      <c r="V339" s="99"/>
      <c r="W339" s="99"/>
      <c r="X339" s="99"/>
      <c r="Y339" s="99"/>
      <c r="Z339" s="99"/>
      <c r="AA339" s="99"/>
      <c r="AB339" s="99"/>
      <c r="AC339" s="99"/>
      <c r="AD339" s="99"/>
    </row>
    <row r="340" spans="1:30" ht="28.5" customHeight="1" x14ac:dyDescent="0.15">
      <c r="A340" s="99"/>
      <c r="B340" s="99"/>
      <c r="C340" s="99"/>
      <c r="D340" s="99"/>
      <c r="E340" s="99"/>
      <c r="F340" s="99"/>
      <c r="G340" s="99"/>
      <c r="H340" s="99"/>
      <c r="I340" s="99"/>
      <c r="J340" s="99"/>
      <c r="K340" s="99"/>
      <c r="L340" s="99"/>
      <c r="M340" s="99"/>
      <c r="N340" s="99"/>
      <c r="O340" s="99"/>
      <c r="P340" s="99"/>
      <c r="Q340" s="99"/>
      <c r="R340" s="99"/>
      <c r="S340" s="99"/>
      <c r="T340" s="99"/>
      <c r="U340" s="99"/>
      <c r="V340" s="99"/>
      <c r="W340" s="99"/>
      <c r="X340" s="99"/>
      <c r="Y340" s="99"/>
      <c r="Z340" s="99"/>
      <c r="AA340" s="99"/>
      <c r="AB340" s="99"/>
      <c r="AC340" s="99"/>
      <c r="AD340" s="99"/>
    </row>
    <row r="341" spans="1:30" ht="28.5" customHeight="1" x14ac:dyDescent="0.15">
      <c r="A341" s="99"/>
      <c r="B341" s="99"/>
      <c r="C341" s="99"/>
      <c r="D341" s="99"/>
      <c r="E341" s="99"/>
      <c r="F341" s="99"/>
      <c r="G341" s="99"/>
      <c r="H341" s="99"/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99"/>
      <c r="T341" s="99"/>
      <c r="U341" s="99"/>
      <c r="V341" s="99"/>
      <c r="W341" s="99"/>
      <c r="X341" s="99"/>
      <c r="Y341" s="99"/>
      <c r="Z341" s="99"/>
      <c r="AA341" s="99"/>
      <c r="AB341" s="99"/>
      <c r="AC341" s="99"/>
      <c r="AD341" s="99"/>
    </row>
    <row r="342" spans="1:30" ht="28.5" customHeight="1" x14ac:dyDescent="0.15">
      <c r="A342" s="99"/>
      <c r="B342" s="99"/>
      <c r="C342" s="99"/>
      <c r="D342" s="99"/>
      <c r="E342" s="99"/>
      <c r="F342" s="99"/>
      <c r="G342" s="99"/>
      <c r="H342" s="99"/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99"/>
      <c r="T342" s="99"/>
      <c r="U342" s="99"/>
      <c r="V342" s="99"/>
      <c r="W342" s="99"/>
      <c r="X342" s="99"/>
      <c r="Y342" s="99"/>
      <c r="Z342" s="99"/>
      <c r="AA342" s="99"/>
      <c r="AB342" s="99"/>
      <c r="AC342" s="99"/>
      <c r="AD342" s="99"/>
    </row>
    <row r="343" spans="1:30" ht="28.5" customHeight="1" x14ac:dyDescent="0.15">
      <c r="A343" s="99"/>
      <c r="B343" s="99"/>
      <c r="C343" s="99"/>
      <c r="D343" s="99"/>
      <c r="E343" s="99"/>
      <c r="F343" s="99"/>
      <c r="G343" s="99"/>
      <c r="H343" s="99"/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99"/>
      <c r="T343" s="99"/>
      <c r="U343" s="99"/>
      <c r="V343" s="99"/>
      <c r="W343" s="99"/>
      <c r="X343" s="99"/>
      <c r="Y343" s="99"/>
      <c r="Z343" s="99"/>
      <c r="AA343" s="99"/>
      <c r="AB343" s="99"/>
      <c r="AC343" s="99"/>
      <c r="AD343" s="99"/>
    </row>
    <row r="344" spans="1:30" ht="28.5" customHeight="1" x14ac:dyDescent="0.15">
      <c r="A344" s="99"/>
      <c r="B344" s="99"/>
      <c r="C344" s="99"/>
      <c r="D344" s="99"/>
      <c r="E344" s="99"/>
      <c r="F344" s="99"/>
      <c r="G344" s="99"/>
      <c r="H344" s="99"/>
      <c r="I344" s="99"/>
      <c r="J344" s="99"/>
      <c r="K344" s="99"/>
      <c r="L344" s="99"/>
      <c r="M344" s="99"/>
      <c r="N344" s="99"/>
      <c r="O344" s="99"/>
      <c r="P344" s="99"/>
      <c r="Q344" s="99"/>
      <c r="R344" s="99"/>
      <c r="S344" s="99"/>
      <c r="T344" s="99"/>
      <c r="U344" s="99"/>
      <c r="V344" s="99"/>
      <c r="W344" s="99"/>
      <c r="X344" s="99"/>
      <c r="Y344" s="99"/>
      <c r="Z344" s="99"/>
      <c r="AA344" s="99"/>
      <c r="AB344" s="99"/>
      <c r="AC344" s="99"/>
      <c r="AD344" s="99"/>
    </row>
    <row r="345" spans="1:30" ht="28.5" customHeight="1" x14ac:dyDescent="0.15">
      <c r="A345" s="99"/>
      <c r="B345" s="99"/>
      <c r="C345" s="99"/>
      <c r="D345" s="99"/>
      <c r="E345" s="99"/>
      <c r="F345" s="99"/>
      <c r="G345" s="99"/>
      <c r="H345" s="99"/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99"/>
      <c r="T345" s="99"/>
      <c r="U345" s="99"/>
      <c r="V345" s="99"/>
      <c r="W345" s="99"/>
      <c r="X345" s="99"/>
      <c r="Y345" s="99"/>
      <c r="Z345" s="99"/>
      <c r="AA345" s="99"/>
      <c r="AB345" s="99"/>
      <c r="AC345" s="99"/>
      <c r="AD345" s="99"/>
    </row>
    <row r="346" spans="1:30" ht="28.5" customHeight="1" x14ac:dyDescent="0.15">
      <c r="A346" s="99"/>
      <c r="B346" s="99"/>
      <c r="C346" s="99"/>
      <c r="D346" s="99"/>
      <c r="E346" s="99"/>
      <c r="F346" s="99"/>
      <c r="G346" s="99"/>
      <c r="H346" s="99"/>
      <c r="I346" s="99"/>
      <c r="J346" s="99"/>
      <c r="K346" s="99"/>
      <c r="L346" s="99"/>
      <c r="M346" s="99"/>
      <c r="N346" s="99"/>
      <c r="O346" s="99"/>
      <c r="P346" s="99"/>
      <c r="Q346" s="99"/>
      <c r="R346" s="99"/>
      <c r="S346" s="99"/>
      <c r="T346" s="99"/>
      <c r="U346" s="99"/>
      <c r="V346" s="99"/>
      <c r="W346" s="99"/>
      <c r="X346" s="99"/>
      <c r="Y346" s="99"/>
      <c r="Z346" s="99"/>
      <c r="AA346" s="99"/>
      <c r="AB346" s="99"/>
      <c r="AC346" s="99"/>
      <c r="AD346" s="99"/>
    </row>
    <row r="347" spans="1:30" ht="28.5" customHeight="1" x14ac:dyDescent="0.15">
      <c r="A347" s="99"/>
      <c r="B347" s="99"/>
      <c r="C347" s="99"/>
      <c r="D347" s="99"/>
      <c r="E347" s="99"/>
      <c r="F347" s="99"/>
      <c r="G347" s="99"/>
      <c r="H347" s="99"/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99"/>
      <c r="T347" s="99"/>
      <c r="U347" s="99"/>
      <c r="V347" s="99"/>
      <c r="W347" s="99"/>
      <c r="X347" s="99"/>
      <c r="Y347" s="99"/>
      <c r="Z347" s="99"/>
      <c r="AA347" s="99"/>
      <c r="AB347" s="99"/>
      <c r="AC347" s="99"/>
      <c r="AD347" s="99"/>
    </row>
    <row r="348" spans="1:30" ht="28.5" customHeight="1" x14ac:dyDescent="0.15">
      <c r="A348" s="99"/>
      <c r="B348" s="99"/>
      <c r="C348" s="99"/>
      <c r="D348" s="99"/>
      <c r="E348" s="99"/>
      <c r="F348" s="99"/>
      <c r="G348" s="99"/>
      <c r="H348" s="99"/>
      <c r="I348" s="99"/>
      <c r="J348" s="99"/>
      <c r="K348" s="99"/>
      <c r="L348" s="99"/>
      <c r="M348" s="99"/>
      <c r="N348" s="99"/>
      <c r="O348" s="99"/>
      <c r="P348" s="99"/>
      <c r="Q348" s="99"/>
      <c r="R348" s="99"/>
      <c r="S348" s="99"/>
      <c r="T348" s="99"/>
      <c r="U348" s="99"/>
      <c r="V348" s="99"/>
      <c r="W348" s="99"/>
      <c r="X348" s="99"/>
      <c r="Y348" s="99"/>
      <c r="Z348" s="99"/>
      <c r="AA348" s="99"/>
      <c r="AB348" s="99"/>
      <c r="AC348" s="99"/>
      <c r="AD348" s="99"/>
    </row>
    <row r="349" spans="1:30" ht="28.5" customHeight="1" x14ac:dyDescent="0.15">
      <c r="A349" s="99"/>
      <c r="B349" s="99"/>
      <c r="C349" s="99"/>
      <c r="D349" s="99"/>
      <c r="E349" s="99"/>
      <c r="F349" s="99"/>
      <c r="G349" s="99"/>
      <c r="H349" s="99"/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99"/>
      <c r="T349" s="99"/>
      <c r="U349" s="99"/>
      <c r="V349" s="99"/>
      <c r="W349" s="99"/>
      <c r="X349" s="99"/>
      <c r="Y349" s="99"/>
      <c r="Z349" s="99"/>
      <c r="AA349" s="99"/>
      <c r="AB349" s="99"/>
      <c r="AC349" s="99"/>
      <c r="AD349" s="99"/>
    </row>
    <row r="350" spans="1:30" ht="28.5" customHeight="1" x14ac:dyDescent="0.15">
      <c r="A350" s="99"/>
      <c r="B350" s="99"/>
      <c r="C350" s="99"/>
      <c r="D350" s="99"/>
      <c r="E350" s="99"/>
      <c r="F350" s="99"/>
      <c r="G350" s="99"/>
      <c r="H350" s="99"/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99"/>
      <c r="T350" s="99"/>
      <c r="U350" s="99"/>
      <c r="V350" s="99"/>
      <c r="W350" s="99"/>
      <c r="X350" s="99"/>
      <c r="Y350" s="99"/>
      <c r="Z350" s="99"/>
      <c r="AA350" s="99"/>
      <c r="AB350" s="99"/>
      <c r="AC350" s="99"/>
      <c r="AD350" s="99"/>
    </row>
    <row r="351" spans="1:30" ht="28.5" customHeight="1" x14ac:dyDescent="0.15">
      <c r="A351" s="99"/>
      <c r="B351" s="99"/>
      <c r="C351" s="99"/>
      <c r="D351" s="99"/>
      <c r="E351" s="99"/>
      <c r="F351" s="99"/>
      <c r="G351" s="99"/>
      <c r="H351" s="99"/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99"/>
      <c r="T351" s="99"/>
      <c r="U351" s="99"/>
      <c r="V351" s="99"/>
      <c r="W351" s="99"/>
      <c r="X351" s="99"/>
      <c r="Y351" s="99"/>
      <c r="Z351" s="99"/>
      <c r="AA351" s="99"/>
      <c r="AB351" s="99"/>
      <c r="AC351" s="99"/>
      <c r="AD351" s="99"/>
    </row>
    <row r="352" spans="1:30" ht="28.5" customHeight="1" x14ac:dyDescent="0.15">
      <c r="A352" s="99"/>
      <c r="B352" s="99"/>
      <c r="C352" s="99"/>
      <c r="D352" s="99"/>
      <c r="E352" s="99"/>
      <c r="F352" s="99"/>
      <c r="G352" s="99"/>
      <c r="H352" s="99"/>
      <c r="I352" s="99"/>
      <c r="J352" s="99"/>
      <c r="K352" s="99"/>
      <c r="L352" s="99"/>
      <c r="M352" s="99"/>
      <c r="N352" s="99"/>
      <c r="O352" s="99"/>
      <c r="P352" s="99"/>
      <c r="Q352" s="99"/>
      <c r="R352" s="99"/>
      <c r="S352" s="99"/>
      <c r="T352" s="99"/>
      <c r="U352" s="99"/>
      <c r="V352" s="99"/>
      <c r="W352" s="99"/>
      <c r="X352" s="99"/>
      <c r="Y352" s="99"/>
      <c r="Z352" s="99"/>
      <c r="AA352" s="99"/>
      <c r="AB352" s="99"/>
      <c r="AC352" s="99"/>
      <c r="AD352" s="99"/>
    </row>
    <row r="353" spans="1:30" ht="28.5" customHeight="1" x14ac:dyDescent="0.15">
      <c r="A353" s="99"/>
      <c r="B353" s="99"/>
      <c r="C353" s="99"/>
      <c r="D353" s="99"/>
      <c r="E353" s="99"/>
      <c r="F353" s="99"/>
      <c r="G353" s="99"/>
      <c r="H353" s="99"/>
      <c r="I353" s="99"/>
      <c r="J353" s="99"/>
      <c r="K353" s="99"/>
      <c r="L353" s="99"/>
      <c r="M353" s="99"/>
      <c r="N353" s="99"/>
      <c r="O353" s="99"/>
      <c r="P353" s="99"/>
      <c r="Q353" s="99"/>
      <c r="R353" s="99"/>
      <c r="S353" s="99"/>
      <c r="T353" s="99"/>
      <c r="U353" s="99"/>
      <c r="V353" s="99"/>
      <c r="W353" s="99"/>
      <c r="X353" s="99"/>
      <c r="Y353" s="99"/>
      <c r="Z353" s="99"/>
      <c r="AA353" s="99"/>
      <c r="AB353" s="99"/>
      <c r="AC353" s="99"/>
      <c r="AD353" s="99"/>
    </row>
    <row r="354" spans="1:30" ht="28.5" customHeight="1" x14ac:dyDescent="0.15">
      <c r="A354" s="99"/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99"/>
      <c r="T354" s="99"/>
      <c r="U354" s="99"/>
      <c r="V354" s="99"/>
      <c r="W354" s="99"/>
      <c r="X354" s="99"/>
      <c r="Y354" s="99"/>
      <c r="Z354" s="99"/>
      <c r="AA354" s="99"/>
      <c r="AB354" s="99"/>
      <c r="AC354" s="99"/>
      <c r="AD354" s="99"/>
    </row>
    <row r="355" spans="1:30" ht="28.5" customHeight="1" x14ac:dyDescent="0.15">
      <c r="A355" s="99"/>
      <c r="B355" s="99"/>
      <c r="C355" s="99"/>
      <c r="D355" s="99"/>
      <c r="E355" s="99"/>
      <c r="F355" s="99"/>
      <c r="G355" s="99"/>
      <c r="H355" s="99"/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99"/>
      <c r="T355" s="99"/>
      <c r="U355" s="99"/>
      <c r="V355" s="99"/>
      <c r="W355" s="99"/>
      <c r="X355" s="99"/>
      <c r="Y355" s="99"/>
      <c r="Z355" s="99"/>
      <c r="AA355" s="99"/>
      <c r="AB355" s="99"/>
      <c r="AC355" s="99"/>
      <c r="AD355" s="99"/>
    </row>
    <row r="356" spans="1:30" ht="28.5" customHeight="1" x14ac:dyDescent="0.15">
      <c r="A356" s="99"/>
      <c r="B356" s="99"/>
      <c r="C356" s="99"/>
      <c r="D356" s="99"/>
      <c r="E356" s="99"/>
      <c r="F356" s="99"/>
      <c r="G356" s="99"/>
      <c r="H356" s="99"/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99"/>
      <c r="T356" s="99"/>
      <c r="U356" s="99"/>
      <c r="V356" s="99"/>
      <c r="W356" s="99"/>
      <c r="X356" s="99"/>
      <c r="Y356" s="99"/>
      <c r="Z356" s="99"/>
      <c r="AA356" s="99"/>
      <c r="AB356" s="99"/>
      <c r="AC356" s="99"/>
      <c r="AD356" s="99"/>
    </row>
    <row r="357" spans="1:30" ht="28.5" customHeight="1" x14ac:dyDescent="0.15">
      <c r="A357" s="99"/>
      <c r="B357" s="99"/>
      <c r="C357" s="99"/>
      <c r="D357" s="99"/>
      <c r="E357" s="99"/>
      <c r="F357" s="99"/>
      <c r="G357" s="99"/>
      <c r="H357" s="99"/>
      <c r="I357" s="99"/>
      <c r="J357" s="99"/>
      <c r="K357" s="99"/>
      <c r="L357" s="99"/>
      <c r="M357" s="99"/>
      <c r="N357" s="99"/>
      <c r="O357" s="99"/>
      <c r="P357" s="99"/>
      <c r="Q357" s="99"/>
      <c r="R357" s="99"/>
      <c r="S357" s="99"/>
      <c r="T357" s="99"/>
      <c r="U357" s="99"/>
      <c r="V357" s="99"/>
      <c r="W357" s="99"/>
      <c r="X357" s="99"/>
      <c r="Y357" s="99"/>
      <c r="Z357" s="99"/>
      <c r="AA357" s="99"/>
      <c r="AB357" s="99"/>
      <c r="AC357" s="99"/>
      <c r="AD357" s="99"/>
    </row>
    <row r="358" spans="1:30" ht="28.5" customHeight="1" x14ac:dyDescent="0.15">
      <c r="A358" s="99"/>
      <c r="B358" s="99"/>
      <c r="C358" s="99"/>
      <c r="D358" s="99"/>
      <c r="E358" s="99"/>
      <c r="F358" s="99"/>
      <c r="G358" s="99"/>
      <c r="H358" s="99"/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99"/>
      <c r="T358" s="99"/>
      <c r="U358" s="99"/>
      <c r="V358" s="99"/>
      <c r="W358" s="99"/>
      <c r="X358" s="99"/>
      <c r="Y358" s="99"/>
      <c r="Z358" s="99"/>
      <c r="AA358" s="99"/>
      <c r="AB358" s="99"/>
      <c r="AC358" s="99"/>
      <c r="AD358" s="99"/>
    </row>
    <row r="359" spans="1:30" ht="28.5" customHeight="1" x14ac:dyDescent="0.15">
      <c r="A359" s="99"/>
      <c r="B359" s="99"/>
      <c r="C359" s="99"/>
      <c r="D359" s="99"/>
      <c r="E359" s="99"/>
      <c r="F359" s="99"/>
      <c r="G359" s="99"/>
      <c r="H359" s="99"/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99"/>
      <c r="T359" s="99"/>
      <c r="U359" s="99"/>
      <c r="V359" s="99"/>
      <c r="W359" s="99"/>
      <c r="X359" s="99"/>
      <c r="Y359" s="99"/>
      <c r="Z359" s="99"/>
      <c r="AA359" s="99"/>
      <c r="AB359" s="99"/>
      <c r="AC359" s="99"/>
      <c r="AD359" s="99"/>
    </row>
    <row r="360" spans="1:30" ht="28.5" customHeight="1" x14ac:dyDescent="0.15">
      <c r="A360" s="99"/>
      <c r="B360" s="99"/>
      <c r="C360" s="99"/>
      <c r="D360" s="99"/>
      <c r="E360" s="99"/>
      <c r="F360" s="99"/>
      <c r="G360" s="99"/>
      <c r="H360" s="99"/>
      <c r="I360" s="99"/>
      <c r="J360" s="99"/>
      <c r="K360" s="99"/>
      <c r="L360" s="99"/>
      <c r="M360" s="99"/>
      <c r="N360" s="99"/>
      <c r="O360" s="99"/>
      <c r="P360" s="99"/>
      <c r="Q360" s="99"/>
      <c r="R360" s="99"/>
      <c r="S360" s="99"/>
      <c r="T360" s="99"/>
      <c r="U360" s="99"/>
      <c r="V360" s="99"/>
      <c r="W360" s="99"/>
      <c r="X360" s="99"/>
      <c r="Y360" s="99"/>
      <c r="Z360" s="99"/>
      <c r="AA360" s="99"/>
      <c r="AB360" s="99"/>
      <c r="AC360" s="99"/>
      <c r="AD360" s="99"/>
    </row>
    <row r="361" spans="1:30" ht="28.5" customHeight="1" x14ac:dyDescent="0.15">
      <c r="A361" s="99"/>
      <c r="B361" s="99"/>
      <c r="C361" s="99"/>
      <c r="D361" s="99"/>
      <c r="E361" s="99"/>
      <c r="F361" s="99"/>
      <c r="G361" s="99"/>
      <c r="H361" s="99"/>
      <c r="I361" s="99"/>
      <c r="J361" s="99"/>
      <c r="K361" s="99"/>
      <c r="L361" s="99"/>
      <c r="M361" s="99"/>
      <c r="N361" s="99"/>
      <c r="O361" s="99"/>
      <c r="P361" s="99"/>
      <c r="Q361" s="99"/>
      <c r="R361" s="99"/>
      <c r="S361" s="99"/>
      <c r="T361" s="99"/>
      <c r="U361" s="99"/>
      <c r="V361" s="99"/>
      <c r="W361" s="99"/>
      <c r="X361" s="99"/>
      <c r="Y361" s="99"/>
      <c r="Z361" s="99"/>
      <c r="AA361" s="99"/>
      <c r="AB361" s="99"/>
      <c r="AC361" s="99"/>
      <c r="AD361" s="99"/>
    </row>
    <row r="362" spans="1:30" ht="28.5" customHeight="1" x14ac:dyDescent="0.15">
      <c r="A362" s="99"/>
      <c r="B362" s="99"/>
      <c r="C362" s="99"/>
      <c r="D362" s="99"/>
      <c r="E362" s="99"/>
      <c r="F362" s="99"/>
      <c r="G362" s="99"/>
      <c r="H362" s="99"/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99"/>
      <c r="T362" s="99"/>
      <c r="U362" s="99"/>
      <c r="V362" s="99"/>
      <c r="W362" s="99"/>
      <c r="X362" s="99"/>
      <c r="Y362" s="99"/>
      <c r="Z362" s="99"/>
      <c r="AA362" s="99"/>
      <c r="AB362" s="99"/>
      <c r="AC362" s="99"/>
      <c r="AD362" s="99"/>
    </row>
    <row r="363" spans="1:30" ht="28.5" customHeight="1" x14ac:dyDescent="0.15">
      <c r="A363" s="99"/>
      <c r="B363" s="99"/>
      <c r="C363" s="99"/>
      <c r="D363" s="99"/>
      <c r="E363" s="99"/>
      <c r="F363" s="99"/>
      <c r="G363" s="99"/>
      <c r="H363" s="99"/>
      <c r="I363" s="99"/>
      <c r="J363" s="99"/>
      <c r="K363" s="99"/>
      <c r="L363" s="99"/>
      <c r="M363" s="99"/>
      <c r="N363" s="99"/>
      <c r="O363" s="99"/>
      <c r="P363" s="99"/>
      <c r="Q363" s="99"/>
      <c r="R363" s="99"/>
      <c r="S363" s="99"/>
      <c r="T363" s="99"/>
      <c r="U363" s="99"/>
      <c r="V363" s="99"/>
      <c r="W363" s="99"/>
      <c r="X363" s="99"/>
      <c r="Y363" s="99"/>
      <c r="Z363" s="99"/>
      <c r="AA363" s="99"/>
      <c r="AB363" s="99"/>
      <c r="AC363" s="99"/>
      <c r="AD363" s="99"/>
    </row>
    <row r="364" spans="1:30" ht="28.5" customHeight="1" x14ac:dyDescent="0.15">
      <c r="A364" s="99"/>
      <c r="B364" s="99"/>
      <c r="C364" s="99"/>
      <c r="D364" s="99"/>
      <c r="E364" s="99"/>
      <c r="F364" s="99"/>
      <c r="G364" s="99"/>
      <c r="H364" s="99"/>
      <c r="I364" s="99"/>
      <c r="J364" s="99"/>
      <c r="K364" s="99"/>
      <c r="L364" s="99"/>
      <c r="M364" s="99"/>
      <c r="N364" s="99"/>
      <c r="O364" s="99"/>
      <c r="P364" s="99"/>
      <c r="Q364" s="99"/>
      <c r="R364" s="99"/>
      <c r="S364" s="99"/>
      <c r="T364" s="99"/>
      <c r="U364" s="99"/>
      <c r="V364" s="99"/>
      <c r="W364" s="99"/>
      <c r="X364" s="99"/>
      <c r="Y364" s="99"/>
      <c r="Z364" s="99"/>
      <c r="AA364" s="99"/>
      <c r="AB364" s="99"/>
      <c r="AC364" s="99"/>
      <c r="AD364" s="99"/>
    </row>
    <row r="365" spans="1:30" ht="28.5" customHeight="1" x14ac:dyDescent="0.15">
      <c r="A365" s="99"/>
      <c r="B365" s="99"/>
      <c r="C365" s="99"/>
      <c r="D365" s="99"/>
      <c r="E365" s="99"/>
      <c r="F365" s="99"/>
      <c r="G365" s="99"/>
      <c r="H365" s="99"/>
      <c r="I365" s="99"/>
      <c r="J365" s="99"/>
      <c r="K365" s="99"/>
      <c r="L365" s="99"/>
      <c r="M365" s="99"/>
      <c r="N365" s="99"/>
      <c r="O365" s="99"/>
      <c r="P365" s="99"/>
      <c r="Q365" s="99"/>
      <c r="R365" s="99"/>
      <c r="S365" s="99"/>
      <c r="T365" s="99"/>
      <c r="U365" s="99"/>
      <c r="V365" s="99"/>
      <c r="W365" s="99"/>
      <c r="X365" s="99"/>
      <c r="Y365" s="99"/>
      <c r="Z365" s="99"/>
      <c r="AA365" s="99"/>
      <c r="AB365" s="99"/>
      <c r="AC365" s="99"/>
      <c r="AD365" s="99"/>
    </row>
    <row r="366" spans="1:30" ht="28.5" customHeight="1" x14ac:dyDescent="0.15">
      <c r="A366" s="99"/>
      <c r="B366" s="99"/>
      <c r="C366" s="99"/>
      <c r="D366" s="99"/>
      <c r="E366" s="99"/>
      <c r="F366" s="99"/>
      <c r="G366" s="99"/>
      <c r="H366" s="99"/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99"/>
      <c r="T366" s="99"/>
      <c r="U366" s="99"/>
      <c r="V366" s="99"/>
      <c r="W366" s="99"/>
      <c r="X366" s="99"/>
      <c r="Y366" s="99"/>
      <c r="Z366" s="99"/>
      <c r="AA366" s="99"/>
      <c r="AB366" s="99"/>
      <c r="AC366" s="99"/>
      <c r="AD366" s="99"/>
    </row>
    <row r="367" spans="1:30" ht="28.5" customHeight="1" x14ac:dyDescent="0.15">
      <c r="A367" s="99"/>
      <c r="B367" s="99"/>
      <c r="C367" s="99"/>
      <c r="D367" s="99"/>
      <c r="E367" s="99"/>
      <c r="F367" s="99"/>
      <c r="G367" s="99"/>
      <c r="H367" s="99"/>
      <c r="I367" s="99"/>
      <c r="J367" s="99"/>
      <c r="K367" s="99"/>
      <c r="L367" s="99"/>
      <c r="M367" s="99"/>
      <c r="N367" s="99"/>
      <c r="O367" s="99"/>
      <c r="P367" s="99"/>
      <c r="Q367" s="99"/>
      <c r="R367" s="99"/>
      <c r="S367" s="99"/>
      <c r="T367" s="99"/>
      <c r="U367" s="99"/>
      <c r="V367" s="99"/>
      <c r="W367" s="99"/>
      <c r="X367" s="99"/>
      <c r="Y367" s="99"/>
      <c r="Z367" s="99"/>
      <c r="AA367" s="99"/>
      <c r="AB367" s="99"/>
      <c r="AC367" s="99"/>
      <c r="AD367" s="99"/>
    </row>
    <row r="368" spans="1:30" ht="28.5" customHeight="1" x14ac:dyDescent="0.15">
      <c r="A368" s="99"/>
      <c r="B368" s="99"/>
      <c r="C368" s="99"/>
      <c r="D368" s="99"/>
      <c r="E368" s="99"/>
      <c r="F368" s="99"/>
      <c r="G368" s="99"/>
      <c r="H368" s="99"/>
      <c r="I368" s="99"/>
      <c r="J368" s="99"/>
      <c r="K368" s="99"/>
      <c r="L368" s="99"/>
      <c r="M368" s="99"/>
      <c r="N368" s="99"/>
      <c r="O368" s="99"/>
      <c r="P368" s="99"/>
      <c r="Q368" s="99"/>
      <c r="R368" s="99"/>
      <c r="S368" s="99"/>
      <c r="T368" s="99"/>
      <c r="U368" s="99"/>
      <c r="V368" s="99"/>
      <c r="W368" s="99"/>
      <c r="X368" s="99"/>
      <c r="Y368" s="99"/>
      <c r="Z368" s="99"/>
      <c r="AA368" s="99"/>
      <c r="AB368" s="99"/>
      <c r="AC368" s="99"/>
      <c r="AD368" s="99"/>
    </row>
    <row r="369" spans="1:30" ht="28.5" customHeight="1" x14ac:dyDescent="0.15">
      <c r="A369" s="99"/>
      <c r="B369" s="99"/>
      <c r="C369" s="99"/>
      <c r="D369" s="99"/>
      <c r="E369" s="99"/>
      <c r="F369" s="99"/>
      <c r="G369" s="99"/>
      <c r="H369" s="99"/>
      <c r="I369" s="99"/>
      <c r="J369" s="99"/>
      <c r="K369" s="99"/>
      <c r="L369" s="99"/>
      <c r="M369" s="99"/>
      <c r="N369" s="99"/>
      <c r="O369" s="99"/>
      <c r="P369" s="99"/>
      <c r="Q369" s="99"/>
      <c r="R369" s="99"/>
      <c r="S369" s="99"/>
      <c r="T369" s="99"/>
      <c r="U369" s="99"/>
      <c r="V369" s="99"/>
      <c r="W369" s="99"/>
      <c r="X369" s="99"/>
      <c r="Y369" s="99"/>
      <c r="Z369" s="99"/>
      <c r="AA369" s="99"/>
      <c r="AB369" s="99"/>
      <c r="AC369" s="99"/>
      <c r="AD369" s="99"/>
    </row>
    <row r="370" spans="1:30" ht="28.5" customHeight="1" x14ac:dyDescent="0.15">
      <c r="A370" s="99"/>
      <c r="B370" s="99"/>
      <c r="C370" s="99"/>
      <c r="D370" s="99"/>
      <c r="E370" s="99"/>
      <c r="F370" s="99"/>
      <c r="G370" s="99"/>
      <c r="H370" s="99"/>
      <c r="I370" s="99"/>
      <c r="J370" s="99"/>
      <c r="K370" s="99"/>
      <c r="L370" s="99"/>
      <c r="M370" s="99"/>
      <c r="N370" s="99"/>
      <c r="O370" s="99"/>
      <c r="P370" s="99"/>
      <c r="Q370" s="99"/>
      <c r="R370" s="99"/>
      <c r="S370" s="99"/>
      <c r="T370" s="99"/>
      <c r="U370" s="99"/>
      <c r="V370" s="99"/>
      <c r="W370" s="99"/>
      <c r="X370" s="99"/>
      <c r="Y370" s="99"/>
      <c r="Z370" s="99"/>
      <c r="AA370" s="99"/>
      <c r="AB370" s="99"/>
      <c r="AC370" s="99"/>
      <c r="AD370" s="99"/>
    </row>
    <row r="371" spans="1:30" ht="28.5" customHeight="1" x14ac:dyDescent="0.15">
      <c r="A371" s="99"/>
      <c r="B371" s="99"/>
      <c r="C371" s="99"/>
      <c r="D371" s="99"/>
      <c r="E371" s="99"/>
      <c r="F371" s="99"/>
      <c r="G371" s="99"/>
      <c r="H371" s="99"/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99"/>
      <c r="T371" s="99"/>
      <c r="U371" s="99"/>
      <c r="V371" s="99"/>
      <c r="W371" s="99"/>
      <c r="X371" s="99"/>
      <c r="Y371" s="99"/>
      <c r="Z371" s="99"/>
      <c r="AA371" s="99"/>
      <c r="AB371" s="99"/>
      <c r="AC371" s="99"/>
      <c r="AD371" s="99"/>
    </row>
    <row r="372" spans="1:30" ht="28.5" customHeight="1" x14ac:dyDescent="0.15">
      <c r="A372" s="99"/>
      <c r="B372" s="99"/>
      <c r="C372" s="99"/>
      <c r="D372" s="99"/>
      <c r="E372" s="99"/>
      <c r="F372" s="99"/>
      <c r="G372" s="99"/>
      <c r="H372" s="99"/>
      <c r="I372" s="99"/>
      <c r="J372" s="99"/>
      <c r="K372" s="99"/>
      <c r="L372" s="99"/>
      <c r="M372" s="99"/>
      <c r="N372" s="99"/>
      <c r="O372" s="99"/>
      <c r="P372" s="99"/>
      <c r="Q372" s="99"/>
      <c r="R372" s="99"/>
      <c r="S372" s="99"/>
      <c r="T372" s="99"/>
      <c r="U372" s="99"/>
      <c r="V372" s="99"/>
      <c r="W372" s="99"/>
      <c r="X372" s="99"/>
      <c r="Y372" s="99"/>
      <c r="Z372" s="99"/>
      <c r="AA372" s="99"/>
      <c r="AB372" s="99"/>
      <c r="AC372" s="99"/>
      <c r="AD372" s="99"/>
    </row>
    <row r="373" spans="1:30" ht="28.5" customHeight="1" x14ac:dyDescent="0.15">
      <c r="A373" s="99"/>
      <c r="B373" s="99"/>
      <c r="C373" s="99"/>
      <c r="D373" s="99"/>
      <c r="E373" s="99"/>
      <c r="F373" s="99"/>
      <c r="G373" s="99"/>
      <c r="H373" s="99"/>
      <c r="I373" s="99"/>
      <c r="J373" s="99"/>
      <c r="K373" s="99"/>
      <c r="L373" s="99"/>
      <c r="M373" s="99"/>
      <c r="N373" s="99"/>
      <c r="O373" s="99"/>
      <c r="P373" s="99"/>
      <c r="Q373" s="99"/>
      <c r="R373" s="99"/>
      <c r="S373" s="99"/>
      <c r="T373" s="99"/>
      <c r="U373" s="99"/>
      <c r="V373" s="99"/>
      <c r="W373" s="99"/>
      <c r="X373" s="99"/>
      <c r="Y373" s="99"/>
      <c r="Z373" s="99"/>
      <c r="AA373" s="99"/>
      <c r="AB373" s="99"/>
      <c r="AC373" s="99"/>
      <c r="AD373" s="99"/>
    </row>
    <row r="374" spans="1:30" ht="28.5" customHeight="1" x14ac:dyDescent="0.15">
      <c r="A374" s="99"/>
      <c r="B374" s="99"/>
      <c r="C374" s="99"/>
      <c r="D374" s="99"/>
      <c r="E374" s="99"/>
      <c r="F374" s="99"/>
      <c r="G374" s="99"/>
      <c r="H374" s="99"/>
      <c r="I374" s="99"/>
      <c r="J374" s="99"/>
      <c r="K374" s="99"/>
      <c r="L374" s="99"/>
      <c r="M374" s="99"/>
      <c r="N374" s="99"/>
      <c r="O374" s="99"/>
      <c r="P374" s="99"/>
      <c r="Q374" s="99"/>
      <c r="R374" s="99"/>
      <c r="S374" s="99"/>
      <c r="T374" s="99"/>
      <c r="U374" s="99"/>
      <c r="V374" s="99"/>
      <c r="W374" s="99"/>
      <c r="X374" s="99"/>
      <c r="Y374" s="99"/>
      <c r="Z374" s="99"/>
      <c r="AA374" s="99"/>
      <c r="AB374" s="99"/>
      <c r="AC374" s="99"/>
      <c r="AD374" s="99"/>
    </row>
    <row r="375" spans="1:30" ht="28.5" customHeight="1" x14ac:dyDescent="0.15">
      <c r="A375" s="99"/>
      <c r="B375" s="99"/>
      <c r="C375" s="99"/>
      <c r="D375" s="99"/>
      <c r="E375" s="99"/>
      <c r="F375" s="99"/>
      <c r="G375" s="99"/>
      <c r="H375" s="99"/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99"/>
      <c r="T375" s="99"/>
      <c r="U375" s="99"/>
      <c r="V375" s="99"/>
      <c r="W375" s="99"/>
      <c r="X375" s="99"/>
      <c r="Y375" s="99"/>
      <c r="Z375" s="99"/>
      <c r="AA375" s="99"/>
      <c r="AB375" s="99"/>
      <c r="AC375" s="99"/>
      <c r="AD375" s="99"/>
    </row>
    <row r="376" spans="1:30" ht="28.5" customHeight="1" x14ac:dyDescent="0.15">
      <c r="A376" s="99"/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99"/>
      <c r="T376" s="99"/>
      <c r="U376" s="99"/>
      <c r="V376" s="99"/>
      <c r="W376" s="99"/>
      <c r="X376" s="99"/>
      <c r="Y376" s="99"/>
      <c r="Z376" s="99"/>
      <c r="AA376" s="99"/>
      <c r="AB376" s="99"/>
      <c r="AC376" s="99"/>
      <c r="AD376" s="99"/>
    </row>
    <row r="377" spans="1:30" ht="28.5" customHeight="1" x14ac:dyDescent="0.15">
      <c r="A377" s="99"/>
      <c r="B377" s="99"/>
      <c r="C377" s="99"/>
      <c r="D377" s="99"/>
      <c r="E377" s="99"/>
      <c r="F377" s="99"/>
      <c r="G377" s="99"/>
      <c r="H377" s="99"/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99"/>
      <c r="T377" s="99"/>
      <c r="U377" s="99"/>
      <c r="V377" s="99"/>
      <c r="W377" s="99"/>
      <c r="X377" s="99"/>
      <c r="Y377" s="99"/>
      <c r="Z377" s="99"/>
      <c r="AA377" s="99"/>
      <c r="AB377" s="99"/>
      <c r="AC377" s="99"/>
      <c r="AD377" s="99"/>
    </row>
    <row r="378" spans="1:30" ht="28.5" customHeight="1" x14ac:dyDescent="0.15">
      <c r="A378" s="99"/>
      <c r="B378" s="99"/>
      <c r="C378" s="99"/>
      <c r="D378" s="99"/>
      <c r="E378" s="99"/>
      <c r="F378" s="99"/>
      <c r="G378" s="99"/>
      <c r="H378" s="99"/>
      <c r="I378" s="99"/>
      <c r="J378" s="99"/>
      <c r="K378" s="99"/>
      <c r="L378" s="99"/>
      <c r="M378" s="99"/>
      <c r="N378" s="99"/>
      <c r="O378" s="99"/>
      <c r="P378" s="99"/>
      <c r="Q378" s="99"/>
      <c r="R378" s="99"/>
      <c r="S378" s="99"/>
      <c r="T378" s="99"/>
      <c r="U378" s="99"/>
      <c r="V378" s="99"/>
      <c r="W378" s="99"/>
      <c r="X378" s="99"/>
      <c r="Y378" s="99"/>
      <c r="Z378" s="99"/>
      <c r="AA378" s="99"/>
      <c r="AB378" s="99"/>
      <c r="AC378" s="99"/>
      <c r="AD378" s="99"/>
    </row>
    <row r="379" spans="1:30" ht="28.5" customHeight="1" x14ac:dyDescent="0.15">
      <c r="A379" s="99"/>
      <c r="B379" s="99"/>
      <c r="C379" s="99"/>
      <c r="D379" s="99"/>
      <c r="E379" s="99"/>
      <c r="F379" s="99"/>
      <c r="G379" s="99"/>
      <c r="H379" s="99"/>
      <c r="I379" s="99"/>
      <c r="J379" s="99"/>
      <c r="K379" s="99"/>
      <c r="L379" s="99"/>
      <c r="M379" s="99"/>
      <c r="N379" s="99"/>
      <c r="O379" s="99"/>
      <c r="P379" s="99"/>
      <c r="Q379" s="99"/>
      <c r="R379" s="99"/>
      <c r="S379" s="99"/>
      <c r="T379" s="99"/>
      <c r="U379" s="99"/>
      <c r="V379" s="99"/>
      <c r="W379" s="99"/>
      <c r="X379" s="99"/>
      <c r="Y379" s="99"/>
      <c r="Z379" s="99"/>
      <c r="AA379" s="99"/>
      <c r="AB379" s="99"/>
      <c r="AC379" s="99"/>
      <c r="AD379" s="99"/>
    </row>
    <row r="380" spans="1:30" ht="28.5" customHeight="1" x14ac:dyDescent="0.15">
      <c r="A380" s="99"/>
      <c r="B380" s="99"/>
      <c r="C380" s="99"/>
      <c r="D380" s="99"/>
      <c r="E380" s="99"/>
      <c r="F380" s="99"/>
      <c r="G380" s="99"/>
      <c r="H380" s="99"/>
      <c r="I380" s="99"/>
      <c r="J380" s="99"/>
      <c r="K380" s="99"/>
      <c r="L380" s="99"/>
      <c r="M380" s="99"/>
      <c r="N380" s="99"/>
      <c r="O380" s="99"/>
      <c r="P380" s="99"/>
      <c r="Q380" s="99"/>
      <c r="R380" s="99"/>
      <c r="S380" s="99"/>
      <c r="T380" s="99"/>
      <c r="U380" s="99"/>
      <c r="V380" s="99"/>
      <c r="W380" s="99"/>
      <c r="X380" s="99"/>
      <c r="Y380" s="99"/>
      <c r="Z380" s="99"/>
      <c r="AA380" s="99"/>
      <c r="AB380" s="99"/>
      <c r="AC380" s="99"/>
      <c r="AD380" s="99"/>
    </row>
    <row r="381" spans="1:30" ht="28.5" customHeight="1" x14ac:dyDescent="0.15">
      <c r="A381" s="99"/>
      <c r="B381" s="99"/>
      <c r="C381" s="99"/>
      <c r="D381" s="99"/>
      <c r="E381" s="99"/>
      <c r="F381" s="99"/>
      <c r="G381" s="99"/>
      <c r="H381" s="99"/>
      <c r="I381" s="99"/>
      <c r="J381" s="99"/>
      <c r="K381" s="99"/>
      <c r="L381" s="99"/>
      <c r="M381" s="99"/>
      <c r="N381" s="99"/>
      <c r="O381" s="99"/>
      <c r="P381" s="99"/>
      <c r="Q381" s="99"/>
      <c r="R381" s="99"/>
      <c r="S381" s="99"/>
      <c r="T381" s="99"/>
      <c r="U381" s="99"/>
      <c r="V381" s="99"/>
      <c r="W381" s="99"/>
      <c r="X381" s="99"/>
      <c r="Y381" s="99"/>
      <c r="Z381" s="99"/>
      <c r="AA381" s="99"/>
      <c r="AB381" s="99"/>
      <c r="AC381" s="99"/>
      <c r="AD381" s="99"/>
    </row>
    <row r="382" spans="1:30" ht="28.5" customHeight="1" x14ac:dyDescent="0.15">
      <c r="A382" s="99"/>
      <c r="B382" s="99"/>
      <c r="C382" s="99"/>
      <c r="D382" s="99"/>
      <c r="E382" s="99"/>
      <c r="F382" s="99"/>
      <c r="G382" s="99"/>
      <c r="H382" s="99"/>
      <c r="I382" s="99"/>
      <c r="J382" s="99"/>
      <c r="K382" s="99"/>
      <c r="L382" s="99"/>
      <c r="M382" s="99"/>
      <c r="N382" s="99"/>
      <c r="O382" s="99"/>
      <c r="P382" s="99"/>
      <c r="Q382" s="99"/>
      <c r="R382" s="99"/>
      <c r="S382" s="99"/>
      <c r="T382" s="99"/>
      <c r="U382" s="99"/>
      <c r="V382" s="99"/>
      <c r="W382" s="99"/>
      <c r="X382" s="99"/>
      <c r="Y382" s="99"/>
      <c r="Z382" s="99"/>
      <c r="AA382" s="99"/>
      <c r="AB382" s="99"/>
      <c r="AC382" s="99"/>
      <c r="AD382" s="99"/>
    </row>
    <row r="383" spans="1:30" ht="28.5" customHeight="1" x14ac:dyDescent="0.15">
      <c r="A383" s="99"/>
      <c r="B383" s="99"/>
      <c r="C383" s="99"/>
      <c r="D383" s="99"/>
      <c r="E383" s="99"/>
      <c r="F383" s="99"/>
      <c r="G383" s="99"/>
      <c r="H383" s="99"/>
      <c r="I383" s="99"/>
      <c r="J383" s="99"/>
      <c r="K383" s="99"/>
      <c r="L383" s="99"/>
      <c r="M383" s="99"/>
      <c r="N383" s="99"/>
      <c r="O383" s="99"/>
      <c r="P383" s="99"/>
      <c r="Q383" s="99"/>
      <c r="R383" s="99"/>
      <c r="S383" s="99"/>
      <c r="T383" s="99"/>
      <c r="U383" s="99"/>
      <c r="V383" s="99"/>
      <c r="W383" s="99"/>
      <c r="X383" s="99"/>
      <c r="Y383" s="99"/>
      <c r="Z383" s="99"/>
      <c r="AA383" s="99"/>
      <c r="AB383" s="99"/>
      <c r="AC383" s="99"/>
      <c r="AD383" s="99"/>
    </row>
    <row r="384" spans="1:30" ht="28.5" customHeight="1" x14ac:dyDescent="0.15">
      <c r="A384" s="99"/>
      <c r="B384" s="99"/>
      <c r="C384" s="99"/>
      <c r="D384" s="99"/>
      <c r="E384" s="99"/>
      <c r="F384" s="99"/>
      <c r="G384" s="99"/>
      <c r="H384" s="99"/>
      <c r="I384" s="99"/>
      <c r="J384" s="99"/>
      <c r="K384" s="99"/>
      <c r="L384" s="99"/>
      <c r="M384" s="99"/>
      <c r="N384" s="99"/>
      <c r="O384" s="99"/>
      <c r="P384" s="99"/>
      <c r="Q384" s="99"/>
      <c r="R384" s="99"/>
      <c r="S384" s="99"/>
      <c r="T384" s="99"/>
      <c r="U384" s="99"/>
      <c r="V384" s="99"/>
      <c r="W384" s="99"/>
      <c r="X384" s="99"/>
      <c r="Y384" s="99"/>
      <c r="Z384" s="99"/>
      <c r="AA384" s="99"/>
      <c r="AB384" s="99"/>
      <c r="AC384" s="99"/>
      <c r="AD384" s="99"/>
    </row>
    <row r="385" spans="1:30" ht="28.5" customHeight="1" x14ac:dyDescent="0.15">
      <c r="A385" s="99"/>
      <c r="B385" s="99"/>
      <c r="C385" s="99"/>
      <c r="D385" s="99"/>
      <c r="E385" s="99"/>
      <c r="F385" s="99"/>
      <c r="G385" s="99"/>
      <c r="H385" s="99"/>
      <c r="I385" s="99"/>
      <c r="J385" s="99"/>
      <c r="K385" s="99"/>
      <c r="L385" s="99"/>
      <c r="M385" s="99"/>
      <c r="N385" s="99"/>
      <c r="O385" s="99"/>
      <c r="P385" s="99"/>
      <c r="Q385" s="99"/>
      <c r="R385" s="99"/>
      <c r="S385" s="99"/>
      <c r="T385" s="99"/>
      <c r="U385" s="99"/>
      <c r="V385" s="99"/>
      <c r="W385" s="99"/>
      <c r="X385" s="99"/>
      <c r="Y385" s="99"/>
      <c r="Z385" s="99"/>
      <c r="AA385" s="99"/>
      <c r="AB385" s="99"/>
      <c r="AC385" s="99"/>
      <c r="AD385" s="99"/>
    </row>
    <row r="386" spans="1:30" ht="28.5" customHeight="1" x14ac:dyDescent="0.15">
      <c r="A386" s="99"/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99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</row>
    <row r="387" spans="1:30" ht="28.5" customHeight="1" x14ac:dyDescent="0.15">
      <c r="A387" s="99"/>
      <c r="B387" s="99"/>
      <c r="C387" s="99"/>
      <c r="D387" s="99"/>
      <c r="E387" s="99"/>
      <c r="F387" s="99"/>
      <c r="G387" s="99"/>
      <c r="H387" s="99"/>
      <c r="I387" s="99"/>
      <c r="J387" s="99"/>
      <c r="K387" s="99"/>
      <c r="L387" s="99"/>
      <c r="M387" s="99"/>
      <c r="N387" s="99"/>
      <c r="O387" s="99"/>
      <c r="P387" s="99"/>
      <c r="Q387" s="99"/>
      <c r="R387" s="99"/>
      <c r="S387" s="99"/>
      <c r="T387" s="99"/>
      <c r="U387" s="99"/>
      <c r="V387" s="99"/>
      <c r="W387" s="99"/>
      <c r="X387" s="99"/>
      <c r="Y387" s="99"/>
      <c r="Z387" s="99"/>
      <c r="AA387" s="99"/>
      <c r="AB387" s="99"/>
      <c r="AC387" s="99"/>
      <c r="AD387" s="99"/>
    </row>
    <row r="388" spans="1:30" ht="28.5" customHeight="1" x14ac:dyDescent="0.15">
      <c r="A388" s="99"/>
      <c r="B388" s="99"/>
      <c r="C388" s="99"/>
      <c r="D388" s="99"/>
      <c r="E388" s="99"/>
      <c r="F388" s="99"/>
      <c r="G388" s="99"/>
      <c r="H388" s="99"/>
      <c r="I388" s="99"/>
      <c r="J388" s="99"/>
      <c r="K388" s="99"/>
      <c r="L388" s="99"/>
      <c r="M388" s="99"/>
      <c r="N388" s="99"/>
      <c r="O388" s="99"/>
      <c r="P388" s="99"/>
      <c r="Q388" s="99"/>
      <c r="R388" s="99"/>
      <c r="S388" s="99"/>
      <c r="T388" s="99"/>
      <c r="U388" s="99"/>
      <c r="V388" s="99"/>
      <c r="W388" s="99"/>
      <c r="X388" s="99"/>
      <c r="Y388" s="99"/>
      <c r="Z388" s="99"/>
      <c r="AA388" s="99"/>
      <c r="AB388" s="99"/>
      <c r="AC388" s="99"/>
      <c r="AD388" s="99"/>
    </row>
    <row r="389" spans="1:30" ht="28.5" customHeight="1" x14ac:dyDescent="0.15">
      <c r="A389" s="99"/>
      <c r="B389" s="99"/>
      <c r="C389" s="99"/>
      <c r="D389" s="99"/>
      <c r="E389" s="99"/>
      <c r="F389" s="99"/>
      <c r="G389" s="99"/>
      <c r="H389" s="99"/>
      <c r="I389" s="99"/>
      <c r="J389" s="99"/>
      <c r="K389" s="99"/>
      <c r="L389" s="99"/>
      <c r="M389" s="99"/>
      <c r="N389" s="99"/>
      <c r="O389" s="99"/>
      <c r="P389" s="99"/>
      <c r="Q389" s="99"/>
      <c r="R389" s="99"/>
      <c r="S389" s="99"/>
      <c r="T389" s="99"/>
      <c r="U389" s="99"/>
      <c r="V389" s="99"/>
      <c r="W389" s="99"/>
      <c r="X389" s="99"/>
      <c r="Y389" s="99"/>
      <c r="Z389" s="99"/>
      <c r="AA389" s="99"/>
      <c r="AB389" s="99"/>
      <c r="AC389" s="99"/>
      <c r="AD389" s="99"/>
    </row>
    <row r="390" spans="1:30" ht="28.5" customHeight="1" x14ac:dyDescent="0.15">
      <c r="A390" s="99"/>
      <c r="B390" s="99"/>
      <c r="C390" s="99"/>
      <c r="D390" s="99"/>
      <c r="E390" s="99"/>
      <c r="F390" s="99"/>
      <c r="G390" s="99"/>
      <c r="H390" s="99"/>
      <c r="I390" s="99"/>
      <c r="J390" s="99"/>
      <c r="K390" s="99"/>
      <c r="L390" s="99"/>
      <c r="M390" s="99"/>
      <c r="N390" s="99"/>
      <c r="O390" s="99"/>
      <c r="P390" s="99"/>
      <c r="Q390" s="99"/>
      <c r="R390" s="99"/>
      <c r="S390" s="99"/>
      <c r="T390" s="99"/>
      <c r="U390" s="99"/>
      <c r="V390" s="99"/>
      <c r="W390" s="99"/>
      <c r="X390" s="99"/>
      <c r="Y390" s="99"/>
      <c r="Z390" s="99"/>
      <c r="AA390" s="99"/>
      <c r="AB390" s="99"/>
      <c r="AC390" s="99"/>
      <c r="AD390" s="99"/>
    </row>
    <row r="391" spans="1:30" ht="28.5" customHeight="1" x14ac:dyDescent="0.15">
      <c r="A391" s="99"/>
      <c r="B391" s="99"/>
      <c r="C391" s="99"/>
      <c r="D391" s="99"/>
      <c r="E391" s="99"/>
      <c r="F391" s="99"/>
      <c r="G391" s="99"/>
      <c r="H391" s="99"/>
      <c r="I391" s="99"/>
      <c r="J391" s="99"/>
      <c r="K391" s="99"/>
      <c r="L391" s="99"/>
      <c r="M391" s="99"/>
      <c r="N391" s="99"/>
      <c r="O391" s="99"/>
      <c r="P391" s="99"/>
      <c r="Q391" s="99"/>
      <c r="R391" s="99"/>
      <c r="S391" s="99"/>
      <c r="T391" s="99"/>
      <c r="U391" s="99"/>
      <c r="V391" s="99"/>
      <c r="W391" s="99"/>
      <c r="X391" s="99"/>
      <c r="Y391" s="99"/>
      <c r="Z391" s="99"/>
      <c r="AA391" s="99"/>
      <c r="AB391" s="99"/>
      <c r="AC391" s="99"/>
      <c r="AD391" s="99"/>
    </row>
    <row r="392" spans="1:30" ht="28.5" customHeight="1" x14ac:dyDescent="0.15">
      <c r="A392" s="99"/>
      <c r="B392" s="99"/>
      <c r="C392" s="99"/>
      <c r="D392" s="99"/>
      <c r="E392" s="99"/>
      <c r="F392" s="99"/>
      <c r="G392" s="99"/>
      <c r="H392" s="99"/>
      <c r="I392" s="99"/>
      <c r="J392" s="99"/>
      <c r="K392" s="99"/>
      <c r="L392" s="99"/>
      <c r="M392" s="99"/>
      <c r="N392" s="99"/>
      <c r="O392" s="99"/>
      <c r="P392" s="99"/>
      <c r="Q392" s="99"/>
      <c r="R392" s="99"/>
      <c r="S392" s="99"/>
      <c r="T392" s="99"/>
      <c r="U392" s="99"/>
      <c r="V392" s="99"/>
      <c r="W392" s="99"/>
      <c r="X392" s="99"/>
      <c r="Y392" s="99"/>
      <c r="Z392" s="99"/>
      <c r="AA392" s="99"/>
      <c r="AB392" s="99"/>
      <c r="AC392" s="99"/>
      <c r="AD392" s="99"/>
    </row>
    <row r="393" spans="1:30" ht="28.5" customHeight="1" x14ac:dyDescent="0.15">
      <c r="A393" s="99"/>
      <c r="B393" s="99"/>
      <c r="C393" s="99"/>
      <c r="D393" s="99"/>
      <c r="E393" s="99"/>
      <c r="F393" s="99"/>
      <c r="G393" s="99"/>
      <c r="H393" s="99"/>
      <c r="I393" s="99"/>
      <c r="J393" s="99"/>
      <c r="K393" s="99"/>
      <c r="L393" s="99"/>
      <c r="M393" s="99"/>
      <c r="N393" s="99"/>
      <c r="O393" s="99"/>
      <c r="P393" s="99"/>
      <c r="Q393" s="99"/>
      <c r="R393" s="99"/>
      <c r="S393" s="99"/>
      <c r="T393" s="99"/>
      <c r="U393" s="99"/>
      <c r="V393" s="99"/>
      <c r="W393" s="99"/>
      <c r="X393" s="99"/>
      <c r="Y393" s="99"/>
      <c r="Z393" s="99"/>
      <c r="AA393" s="99"/>
      <c r="AB393" s="99"/>
      <c r="AC393" s="99"/>
      <c r="AD393" s="99"/>
    </row>
    <row r="394" spans="1:30" ht="28.5" customHeight="1" x14ac:dyDescent="0.15">
      <c r="A394" s="99"/>
      <c r="B394" s="99"/>
      <c r="C394" s="99"/>
      <c r="D394" s="99"/>
      <c r="E394" s="99"/>
      <c r="F394" s="99"/>
      <c r="G394" s="99"/>
      <c r="H394" s="99"/>
      <c r="I394" s="99"/>
      <c r="J394" s="99"/>
      <c r="K394" s="99"/>
      <c r="L394" s="99"/>
      <c r="M394" s="99"/>
      <c r="N394" s="99"/>
      <c r="O394" s="99"/>
      <c r="P394" s="99"/>
      <c r="Q394" s="99"/>
      <c r="R394" s="99"/>
      <c r="S394" s="99"/>
      <c r="T394" s="99"/>
      <c r="U394" s="99"/>
      <c r="V394" s="99"/>
      <c r="W394" s="99"/>
      <c r="X394" s="99"/>
      <c r="Y394" s="99"/>
      <c r="Z394" s="99"/>
      <c r="AA394" s="99"/>
      <c r="AB394" s="99"/>
      <c r="AC394" s="99"/>
      <c r="AD394" s="99"/>
    </row>
    <row r="395" spans="1:30" ht="28.5" customHeight="1" x14ac:dyDescent="0.15">
      <c r="A395" s="99"/>
      <c r="B395" s="99"/>
      <c r="C395" s="99"/>
      <c r="D395" s="99"/>
      <c r="E395" s="99"/>
      <c r="F395" s="99"/>
      <c r="G395" s="99"/>
      <c r="H395" s="99"/>
      <c r="I395" s="99"/>
      <c r="J395" s="99"/>
      <c r="K395" s="99"/>
      <c r="L395" s="99"/>
      <c r="M395" s="99"/>
      <c r="N395" s="99"/>
      <c r="O395" s="99"/>
      <c r="P395" s="99"/>
      <c r="Q395" s="99"/>
      <c r="R395" s="99"/>
      <c r="S395" s="99"/>
      <c r="T395" s="99"/>
      <c r="U395" s="99"/>
      <c r="V395" s="99"/>
      <c r="W395" s="99"/>
      <c r="X395" s="99"/>
      <c r="Y395" s="99"/>
      <c r="Z395" s="99"/>
      <c r="AA395" s="99"/>
      <c r="AB395" s="99"/>
      <c r="AC395" s="99"/>
      <c r="AD395" s="99"/>
    </row>
    <row r="396" spans="1:30" ht="28.5" customHeight="1" x14ac:dyDescent="0.15">
      <c r="A396" s="99"/>
      <c r="B396" s="99"/>
      <c r="C396" s="99"/>
      <c r="D396" s="99"/>
      <c r="E396" s="99"/>
      <c r="F396" s="99"/>
      <c r="G396" s="99"/>
      <c r="H396" s="99"/>
      <c r="I396" s="99"/>
      <c r="J396" s="99"/>
      <c r="K396" s="99"/>
      <c r="L396" s="99"/>
      <c r="M396" s="99"/>
      <c r="N396" s="99"/>
      <c r="O396" s="99"/>
      <c r="P396" s="99"/>
      <c r="Q396" s="99"/>
      <c r="R396" s="99"/>
      <c r="S396" s="99"/>
      <c r="T396" s="99"/>
      <c r="U396" s="99"/>
      <c r="V396" s="99"/>
      <c r="W396" s="99"/>
      <c r="X396" s="99"/>
      <c r="Y396" s="99"/>
      <c r="Z396" s="99"/>
      <c r="AA396" s="99"/>
      <c r="AB396" s="99"/>
      <c r="AC396" s="99"/>
      <c r="AD396" s="99"/>
    </row>
    <row r="397" spans="1:30" ht="28.5" customHeight="1" x14ac:dyDescent="0.15">
      <c r="A397" s="99"/>
      <c r="B397" s="99"/>
      <c r="C397" s="99"/>
      <c r="D397" s="99"/>
      <c r="E397" s="99"/>
      <c r="F397" s="99"/>
      <c r="G397" s="99"/>
      <c r="H397" s="99"/>
      <c r="I397" s="99"/>
      <c r="J397" s="99"/>
      <c r="K397" s="99"/>
      <c r="L397" s="99"/>
      <c r="M397" s="99"/>
      <c r="N397" s="99"/>
      <c r="O397" s="99"/>
      <c r="P397" s="99"/>
      <c r="Q397" s="99"/>
      <c r="R397" s="99"/>
      <c r="S397" s="99"/>
      <c r="T397" s="99"/>
      <c r="U397" s="99"/>
      <c r="V397" s="99"/>
      <c r="W397" s="99"/>
      <c r="X397" s="99"/>
      <c r="Y397" s="99"/>
      <c r="Z397" s="99"/>
      <c r="AA397" s="99"/>
      <c r="AB397" s="99"/>
      <c r="AC397" s="99"/>
      <c r="AD397" s="99"/>
    </row>
    <row r="398" spans="1:30" ht="28.5" customHeight="1" x14ac:dyDescent="0.15">
      <c r="A398" s="99"/>
      <c r="B398" s="99"/>
      <c r="C398" s="99"/>
      <c r="D398" s="99"/>
      <c r="E398" s="99"/>
      <c r="F398" s="99"/>
      <c r="G398" s="99"/>
      <c r="H398" s="99"/>
      <c r="I398" s="99"/>
      <c r="J398" s="99"/>
      <c r="K398" s="99"/>
      <c r="L398" s="99"/>
      <c r="M398" s="99"/>
      <c r="N398" s="99"/>
      <c r="O398" s="99"/>
      <c r="P398" s="99"/>
      <c r="Q398" s="99"/>
      <c r="R398" s="99"/>
      <c r="S398" s="99"/>
      <c r="T398" s="99"/>
      <c r="U398" s="99"/>
      <c r="V398" s="99"/>
      <c r="W398" s="99"/>
      <c r="X398" s="99"/>
      <c r="Y398" s="99"/>
      <c r="Z398" s="99"/>
      <c r="AA398" s="99"/>
      <c r="AB398" s="99"/>
      <c r="AC398" s="99"/>
      <c r="AD398" s="99"/>
    </row>
    <row r="399" spans="1:30" ht="28.5" customHeight="1" x14ac:dyDescent="0.15">
      <c r="A399" s="99"/>
      <c r="B399" s="99"/>
      <c r="C399" s="99"/>
      <c r="D399" s="99"/>
      <c r="E399" s="99"/>
      <c r="F399" s="99"/>
      <c r="G399" s="99"/>
      <c r="H399" s="99"/>
      <c r="I399" s="99"/>
      <c r="J399" s="99"/>
      <c r="K399" s="99"/>
      <c r="L399" s="99"/>
      <c r="M399" s="99"/>
      <c r="N399" s="99"/>
      <c r="O399" s="99"/>
      <c r="P399" s="99"/>
      <c r="Q399" s="99"/>
      <c r="R399" s="99"/>
      <c r="S399" s="99"/>
      <c r="T399" s="99"/>
      <c r="U399" s="99"/>
      <c r="V399" s="99"/>
      <c r="W399" s="99"/>
      <c r="X399" s="99"/>
      <c r="Y399" s="99"/>
      <c r="Z399" s="99"/>
      <c r="AA399" s="99"/>
      <c r="AB399" s="99"/>
      <c r="AC399" s="99"/>
      <c r="AD399" s="99"/>
    </row>
    <row r="400" spans="1:30" ht="28.5" customHeight="1" x14ac:dyDescent="0.15">
      <c r="A400" s="99"/>
      <c r="B400" s="99"/>
      <c r="C400" s="99"/>
      <c r="D400" s="99"/>
      <c r="E400" s="99"/>
      <c r="F400" s="99"/>
      <c r="G400" s="99"/>
      <c r="H400" s="99"/>
      <c r="I400" s="99"/>
      <c r="J400" s="99"/>
      <c r="K400" s="99"/>
      <c r="L400" s="99"/>
      <c r="M400" s="99"/>
      <c r="N400" s="99"/>
      <c r="O400" s="99"/>
      <c r="P400" s="99"/>
      <c r="Q400" s="99"/>
      <c r="R400" s="99"/>
      <c r="S400" s="99"/>
      <c r="T400" s="99"/>
      <c r="U400" s="99"/>
      <c r="V400" s="99"/>
      <c r="W400" s="99"/>
      <c r="X400" s="99"/>
      <c r="Y400" s="99"/>
      <c r="Z400" s="99"/>
      <c r="AA400" s="99"/>
      <c r="AB400" s="99"/>
      <c r="AC400" s="99"/>
      <c r="AD400" s="99"/>
    </row>
    <row r="401" spans="1:30" ht="28.5" customHeight="1" x14ac:dyDescent="0.15">
      <c r="A401" s="99"/>
      <c r="B401" s="99"/>
      <c r="C401" s="99"/>
      <c r="D401" s="99"/>
      <c r="E401" s="99"/>
      <c r="F401" s="99"/>
      <c r="G401" s="99"/>
      <c r="H401" s="99"/>
      <c r="I401" s="99"/>
      <c r="J401" s="99"/>
      <c r="K401" s="99"/>
      <c r="L401" s="99"/>
      <c r="M401" s="99"/>
      <c r="N401" s="99"/>
      <c r="O401" s="99"/>
      <c r="P401" s="99"/>
      <c r="Q401" s="99"/>
      <c r="R401" s="99"/>
      <c r="S401" s="99"/>
      <c r="T401" s="99"/>
      <c r="U401" s="99"/>
      <c r="V401" s="99"/>
      <c r="W401" s="99"/>
      <c r="X401" s="99"/>
      <c r="Y401" s="99"/>
      <c r="Z401" s="99"/>
      <c r="AA401" s="99"/>
      <c r="AB401" s="99"/>
      <c r="AC401" s="99"/>
      <c r="AD401" s="99"/>
    </row>
    <row r="402" spans="1:30" ht="28.5" customHeight="1" x14ac:dyDescent="0.15">
      <c r="A402" s="99"/>
      <c r="B402" s="99"/>
      <c r="C402" s="99"/>
      <c r="D402" s="99"/>
      <c r="E402" s="99"/>
      <c r="F402" s="99"/>
      <c r="G402" s="99"/>
      <c r="H402" s="99"/>
      <c r="I402" s="99"/>
      <c r="J402" s="99"/>
      <c r="K402" s="99"/>
      <c r="L402" s="99"/>
      <c r="M402" s="99"/>
      <c r="N402" s="99"/>
      <c r="O402" s="99"/>
      <c r="P402" s="99"/>
      <c r="Q402" s="99"/>
      <c r="R402" s="99"/>
      <c r="S402" s="99"/>
      <c r="T402" s="99"/>
      <c r="U402" s="99"/>
      <c r="V402" s="99"/>
      <c r="W402" s="99"/>
      <c r="X402" s="99"/>
      <c r="Y402" s="99"/>
      <c r="Z402" s="99"/>
      <c r="AA402" s="99"/>
      <c r="AB402" s="99"/>
      <c r="AC402" s="99"/>
      <c r="AD402" s="99"/>
    </row>
    <row r="403" spans="1:30" ht="28.5" customHeight="1" x14ac:dyDescent="0.15">
      <c r="A403" s="99"/>
      <c r="B403" s="99"/>
      <c r="C403" s="99"/>
      <c r="D403" s="99"/>
      <c r="E403" s="99"/>
      <c r="F403" s="99"/>
      <c r="G403" s="99"/>
      <c r="H403" s="99"/>
      <c r="I403" s="99"/>
      <c r="J403" s="99"/>
      <c r="K403" s="99"/>
      <c r="L403" s="99"/>
      <c r="M403" s="99"/>
      <c r="N403" s="99"/>
      <c r="O403" s="99"/>
      <c r="P403" s="99"/>
      <c r="Q403" s="99"/>
      <c r="R403" s="99"/>
      <c r="S403" s="99"/>
      <c r="T403" s="99"/>
      <c r="U403" s="99"/>
      <c r="V403" s="99"/>
      <c r="W403" s="99"/>
      <c r="X403" s="99"/>
      <c r="Y403" s="99"/>
      <c r="Z403" s="99"/>
      <c r="AA403" s="99"/>
      <c r="AB403" s="99"/>
      <c r="AC403" s="99"/>
      <c r="AD403" s="99"/>
    </row>
    <row r="404" spans="1:30" ht="28.5" customHeight="1" x14ac:dyDescent="0.15">
      <c r="A404" s="99"/>
      <c r="B404" s="99"/>
      <c r="C404" s="99"/>
      <c r="D404" s="99"/>
      <c r="E404" s="99"/>
      <c r="F404" s="99"/>
      <c r="G404" s="99"/>
      <c r="H404" s="99"/>
      <c r="I404" s="99"/>
      <c r="J404" s="99"/>
      <c r="K404" s="99"/>
      <c r="L404" s="99"/>
      <c r="M404" s="99"/>
      <c r="N404" s="99"/>
      <c r="O404" s="99"/>
      <c r="P404" s="99"/>
      <c r="Q404" s="99"/>
      <c r="R404" s="99"/>
      <c r="S404" s="99"/>
      <c r="T404" s="99"/>
      <c r="U404" s="99"/>
      <c r="V404" s="99"/>
      <c r="W404" s="99"/>
      <c r="X404" s="99"/>
      <c r="Y404" s="99"/>
      <c r="Z404" s="99"/>
      <c r="AA404" s="99"/>
      <c r="AB404" s="99"/>
      <c r="AC404" s="99"/>
      <c r="AD404" s="99"/>
    </row>
    <row r="405" spans="1:30" ht="28.5" customHeight="1" x14ac:dyDescent="0.15">
      <c r="A405" s="99"/>
      <c r="B405" s="99"/>
      <c r="C405" s="99"/>
      <c r="D405" s="99"/>
      <c r="E405" s="99"/>
      <c r="F405" s="99"/>
      <c r="G405" s="99"/>
      <c r="H405" s="99"/>
      <c r="I405" s="99"/>
      <c r="J405" s="99"/>
      <c r="K405" s="99"/>
      <c r="L405" s="99"/>
      <c r="M405" s="99"/>
      <c r="N405" s="99"/>
      <c r="O405" s="99"/>
      <c r="P405" s="99"/>
      <c r="Q405" s="99"/>
      <c r="R405" s="99"/>
      <c r="S405" s="99"/>
      <c r="T405" s="99"/>
      <c r="U405" s="99"/>
      <c r="V405" s="99"/>
      <c r="W405" s="99"/>
      <c r="X405" s="99"/>
      <c r="Y405" s="99"/>
      <c r="Z405" s="99"/>
      <c r="AA405" s="99"/>
      <c r="AB405" s="99"/>
      <c r="AC405" s="99"/>
      <c r="AD405" s="99"/>
    </row>
    <row r="406" spans="1:30" ht="28.5" customHeight="1" x14ac:dyDescent="0.15">
      <c r="A406" s="99"/>
      <c r="B406" s="99"/>
      <c r="C406" s="99"/>
      <c r="D406" s="99"/>
      <c r="E406" s="99"/>
      <c r="F406" s="99"/>
      <c r="G406" s="99"/>
      <c r="H406" s="99"/>
      <c r="I406" s="99"/>
      <c r="J406" s="99"/>
      <c r="K406" s="99"/>
      <c r="L406" s="99"/>
      <c r="M406" s="99"/>
      <c r="N406" s="99"/>
      <c r="O406" s="99"/>
      <c r="P406" s="99"/>
      <c r="Q406" s="99"/>
      <c r="R406" s="99"/>
      <c r="S406" s="99"/>
      <c r="T406" s="99"/>
      <c r="U406" s="99"/>
      <c r="V406" s="99"/>
      <c r="W406" s="99"/>
      <c r="X406" s="99"/>
      <c r="Y406" s="99"/>
      <c r="Z406" s="99"/>
      <c r="AA406" s="99"/>
      <c r="AB406" s="99"/>
      <c r="AC406" s="99"/>
      <c r="AD406" s="99"/>
    </row>
    <row r="407" spans="1:30" ht="28.5" customHeight="1" x14ac:dyDescent="0.15">
      <c r="A407" s="99"/>
      <c r="B407" s="99"/>
      <c r="C407" s="99"/>
      <c r="D407" s="99"/>
      <c r="E407" s="99"/>
      <c r="F407" s="99"/>
      <c r="G407" s="99"/>
      <c r="H407" s="99"/>
      <c r="I407" s="99"/>
      <c r="J407" s="99"/>
      <c r="K407" s="99"/>
      <c r="L407" s="99"/>
      <c r="M407" s="99"/>
      <c r="N407" s="99"/>
      <c r="O407" s="99"/>
      <c r="P407" s="99"/>
      <c r="Q407" s="99"/>
      <c r="R407" s="99"/>
      <c r="S407" s="99"/>
      <c r="T407" s="99"/>
      <c r="U407" s="99"/>
      <c r="V407" s="99"/>
      <c r="W407" s="99"/>
      <c r="X407" s="99"/>
      <c r="Y407" s="99"/>
      <c r="Z407" s="99"/>
      <c r="AA407" s="99"/>
      <c r="AB407" s="99"/>
      <c r="AC407" s="99"/>
      <c r="AD407" s="99"/>
    </row>
    <row r="408" spans="1:30" ht="28.5" customHeight="1" x14ac:dyDescent="0.15">
      <c r="A408" s="99"/>
      <c r="B408" s="99"/>
      <c r="C408" s="99"/>
      <c r="D408" s="99"/>
      <c r="E408" s="99"/>
      <c r="F408" s="99"/>
      <c r="G408" s="99"/>
      <c r="H408" s="99"/>
      <c r="I408" s="99"/>
      <c r="J408" s="99"/>
      <c r="K408" s="99"/>
      <c r="L408" s="99"/>
      <c r="M408" s="99"/>
      <c r="N408" s="99"/>
      <c r="O408" s="99"/>
      <c r="P408" s="99"/>
      <c r="Q408" s="99"/>
      <c r="R408" s="99"/>
      <c r="S408" s="99"/>
      <c r="T408" s="99"/>
      <c r="U408" s="99"/>
      <c r="V408" s="99"/>
      <c r="W408" s="99"/>
      <c r="X408" s="99"/>
      <c r="Y408" s="99"/>
      <c r="Z408" s="99"/>
      <c r="AA408" s="99"/>
      <c r="AB408" s="99"/>
      <c r="AC408" s="99"/>
      <c r="AD408" s="99"/>
    </row>
    <row r="409" spans="1:30" ht="28.5" customHeight="1" x14ac:dyDescent="0.15">
      <c r="A409" s="99"/>
      <c r="B409" s="99"/>
      <c r="C409" s="99"/>
      <c r="D409" s="99"/>
      <c r="E409" s="99"/>
      <c r="F409" s="99"/>
      <c r="G409" s="99"/>
      <c r="H409" s="99"/>
      <c r="I409" s="99"/>
      <c r="J409" s="99"/>
      <c r="K409" s="99"/>
      <c r="L409" s="99"/>
      <c r="M409" s="99"/>
      <c r="N409" s="99"/>
      <c r="O409" s="99"/>
      <c r="P409" s="99"/>
      <c r="Q409" s="99"/>
      <c r="R409" s="99"/>
      <c r="S409" s="99"/>
      <c r="T409" s="99"/>
      <c r="U409" s="99"/>
      <c r="V409" s="99"/>
      <c r="W409" s="99"/>
      <c r="X409" s="99"/>
      <c r="Y409" s="99"/>
      <c r="Z409" s="99"/>
      <c r="AA409" s="99"/>
      <c r="AB409" s="99"/>
      <c r="AC409" s="99"/>
      <c r="AD409" s="99"/>
    </row>
    <row r="410" spans="1:30" ht="28.5" customHeight="1" x14ac:dyDescent="0.15">
      <c r="A410" s="99"/>
      <c r="B410" s="99"/>
      <c r="C410" s="99"/>
      <c r="D410" s="99"/>
      <c r="E410" s="99"/>
      <c r="F410" s="99"/>
      <c r="G410" s="99"/>
      <c r="H410" s="99"/>
      <c r="I410" s="99"/>
      <c r="J410" s="99"/>
      <c r="K410" s="99"/>
      <c r="L410" s="99"/>
      <c r="M410" s="99"/>
      <c r="N410" s="99"/>
      <c r="O410" s="99"/>
      <c r="P410" s="99"/>
      <c r="Q410" s="99"/>
      <c r="R410" s="99"/>
      <c r="S410" s="99"/>
      <c r="T410" s="99"/>
      <c r="U410" s="99"/>
      <c r="V410" s="99"/>
      <c r="W410" s="99"/>
      <c r="X410" s="99"/>
      <c r="Y410" s="99"/>
      <c r="Z410" s="99"/>
      <c r="AA410" s="99"/>
      <c r="AB410" s="99"/>
      <c r="AC410" s="99"/>
      <c r="AD410" s="99"/>
    </row>
    <row r="411" spans="1:30" ht="28.5" customHeight="1" x14ac:dyDescent="0.15">
      <c r="A411" s="99"/>
      <c r="B411" s="99"/>
      <c r="C411" s="99"/>
      <c r="D411" s="99"/>
      <c r="E411" s="99"/>
      <c r="F411" s="99"/>
      <c r="G411" s="99"/>
      <c r="H411" s="99"/>
      <c r="I411" s="99"/>
      <c r="J411" s="99"/>
      <c r="K411" s="99"/>
      <c r="L411" s="99"/>
      <c r="M411" s="99"/>
      <c r="N411" s="99"/>
      <c r="O411" s="99"/>
      <c r="P411" s="99"/>
      <c r="Q411" s="99"/>
      <c r="R411" s="99"/>
      <c r="S411" s="99"/>
      <c r="T411" s="99"/>
      <c r="U411" s="99"/>
      <c r="V411" s="99"/>
      <c r="W411" s="99"/>
      <c r="X411" s="99"/>
      <c r="Y411" s="99"/>
      <c r="Z411" s="99"/>
      <c r="AA411" s="99"/>
      <c r="AB411" s="99"/>
      <c r="AC411" s="99"/>
      <c r="AD411" s="99"/>
    </row>
    <row r="412" spans="1:30" ht="28.5" customHeight="1" x14ac:dyDescent="0.15">
      <c r="A412" s="99"/>
      <c r="B412" s="99"/>
      <c r="C412" s="99"/>
      <c r="D412" s="99"/>
      <c r="E412" s="99"/>
      <c r="F412" s="99"/>
      <c r="G412" s="99"/>
      <c r="H412" s="99"/>
      <c r="I412" s="99"/>
      <c r="J412" s="99"/>
      <c r="K412" s="99"/>
      <c r="L412" s="99"/>
      <c r="M412" s="99"/>
      <c r="N412" s="99"/>
      <c r="O412" s="99"/>
      <c r="P412" s="99"/>
      <c r="Q412" s="99"/>
      <c r="R412" s="99"/>
      <c r="S412" s="99"/>
      <c r="T412" s="99"/>
      <c r="U412" s="99"/>
      <c r="V412" s="99"/>
      <c r="W412" s="99"/>
      <c r="X412" s="99"/>
      <c r="Y412" s="99"/>
      <c r="Z412" s="99"/>
      <c r="AA412" s="99"/>
      <c r="AB412" s="99"/>
      <c r="AC412" s="99"/>
      <c r="AD412" s="99"/>
    </row>
    <row r="413" spans="1:30" ht="28.5" customHeight="1" x14ac:dyDescent="0.15">
      <c r="A413" s="99"/>
      <c r="B413" s="99"/>
      <c r="C413" s="99"/>
      <c r="D413" s="99"/>
      <c r="E413" s="99"/>
      <c r="F413" s="99"/>
      <c r="G413" s="99"/>
      <c r="H413" s="99"/>
      <c r="I413" s="99"/>
      <c r="J413" s="99"/>
      <c r="K413" s="99"/>
      <c r="L413" s="99"/>
      <c r="M413" s="99"/>
      <c r="N413" s="99"/>
      <c r="O413" s="99"/>
      <c r="P413" s="99"/>
      <c r="Q413" s="99"/>
      <c r="R413" s="99"/>
      <c r="S413" s="99"/>
      <c r="T413" s="99"/>
      <c r="U413" s="99"/>
      <c r="V413" s="99"/>
      <c r="W413" s="99"/>
      <c r="X413" s="99"/>
      <c r="Y413" s="99"/>
      <c r="Z413" s="99"/>
      <c r="AA413" s="99"/>
      <c r="AB413" s="99"/>
      <c r="AC413" s="99"/>
      <c r="AD413" s="99"/>
    </row>
    <row r="414" spans="1:30" ht="28.5" customHeight="1" x14ac:dyDescent="0.15">
      <c r="A414" s="99"/>
      <c r="B414" s="99"/>
      <c r="C414" s="99"/>
      <c r="D414" s="99"/>
      <c r="E414" s="99"/>
      <c r="F414" s="99"/>
      <c r="G414" s="99"/>
      <c r="H414" s="99"/>
      <c r="I414" s="99"/>
      <c r="J414" s="99"/>
      <c r="K414" s="99"/>
      <c r="L414" s="99"/>
      <c r="M414" s="99"/>
      <c r="N414" s="99"/>
      <c r="O414" s="99"/>
      <c r="P414" s="99"/>
      <c r="Q414" s="99"/>
      <c r="R414" s="99"/>
      <c r="S414" s="99"/>
      <c r="T414" s="99"/>
      <c r="U414" s="99"/>
      <c r="V414" s="99"/>
      <c r="W414" s="99"/>
      <c r="X414" s="99"/>
      <c r="Y414" s="99"/>
      <c r="Z414" s="99"/>
      <c r="AA414" s="99"/>
      <c r="AB414" s="99"/>
      <c r="AC414" s="99"/>
      <c r="AD414" s="99"/>
    </row>
    <row r="415" spans="1:30" ht="28.5" customHeight="1" x14ac:dyDescent="0.15">
      <c r="A415" s="99"/>
      <c r="B415" s="99"/>
      <c r="C415" s="99"/>
      <c r="D415" s="99"/>
      <c r="E415" s="99"/>
      <c r="F415" s="99"/>
      <c r="G415" s="99"/>
      <c r="H415" s="99"/>
      <c r="I415" s="99"/>
      <c r="J415" s="99"/>
      <c r="K415" s="99"/>
      <c r="L415" s="99"/>
      <c r="M415" s="99"/>
      <c r="N415" s="99"/>
      <c r="O415" s="99"/>
      <c r="P415" s="99"/>
      <c r="Q415" s="99"/>
      <c r="R415" s="99"/>
      <c r="S415" s="99"/>
      <c r="T415" s="99"/>
      <c r="U415" s="99"/>
      <c r="V415" s="99"/>
      <c r="W415" s="99"/>
      <c r="X415" s="99"/>
      <c r="Y415" s="99"/>
      <c r="Z415" s="99"/>
      <c r="AA415" s="99"/>
      <c r="AB415" s="99"/>
      <c r="AC415" s="99"/>
      <c r="AD415" s="99"/>
    </row>
    <row r="416" spans="1:30" ht="28.5" customHeight="1" x14ac:dyDescent="0.15">
      <c r="A416" s="99"/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99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</row>
    <row r="417" spans="1:30" ht="28.5" customHeight="1" x14ac:dyDescent="0.15">
      <c r="A417" s="99"/>
      <c r="B417" s="99"/>
      <c r="C417" s="99"/>
      <c r="D417" s="99"/>
      <c r="E417" s="99"/>
      <c r="F417" s="99"/>
      <c r="G417" s="99"/>
      <c r="H417" s="99"/>
      <c r="I417" s="99"/>
      <c r="J417" s="99"/>
      <c r="K417" s="99"/>
      <c r="L417" s="99"/>
      <c r="M417" s="99"/>
      <c r="N417" s="99"/>
      <c r="O417" s="99"/>
      <c r="P417" s="99"/>
      <c r="Q417" s="99"/>
      <c r="R417" s="99"/>
      <c r="S417" s="99"/>
      <c r="T417" s="99"/>
      <c r="U417" s="99"/>
      <c r="V417" s="99"/>
      <c r="W417" s="99"/>
      <c r="X417" s="99"/>
      <c r="Y417" s="99"/>
      <c r="Z417" s="99"/>
      <c r="AA417" s="99"/>
      <c r="AB417" s="99"/>
      <c r="AC417" s="99"/>
      <c r="AD417" s="99"/>
    </row>
    <row r="418" spans="1:30" ht="28.5" customHeight="1" x14ac:dyDescent="0.15">
      <c r="A418" s="99"/>
      <c r="B418" s="99"/>
      <c r="C418" s="99"/>
      <c r="D418" s="99"/>
      <c r="E418" s="99"/>
      <c r="F418" s="99"/>
      <c r="G418" s="99"/>
      <c r="H418" s="99"/>
      <c r="I418" s="99"/>
      <c r="J418" s="99"/>
      <c r="K418" s="99"/>
      <c r="L418" s="99"/>
      <c r="M418" s="99"/>
      <c r="N418" s="99"/>
      <c r="O418" s="99"/>
      <c r="P418" s="99"/>
      <c r="Q418" s="99"/>
      <c r="R418" s="99"/>
      <c r="S418" s="99"/>
      <c r="T418" s="99"/>
      <c r="U418" s="99"/>
      <c r="V418" s="99"/>
      <c r="W418" s="99"/>
      <c r="X418" s="99"/>
      <c r="Y418" s="99"/>
      <c r="Z418" s="99"/>
      <c r="AA418" s="99"/>
      <c r="AB418" s="99"/>
      <c r="AC418" s="99"/>
      <c r="AD418" s="99"/>
    </row>
    <row r="419" spans="1:30" ht="28.5" customHeight="1" x14ac:dyDescent="0.15">
      <c r="A419" s="99"/>
      <c r="B419" s="99"/>
      <c r="C419" s="99"/>
      <c r="D419" s="99"/>
      <c r="E419" s="99"/>
      <c r="F419" s="99"/>
      <c r="G419" s="99"/>
      <c r="H419" s="99"/>
      <c r="I419" s="99"/>
      <c r="J419" s="99"/>
      <c r="K419" s="99"/>
      <c r="L419" s="99"/>
      <c r="M419" s="99"/>
      <c r="N419" s="99"/>
      <c r="O419" s="99"/>
      <c r="P419" s="99"/>
      <c r="Q419" s="99"/>
      <c r="R419" s="99"/>
      <c r="S419" s="99"/>
      <c r="T419" s="99"/>
      <c r="U419" s="99"/>
      <c r="V419" s="99"/>
      <c r="W419" s="99"/>
      <c r="X419" s="99"/>
      <c r="Y419" s="99"/>
      <c r="Z419" s="99"/>
      <c r="AA419" s="99"/>
      <c r="AB419" s="99"/>
      <c r="AC419" s="99"/>
      <c r="AD419" s="99"/>
    </row>
    <row r="420" spans="1:30" ht="28.5" customHeight="1" x14ac:dyDescent="0.15">
      <c r="A420" s="99"/>
      <c r="B420" s="99"/>
      <c r="C420" s="99"/>
      <c r="D420" s="99"/>
      <c r="E420" s="99"/>
      <c r="F420" s="99"/>
      <c r="G420" s="99"/>
      <c r="H420" s="99"/>
      <c r="I420" s="99"/>
      <c r="J420" s="99"/>
      <c r="K420" s="99"/>
      <c r="L420" s="99"/>
      <c r="M420" s="99"/>
      <c r="N420" s="99"/>
      <c r="O420" s="99"/>
      <c r="P420" s="99"/>
      <c r="Q420" s="99"/>
      <c r="R420" s="99"/>
      <c r="S420" s="99"/>
      <c r="T420" s="99"/>
      <c r="U420" s="99"/>
      <c r="V420" s="99"/>
      <c r="W420" s="99"/>
      <c r="X420" s="99"/>
      <c r="Y420" s="99"/>
      <c r="Z420" s="99"/>
      <c r="AA420" s="99"/>
      <c r="AB420" s="99"/>
      <c r="AC420" s="99"/>
      <c r="AD420" s="99"/>
    </row>
    <row r="421" spans="1:30" ht="28.5" customHeight="1" x14ac:dyDescent="0.15">
      <c r="A421" s="99"/>
      <c r="B421" s="99"/>
      <c r="C421" s="99"/>
      <c r="D421" s="99"/>
      <c r="E421" s="99"/>
      <c r="F421" s="99"/>
      <c r="G421" s="99"/>
      <c r="H421" s="99"/>
      <c r="I421" s="99"/>
      <c r="J421" s="99"/>
      <c r="K421" s="99"/>
      <c r="L421" s="99"/>
      <c r="M421" s="99"/>
      <c r="N421" s="99"/>
      <c r="O421" s="99"/>
      <c r="P421" s="99"/>
      <c r="Q421" s="99"/>
      <c r="R421" s="99"/>
      <c r="S421" s="99"/>
      <c r="T421" s="99"/>
      <c r="U421" s="99"/>
      <c r="V421" s="99"/>
      <c r="W421" s="99"/>
      <c r="X421" s="99"/>
      <c r="Y421" s="99"/>
      <c r="Z421" s="99"/>
      <c r="AA421" s="99"/>
      <c r="AB421" s="99"/>
      <c r="AC421" s="99"/>
      <c r="AD421" s="99"/>
    </row>
    <row r="422" spans="1:30" ht="28.5" customHeight="1" x14ac:dyDescent="0.15">
      <c r="A422" s="99"/>
      <c r="B422" s="99"/>
      <c r="C422" s="99"/>
      <c r="D422" s="99"/>
      <c r="E422" s="99"/>
      <c r="F422" s="99"/>
      <c r="G422" s="99"/>
      <c r="H422" s="99"/>
      <c r="I422" s="99"/>
      <c r="J422" s="99"/>
      <c r="K422" s="99"/>
      <c r="L422" s="99"/>
      <c r="M422" s="99"/>
      <c r="N422" s="99"/>
      <c r="O422" s="99"/>
      <c r="P422" s="99"/>
      <c r="Q422" s="99"/>
      <c r="R422" s="99"/>
      <c r="S422" s="99"/>
      <c r="T422" s="99"/>
      <c r="U422" s="99"/>
      <c r="V422" s="99"/>
      <c r="W422" s="99"/>
      <c r="X422" s="99"/>
      <c r="Y422" s="99"/>
      <c r="Z422" s="99"/>
      <c r="AA422" s="99"/>
      <c r="AB422" s="99"/>
      <c r="AC422" s="99"/>
      <c r="AD422" s="99"/>
    </row>
    <row r="423" spans="1:30" ht="28.5" customHeight="1" x14ac:dyDescent="0.15">
      <c r="A423" s="99"/>
      <c r="B423" s="99"/>
      <c r="C423" s="99"/>
      <c r="D423" s="99"/>
      <c r="E423" s="99"/>
      <c r="F423" s="99"/>
      <c r="G423" s="99"/>
      <c r="H423" s="99"/>
      <c r="I423" s="99"/>
      <c r="J423" s="99"/>
      <c r="K423" s="99"/>
      <c r="L423" s="99"/>
      <c r="M423" s="99"/>
      <c r="N423" s="99"/>
      <c r="O423" s="99"/>
      <c r="P423" s="99"/>
      <c r="Q423" s="99"/>
      <c r="R423" s="99"/>
      <c r="S423" s="99"/>
      <c r="T423" s="99"/>
      <c r="U423" s="99"/>
      <c r="V423" s="99"/>
      <c r="W423" s="99"/>
      <c r="X423" s="99"/>
      <c r="Y423" s="99"/>
      <c r="Z423" s="99"/>
      <c r="AA423" s="99"/>
      <c r="AB423" s="99"/>
      <c r="AC423" s="99"/>
      <c r="AD423" s="99"/>
    </row>
    <row r="424" spans="1:30" ht="28.5" customHeight="1" x14ac:dyDescent="0.15">
      <c r="A424" s="99"/>
      <c r="B424" s="99"/>
      <c r="C424" s="99"/>
      <c r="D424" s="99"/>
      <c r="E424" s="99"/>
      <c r="F424" s="99"/>
      <c r="G424" s="99"/>
      <c r="H424" s="99"/>
      <c r="I424" s="99"/>
      <c r="J424" s="99"/>
      <c r="K424" s="99"/>
      <c r="L424" s="99"/>
      <c r="M424" s="99"/>
      <c r="N424" s="99"/>
      <c r="O424" s="99"/>
      <c r="P424" s="99"/>
      <c r="Q424" s="99"/>
      <c r="R424" s="99"/>
      <c r="S424" s="99"/>
      <c r="T424" s="99"/>
      <c r="U424" s="99"/>
      <c r="V424" s="99"/>
      <c r="W424" s="99"/>
      <c r="X424" s="99"/>
      <c r="Y424" s="99"/>
      <c r="Z424" s="99"/>
      <c r="AA424" s="99"/>
      <c r="AB424" s="99"/>
      <c r="AC424" s="99"/>
      <c r="AD424" s="99"/>
    </row>
    <row r="425" spans="1:30" ht="28.5" customHeight="1" x14ac:dyDescent="0.15">
      <c r="A425" s="99"/>
      <c r="B425" s="99"/>
      <c r="C425" s="99"/>
      <c r="D425" s="99"/>
      <c r="E425" s="99"/>
      <c r="F425" s="99"/>
      <c r="G425" s="99"/>
      <c r="H425" s="99"/>
      <c r="I425" s="99"/>
      <c r="J425" s="99"/>
      <c r="K425" s="99"/>
      <c r="L425" s="99"/>
      <c r="M425" s="99"/>
      <c r="N425" s="99"/>
      <c r="O425" s="99"/>
      <c r="P425" s="99"/>
      <c r="Q425" s="99"/>
      <c r="R425" s="99"/>
      <c r="S425" s="99"/>
      <c r="T425" s="99"/>
      <c r="U425" s="99"/>
      <c r="V425" s="99"/>
      <c r="W425" s="99"/>
      <c r="X425" s="99"/>
      <c r="Y425" s="99"/>
      <c r="Z425" s="99"/>
      <c r="AA425" s="99"/>
      <c r="AB425" s="99"/>
      <c r="AC425" s="99"/>
      <c r="AD425" s="99"/>
    </row>
    <row r="426" spans="1:30" ht="28.5" customHeight="1" x14ac:dyDescent="0.15">
      <c r="A426" s="99"/>
      <c r="B426" s="99"/>
      <c r="C426" s="99"/>
      <c r="D426" s="99"/>
      <c r="E426" s="99"/>
      <c r="F426" s="99"/>
      <c r="G426" s="99"/>
      <c r="H426" s="99"/>
      <c r="I426" s="99"/>
      <c r="J426" s="99"/>
      <c r="K426" s="99"/>
      <c r="L426" s="99"/>
      <c r="M426" s="99"/>
      <c r="N426" s="99"/>
      <c r="O426" s="99"/>
      <c r="P426" s="99"/>
      <c r="Q426" s="99"/>
      <c r="R426" s="99"/>
      <c r="S426" s="99"/>
      <c r="T426" s="99"/>
      <c r="U426" s="99"/>
      <c r="V426" s="99"/>
      <c r="W426" s="99"/>
      <c r="X426" s="99"/>
      <c r="Y426" s="99"/>
      <c r="Z426" s="99"/>
      <c r="AA426" s="99"/>
      <c r="AB426" s="99"/>
      <c r="AC426" s="99"/>
      <c r="AD426" s="99"/>
    </row>
    <row r="427" spans="1:30" ht="28.5" customHeight="1" x14ac:dyDescent="0.15">
      <c r="A427" s="99"/>
      <c r="B427" s="99"/>
      <c r="C427" s="99"/>
      <c r="D427" s="99"/>
      <c r="E427" s="99"/>
      <c r="F427" s="99"/>
      <c r="G427" s="99"/>
      <c r="H427" s="99"/>
      <c r="I427" s="99"/>
      <c r="J427" s="99"/>
      <c r="K427" s="99"/>
      <c r="L427" s="99"/>
      <c r="M427" s="99"/>
      <c r="N427" s="99"/>
      <c r="O427" s="99"/>
      <c r="P427" s="99"/>
      <c r="Q427" s="99"/>
      <c r="R427" s="99"/>
      <c r="S427" s="99"/>
      <c r="T427" s="99"/>
      <c r="U427" s="99"/>
      <c r="V427" s="99"/>
      <c r="W427" s="99"/>
      <c r="X427" s="99"/>
      <c r="Y427" s="99"/>
      <c r="Z427" s="99"/>
      <c r="AA427" s="99"/>
      <c r="AB427" s="99"/>
      <c r="AC427" s="99"/>
      <c r="AD427" s="99"/>
    </row>
    <row r="428" spans="1:30" ht="28.5" customHeight="1" x14ac:dyDescent="0.15">
      <c r="A428" s="99"/>
      <c r="B428" s="99"/>
      <c r="C428" s="99"/>
      <c r="D428" s="99"/>
      <c r="E428" s="99"/>
      <c r="F428" s="99"/>
      <c r="G428" s="99"/>
      <c r="H428" s="99"/>
      <c r="I428" s="99"/>
      <c r="J428" s="99"/>
      <c r="K428" s="99"/>
      <c r="L428" s="99"/>
      <c r="M428" s="99"/>
      <c r="N428" s="99"/>
      <c r="O428" s="99"/>
      <c r="P428" s="99"/>
      <c r="Q428" s="99"/>
      <c r="R428" s="99"/>
      <c r="S428" s="99"/>
      <c r="T428" s="99"/>
      <c r="U428" s="99"/>
      <c r="V428" s="99"/>
      <c r="W428" s="99"/>
      <c r="X428" s="99"/>
      <c r="Y428" s="99"/>
      <c r="Z428" s="99"/>
      <c r="AA428" s="99"/>
      <c r="AB428" s="99"/>
      <c r="AC428" s="99"/>
      <c r="AD428" s="99"/>
    </row>
    <row r="429" spans="1:30" ht="28.5" customHeight="1" x14ac:dyDescent="0.15">
      <c r="A429" s="99"/>
      <c r="B429" s="99"/>
      <c r="C429" s="99"/>
      <c r="D429" s="99"/>
      <c r="E429" s="99"/>
      <c r="F429" s="99"/>
      <c r="G429" s="99"/>
      <c r="H429" s="99"/>
      <c r="I429" s="99"/>
      <c r="J429" s="99"/>
      <c r="K429" s="99"/>
      <c r="L429" s="99"/>
      <c r="M429" s="99"/>
      <c r="N429" s="99"/>
      <c r="O429" s="99"/>
      <c r="P429" s="99"/>
      <c r="Q429" s="99"/>
      <c r="R429" s="99"/>
      <c r="S429" s="99"/>
      <c r="T429" s="99"/>
      <c r="U429" s="99"/>
      <c r="V429" s="99"/>
      <c r="W429" s="99"/>
      <c r="X429" s="99"/>
      <c r="Y429" s="99"/>
      <c r="Z429" s="99"/>
      <c r="AA429" s="99"/>
      <c r="AB429" s="99"/>
      <c r="AC429" s="99"/>
      <c r="AD429" s="99"/>
    </row>
    <row r="430" spans="1:30" ht="28.5" customHeight="1" x14ac:dyDescent="0.15">
      <c r="A430" s="99"/>
      <c r="B430" s="99"/>
      <c r="C430" s="99"/>
      <c r="D430" s="99"/>
      <c r="E430" s="99"/>
      <c r="F430" s="99"/>
      <c r="G430" s="99"/>
      <c r="H430" s="99"/>
      <c r="I430" s="99"/>
      <c r="J430" s="99"/>
      <c r="K430" s="99"/>
      <c r="L430" s="99"/>
      <c r="M430" s="99"/>
      <c r="N430" s="99"/>
      <c r="O430" s="99"/>
      <c r="P430" s="99"/>
      <c r="Q430" s="99"/>
      <c r="R430" s="99"/>
      <c r="S430" s="99"/>
      <c r="T430" s="99"/>
      <c r="U430" s="99"/>
      <c r="V430" s="99"/>
      <c r="W430" s="99"/>
      <c r="X430" s="99"/>
      <c r="Y430" s="99"/>
      <c r="Z430" s="99"/>
      <c r="AA430" s="99"/>
      <c r="AB430" s="99"/>
      <c r="AC430" s="99"/>
      <c r="AD430" s="99"/>
    </row>
    <row r="431" spans="1:30" ht="28.5" customHeight="1" x14ac:dyDescent="0.15">
      <c r="A431" s="99"/>
      <c r="B431" s="99"/>
      <c r="C431" s="99"/>
      <c r="D431" s="99"/>
      <c r="E431" s="99"/>
      <c r="F431" s="99"/>
      <c r="G431" s="99"/>
      <c r="H431" s="99"/>
      <c r="I431" s="99"/>
      <c r="J431" s="99"/>
      <c r="K431" s="99"/>
      <c r="L431" s="99"/>
      <c r="M431" s="99"/>
      <c r="N431" s="99"/>
      <c r="O431" s="99"/>
      <c r="P431" s="99"/>
      <c r="Q431" s="99"/>
      <c r="R431" s="99"/>
      <c r="S431" s="99"/>
      <c r="T431" s="99"/>
      <c r="U431" s="99"/>
      <c r="V431" s="99"/>
      <c r="W431" s="99"/>
      <c r="X431" s="99"/>
      <c r="Y431" s="99"/>
      <c r="Z431" s="99"/>
      <c r="AA431" s="99"/>
      <c r="AB431" s="99"/>
      <c r="AC431" s="99"/>
      <c r="AD431" s="99"/>
    </row>
    <row r="432" spans="1:30" ht="28.5" customHeight="1" x14ac:dyDescent="0.15">
      <c r="A432" s="99"/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99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</row>
    <row r="433" spans="1:30" ht="28.5" customHeight="1" x14ac:dyDescent="0.15">
      <c r="A433" s="99"/>
      <c r="B433" s="99"/>
      <c r="C433" s="99"/>
      <c r="D433" s="99"/>
      <c r="E433" s="99"/>
      <c r="F433" s="99"/>
      <c r="G433" s="99"/>
      <c r="H433" s="99"/>
      <c r="I433" s="99"/>
      <c r="J433" s="99"/>
      <c r="K433" s="99"/>
      <c r="L433" s="99"/>
      <c r="M433" s="99"/>
      <c r="N433" s="99"/>
      <c r="O433" s="99"/>
      <c r="P433" s="99"/>
      <c r="Q433" s="99"/>
      <c r="R433" s="99"/>
      <c r="S433" s="99"/>
      <c r="T433" s="99"/>
      <c r="U433" s="99"/>
      <c r="V433" s="99"/>
      <c r="W433" s="99"/>
      <c r="X433" s="99"/>
      <c r="Y433" s="99"/>
      <c r="Z433" s="99"/>
      <c r="AA433" s="99"/>
      <c r="AB433" s="99"/>
      <c r="AC433" s="99"/>
      <c r="AD433" s="99"/>
    </row>
    <row r="434" spans="1:30" ht="28.5" customHeight="1" x14ac:dyDescent="0.15">
      <c r="A434" s="99"/>
      <c r="B434" s="99"/>
      <c r="C434" s="99"/>
      <c r="D434" s="99"/>
      <c r="E434" s="99"/>
      <c r="F434" s="99"/>
      <c r="G434" s="99"/>
      <c r="H434" s="99"/>
      <c r="I434" s="99"/>
      <c r="J434" s="99"/>
      <c r="K434" s="99"/>
      <c r="L434" s="99"/>
      <c r="M434" s="99"/>
      <c r="N434" s="99"/>
      <c r="O434" s="99"/>
      <c r="P434" s="99"/>
      <c r="Q434" s="99"/>
      <c r="R434" s="99"/>
      <c r="S434" s="99"/>
      <c r="T434" s="99"/>
      <c r="U434" s="99"/>
      <c r="V434" s="99"/>
      <c r="W434" s="99"/>
      <c r="X434" s="99"/>
      <c r="Y434" s="99"/>
      <c r="Z434" s="99"/>
      <c r="AA434" s="99"/>
      <c r="AB434" s="99"/>
      <c r="AC434" s="99"/>
      <c r="AD434" s="99"/>
    </row>
    <row r="435" spans="1:30" ht="28.5" customHeight="1" x14ac:dyDescent="0.15">
      <c r="A435" s="99"/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99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</row>
    <row r="436" spans="1:30" ht="28.5" customHeight="1" x14ac:dyDescent="0.15">
      <c r="A436" s="99"/>
      <c r="B436" s="99"/>
      <c r="C436" s="99"/>
      <c r="D436" s="99"/>
      <c r="E436" s="99"/>
      <c r="F436" s="99"/>
      <c r="G436" s="99"/>
      <c r="H436" s="99"/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99"/>
      <c r="T436" s="99"/>
      <c r="U436" s="99"/>
      <c r="V436" s="99"/>
      <c r="W436" s="99"/>
      <c r="X436" s="99"/>
      <c r="Y436" s="99"/>
      <c r="Z436" s="99"/>
      <c r="AA436" s="99"/>
      <c r="AB436" s="99"/>
      <c r="AC436" s="99"/>
      <c r="AD436" s="99"/>
    </row>
    <row r="437" spans="1:30" ht="28.5" customHeight="1" x14ac:dyDescent="0.15">
      <c r="A437" s="99"/>
      <c r="B437" s="99"/>
      <c r="C437" s="99"/>
      <c r="D437" s="99"/>
      <c r="E437" s="99"/>
      <c r="F437" s="99"/>
      <c r="G437" s="99"/>
      <c r="H437" s="99"/>
      <c r="I437" s="99"/>
      <c r="J437" s="99"/>
      <c r="K437" s="99"/>
      <c r="L437" s="99"/>
      <c r="M437" s="99"/>
      <c r="N437" s="99"/>
      <c r="O437" s="99"/>
      <c r="P437" s="99"/>
      <c r="Q437" s="99"/>
      <c r="R437" s="99"/>
      <c r="S437" s="99"/>
      <c r="T437" s="99"/>
      <c r="U437" s="99"/>
      <c r="V437" s="99"/>
      <c r="W437" s="99"/>
      <c r="X437" s="99"/>
      <c r="Y437" s="99"/>
      <c r="Z437" s="99"/>
      <c r="AA437" s="99"/>
      <c r="AB437" s="99"/>
      <c r="AC437" s="99"/>
      <c r="AD437" s="99"/>
    </row>
    <row r="438" spans="1:30" ht="28.5" customHeight="1" x14ac:dyDescent="0.15">
      <c r="A438" s="99"/>
      <c r="B438" s="99"/>
      <c r="C438" s="99"/>
      <c r="D438" s="99"/>
      <c r="E438" s="99"/>
      <c r="F438" s="99"/>
      <c r="G438" s="99"/>
      <c r="H438" s="99"/>
      <c r="I438" s="99"/>
      <c r="J438" s="99"/>
      <c r="K438" s="99"/>
      <c r="L438" s="99"/>
      <c r="M438" s="99"/>
      <c r="N438" s="99"/>
      <c r="O438" s="99"/>
      <c r="P438" s="99"/>
      <c r="Q438" s="99"/>
      <c r="R438" s="99"/>
      <c r="S438" s="99"/>
      <c r="T438" s="99"/>
      <c r="U438" s="99"/>
      <c r="V438" s="99"/>
      <c r="W438" s="99"/>
      <c r="X438" s="99"/>
      <c r="Y438" s="99"/>
      <c r="Z438" s="99"/>
      <c r="AA438" s="99"/>
      <c r="AB438" s="99"/>
      <c r="AC438" s="99"/>
      <c r="AD438" s="99"/>
    </row>
    <row r="439" spans="1:30" ht="28.5" customHeight="1" x14ac:dyDescent="0.15">
      <c r="A439" s="99"/>
      <c r="B439" s="99"/>
      <c r="C439" s="99"/>
      <c r="D439" s="99"/>
      <c r="E439" s="99"/>
      <c r="F439" s="99"/>
      <c r="G439" s="99"/>
      <c r="H439" s="99"/>
      <c r="I439" s="99"/>
      <c r="J439" s="99"/>
      <c r="K439" s="99"/>
      <c r="L439" s="99"/>
      <c r="M439" s="99"/>
      <c r="N439" s="99"/>
      <c r="O439" s="99"/>
      <c r="P439" s="99"/>
      <c r="Q439" s="99"/>
      <c r="R439" s="99"/>
      <c r="S439" s="99"/>
      <c r="T439" s="99"/>
      <c r="U439" s="99"/>
      <c r="V439" s="99"/>
      <c r="W439" s="99"/>
      <c r="X439" s="99"/>
      <c r="Y439" s="99"/>
      <c r="Z439" s="99"/>
      <c r="AA439" s="99"/>
      <c r="AB439" s="99"/>
      <c r="AC439" s="99"/>
      <c r="AD439" s="99"/>
    </row>
    <row r="440" spans="1:30" ht="28.5" customHeight="1" x14ac:dyDescent="0.15">
      <c r="A440" s="99"/>
      <c r="B440" s="99"/>
      <c r="C440" s="99"/>
      <c r="D440" s="99"/>
      <c r="E440" s="99"/>
      <c r="F440" s="99"/>
      <c r="G440" s="99"/>
      <c r="H440" s="99"/>
      <c r="I440" s="99"/>
      <c r="J440" s="99"/>
      <c r="K440" s="99"/>
      <c r="L440" s="99"/>
      <c r="M440" s="99"/>
      <c r="N440" s="99"/>
      <c r="O440" s="99"/>
      <c r="P440" s="99"/>
      <c r="Q440" s="99"/>
      <c r="R440" s="99"/>
      <c r="S440" s="99"/>
      <c r="T440" s="99"/>
      <c r="U440" s="99"/>
      <c r="V440" s="99"/>
      <c r="W440" s="99"/>
      <c r="X440" s="99"/>
      <c r="Y440" s="99"/>
      <c r="Z440" s="99"/>
      <c r="AA440" s="99"/>
      <c r="AB440" s="99"/>
      <c r="AC440" s="99"/>
      <c r="AD440" s="99"/>
    </row>
    <row r="441" spans="1:30" ht="28.5" customHeight="1" x14ac:dyDescent="0.15">
      <c r="A441" s="99"/>
      <c r="B441" s="99"/>
      <c r="C441" s="99"/>
      <c r="D441" s="99"/>
      <c r="E441" s="99"/>
      <c r="F441" s="99"/>
      <c r="G441" s="99"/>
      <c r="H441" s="99"/>
      <c r="I441" s="99"/>
      <c r="J441" s="99"/>
      <c r="K441" s="99"/>
      <c r="L441" s="99"/>
      <c r="M441" s="99"/>
      <c r="N441" s="99"/>
      <c r="O441" s="99"/>
      <c r="P441" s="99"/>
      <c r="Q441" s="99"/>
      <c r="R441" s="99"/>
      <c r="S441" s="99"/>
      <c r="T441" s="99"/>
      <c r="U441" s="99"/>
      <c r="V441" s="99"/>
      <c r="W441" s="99"/>
      <c r="X441" s="99"/>
      <c r="Y441" s="99"/>
      <c r="Z441" s="99"/>
      <c r="AA441" s="99"/>
      <c r="AB441" s="99"/>
      <c r="AC441" s="99"/>
      <c r="AD441" s="99"/>
    </row>
    <row r="442" spans="1:30" ht="28.5" customHeight="1" x14ac:dyDescent="0.15">
      <c r="A442" s="99"/>
      <c r="B442" s="99"/>
      <c r="C442" s="99"/>
      <c r="D442" s="99"/>
      <c r="E442" s="99"/>
      <c r="F442" s="99"/>
      <c r="G442" s="99"/>
      <c r="H442" s="99"/>
      <c r="I442" s="99"/>
      <c r="J442" s="99"/>
      <c r="K442" s="99"/>
      <c r="L442" s="99"/>
      <c r="M442" s="99"/>
      <c r="N442" s="99"/>
      <c r="O442" s="99"/>
      <c r="P442" s="99"/>
      <c r="Q442" s="99"/>
      <c r="R442" s="99"/>
      <c r="S442" s="99"/>
      <c r="T442" s="99"/>
      <c r="U442" s="99"/>
      <c r="V442" s="99"/>
      <c r="W442" s="99"/>
      <c r="X442" s="99"/>
      <c r="Y442" s="99"/>
      <c r="Z442" s="99"/>
      <c r="AA442" s="99"/>
      <c r="AB442" s="99"/>
      <c r="AC442" s="99"/>
      <c r="AD442" s="99"/>
    </row>
    <row r="443" spans="1:30" ht="28.5" customHeight="1" x14ac:dyDescent="0.15">
      <c r="A443" s="99"/>
      <c r="B443" s="99"/>
      <c r="C443" s="99"/>
      <c r="D443" s="99"/>
      <c r="E443" s="99"/>
      <c r="F443" s="99"/>
      <c r="G443" s="99"/>
      <c r="H443" s="99"/>
      <c r="I443" s="99"/>
      <c r="J443" s="99"/>
      <c r="K443" s="99"/>
      <c r="L443" s="99"/>
      <c r="M443" s="99"/>
      <c r="N443" s="99"/>
      <c r="O443" s="99"/>
      <c r="P443" s="99"/>
      <c r="Q443" s="99"/>
      <c r="R443" s="99"/>
      <c r="S443" s="99"/>
      <c r="T443" s="99"/>
      <c r="U443" s="99"/>
      <c r="V443" s="99"/>
      <c r="W443" s="99"/>
      <c r="X443" s="99"/>
      <c r="Y443" s="99"/>
      <c r="Z443" s="99"/>
      <c r="AA443" s="99"/>
      <c r="AB443" s="99"/>
      <c r="AC443" s="99"/>
      <c r="AD443" s="99"/>
    </row>
    <row r="444" spans="1:30" ht="28.5" customHeight="1" x14ac:dyDescent="0.15">
      <c r="A444" s="99"/>
      <c r="B444" s="99"/>
      <c r="C444" s="99"/>
      <c r="D444" s="99"/>
      <c r="E444" s="99"/>
      <c r="F444" s="99"/>
      <c r="G444" s="99"/>
      <c r="H444" s="99"/>
      <c r="I444" s="99"/>
      <c r="J444" s="99"/>
      <c r="K444" s="99"/>
      <c r="L444" s="99"/>
      <c r="M444" s="99"/>
      <c r="N444" s="99"/>
      <c r="O444" s="99"/>
      <c r="P444" s="99"/>
      <c r="Q444" s="99"/>
      <c r="R444" s="99"/>
      <c r="S444" s="99"/>
      <c r="T444" s="99"/>
      <c r="U444" s="99"/>
      <c r="V444" s="99"/>
      <c r="W444" s="99"/>
      <c r="X444" s="99"/>
      <c r="Y444" s="99"/>
      <c r="Z444" s="99"/>
      <c r="AA444" s="99"/>
      <c r="AB444" s="99"/>
      <c r="AC444" s="99"/>
      <c r="AD444" s="99"/>
    </row>
    <row r="445" spans="1:30" ht="28.5" customHeight="1" x14ac:dyDescent="0.15">
      <c r="A445" s="99"/>
      <c r="B445" s="99"/>
      <c r="C445" s="99"/>
      <c r="D445" s="99"/>
      <c r="E445" s="99"/>
      <c r="F445" s="99"/>
      <c r="G445" s="99"/>
      <c r="H445" s="99"/>
      <c r="I445" s="99"/>
      <c r="J445" s="99"/>
      <c r="K445" s="99"/>
      <c r="L445" s="99"/>
      <c r="M445" s="99"/>
      <c r="N445" s="99"/>
      <c r="O445" s="99"/>
      <c r="P445" s="99"/>
      <c r="Q445" s="99"/>
      <c r="R445" s="99"/>
      <c r="S445" s="99"/>
      <c r="T445" s="99"/>
      <c r="U445" s="99"/>
      <c r="V445" s="99"/>
      <c r="W445" s="99"/>
      <c r="X445" s="99"/>
      <c r="Y445" s="99"/>
      <c r="Z445" s="99"/>
      <c r="AA445" s="99"/>
      <c r="AB445" s="99"/>
      <c r="AC445" s="99"/>
      <c r="AD445" s="99"/>
    </row>
    <row r="446" spans="1:30" ht="28.5" customHeight="1" x14ac:dyDescent="0.15">
      <c r="A446" s="99"/>
      <c r="B446" s="99"/>
      <c r="C446" s="99"/>
      <c r="D446" s="99"/>
      <c r="E446" s="99"/>
      <c r="F446" s="99"/>
      <c r="G446" s="99"/>
      <c r="H446" s="99"/>
      <c r="I446" s="99"/>
      <c r="J446" s="99"/>
      <c r="K446" s="99"/>
      <c r="L446" s="99"/>
      <c r="M446" s="99"/>
      <c r="N446" s="99"/>
      <c r="O446" s="99"/>
      <c r="P446" s="99"/>
      <c r="Q446" s="99"/>
      <c r="R446" s="99"/>
      <c r="S446" s="99"/>
      <c r="T446" s="99"/>
      <c r="U446" s="99"/>
      <c r="V446" s="99"/>
      <c r="W446" s="99"/>
      <c r="X446" s="99"/>
      <c r="Y446" s="99"/>
      <c r="Z446" s="99"/>
      <c r="AA446" s="99"/>
      <c r="AB446" s="99"/>
      <c r="AC446" s="99"/>
      <c r="AD446" s="99"/>
    </row>
    <row r="447" spans="1:30" ht="28.5" customHeight="1" x14ac:dyDescent="0.15">
      <c r="A447" s="99"/>
      <c r="B447" s="99"/>
      <c r="C447" s="99"/>
      <c r="D447" s="99"/>
      <c r="E447" s="99"/>
      <c r="F447" s="99"/>
      <c r="G447" s="99"/>
      <c r="H447" s="99"/>
      <c r="I447" s="99"/>
      <c r="J447" s="99"/>
      <c r="K447" s="99"/>
      <c r="L447" s="99"/>
      <c r="M447" s="99"/>
      <c r="N447" s="99"/>
      <c r="O447" s="99"/>
      <c r="P447" s="99"/>
      <c r="Q447" s="99"/>
      <c r="R447" s="99"/>
      <c r="S447" s="99"/>
      <c r="T447" s="99"/>
      <c r="U447" s="99"/>
      <c r="V447" s="99"/>
      <c r="W447" s="99"/>
      <c r="X447" s="99"/>
      <c r="Y447" s="99"/>
      <c r="Z447" s="99"/>
      <c r="AA447" s="99"/>
      <c r="AB447" s="99"/>
      <c r="AC447" s="99"/>
      <c r="AD447" s="99"/>
    </row>
    <row r="448" spans="1:30" ht="28.5" customHeight="1" x14ac:dyDescent="0.15">
      <c r="A448" s="99"/>
      <c r="B448" s="99"/>
      <c r="C448" s="99"/>
      <c r="D448" s="99"/>
      <c r="E448" s="99"/>
      <c r="F448" s="99"/>
      <c r="G448" s="99"/>
      <c r="H448" s="99"/>
      <c r="I448" s="99"/>
      <c r="J448" s="99"/>
      <c r="K448" s="99"/>
      <c r="L448" s="99"/>
      <c r="M448" s="99"/>
      <c r="N448" s="99"/>
      <c r="O448" s="99"/>
      <c r="P448" s="99"/>
      <c r="Q448" s="99"/>
      <c r="R448" s="99"/>
      <c r="S448" s="99"/>
      <c r="T448" s="99"/>
      <c r="U448" s="99"/>
      <c r="V448" s="99"/>
      <c r="W448" s="99"/>
      <c r="X448" s="99"/>
      <c r="Y448" s="99"/>
      <c r="Z448" s="99"/>
      <c r="AA448" s="99"/>
      <c r="AB448" s="99"/>
      <c r="AC448" s="99"/>
      <c r="AD448" s="99"/>
    </row>
    <row r="449" spans="1:30" ht="28.5" customHeight="1" x14ac:dyDescent="0.15">
      <c r="A449" s="99"/>
      <c r="B449" s="99"/>
      <c r="C449" s="99"/>
      <c r="D449" s="99"/>
      <c r="E449" s="99"/>
      <c r="F449" s="99"/>
      <c r="G449" s="99"/>
      <c r="H449" s="99"/>
      <c r="I449" s="99"/>
      <c r="J449" s="99"/>
      <c r="K449" s="99"/>
      <c r="L449" s="99"/>
      <c r="M449" s="99"/>
      <c r="N449" s="99"/>
      <c r="O449" s="99"/>
      <c r="P449" s="99"/>
      <c r="Q449" s="99"/>
      <c r="R449" s="99"/>
      <c r="S449" s="99"/>
      <c r="T449" s="99"/>
      <c r="U449" s="99"/>
      <c r="V449" s="99"/>
      <c r="W449" s="99"/>
      <c r="X449" s="99"/>
      <c r="Y449" s="99"/>
      <c r="Z449" s="99"/>
      <c r="AA449" s="99"/>
      <c r="AB449" s="99"/>
      <c r="AC449" s="99"/>
      <c r="AD449" s="99"/>
    </row>
    <row r="450" spans="1:30" ht="28.5" customHeight="1" x14ac:dyDescent="0.15">
      <c r="A450" s="99"/>
      <c r="B450" s="99"/>
      <c r="C450" s="99"/>
      <c r="D450" s="99"/>
      <c r="E450" s="99"/>
      <c r="F450" s="99"/>
      <c r="G450" s="99"/>
      <c r="H450" s="99"/>
      <c r="I450" s="99"/>
      <c r="J450" s="99"/>
      <c r="K450" s="99"/>
      <c r="L450" s="99"/>
      <c r="M450" s="99"/>
      <c r="N450" s="99"/>
      <c r="O450" s="99"/>
      <c r="P450" s="99"/>
      <c r="Q450" s="99"/>
      <c r="R450" s="99"/>
      <c r="S450" s="99"/>
      <c r="T450" s="99"/>
      <c r="U450" s="99"/>
      <c r="V450" s="99"/>
      <c r="W450" s="99"/>
      <c r="X450" s="99"/>
      <c r="Y450" s="99"/>
      <c r="Z450" s="99"/>
      <c r="AA450" s="99"/>
      <c r="AB450" s="99"/>
      <c r="AC450" s="99"/>
      <c r="AD450" s="99"/>
    </row>
    <row r="451" spans="1:30" ht="28.5" customHeight="1" x14ac:dyDescent="0.15">
      <c r="A451" s="99"/>
      <c r="B451" s="99"/>
      <c r="C451" s="99"/>
      <c r="D451" s="99"/>
      <c r="E451" s="99"/>
      <c r="F451" s="99"/>
      <c r="G451" s="99"/>
      <c r="H451" s="99"/>
      <c r="I451" s="99"/>
      <c r="J451" s="99"/>
      <c r="K451" s="99"/>
      <c r="L451" s="99"/>
      <c r="M451" s="99"/>
      <c r="N451" s="99"/>
      <c r="O451" s="99"/>
      <c r="P451" s="99"/>
      <c r="Q451" s="99"/>
      <c r="R451" s="99"/>
      <c r="S451" s="99"/>
      <c r="T451" s="99"/>
      <c r="U451" s="99"/>
      <c r="V451" s="99"/>
      <c r="W451" s="99"/>
      <c r="X451" s="99"/>
      <c r="Y451" s="99"/>
      <c r="Z451" s="99"/>
      <c r="AA451" s="99"/>
      <c r="AB451" s="99"/>
      <c r="AC451" s="99"/>
      <c r="AD451" s="99"/>
    </row>
    <row r="452" spans="1:30" ht="28.5" customHeight="1" x14ac:dyDescent="0.15">
      <c r="A452" s="99"/>
      <c r="B452" s="99"/>
      <c r="C452" s="99"/>
      <c r="D452" s="99"/>
      <c r="E452" s="99"/>
      <c r="F452" s="99"/>
      <c r="G452" s="99"/>
      <c r="H452" s="99"/>
      <c r="I452" s="99"/>
      <c r="J452" s="99"/>
      <c r="K452" s="99"/>
      <c r="L452" s="99"/>
      <c r="M452" s="99"/>
      <c r="N452" s="99"/>
      <c r="O452" s="99"/>
      <c r="P452" s="99"/>
      <c r="Q452" s="99"/>
      <c r="R452" s="99"/>
      <c r="S452" s="99"/>
      <c r="T452" s="99"/>
      <c r="U452" s="99"/>
      <c r="V452" s="99"/>
      <c r="W452" s="99"/>
      <c r="X452" s="99"/>
      <c r="Y452" s="99"/>
      <c r="Z452" s="99"/>
      <c r="AA452" s="99"/>
      <c r="AB452" s="99"/>
      <c r="AC452" s="99"/>
      <c r="AD452" s="99"/>
    </row>
    <row r="453" spans="1:30" ht="28.5" customHeight="1" x14ac:dyDescent="0.15">
      <c r="A453" s="99"/>
      <c r="B453" s="99"/>
      <c r="C453" s="99"/>
      <c r="D453" s="99"/>
      <c r="E453" s="99"/>
      <c r="F453" s="99"/>
      <c r="G453" s="99"/>
      <c r="H453" s="99"/>
      <c r="I453" s="99"/>
      <c r="J453" s="99"/>
      <c r="K453" s="99"/>
      <c r="L453" s="99"/>
      <c r="M453" s="99"/>
      <c r="N453" s="99"/>
      <c r="O453" s="99"/>
      <c r="P453" s="99"/>
      <c r="Q453" s="99"/>
      <c r="R453" s="99"/>
      <c r="S453" s="99"/>
      <c r="T453" s="99"/>
      <c r="U453" s="99"/>
      <c r="V453" s="99"/>
      <c r="W453" s="99"/>
      <c r="X453" s="99"/>
      <c r="Y453" s="99"/>
      <c r="Z453" s="99"/>
      <c r="AA453" s="99"/>
      <c r="AB453" s="99"/>
      <c r="AC453" s="99"/>
      <c r="AD453" s="99"/>
    </row>
    <row r="454" spans="1:30" ht="28.5" customHeight="1" x14ac:dyDescent="0.15">
      <c r="A454" s="99"/>
      <c r="B454" s="99"/>
      <c r="C454" s="99"/>
      <c r="D454" s="99"/>
      <c r="E454" s="99"/>
      <c r="F454" s="99"/>
      <c r="G454" s="99"/>
      <c r="H454" s="99"/>
      <c r="I454" s="99"/>
      <c r="J454" s="99"/>
      <c r="K454" s="99"/>
      <c r="L454" s="99"/>
      <c r="M454" s="99"/>
      <c r="N454" s="99"/>
      <c r="O454" s="99"/>
      <c r="P454" s="99"/>
      <c r="Q454" s="99"/>
      <c r="R454" s="99"/>
      <c r="S454" s="99"/>
      <c r="T454" s="99"/>
      <c r="U454" s="99"/>
      <c r="V454" s="99"/>
      <c r="W454" s="99"/>
      <c r="X454" s="99"/>
      <c r="Y454" s="99"/>
      <c r="Z454" s="99"/>
      <c r="AA454" s="99"/>
      <c r="AB454" s="99"/>
      <c r="AC454" s="99"/>
      <c r="AD454" s="99"/>
    </row>
    <row r="455" spans="1:30" ht="28.5" customHeight="1" x14ac:dyDescent="0.15">
      <c r="A455" s="99"/>
      <c r="B455" s="99"/>
      <c r="C455" s="99"/>
      <c r="D455" s="99"/>
      <c r="E455" s="99"/>
      <c r="F455" s="99"/>
      <c r="G455" s="99"/>
      <c r="H455" s="99"/>
      <c r="I455" s="99"/>
      <c r="J455" s="99"/>
      <c r="K455" s="99"/>
      <c r="L455" s="99"/>
      <c r="M455" s="99"/>
      <c r="N455" s="99"/>
      <c r="O455" s="99"/>
      <c r="P455" s="99"/>
      <c r="Q455" s="99"/>
      <c r="R455" s="99"/>
      <c r="S455" s="99"/>
      <c r="T455" s="99"/>
      <c r="U455" s="99"/>
      <c r="V455" s="99"/>
      <c r="W455" s="99"/>
      <c r="X455" s="99"/>
      <c r="Y455" s="99"/>
      <c r="Z455" s="99"/>
      <c r="AA455" s="99"/>
      <c r="AB455" s="99"/>
      <c r="AC455" s="99"/>
      <c r="AD455" s="99"/>
    </row>
    <row r="456" spans="1:30" ht="28.5" customHeight="1" x14ac:dyDescent="0.15">
      <c r="A456" s="99"/>
      <c r="B456" s="99"/>
      <c r="C456" s="99"/>
      <c r="D456" s="99"/>
      <c r="E456" s="99"/>
      <c r="F456" s="99"/>
      <c r="G456" s="99"/>
      <c r="H456" s="99"/>
      <c r="I456" s="99"/>
      <c r="J456" s="99"/>
      <c r="K456" s="99"/>
      <c r="L456" s="99"/>
      <c r="M456" s="99"/>
      <c r="N456" s="99"/>
      <c r="O456" s="99"/>
      <c r="P456" s="99"/>
      <c r="Q456" s="99"/>
      <c r="R456" s="99"/>
      <c r="S456" s="99"/>
      <c r="T456" s="99"/>
      <c r="U456" s="99"/>
      <c r="V456" s="99"/>
      <c r="W456" s="99"/>
      <c r="X456" s="99"/>
      <c r="Y456" s="99"/>
      <c r="Z456" s="99"/>
      <c r="AA456" s="99"/>
      <c r="AB456" s="99"/>
      <c r="AC456" s="99"/>
      <c r="AD456" s="99"/>
    </row>
    <row r="457" spans="1:30" ht="28.5" customHeight="1" x14ac:dyDescent="0.15">
      <c r="A457" s="99"/>
      <c r="B457" s="99"/>
      <c r="C457" s="99"/>
      <c r="D457" s="99"/>
      <c r="E457" s="99"/>
      <c r="F457" s="99"/>
      <c r="G457" s="99"/>
      <c r="H457" s="99"/>
      <c r="I457" s="99"/>
      <c r="J457" s="99"/>
      <c r="K457" s="99"/>
      <c r="L457" s="99"/>
      <c r="M457" s="99"/>
      <c r="N457" s="99"/>
      <c r="O457" s="99"/>
      <c r="P457" s="99"/>
      <c r="Q457" s="99"/>
      <c r="R457" s="99"/>
      <c r="S457" s="99"/>
      <c r="T457" s="99"/>
      <c r="U457" s="99"/>
      <c r="V457" s="99"/>
      <c r="W457" s="99"/>
      <c r="X457" s="99"/>
      <c r="Y457" s="99"/>
      <c r="Z457" s="99"/>
      <c r="AA457" s="99"/>
      <c r="AB457" s="99"/>
      <c r="AC457" s="99"/>
      <c r="AD457" s="99"/>
    </row>
    <row r="458" spans="1:30" ht="28.5" customHeight="1" x14ac:dyDescent="0.15">
      <c r="A458" s="99"/>
      <c r="B458" s="99"/>
      <c r="C458" s="99"/>
      <c r="D458" s="99"/>
      <c r="E458" s="99"/>
      <c r="F458" s="99"/>
      <c r="G458" s="99"/>
      <c r="H458" s="99"/>
      <c r="I458" s="99"/>
      <c r="J458" s="99"/>
      <c r="K458" s="99"/>
      <c r="L458" s="99"/>
      <c r="M458" s="99"/>
      <c r="N458" s="99"/>
      <c r="O458" s="99"/>
      <c r="P458" s="99"/>
      <c r="Q458" s="99"/>
      <c r="R458" s="99"/>
      <c r="S458" s="99"/>
      <c r="T458" s="99"/>
      <c r="U458" s="99"/>
      <c r="V458" s="99"/>
      <c r="W458" s="99"/>
      <c r="X458" s="99"/>
      <c r="Y458" s="99"/>
      <c r="Z458" s="99"/>
      <c r="AA458" s="99"/>
      <c r="AB458" s="99"/>
      <c r="AC458" s="99"/>
      <c r="AD458" s="99"/>
    </row>
    <row r="459" spans="1:30" ht="28.5" customHeight="1" x14ac:dyDescent="0.15">
      <c r="A459" s="99"/>
      <c r="B459" s="99"/>
      <c r="C459" s="99"/>
      <c r="D459" s="99"/>
      <c r="E459" s="99"/>
      <c r="F459" s="99"/>
      <c r="G459" s="99"/>
      <c r="H459" s="99"/>
      <c r="I459" s="99"/>
      <c r="J459" s="99"/>
      <c r="K459" s="99"/>
      <c r="L459" s="99"/>
      <c r="M459" s="99"/>
      <c r="N459" s="99"/>
      <c r="O459" s="99"/>
      <c r="P459" s="99"/>
      <c r="Q459" s="99"/>
      <c r="R459" s="99"/>
      <c r="S459" s="99"/>
      <c r="T459" s="99"/>
      <c r="U459" s="99"/>
      <c r="V459" s="99"/>
      <c r="W459" s="99"/>
      <c r="X459" s="99"/>
      <c r="Y459" s="99"/>
      <c r="Z459" s="99"/>
      <c r="AA459" s="99"/>
      <c r="AB459" s="99"/>
      <c r="AC459" s="99"/>
      <c r="AD459" s="99"/>
    </row>
    <row r="460" spans="1:30" ht="28.5" customHeight="1" x14ac:dyDescent="0.15">
      <c r="A460" s="99"/>
      <c r="B460" s="99"/>
      <c r="C460" s="99"/>
      <c r="D460" s="99"/>
      <c r="E460" s="99"/>
      <c r="F460" s="99"/>
      <c r="G460" s="99"/>
      <c r="H460" s="99"/>
      <c r="I460" s="99"/>
      <c r="J460" s="99"/>
      <c r="K460" s="99"/>
      <c r="L460" s="99"/>
      <c r="M460" s="99"/>
      <c r="N460" s="99"/>
      <c r="O460" s="99"/>
      <c r="P460" s="99"/>
      <c r="Q460" s="99"/>
      <c r="R460" s="99"/>
      <c r="S460" s="99"/>
      <c r="T460" s="99"/>
      <c r="U460" s="99"/>
      <c r="V460" s="99"/>
      <c r="W460" s="99"/>
      <c r="X460" s="99"/>
      <c r="Y460" s="99"/>
      <c r="Z460" s="99"/>
      <c r="AA460" s="99"/>
      <c r="AB460" s="99"/>
      <c r="AC460" s="99"/>
      <c r="AD460" s="99"/>
    </row>
    <row r="461" spans="1:30" ht="28.5" customHeight="1" x14ac:dyDescent="0.15">
      <c r="A461" s="99"/>
      <c r="B461" s="99"/>
      <c r="C461" s="99"/>
      <c r="D461" s="99"/>
      <c r="E461" s="99"/>
      <c r="F461" s="99"/>
      <c r="G461" s="99"/>
      <c r="H461" s="99"/>
      <c r="I461" s="99"/>
      <c r="J461" s="99"/>
      <c r="K461" s="99"/>
      <c r="L461" s="99"/>
      <c r="M461" s="99"/>
      <c r="N461" s="99"/>
      <c r="O461" s="99"/>
      <c r="P461" s="99"/>
      <c r="Q461" s="99"/>
      <c r="R461" s="99"/>
      <c r="S461" s="99"/>
      <c r="T461" s="99"/>
      <c r="U461" s="99"/>
      <c r="V461" s="99"/>
      <c r="W461" s="99"/>
      <c r="X461" s="99"/>
      <c r="Y461" s="99"/>
      <c r="Z461" s="99"/>
      <c r="AA461" s="99"/>
      <c r="AB461" s="99"/>
      <c r="AC461" s="99"/>
      <c r="AD461" s="99"/>
    </row>
    <row r="462" spans="1:30" ht="28.5" customHeight="1" x14ac:dyDescent="0.15">
      <c r="A462" s="99"/>
      <c r="B462" s="99"/>
      <c r="C462" s="99"/>
      <c r="D462" s="99"/>
      <c r="E462" s="99"/>
      <c r="F462" s="99"/>
      <c r="G462" s="99"/>
      <c r="H462" s="99"/>
      <c r="I462" s="99"/>
      <c r="J462" s="99"/>
      <c r="K462" s="99"/>
      <c r="L462" s="99"/>
      <c r="M462" s="99"/>
      <c r="N462" s="99"/>
      <c r="O462" s="99"/>
      <c r="P462" s="99"/>
      <c r="Q462" s="99"/>
      <c r="R462" s="99"/>
      <c r="S462" s="99"/>
      <c r="T462" s="99"/>
      <c r="U462" s="99"/>
      <c r="V462" s="99"/>
      <c r="W462" s="99"/>
      <c r="X462" s="99"/>
      <c r="Y462" s="99"/>
      <c r="Z462" s="99"/>
      <c r="AA462" s="99"/>
      <c r="AB462" s="99"/>
      <c r="AC462" s="99"/>
      <c r="AD462" s="99"/>
    </row>
    <row r="463" spans="1:30" ht="28.5" customHeight="1" x14ac:dyDescent="0.15">
      <c r="A463" s="99"/>
      <c r="B463" s="99"/>
      <c r="C463" s="99"/>
      <c r="D463" s="99"/>
      <c r="E463" s="99"/>
      <c r="F463" s="99"/>
      <c r="G463" s="99"/>
      <c r="H463" s="99"/>
      <c r="I463" s="99"/>
      <c r="J463" s="99"/>
      <c r="K463" s="99"/>
      <c r="L463" s="99"/>
      <c r="M463" s="99"/>
      <c r="N463" s="99"/>
      <c r="O463" s="99"/>
      <c r="P463" s="99"/>
      <c r="Q463" s="99"/>
      <c r="R463" s="99"/>
      <c r="S463" s="99"/>
      <c r="T463" s="99"/>
      <c r="U463" s="99"/>
      <c r="V463" s="99"/>
      <c r="W463" s="99"/>
      <c r="X463" s="99"/>
      <c r="Y463" s="99"/>
      <c r="Z463" s="99"/>
      <c r="AA463" s="99"/>
      <c r="AB463" s="99"/>
      <c r="AC463" s="99"/>
      <c r="AD463" s="99"/>
    </row>
    <row r="464" spans="1:30" ht="28.5" customHeight="1" x14ac:dyDescent="0.15">
      <c r="A464" s="99"/>
      <c r="B464" s="99"/>
      <c r="C464" s="99"/>
      <c r="D464" s="99"/>
      <c r="E464" s="99"/>
      <c r="F464" s="99"/>
      <c r="G464" s="99"/>
      <c r="H464" s="99"/>
      <c r="I464" s="99"/>
      <c r="J464" s="99"/>
      <c r="K464" s="99"/>
      <c r="L464" s="99"/>
      <c r="M464" s="99"/>
      <c r="N464" s="99"/>
      <c r="O464" s="99"/>
      <c r="P464" s="99"/>
      <c r="Q464" s="99"/>
      <c r="R464" s="99"/>
      <c r="S464" s="99"/>
      <c r="T464" s="99"/>
      <c r="U464" s="99"/>
      <c r="V464" s="99"/>
      <c r="W464" s="99"/>
      <c r="X464" s="99"/>
      <c r="Y464" s="99"/>
      <c r="Z464" s="99"/>
      <c r="AA464" s="99"/>
      <c r="AB464" s="99"/>
      <c r="AC464" s="99"/>
      <c r="AD464" s="99"/>
    </row>
    <row r="465" spans="1:30" ht="28.5" customHeight="1" x14ac:dyDescent="0.15">
      <c r="A465" s="99"/>
      <c r="B465" s="99"/>
      <c r="C465" s="99"/>
      <c r="D465" s="99"/>
      <c r="E465" s="99"/>
      <c r="F465" s="99"/>
      <c r="G465" s="99"/>
      <c r="H465" s="99"/>
      <c r="I465" s="99"/>
      <c r="J465" s="99"/>
      <c r="K465" s="99"/>
      <c r="L465" s="99"/>
      <c r="M465" s="99"/>
      <c r="N465" s="99"/>
      <c r="O465" s="99"/>
      <c r="P465" s="99"/>
      <c r="Q465" s="99"/>
      <c r="R465" s="99"/>
      <c r="S465" s="99"/>
      <c r="T465" s="99"/>
      <c r="U465" s="99"/>
      <c r="V465" s="99"/>
      <c r="W465" s="99"/>
      <c r="X465" s="99"/>
      <c r="Y465" s="99"/>
      <c r="Z465" s="99"/>
      <c r="AA465" s="99"/>
      <c r="AB465" s="99"/>
      <c r="AC465" s="99"/>
      <c r="AD465" s="99"/>
    </row>
    <row r="466" spans="1:30" ht="28.5" customHeight="1" x14ac:dyDescent="0.15">
      <c r="A466" s="99"/>
      <c r="B466" s="99"/>
      <c r="C466" s="99"/>
      <c r="D466" s="99"/>
      <c r="E466" s="99"/>
      <c r="F466" s="99"/>
      <c r="G466" s="99"/>
      <c r="H466" s="99"/>
      <c r="I466" s="99"/>
      <c r="J466" s="99"/>
      <c r="K466" s="99"/>
      <c r="L466" s="99"/>
      <c r="M466" s="99"/>
      <c r="N466" s="99"/>
      <c r="O466" s="99"/>
      <c r="P466" s="99"/>
      <c r="Q466" s="99"/>
      <c r="R466" s="99"/>
      <c r="S466" s="99"/>
      <c r="T466" s="99"/>
      <c r="U466" s="99"/>
      <c r="V466" s="99"/>
      <c r="W466" s="99"/>
      <c r="X466" s="99"/>
      <c r="Y466" s="99"/>
      <c r="Z466" s="99"/>
      <c r="AA466" s="99"/>
      <c r="AB466" s="99"/>
      <c r="AC466" s="99"/>
      <c r="AD466" s="99"/>
    </row>
    <row r="467" spans="1:30" ht="28.5" customHeight="1" x14ac:dyDescent="0.15">
      <c r="A467" s="99"/>
      <c r="B467" s="99"/>
      <c r="C467" s="99"/>
      <c r="D467" s="99"/>
      <c r="E467" s="99"/>
      <c r="F467" s="99"/>
      <c r="G467" s="99"/>
      <c r="H467" s="99"/>
      <c r="I467" s="99"/>
      <c r="J467" s="99"/>
      <c r="K467" s="99"/>
      <c r="L467" s="99"/>
      <c r="M467" s="99"/>
      <c r="N467" s="99"/>
      <c r="O467" s="99"/>
      <c r="P467" s="99"/>
      <c r="Q467" s="99"/>
      <c r="R467" s="99"/>
      <c r="S467" s="99"/>
      <c r="T467" s="99"/>
      <c r="U467" s="99"/>
      <c r="V467" s="99"/>
      <c r="W467" s="99"/>
      <c r="X467" s="99"/>
      <c r="Y467" s="99"/>
      <c r="Z467" s="99"/>
      <c r="AA467" s="99"/>
      <c r="AB467" s="99"/>
      <c r="AC467" s="99"/>
      <c r="AD467" s="99"/>
    </row>
    <row r="468" spans="1:30" ht="28.5" customHeight="1" x14ac:dyDescent="0.15">
      <c r="A468" s="99"/>
      <c r="B468" s="99"/>
      <c r="C468" s="99"/>
      <c r="D468" s="99"/>
      <c r="E468" s="99"/>
      <c r="F468" s="99"/>
      <c r="G468" s="99"/>
      <c r="H468" s="99"/>
      <c r="I468" s="99"/>
      <c r="J468" s="99"/>
      <c r="K468" s="99"/>
      <c r="L468" s="99"/>
      <c r="M468" s="99"/>
      <c r="N468" s="99"/>
      <c r="O468" s="99"/>
      <c r="P468" s="99"/>
      <c r="Q468" s="99"/>
      <c r="R468" s="99"/>
      <c r="S468" s="99"/>
      <c r="T468" s="99"/>
      <c r="U468" s="99"/>
      <c r="V468" s="99"/>
      <c r="W468" s="99"/>
      <c r="X468" s="99"/>
      <c r="Y468" s="99"/>
      <c r="Z468" s="99"/>
      <c r="AA468" s="99"/>
      <c r="AB468" s="99"/>
      <c r="AC468" s="99"/>
      <c r="AD468" s="99"/>
    </row>
    <row r="469" spans="1:30" ht="28.5" customHeight="1" x14ac:dyDescent="0.15">
      <c r="A469" s="99"/>
      <c r="B469" s="99"/>
      <c r="C469" s="99"/>
      <c r="D469" s="99"/>
      <c r="E469" s="99"/>
      <c r="F469" s="99"/>
      <c r="G469" s="99"/>
      <c r="H469" s="99"/>
      <c r="I469" s="99"/>
      <c r="J469" s="99"/>
      <c r="K469" s="99"/>
      <c r="L469" s="99"/>
      <c r="M469" s="99"/>
      <c r="N469" s="99"/>
      <c r="O469" s="99"/>
      <c r="P469" s="99"/>
      <c r="Q469" s="99"/>
      <c r="R469" s="99"/>
      <c r="S469" s="99"/>
      <c r="T469" s="99"/>
      <c r="U469" s="99"/>
      <c r="V469" s="99"/>
      <c r="W469" s="99"/>
      <c r="X469" s="99"/>
      <c r="Y469" s="99"/>
      <c r="Z469" s="99"/>
      <c r="AA469" s="99"/>
      <c r="AB469" s="99"/>
      <c r="AC469" s="99"/>
      <c r="AD469" s="99"/>
    </row>
    <row r="470" spans="1:30" ht="28.5" customHeight="1" x14ac:dyDescent="0.15">
      <c r="A470" s="99"/>
      <c r="B470" s="99"/>
      <c r="C470" s="99"/>
      <c r="D470" s="99"/>
      <c r="E470" s="99"/>
      <c r="F470" s="99"/>
      <c r="G470" s="99"/>
      <c r="H470" s="99"/>
      <c r="I470" s="99"/>
      <c r="J470" s="99"/>
      <c r="K470" s="99"/>
      <c r="L470" s="99"/>
      <c r="M470" s="99"/>
      <c r="N470" s="99"/>
      <c r="O470" s="99"/>
      <c r="P470" s="99"/>
      <c r="Q470" s="99"/>
      <c r="R470" s="99"/>
      <c r="S470" s="99"/>
      <c r="T470" s="99"/>
      <c r="U470" s="99"/>
      <c r="V470" s="99"/>
      <c r="W470" s="99"/>
      <c r="X470" s="99"/>
      <c r="Y470" s="99"/>
      <c r="Z470" s="99"/>
      <c r="AA470" s="99"/>
      <c r="AB470" s="99"/>
      <c r="AC470" s="99"/>
      <c r="AD470" s="99"/>
    </row>
    <row r="471" spans="1:30" ht="28.5" customHeight="1" x14ac:dyDescent="0.15">
      <c r="A471" s="99"/>
      <c r="B471" s="99"/>
      <c r="C471" s="99"/>
      <c r="D471" s="99"/>
      <c r="E471" s="99"/>
      <c r="F471" s="99"/>
      <c r="G471" s="99"/>
      <c r="H471" s="99"/>
      <c r="I471" s="99"/>
      <c r="J471" s="99"/>
      <c r="K471" s="99"/>
      <c r="L471" s="99"/>
      <c r="M471" s="99"/>
      <c r="N471" s="99"/>
      <c r="O471" s="99"/>
      <c r="P471" s="99"/>
      <c r="Q471" s="99"/>
      <c r="R471" s="99"/>
      <c r="S471" s="99"/>
      <c r="T471" s="99"/>
      <c r="U471" s="99"/>
      <c r="V471" s="99"/>
      <c r="W471" s="99"/>
      <c r="X471" s="99"/>
      <c r="Y471" s="99"/>
      <c r="Z471" s="99"/>
      <c r="AA471" s="99"/>
      <c r="AB471" s="99"/>
      <c r="AC471" s="99"/>
      <c r="AD471" s="99"/>
    </row>
    <row r="472" spans="1:30" ht="28.5" customHeight="1" x14ac:dyDescent="0.15">
      <c r="A472" s="99"/>
      <c r="B472" s="99"/>
      <c r="C472" s="99"/>
      <c r="D472" s="99"/>
      <c r="E472" s="99"/>
      <c r="F472" s="99"/>
      <c r="G472" s="99"/>
      <c r="H472" s="99"/>
      <c r="I472" s="99"/>
      <c r="J472" s="99"/>
      <c r="K472" s="99"/>
      <c r="L472" s="99"/>
      <c r="M472" s="99"/>
      <c r="N472" s="99"/>
      <c r="O472" s="99"/>
      <c r="P472" s="99"/>
      <c r="Q472" s="99"/>
      <c r="R472" s="99"/>
      <c r="S472" s="99"/>
      <c r="T472" s="99"/>
      <c r="U472" s="99"/>
      <c r="V472" s="99"/>
      <c r="W472" s="99"/>
      <c r="X472" s="99"/>
      <c r="Y472" s="99"/>
      <c r="Z472" s="99"/>
      <c r="AA472" s="99"/>
      <c r="AB472" s="99"/>
      <c r="AC472" s="99"/>
      <c r="AD472" s="99"/>
    </row>
    <row r="473" spans="1:30" ht="28.5" customHeight="1" x14ac:dyDescent="0.15">
      <c r="A473" s="99"/>
      <c r="B473" s="99"/>
      <c r="C473" s="99"/>
      <c r="D473" s="99"/>
      <c r="E473" s="99"/>
      <c r="F473" s="99"/>
      <c r="G473" s="99"/>
      <c r="H473" s="99"/>
      <c r="I473" s="99"/>
      <c r="J473" s="99"/>
      <c r="K473" s="99"/>
      <c r="L473" s="99"/>
      <c r="M473" s="99"/>
      <c r="N473" s="99"/>
      <c r="O473" s="99"/>
      <c r="P473" s="99"/>
      <c r="Q473" s="99"/>
      <c r="R473" s="99"/>
      <c r="S473" s="99"/>
      <c r="T473" s="99"/>
      <c r="U473" s="99"/>
      <c r="V473" s="99"/>
      <c r="W473" s="99"/>
      <c r="X473" s="99"/>
      <c r="Y473" s="99"/>
      <c r="Z473" s="99"/>
      <c r="AA473" s="99"/>
      <c r="AB473" s="99"/>
      <c r="AC473" s="99"/>
      <c r="AD473" s="99"/>
    </row>
    <row r="474" spans="1:30" ht="28.5" customHeight="1" x14ac:dyDescent="0.15">
      <c r="A474" s="99"/>
      <c r="B474" s="99"/>
      <c r="C474" s="99"/>
      <c r="D474" s="99"/>
      <c r="E474" s="99"/>
      <c r="F474" s="99"/>
      <c r="G474" s="99"/>
      <c r="H474" s="99"/>
      <c r="I474" s="99"/>
      <c r="J474" s="99"/>
      <c r="K474" s="99"/>
      <c r="L474" s="99"/>
      <c r="M474" s="99"/>
      <c r="N474" s="99"/>
      <c r="O474" s="99"/>
      <c r="P474" s="99"/>
      <c r="Q474" s="99"/>
      <c r="R474" s="99"/>
      <c r="S474" s="99"/>
      <c r="T474" s="99"/>
      <c r="U474" s="99"/>
      <c r="V474" s="99"/>
      <c r="W474" s="99"/>
      <c r="X474" s="99"/>
      <c r="Y474" s="99"/>
      <c r="Z474" s="99"/>
      <c r="AA474" s="99"/>
      <c r="AB474" s="99"/>
      <c r="AC474" s="99"/>
      <c r="AD474" s="99"/>
    </row>
    <row r="475" spans="1:30" ht="28.5" customHeight="1" x14ac:dyDescent="0.15">
      <c r="A475" s="99"/>
      <c r="B475" s="99"/>
      <c r="C475" s="99"/>
      <c r="D475" s="99"/>
      <c r="E475" s="99"/>
      <c r="F475" s="99"/>
      <c r="G475" s="99"/>
      <c r="H475" s="99"/>
      <c r="I475" s="99"/>
      <c r="J475" s="99"/>
      <c r="K475" s="99"/>
      <c r="L475" s="99"/>
      <c r="M475" s="99"/>
      <c r="N475" s="99"/>
      <c r="O475" s="99"/>
      <c r="P475" s="99"/>
      <c r="Q475" s="99"/>
      <c r="R475" s="99"/>
      <c r="S475" s="99"/>
      <c r="T475" s="99"/>
      <c r="U475" s="99"/>
      <c r="V475" s="99"/>
      <c r="W475" s="99"/>
      <c r="X475" s="99"/>
      <c r="Y475" s="99"/>
      <c r="Z475" s="99"/>
      <c r="AA475" s="99"/>
      <c r="AB475" s="99"/>
      <c r="AC475" s="99"/>
      <c r="AD475" s="99"/>
    </row>
    <row r="476" spans="1:30" ht="28.5" customHeight="1" x14ac:dyDescent="0.15">
      <c r="A476" s="99"/>
      <c r="B476" s="99"/>
      <c r="C476" s="99"/>
      <c r="D476" s="99"/>
      <c r="E476" s="99"/>
      <c r="F476" s="99"/>
      <c r="G476" s="99"/>
      <c r="H476" s="99"/>
      <c r="I476" s="99"/>
      <c r="J476" s="99"/>
      <c r="K476" s="99"/>
      <c r="L476" s="99"/>
      <c r="M476" s="99"/>
      <c r="N476" s="99"/>
      <c r="O476" s="99"/>
      <c r="P476" s="99"/>
      <c r="Q476" s="99"/>
      <c r="R476" s="99"/>
      <c r="S476" s="99"/>
      <c r="T476" s="99"/>
      <c r="U476" s="99"/>
      <c r="V476" s="99"/>
      <c r="W476" s="99"/>
      <c r="X476" s="99"/>
      <c r="Y476" s="99"/>
      <c r="Z476" s="99"/>
      <c r="AA476" s="99"/>
      <c r="AB476" s="99"/>
      <c r="AC476" s="99"/>
      <c r="AD476" s="99"/>
    </row>
    <row r="477" spans="1:30" ht="28.5" customHeight="1" x14ac:dyDescent="0.15">
      <c r="A477" s="99"/>
      <c r="B477" s="99"/>
      <c r="C477" s="99"/>
      <c r="D477" s="99"/>
      <c r="E477" s="99"/>
      <c r="F477" s="99"/>
      <c r="G477" s="99"/>
      <c r="H477" s="99"/>
      <c r="I477" s="99"/>
      <c r="J477" s="99"/>
      <c r="K477" s="99"/>
      <c r="L477" s="99"/>
      <c r="M477" s="99"/>
      <c r="N477" s="99"/>
      <c r="O477" s="99"/>
      <c r="P477" s="99"/>
      <c r="Q477" s="99"/>
      <c r="R477" s="99"/>
      <c r="S477" s="99"/>
      <c r="T477" s="99"/>
      <c r="U477" s="99"/>
      <c r="V477" s="99"/>
      <c r="W477" s="99"/>
      <c r="X477" s="99"/>
      <c r="Y477" s="99"/>
      <c r="Z477" s="99"/>
      <c r="AA477" s="99"/>
      <c r="AB477" s="99"/>
      <c r="AC477" s="99"/>
      <c r="AD477" s="99"/>
    </row>
    <row r="478" spans="1:30" ht="28.5" customHeight="1" x14ac:dyDescent="0.15">
      <c r="A478" s="99"/>
      <c r="B478" s="99"/>
      <c r="C478" s="99"/>
      <c r="D478" s="99"/>
      <c r="E478" s="99"/>
      <c r="F478" s="99"/>
      <c r="G478" s="99"/>
      <c r="H478" s="99"/>
      <c r="I478" s="99"/>
      <c r="J478" s="99"/>
      <c r="K478" s="99"/>
      <c r="L478" s="99"/>
      <c r="M478" s="99"/>
      <c r="N478" s="99"/>
      <c r="O478" s="99"/>
      <c r="P478" s="99"/>
      <c r="Q478" s="99"/>
      <c r="R478" s="99"/>
      <c r="S478" s="99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</row>
    <row r="479" spans="1:30" ht="28.5" customHeight="1" x14ac:dyDescent="0.15">
      <c r="A479" s="99"/>
      <c r="B479" s="99"/>
      <c r="C479" s="99"/>
      <c r="D479" s="99"/>
      <c r="E479" s="99"/>
      <c r="F479" s="99"/>
      <c r="G479" s="99"/>
      <c r="H479" s="99"/>
      <c r="I479" s="99"/>
      <c r="J479" s="99"/>
      <c r="K479" s="99"/>
      <c r="L479" s="99"/>
      <c r="M479" s="99"/>
      <c r="N479" s="99"/>
      <c r="O479" s="99"/>
      <c r="P479" s="99"/>
      <c r="Q479" s="99"/>
      <c r="R479" s="99"/>
      <c r="S479" s="99"/>
      <c r="T479" s="99"/>
      <c r="U479" s="99"/>
      <c r="V479" s="99"/>
      <c r="W479" s="99"/>
      <c r="X479" s="99"/>
      <c r="Y479" s="99"/>
      <c r="Z479" s="99"/>
      <c r="AA479" s="99"/>
      <c r="AB479" s="99"/>
      <c r="AC479" s="99"/>
      <c r="AD479" s="99"/>
    </row>
    <row r="480" spans="1:30" ht="28.5" customHeight="1" x14ac:dyDescent="0.15">
      <c r="A480" s="99"/>
      <c r="B480" s="99"/>
      <c r="C480" s="99"/>
      <c r="D480" s="99"/>
      <c r="E480" s="99"/>
      <c r="F480" s="99"/>
      <c r="G480" s="99"/>
      <c r="H480" s="99"/>
      <c r="I480" s="99"/>
      <c r="J480" s="99"/>
      <c r="K480" s="99"/>
      <c r="L480" s="99"/>
      <c r="M480" s="99"/>
      <c r="N480" s="99"/>
      <c r="O480" s="99"/>
      <c r="P480" s="99"/>
      <c r="Q480" s="99"/>
      <c r="R480" s="99"/>
      <c r="S480" s="99"/>
      <c r="T480" s="99"/>
      <c r="U480" s="99"/>
      <c r="V480" s="99"/>
      <c r="W480" s="99"/>
      <c r="X480" s="99"/>
      <c r="Y480" s="99"/>
      <c r="Z480" s="99"/>
      <c r="AA480" s="99"/>
      <c r="AB480" s="99"/>
      <c r="AC480" s="99"/>
      <c r="AD480" s="99"/>
    </row>
    <row r="481" spans="1:30" ht="28.5" customHeight="1" x14ac:dyDescent="0.15">
      <c r="A481" s="99"/>
      <c r="B481" s="99"/>
      <c r="C481" s="99"/>
      <c r="D481" s="99"/>
      <c r="E481" s="99"/>
      <c r="F481" s="99"/>
      <c r="G481" s="99"/>
      <c r="H481" s="99"/>
      <c r="I481" s="99"/>
      <c r="J481" s="99"/>
      <c r="K481" s="99"/>
      <c r="L481" s="99"/>
      <c r="M481" s="99"/>
      <c r="N481" s="99"/>
      <c r="O481" s="99"/>
      <c r="P481" s="99"/>
      <c r="Q481" s="99"/>
      <c r="R481" s="99"/>
      <c r="S481" s="99"/>
      <c r="T481" s="99"/>
      <c r="U481" s="99"/>
      <c r="V481" s="99"/>
      <c r="W481" s="99"/>
      <c r="X481" s="99"/>
      <c r="Y481" s="99"/>
      <c r="Z481" s="99"/>
      <c r="AA481" s="99"/>
      <c r="AB481" s="99"/>
      <c r="AC481" s="99"/>
      <c r="AD481" s="99"/>
    </row>
    <row r="482" spans="1:30" ht="28.5" customHeight="1" x14ac:dyDescent="0.15">
      <c r="A482" s="99"/>
      <c r="B482" s="99"/>
      <c r="C482" s="99"/>
      <c r="D482" s="99"/>
      <c r="E482" s="99"/>
      <c r="F482" s="99"/>
      <c r="G482" s="99"/>
      <c r="H482" s="99"/>
      <c r="I482" s="99"/>
      <c r="J482" s="99"/>
      <c r="K482" s="99"/>
      <c r="L482" s="99"/>
      <c r="M482" s="99"/>
      <c r="N482" s="99"/>
      <c r="O482" s="99"/>
      <c r="P482" s="99"/>
      <c r="Q482" s="99"/>
      <c r="R482" s="99"/>
      <c r="S482" s="99"/>
      <c r="T482" s="99"/>
      <c r="U482" s="99"/>
      <c r="V482" s="99"/>
      <c r="W482" s="99"/>
      <c r="X482" s="99"/>
      <c r="Y482" s="99"/>
      <c r="Z482" s="99"/>
      <c r="AA482" s="99"/>
      <c r="AB482" s="99"/>
      <c r="AC482" s="99"/>
      <c r="AD482" s="99"/>
    </row>
    <row r="483" spans="1:30" ht="28.5" customHeight="1" x14ac:dyDescent="0.15">
      <c r="A483" s="99"/>
      <c r="B483" s="99"/>
      <c r="C483" s="99"/>
      <c r="D483" s="99"/>
      <c r="E483" s="99"/>
      <c r="F483" s="99"/>
      <c r="G483" s="99"/>
      <c r="H483" s="99"/>
      <c r="I483" s="99"/>
      <c r="J483" s="99"/>
      <c r="K483" s="99"/>
      <c r="L483" s="99"/>
      <c r="M483" s="99"/>
      <c r="N483" s="99"/>
      <c r="O483" s="99"/>
      <c r="P483" s="99"/>
      <c r="Q483" s="99"/>
      <c r="R483" s="99"/>
      <c r="S483" s="99"/>
      <c r="T483" s="99"/>
      <c r="U483" s="99"/>
      <c r="V483" s="99"/>
      <c r="W483" s="99"/>
      <c r="X483" s="99"/>
      <c r="Y483" s="99"/>
      <c r="Z483" s="99"/>
      <c r="AA483" s="99"/>
      <c r="AB483" s="99"/>
      <c r="AC483" s="99"/>
      <c r="AD483" s="99"/>
    </row>
    <row r="484" spans="1:30" ht="28.5" customHeight="1" x14ac:dyDescent="0.15">
      <c r="A484" s="99"/>
      <c r="B484" s="99"/>
      <c r="C484" s="99"/>
      <c r="D484" s="99"/>
      <c r="E484" s="99"/>
      <c r="F484" s="99"/>
      <c r="G484" s="99"/>
      <c r="H484" s="99"/>
      <c r="I484" s="99"/>
      <c r="J484" s="99"/>
      <c r="K484" s="99"/>
      <c r="L484" s="99"/>
      <c r="M484" s="99"/>
      <c r="N484" s="99"/>
      <c r="O484" s="99"/>
      <c r="P484" s="99"/>
      <c r="Q484" s="99"/>
      <c r="R484" s="99"/>
      <c r="S484" s="99"/>
      <c r="T484" s="99"/>
      <c r="U484" s="99"/>
      <c r="V484" s="99"/>
      <c r="W484" s="99"/>
      <c r="X484" s="99"/>
      <c r="Y484" s="99"/>
      <c r="Z484" s="99"/>
      <c r="AA484" s="99"/>
      <c r="AB484" s="99"/>
      <c r="AC484" s="99"/>
      <c r="AD484" s="99"/>
    </row>
    <row r="485" spans="1:30" ht="28.5" customHeight="1" x14ac:dyDescent="0.15">
      <c r="A485" s="99"/>
      <c r="B485" s="99"/>
      <c r="C485" s="99"/>
      <c r="D485" s="99"/>
      <c r="E485" s="99"/>
      <c r="F485" s="99"/>
      <c r="G485" s="99"/>
      <c r="H485" s="99"/>
      <c r="I485" s="99"/>
      <c r="J485" s="99"/>
      <c r="K485" s="99"/>
      <c r="L485" s="99"/>
      <c r="M485" s="99"/>
      <c r="N485" s="99"/>
      <c r="O485" s="99"/>
      <c r="P485" s="99"/>
      <c r="Q485" s="99"/>
      <c r="R485" s="99"/>
      <c r="S485" s="99"/>
      <c r="T485" s="99"/>
      <c r="U485" s="99"/>
      <c r="V485" s="99"/>
      <c r="W485" s="99"/>
      <c r="X485" s="99"/>
      <c r="Y485" s="99"/>
      <c r="Z485" s="99"/>
      <c r="AA485" s="99"/>
      <c r="AB485" s="99"/>
      <c r="AC485" s="99"/>
      <c r="AD485" s="99"/>
    </row>
    <row r="486" spans="1:30" ht="28.5" customHeight="1" x14ac:dyDescent="0.15">
      <c r="A486" s="99"/>
      <c r="B486" s="99"/>
      <c r="C486" s="99"/>
      <c r="D486" s="99"/>
      <c r="E486" s="99"/>
      <c r="F486" s="99"/>
      <c r="G486" s="99"/>
      <c r="H486" s="99"/>
      <c r="I486" s="99"/>
      <c r="J486" s="99"/>
      <c r="K486" s="99"/>
      <c r="L486" s="99"/>
      <c r="M486" s="99"/>
      <c r="N486" s="99"/>
      <c r="O486" s="99"/>
      <c r="P486" s="99"/>
      <c r="Q486" s="99"/>
      <c r="R486" s="99"/>
      <c r="S486" s="99"/>
      <c r="T486" s="99"/>
      <c r="U486" s="99"/>
      <c r="V486" s="99"/>
      <c r="W486" s="99"/>
      <c r="X486" s="99"/>
      <c r="Y486" s="99"/>
      <c r="Z486" s="99"/>
      <c r="AA486" s="99"/>
      <c r="AB486" s="99"/>
      <c r="AC486" s="99"/>
      <c r="AD486" s="99"/>
    </row>
    <row r="487" spans="1:30" ht="28.5" customHeight="1" x14ac:dyDescent="0.15">
      <c r="A487" s="99"/>
      <c r="B487" s="99"/>
      <c r="C487" s="99"/>
      <c r="D487" s="99"/>
      <c r="E487" s="99"/>
      <c r="F487" s="99"/>
      <c r="G487" s="99"/>
      <c r="H487" s="99"/>
      <c r="I487" s="99"/>
      <c r="J487" s="99"/>
      <c r="K487" s="99"/>
      <c r="L487" s="99"/>
      <c r="M487" s="99"/>
      <c r="N487" s="99"/>
      <c r="O487" s="99"/>
      <c r="P487" s="99"/>
      <c r="Q487" s="99"/>
      <c r="R487" s="99"/>
      <c r="S487" s="99"/>
      <c r="T487" s="99"/>
      <c r="U487" s="99"/>
      <c r="V487" s="99"/>
      <c r="W487" s="99"/>
      <c r="X487" s="99"/>
      <c r="Y487" s="99"/>
      <c r="Z487" s="99"/>
      <c r="AA487" s="99"/>
      <c r="AB487" s="99"/>
      <c r="AC487" s="99"/>
      <c r="AD487" s="99"/>
    </row>
    <row r="488" spans="1:30" ht="28.5" customHeight="1" x14ac:dyDescent="0.15">
      <c r="A488" s="99"/>
      <c r="B488" s="99"/>
      <c r="C488" s="99"/>
      <c r="D488" s="99"/>
      <c r="E488" s="99"/>
      <c r="F488" s="99"/>
      <c r="G488" s="99"/>
      <c r="H488" s="99"/>
      <c r="I488" s="99"/>
      <c r="J488" s="99"/>
      <c r="K488" s="99"/>
      <c r="L488" s="99"/>
      <c r="M488" s="99"/>
      <c r="N488" s="99"/>
      <c r="O488" s="99"/>
      <c r="P488" s="99"/>
      <c r="Q488" s="99"/>
      <c r="R488" s="99"/>
      <c r="S488" s="99"/>
      <c r="T488" s="99"/>
      <c r="U488" s="99"/>
      <c r="V488" s="99"/>
      <c r="W488" s="99"/>
      <c r="X488" s="99"/>
      <c r="Y488" s="99"/>
      <c r="Z488" s="99"/>
      <c r="AA488" s="99"/>
      <c r="AB488" s="99"/>
      <c r="AC488" s="99"/>
      <c r="AD488" s="99"/>
    </row>
    <row r="489" spans="1:30" ht="28.5" customHeight="1" x14ac:dyDescent="0.15">
      <c r="A489" s="99"/>
      <c r="B489" s="99"/>
      <c r="C489" s="99"/>
      <c r="D489" s="99"/>
      <c r="E489" s="99"/>
      <c r="F489" s="99"/>
      <c r="G489" s="99"/>
      <c r="H489" s="99"/>
      <c r="I489" s="99"/>
      <c r="J489" s="99"/>
      <c r="K489" s="99"/>
      <c r="L489" s="99"/>
      <c r="M489" s="99"/>
      <c r="N489" s="99"/>
      <c r="O489" s="99"/>
      <c r="P489" s="99"/>
      <c r="Q489" s="99"/>
      <c r="R489" s="99"/>
      <c r="S489" s="99"/>
      <c r="T489" s="99"/>
      <c r="U489" s="99"/>
      <c r="V489" s="99"/>
      <c r="W489" s="99"/>
      <c r="X489" s="99"/>
      <c r="Y489" s="99"/>
      <c r="Z489" s="99"/>
      <c r="AA489" s="99"/>
      <c r="AB489" s="99"/>
      <c r="AC489" s="99"/>
      <c r="AD489" s="99"/>
    </row>
    <row r="490" spans="1:30" ht="28.5" customHeight="1" x14ac:dyDescent="0.15">
      <c r="A490" s="99"/>
      <c r="B490" s="99"/>
      <c r="C490" s="99"/>
      <c r="D490" s="99"/>
      <c r="E490" s="99"/>
      <c r="F490" s="99"/>
      <c r="G490" s="99"/>
      <c r="H490" s="99"/>
      <c r="I490" s="99"/>
      <c r="J490" s="99"/>
      <c r="K490" s="99"/>
      <c r="L490" s="99"/>
      <c r="M490" s="99"/>
      <c r="N490" s="99"/>
      <c r="O490" s="99"/>
      <c r="P490" s="99"/>
      <c r="Q490" s="99"/>
      <c r="R490" s="99"/>
      <c r="S490" s="99"/>
      <c r="T490" s="99"/>
      <c r="U490" s="99"/>
      <c r="V490" s="99"/>
      <c r="W490" s="99"/>
      <c r="X490" s="99"/>
      <c r="Y490" s="99"/>
      <c r="Z490" s="99"/>
      <c r="AA490" s="99"/>
      <c r="AB490" s="99"/>
      <c r="AC490" s="99"/>
      <c r="AD490" s="99"/>
    </row>
    <row r="491" spans="1:30" ht="28.5" customHeight="1" x14ac:dyDescent="0.15">
      <c r="A491" s="99"/>
      <c r="B491" s="99"/>
      <c r="C491" s="99"/>
      <c r="D491" s="99"/>
      <c r="E491" s="99"/>
      <c r="F491" s="99"/>
      <c r="G491" s="99"/>
      <c r="H491" s="99"/>
      <c r="I491" s="99"/>
      <c r="J491" s="99"/>
      <c r="K491" s="99"/>
      <c r="L491" s="99"/>
      <c r="M491" s="99"/>
      <c r="N491" s="99"/>
      <c r="O491" s="99"/>
      <c r="P491" s="99"/>
      <c r="Q491" s="99"/>
      <c r="R491" s="99"/>
      <c r="S491" s="99"/>
      <c r="T491" s="99"/>
      <c r="U491" s="99"/>
      <c r="V491" s="99"/>
      <c r="W491" s="99"/>
      <c r="X491" s="99"/>
      <c r="Y491" s="99"/>
      <c r="Z491" s="99"/>
      <c r="AA491" s="99"/>
      <c r="AB491" s="99"/>
      <c r="AC491" s="99"/>
      <c r="AD491" s="99"/>
    </row>
    <row r="492" spans="1:30" ht="28.5" customHeight="1" x14ac:dyDescent="0.15">
      <c r="A492" s="99"/>
      <c r="B492" s="99"/>
      <c r="C492" s="99"/>
      <c r="D492" s="99"/>
      <c r="E492" s="99"/>
      <c r="F492" s="99"/>
      <c r="G492" s="99"/>
      <c r="H492" s="99"/>
      <c r="I492" s="99"/>
      <c r="J492" s="99"/>
      <c r="K492" s="99"/>
      <c r="L492" s="99"/>
      <c r="M492" s="99"/>
      <c r="N492" s="99"/>
      <c r="O492" s="99"/>
      <c r="P492" s="99"/>
      <c r="Q492" s="99"/>
      <c r="R492" s="99"/>
      <c r="S492" s="99"/>
      <c r="T492" s="99"/>
      <c r="U492" s="99"/>
      <c r="V492" s="99"/>
      <c r="W492" s="99"/>
      <c r="X492" s="99"/>
      <c r="Y492" s="99"/>
      <c r="Z492" s="99"/>
      <c r="AA492" s="99"/>
      <c r="AB492" s="99"/>
      <c r="AC492" s="99"/>
      <c r="AD492" s="99"/>
    </row>
    <row r="493" spans="1:30" ht="28.5" customHeight="1" x14ac:dyDescent="0.15">
      <c r="A493" s="99"/>
      <c r="B493" s="99"/>
      <c r="C493" s="99"/>
      <c r="D493" s="99"/>
      <c r="E493" s="99"/>
      <c r="F493" s="99"/>
      <c r="G493" s="99"/>
      <c r="H493" s="99"/>
      <c r="I493" s="99"/>
      <c r="J493" s="99"/>
      <c r="K493" s="99"/>
      <c r="L493" s="99"/>
      <c r="M493" s="99"/>
      <c r="N493" s="99"/>
      <c r="O493" s="99"/>
      <c r="P493" s="99"/>
      <c r="Q493" s="99"/>
      <c r="R493" s="99"/>
      <c r="S493" s="99"/>
      <c r="T493" s="99"/>
      <c r="U493" s="99"/>
      <c r="V493" s="99"/>
      <c r="W493" s="99"/>
      <c r="X493" s="99"/>
      <c r="Y493" s="99"/>
      <c r="Z493" s="99"/>
      <c r="AA493" s="99"/>
      <c r="AB493" s="99"/>
      <c r="AC493" s="99"/>
      <c r="AD493" s="99"/>
    </row>
    <row r="494" spans="1:30" ht="28.5" customHeight="1" x14ac:dyDescent="0.15">
      <c r="A494" s="99"/>
      <c r="B494" s="99"/>
      <c r="C494" s="99"/>
      <c r="D494" s="99"/>
      <c r="E494" s="99"/>
      <c r="F494" s="99"/>
      <c r="G494" s="99"/>
      <c r="H494" s="99"/>
      <c r="I494" s="99"/>
      <c r="J494" s="99"/>
      <c r="K494" s="99"/>
      <c r="L494" s="99"/>
      <c r="M494" s="99"/>
      <c r="N494" s="99"/>
      <c r="O494" s="99"/>
      <c r="P494" s="99"/>
      <c r="Q494" s="99"/>
      <c r="R494" s="99"/>
      <c r="S494" s="99"/>
      <c r="T494" s="99"/>
      <c r="U494" s="99"/>
      <c r="V494" s="99"/>
      <c r="W494" s="99"/>
      <c r="X494" s="99"/>
      <c r="Y494" s="99"/>
      <c r="Z494" s="99"/>
      <c r="AA494" s="99"/>
      <c r="AB494" s="99"/>
      <c r="AC494" s="99"/>
      <c r="AD494" s="99"/>
    </row>
    <row r="495" spans="1:30" ht="28.5" customHeight="1" x14ac:dyDescent="0.15">
      <c r="A495" s="99"/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99"/>
      <c r="T495" s="99"/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</row>
    <row r="496" spans="1:30" ht="28.5" customHeight="1" x14ac:dyDescent="0.15">
      <c r="A496" s="99"/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99"/>
      <c r="T496" s="99"/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</row>
    <row r="497" spans="1:30" ht="28.5" customHeight="1" x14ac:dyDescent="0.15">
      <c r="A497" s="99"/>
      <c r="B497" s="99"/>
      <c r="C497" s="99"/>
      <c r="D497" s="99"/>
      <c r="E497" s="99"/>
      <c r="F497" s="99"/>
      <c r="G497" s="99"/>
      <c r="H497" s="99"/>
      <c r="I497" s="99"/>
      <c r="J497" s="99"/>
      <c r="K497" s="99"/>
      <c r="L497" s="99"/>
      <c r="M497" s="99"/>
      <c r="N497" s="99"/>
      <c r="O497" s="99"/>
      <c r="P497" s="99"/>
      <c r="Q497" s="99"/>
      <c r="R497" s="99"/>
      <c r="S497" s="99"/>
      <c r="T497" s="99"/>
      <c r="U497" s="99"/>
      <c r="V497" s="99"/>
      <c r="W497" s="99"/>
      <c r="X497" s="99"/>
      <c r="Y497" s="99"/>
      <c r="Z497" s="99"/>
      <c r="AA497" s="99"/>
      <c r="AB497" s="99"/>
      <c r="AC497" s="99"/>
      <c r="AD497" s="99"/>
    </row>
    <row r="498" spans="1:30" ht="28.5" customHeight="1" x14ac:dyDescent="0.15">
      <c r="A498" s="99"/>
      <c r="B498" s="99"/>
      <c r="C498" s="99"/>
      <c r="D498" s="99"/>
      <c r="E498" s="99"/>
      <c r="F498" s="99"/>
      <c r="G498" s="99"/>
      <c r="H498" s="99"/>
      <c r="I498" s="99"/>
      <c r="J498" s="99"/>
      <c r="K498" s="99"/>
      <c r="L498" s="99"/>
      <c r="M498" s="99"/>
      <c r="N498" s="99"/>
      <c r="O498" s="99"/>
      <c r="P498" s="99"/>
      <c r="Q498" s="99"/>
      <c r="R498" s="99"/>
      <c r="S498" s="99"/>
      <c r="T498" s="99"/>
      <c r="U498" s="99"/>
      <c r="V498" s="99"/>
      <c r="W498" s="99"/>
      <c r="X498" s="99"/>
      <c r="Y498" s="99"/>
      <c r="Z498" s="99"/>
      <c r="AA498" s="99"/>
      <c r="AB498" s="99"/>
      <c r="AC498" s="99"/>
      <c r="AD498" s="99"/>
    </row>
    <row r="499" spans="1:30" ht="28.5" customHeight="1" x14ac:dyDescent="0.15">
      <c r="A499" s="99"/>
      <c r="B499" s="99"/>
      <c r="C499" s="99"/>
      <c r="D499" s="99"/>
      <c r="E499" s="99"/>
      <c r="F499" s="99"/>
      <c r="G499" s="99"/>
      <c r="H499" s="99"/>
      <c r="I499" s="99"/>
      <c r="J499" s="99"/>
      <c r="K499" s="99"/>
      <c r="L499" s="99"/>
      <c r="M499" s="99"/>
      <c r="N499" s="99"/>
      <c r="O499" s="99"/>
      <c r="P499" s="99"/>
      <c r="Q499" s="99"/>
      <c r="R499" s="99"/>
      <c r="S499" s="99"/>
      <c r="T499" s="99"/>
      <c r="U499" s="99"/>
      <c r="V499" s="99"/>
      <c r="W499" s="99"/>
      <c r="X499" s="99"/>
      <c r="Y499" s="99"/>
      <c r="Z499" s="99"/>
      <c r="AA499" s="99"/>
      <c r="AB499" s="99"/>
      <c r="AC499" s="99"/>
      <c r="AD499" s="99"/>
    </row>
    <row r="500" spans="1:30" ht="28.5" customHeight="1" x14ac:dyDescent="0.15">
      <c r="A500" s="99"/>
      <c r="B500" s="99"/>
      <c r="C500" s="99"/>
      <c r="D500" s="99"/>
      <c r="E500" s="99"/>
      <c r="F500" s="99"/>
      <c r="G500" s="99"/>
      <c r="H500" s="99"/>
      <c r="I500" s="99"/>
      <c r="J500" s="99"/>
      <c r="K500" s="99"/>
      <c r="L500" s="99"/>
      <c r="M500" s="99"/>
      <c r="N500" s="99"/>
      <c r="O500" s="99"/>
      <c r="P500" s="99"/>
      <c r="Q500" s="99"/>
      <c r="R500" s="99"/>
      <c r="S500" s="99"/>
      <c r="T500" s="99"/>
      <c r="U500" s="99"/>
      <c r="V500" s="99"/>
      <c r="W500" s="99"/>
      <c r="X500" s="99"/>
      <c r="Y500" s="99"/>
      <c r="Z500" s="99"/>
      <c r="AA500" s="99"/>
      <c r="AB500" s="99"/>
      <c r="AC500" s="99"/>
      <c r="AD500" s="99"/>
    </row>
    <row r="501" spans="1:30" ht="28.5" customHeight="1" x14ac:dyDescent="0.15">
      <c r="A501" s="99"/>
      <c r="B501" s="99"/>
      <c r="C501" s="99"/>
      <c r="D501" s="99"/>
      <c r="E501" s="99"/>
      <c r="F501" s="99"/>
      <c r="G501" s="99"/>
      <c r="H501" s="99"/>
      <c r="I501" s="99"/>
      <c r="J501" s="99"/>
      <c r="K501" s="99"/>
      <c r="L501" s="99"/>
      <c r="M501" s="99"/>
      <c r="N501" s="99"/>
      <c r="O501" s="99"/>
      <c r="P501" s="99"/>
      <c r="Q501" s="99"/>
      <c r="R501" s="99"/>
      <c r="S501" s="99"/>
      <c r="T501" s="99"/>
      <c r="U501" s="99"/>
      <c r="V501" s="99"/>
      <c r="W501" s="99"/>
      <c r="X501" s="99"/>
      <c r="Y501" s="99"/>
      <c r="Z501" s="99"/>
      <c r="AA501" s="99"/>
      <c r="AB501" s="99"/>
      <c r="AC501" s="99"/>
      <c r="AD501" s="99"/>
    </row>
    <row r="502" spans="1:30" ht="28.5" customHeight="1" x14ac:dyDescent="0.15">
      <c r="A502" s="99"/>
      <c r="B502" s="99"/>
      <c r="C502" s="99"/>
      <c r="D502" s="99"/>
      <c r="E502" s="99"/>
      <c r="F502" s="99"/>
      <c r="G502" s="99"/>
      <c r="H502" s="99"/>
      <c r="I502" s="99"/>
      <c r="J502" s="99"/>
      <c r="K502" s="99"/>
      <c r="L502" s="99"/>
      <c r="M502" s="99"/>
      <c r="N502" s="99"/>
      <c r="O502" s="99"/>
      <c r="P502" s="99"/>
      <c r="Q502" s="99"/>
      <c r="R502" s="99"/>
      <c r="S502" s="99"/>
      <c r="T502" s="99"/>
      <c r="U502" s="99"/>
      <c r="V502" s="99"/>
      <c r="W502" s="99"/>
      <c r="X502" s="99"/>
      <c r="Y502" s="99"/>
      <c r="Z502" s="99"/>
      <c r="AA502" s="99"/>
      <c r="AB502" s="99"/>
      <c r="AC502" s="99"/>
      <c r="AD502" s="99"/>
    </row>
    <row r="503" spans="1:30" ht="28.5" customHeight="1" x14ac:dyDescent="0.15">
      <c r="A503" s="99"/>
      <c r="B503" s="99"/>
      <c r="C503" s="99"/>
      <c r="D503" s="99"/>
      <c r="E503" s="99"/>
      <c r="F503" s="99"/>
      <c r="G503" s="99"/>
      <c r="H503" s="99"/>
      <c r="I503" s="99"/>
      <c r="J503" s="99"/>
      <c r="K503" s="99"/>
      <c r="L503" s="99"/>
      <c r="M503" s="99"/>
      <c r="N503" s="99"/>
      <c r="O503" s="99"/>
      <c r="P503" s="99"/>
      <c r="Q503" s="99"/>
      <c r="R503" s="99"/>
      <c r="S503" s="99"/>
      <c r="T503" s="99"/>
      <c r="U503" s="99"/>
      <c r="V503" s="99"/>
      <c r="W503" s="99"/>
      <c r="X503" s="99"/>
      <c r="Y503" s="99"/>
      <c r="Z503" s="99"/>
      <c r="AA503" s="99"/>
      <c r="AB503" s="99"/>
      <c r="AC503" s="99"/>
      <c r="AD503" s="99"/>
    </row>
    <row r="504" spans="1:30" ht="28.5" customHeight="1" x14ac:dyDescent="0.15">
      <c r="A504" s="99"/>
      <c r="B504" s="99"/>
      <c r="C504" s="99"/>
      <c r="D504" s="99"/>
      <c r="E504" s="99"/>
      <c r="F504" s="99"/>
      <c r="G504" s="99"/>
      <c r="H504" s="99"/>
      <c r="I504" s="99"/>
      <c r="J504" s="99"/>
      <c r="K504" s="99"/>
      <c r="L504" s="99"/>
      <c r="M504" s="99"/>
      <c r="N504" s="99"/>
      <c r="O504" s="99"/>
      <c r="P504" s="99"/>
      <c r="Q504" s="99"/>
      <c r="R504" s="99"/>
      <c r="S504" s="99"/>
      <c r="T504" s="99"/>
      <c r="U504" s="99"/>
      <c r="V504" s="99"/>
      <c r="W504" s="99"/>
      <c r="X504" s="99"/>
      <c r="Y504" s="99"/>
      <c r="Z504" s="99"/>
      <c r="AA504" s="99"/>
      <c r="AB504" s="99"/>
      <c r="AC504" s="99"/>
      <c r="AD504" s="99"/>
    </row>
    <row r="505" spans="1:30" ht="28.5" customHeight="1" x14ac:dyDescent="0.15">
      <c r="A505" s="99"/>
      <c r="B505" s="99"/>
      <c r="C505" s="99"/>
      <c r="D505" s="99"/>
      <c r="E505" s="99"/>
      <c r="F505" s="99"/>
      <c r="G505" s="99"/>
      <c r="H505" s="99"/>
      <c r="I505" s="99"/>
      <c r="J505" s="99"/>
      <c r="K505" s="99"/>
      <c r="L505" s="99"/>
      <c r="M505" s="99"/>
      <c r="N505" s="99"/>
      <c r="O505" s="99"/>
      <c r="P505" s="99"/>
      <c r="Q505" s="99"/>
      <c r="R505" s="99"/>
      <c r="S505" s="99"/>
      <c r="T505" s="99"/>
      <c r="U505" s="99"/>
      <c r="V505" s="99"/>
      <c r="W505" s="99"/>
      <c r="X505" s="99"/>
      <c r="Y505" s="99"/>
      <c r="Z505" s="99"/>
      <c r="AA505" s="99"/>
      <c r="AB505" s="99"/>
      <c r="AC505" s="99"/>
      <c r="AD505" s="99"/>
    </row>
    <row r="506" spans="1:30" ht="28.5" customHeight="1" x14ac:dyDescent="0.15">
      <c r="A506" s="99"/>
      <c r="B506" s="99"/>
      <c r="C506" s="99"/>
      <c r="D506" s="99"/>
      <c r="E506" s="99"/>
      <c r="F506" s="99"/>
      <c r="G506" s="99"/>
      <c r="H506" s="99"/>
      <c r="I506" s="99"/>
      <c r="J506" s="99"/>
      <c r="K506" s="99"/>
      <c r="L506" s="99"/>
      <c r="M506" s="99"/>
      <c r="N506" s="99"/>
      <c r="O506" s="99"/>
      <c r="P506" s="99"/>
      <c r="Q506" s="99"/>
      <c r="R506" s="99"/>
      <c r="S506" s="99"/>
      <c r="T506" s="99"/>
      <c r="U506" s="99"/>
      <c r="V506" s="99"/>
      <c r="W506" s="99"/>
      <c r="X506" s="99"/>
      <c r="Y506" s="99"/>
      <c r="Z506" s="99"/>
      <c r="AA506" s="99"/>
      <c r="AB506" s="99"/>
      <c r="AC506" s="99"/>
      <c r="AD506" s="99"/>
    </row>
    <row r="507" spans="1:30" ht="28.5" customHeight="1" x14ac:dyDescent="0.15">
      <c r="A507" s="99"/>
      <c r="B507" s="99"/>
      <c r="C507" s="99"/>
      <c r="D507" s="99"/>
      <c r="E507" s="99"/>
      <c r="F507" s="99"/>
      <c r="G507" s="99"/>
      <c r="H507" s="99"/>
      <c r="I507" s="99"/>
      <c r="J507" s="99"/>
      <c r="K507" s="99"/>
      <c r="L507" s="99"/>
      <c r="M507" s="99"/>
      <c r="N507" s="99"/>
      <c r="O507" s="99"/>
      <c r="P507" s="99"/>
      <c r="Q507" s="99"/>
      <c r="R507" s="99"/>
      <c r="S507" s="99"/>
      <c r="T507" s="99"/>
      <c r="U507" s="99"/>
      <c r="V507" s="99"/>
      <c r="W507" s="99"/>
      <c r="X507" s="99"/>
      <c r="Y507" s="99"/>
      <c r="Z507" s="99"/>
      <c r="AA507" s="99"/>
      <c r="AB507" s="99"/>
      <c r="AC507" s="99"/>
      <c r="AD507" s="99"/>
    </row>
    <row r="508" spans="1:30" ht="28.5" customHeight="1" x14ac:dyDescent="0.15">
      <c r="A508" s="99"/>
      <c r="B508" s="99"/>
      <c r="C508" s="99"/>
      <c r="D508" s="99"/>
      <c r="E508" s="99"/>
      <c r="F508" s="99"/>
      <c r="G508" s="99"/>
      <c r="H508" s="99"/>
      <c r="I508" s="99"/>
      <c r="J508" s="99"/>
      <c r="K508" s="99"/>
      <c r="L508" s="99"/>
      <c r="M508" s="99"/>
      <c r="N508" s="99"/>
      <c r="O508" s="99"/>
      <c r="P508" s="99"/>
      <c r="Q508" s="99"/>
      <c r="R508" s="99"/>
      <c r="S508" s="99"/>
      <c r="T508" s="99"/>
      <c r="U508" s="99"/>
      <c r="V508" s="99"/>
      <c r="W508" s="99"/>
      <c r="X508" s="99"/>
      <c r="Y508" s="99"/>
      <c r="Z508" s="99"/>
      <c r="AA508" s="99"/>
      <c r="AB508" s="99"/>
      <c r="AC508" s="99"/>
      <c r="AD508" s="99"/>
    </row>
    <row r="509" spans="1:30" ht="28.5" customHeight="1" x14ac:dyDescent="0.15">
      <c r="A509" s="99"/>
      <c r="B509" s="99"/>
      <c r="C509" s="99"/>
      <c r="D509" s="99"/>
      <c r="E509" s="99"/>
      <c r="F509" s="99"/>
      <c r="G509" s="99"/>
      <c r="H509" s="99"/>
      <c r="I509" s="99"/>
      <c r="J509" s="99"/>
      <c r="K509" s="99"/>
      <c r="L509" s="99"/>
      <c r="M509" s="99"/>
      <c r="N509" s="99"/>
      <c r="O509" s="99"/>
      <c r="P509" s="99"/>
      <c r="Q509" s="99"/>
      <c r="R509" s="99"/>
      <c r="S509" s="99"/>
      <c r="T509" s="99"/>
      <c r="U509" s="99"/>
      <c r="V509" s="99"/>
      <c r="W509" s="99"/>
      <c r="X509" s="99"/>
      <c r="Y509" s="99"/>
      <c r="Z509" s="99"/>
      <c r="AA509" s="99"/>
      <c r="AB509" s="99"/>
      <c r="AC509" s="99"/>
      <c r="AD509" s="99"/>
    </row>
    <row r="510" spans="1:30" ht="28.5" customHeight="1" x14ac:dyDescent="0.15">
      <c r="A510" s="99"/>
      <c r="B510" s="99"/>
      <c r="C510" s="99"/>
      <c r="D510" s="99"/>
      <c r="E510" s="99"/>
      <c r="F510" s="99"/>
      <c r="G510" s="99"/>
      <c r="H510" s="99"/>
      <c r="I510" s="99"/>
      <c r="J510" s="99"/>
      <c r="K510" s="99"/>
      <c r="L510" s="99"/>
      <c r="M510" s="99"/>
      <c r="N510" s="99"/>
      <c r="O510" s="99"/>
      <c r="P510" s="99"/>
      <c r="Q510" s="99"/>
      <c r="R510" s="99"/>
      <c r="S510" s="99"/>
      <c r="T510" s="99"/>
      <c r="U510" s="99"/>
      <c r="V510" s="99"/>
      <c r="W510" s="99"/>
      <c r="X510" s="99"/>
      <c r="Y510" s="99"/>
      <c r="Z510" s="99"/>
      <c r="AA510" s="99"/>
      <c r="AB510" s="99"/>
      <c r="AC510" s="99"/>
      <c r="AD510" s="99"/>
    </row>
    <row r="511" spans="1:30" ht="28.5" customHeight="1" x14ac:dyDescent="0.15">
      <c r="A511" s="99"/>
      <c r="B511" s="99"/>
      <c r="C511" s="99"/>
      <c r="D511" s="99"/>
      <c r="E511" s="99"/>
      <c r="F511" s="99"/>
      <c r="G511" s="99"/>
      <c r="H511" s="99"/>
      <c r="I511" s="99"/>
      <c r="J511" s="99"/>
      <c r="K511" s="99"/>
      <c r="L511" s="99"/>
      <c r="M511" s="99"/>
      <c r="N511" s="99"/>
      <c r="O511" s="99"/>
      <c r="P511" s="99"/>
      <c r="Q511" s="99"/>
      <c r="R511" s="99"/>
      <c r="S511" s="99"/>
      <c r="T511" s="99"/>
      <c r="U511" s="99"/>
      <c r="V511" s="99"/>
      <c r="W511" s="99"/>
      <c r="X511" s="99"/>
      <c r="Y511" s="99"/>
      <c r="Z511" s="99"/>
      <c r="AA511" s="99"/>
      <c r="AB511" s="99"/>
      <c r="AC511" s="99"/>
      <c r="AD511" s="99"/>
    </row>
    <row r="512" spans="1:30" ht="28.5" customHeight="1" x14ac:dyDescent="0.15">
      <c r="A512" s="99"/>
      <c r="B512" s="99"/>
      <c r="C512" s="99"/>
      <c r="D512" s="99"/>
      <c r="E512" s="99"/>
      <c r="F512" s="99"/>
      <c r="G512" s="99"/>
      <c r="H512" s="99"/>
      <c r="I512" s="99"/>
      <c r="J512" s="99"/>
      <c r="K512" s="99"/>
      <c r="L512" s="99"/>
      <c r="M512" s="99"/>
      <c r="N512" s="99"/>
      <c r="O512" s="99"/>
      <c r="P512" s="99"/>
      <c r="Q512" s="99"/>
      <c r="R512" s="99"/>
      <c r="S512" s="99"/>
      <c r="T512" s="99"/>
      <c r="U512" s="99"/>
      <c r="V512" s="99"/>
      <c r="W512" s="99"/>
      <c r="X512" s="99"/>
      <c r="Y512" s="99"/>
      <c r="Z512" s="99"/>
      <c r="AA512" s="99"/>
      <c r="AB512" s="99"/>
      <c r="AC512" s="99"/>
      <c r="AD512" s="99"/>
    </row>
    <row r="513" spans="1:30" ht="28.5" customHeight="1" x14ac:dyDescent="0.15">
      <c r="A513" s="99"/>
      <c r="B513" s="99"/>
      <c r="C513" s="99"/>
      <c r="D513" s="99"/>
      <c r="E513" s="99"/>
      <c r="F513" s="99"/>
      <c r="G513" s="99"/>
      <c r="H513" s="99"/>
      <c r="I513" s="99"/>
      <c r="J513" s="99"/>
      <c r="K513" s="99"/>
      <c r="L513" s="99"/>
      <c r="M513" s="99"/>
      <c r="N513" s="99"/>
      <c r="O513" s="99"/>
      <c r="P513" s="99"/>
      <c r="Q513" s="99"/>
      <c r="R513" s="99"/>
      <c r="S513" s="99"/>
      <c r="T513" s="99"/>
      <c r="U513" s="99"/>
      <c r="V513" s="99"/>
      <c r="W513" s="99"/>
      <c r="X513" s="99"/>
      <c r="Y513" s="99"/>
      <c r="Z513" s="99"/>
      <c r="AA513" s="99"/>
      <c r="AB513" s="99"/>
      <c r="AC513" s="99"/>
      <c r="AD513" s="99"/>
    </row>
    <row r="514" spans="1:30" ht="28.5" customHeight="1" x14ac:dyDescent="0.15">
      <c r="A514" s="99"/>
      <c r="B514" s="99"/>
      <c r="C514" s="99"/>
      <c r="D514" s="99"/>
      <c r="E514" s="99"/>
      <c r="F514" s="99"/>
      <c r="G514" s="99"/>
      <c r="H514" s="99"/>
      <c r="I514" s="99"/>
      <c r="J514" s="99"/>
      <c r="K514" s="99"/>
      <c r="L514" s="99"/>
      <c r="M514" s="99"/>
      <c r="N514" s="99"/>
      <c r="O514" s="99"/>
      <c r="P514" s="99"/>
      <c r="Q514" s="99"/>
      <c r="R514" s="99"/>
      <c r="S514" s="99"/>
      <c r="T514" s="99"/>
      <c r="U514" s="99"/>
      <c r="V514" s="99"/>
      <c r="W514" s="99"/>
      <c r="X514" s="99"/>
      <c r="Y514" s="99"/>
      <c r="Z514" s="99"/>
      <c r="AA514" s="99"/>
      <c r="AB514" s="99"/>
      <c r="AC514" s="99"/>
      <c r="AD514" s="99"/>
    </row>
    <row r="515" spans="1:30" ht="28.5" customHeight="1" x14ac:dyDescent="0.15">
      <c r="A515" s="99"/>
      <c r="B515" s="99"/>
      <c r="C515" s="99"/>
      <c r="D515" s="99"/>
      <c r="E515" s="99"/>
      <c r="F515" s="99"/>
      <c r="G515" s="99"/>
      <c r="H515" s="99"/>
      <c r="I515" s="99"/>
      <c r="J515" s="99"/>
      <c r="K515" s="99"/>
      <c r="L515" s="99"/>
      <c r="M515" s="99"/>
      <c r="N515" s="99"/>
      <c r="O515" s="99"/>
      <c r="P515" s="99"/>
      <c r="Q515" s="99"/>
      <c r="R515" s="99"/>
      <c r="S515" s="99"/>
      <c r="T515" s="99"/>
      <c r="U515" s="99"/>
      <c r="V515" s="99"/>
      <c r="W515" s="99"/>
      <c r="X515" s="99"/>
      <c r="Y515" s="99"/>
      <c r="Z515" s="99"/>
      <c r="AA515" s="99"/>
      <c r="AB515" s="99"/>
      <c r="AC515" s="99"/>
      <c r="AD515" s="99"/>
    </row>
    <row r="516" spans="1:30" ht="28.5" customHeight="1" x14ac:dyDescent="0.15">
      <c r="A516" s="99"/>
      <c r="B516" s="99"/>
      <c r="C516" s="99"/>
      <c r="D516" s="99"/>
      <c r="E516" s="99"/>
      <c r="F516" s="99"/>
      <c r="G516" s="99"/>
      <c r="H516" s="99"/>
      <c r="I516" s="99"/>
      <c r="J516" s="99"/>
      <c r="K516" s="99"/>
      <c r="L516" s="99"/>
      <c r="M516" s="99"/>
      <c r="N516" s="99"/>
      <c r="O516" s="99"/>
      <c r="P516" s="99"/>
      <c r="Q516" s="99"/>
      <c r="R516" s="99"/>
      <c r="S516" s="99"/>
      <c r="T516" s="99"/>
      <c r="U516" s="99"/>
      <c r="V516" s="99"/>
      <c r="W516" s="99"/>
      <c r="X516" s="99"/>
      <c r="Y516" s="99"/>
      <c r="Z516" s="99"/>
      <c r="AA516" s="99"/>
      <c r="AB516" s="99"/>
      <c r="AC516" s="99"/>
      <c r="AD516" s="99"/>
    </row>
    <row r="517" spans="1:30" ht="28.5" customHeight="1" x14ac:dyDescent="0.15">
      <c r="A517" s="99"/>
      <c r="B517" s="99"/>
      <c r="C517" s="99"/>
      <c r="D517" s="99"/>
      <c r="E517" s="99"/>
      <c r="F517" s="99"/>
      <c r="G517" s="99"/>
      <c r="H517" s="99"/>
      <c r="I517" s="99"/>
      <c r="J517" s="99"/>
      <c r="K517" s="99"/>
      <c r="L517" s="99"/>
      <c r="M517" s="99"/>
      <c r="N517" s="99"/>
      <c r="O517" s="99"/>
      <c r="P517" s="99"/>
      <c r="Q517" s="99"/>
      <c r="R517" s="99"/>
      <c r="S517" s="99"/>
      <c r="T517" s="99"/>
      <c r="U517" s="99"/>
      <c r="V517" s="99"/>
      <c r="W517" s="99"/>
      <c r="X517" s="99"/>
      <c r="Y517" s="99"/>
      <c r="Z517" s="99"/>
      <c r="AA517" s="99"/>
      <c r="AB517" s="99"/>
      <c r="AC517" s="99"/>
      <c r="AD517" s="99"/>
    </row>
    <row r="518" spans="1:30" ht="28.5" customHeight="1" x14ac:dyDescent="0.15">
      <c r="A518" s="99"/>
      <c r="B518" s="99"/>
      <c r="C518" s="99"/>
      <c r="D518" s="99"/>
      <c r="E518" s="99"/>
      <c r="F518" s="99"/>
      <c r="G518" s="99"/>
      <c r="H518" s="99"/>
      <c r="I518" s="99"/>
      <c r="J518" s="99"/>
      <c r="K518" s="99"/>
      <c r="L518" s="99"/>
      <c r="M518" s="99"/>
      <c r="N518" s="99"/>
      <c r="O518" s="99"/>
      <c r="P518" s="99"/>
      <c r="Q518" s="99"/>
      <c r="R518" s="99"/>
      <c r="S518" s="99"/>
      <c r="T518" s="99"/>
      <c r="U518" s="99"/>
      <c r="V518" s="99"/>
      <c r="W518" s="99"/>
      <c r="X518" s="99"/>
      <c r="Y518" s="99"/>
      <c r="Z518" s="99"/>
      <c r="AA518" s="99"/>
      <c r="AB518" s="99"/>
      <c r="AC518" s="99"/>
      <c r="AD518" s="99"/>
    </row>
    <row r="519" spans="1:30" ht="28.5" customHeight="1" x14ac:dyDescent="0.15">
      <c r="A519" s="99"/>
      <c r="B519" s="99"/>
      <c r="C519" s="99"/>
      <c r="D519" s="99"/>
      <c r="E519" s="99"/>
      <c r="F519" s="99"/>
      <c r="G519" s="99"/>
      <c r="H519" s="99"/>
      <c r="I519" s="99"/>
      <c r="J519" s="99"/>
      <c r="K519" s="99"/>
      <c r="L519" s="99"/>
      <c r="M519" s="99"/>
      <c r="N519" s="99"/>
      <c r="O519" s="99"/>
      <c r="P519" s="99"/>
      <c r="Q519" s="99"/>
      <c r="R519" s="99"/>
      <c r="S519" s="99"/>
      <c r="T519" s="99"/>
      <c r="U519" s="99"/>
      <c r="V519" s="99"/>
      <c r="W519" s="99"/>
      <c r="X519" s="99"/>
      <c r="Y519" s="99"/>
      <c r="Z519" s="99"/>
      <c r="AA519" s="99"/>
      <c r="AB519" s="99"/>
      <c r="AC519" s="99"/>
      <c r="AD519" s="99"/>
    </row>
    <row r="520" spans="1:30" ht="28.5" customHeight="1" x14ac:dyDescent="0.15">
      <c r="A520" s="99"/>
      <c r="B520" s="99"/>
      <c r="C520" s="99"/>
      <c r="D520" s="99"/>
      <c r="E520" s="99"/>
      <c r="F520" s="99"/>
      <c r="G520" s="99"/>
      <c r="H520" s="99"/>
      <c r="I520" s="99"/>
      <c r="J520" s="99"/>
      <c r="K520" s="99"/>
      <c r="L520" s="99"/>
      <c r="M520" s="99"/>
      <c r="N520" s="99"/>
      <c r="O520" s="99"/>
      <c r="P520" s="99"/>
      <c r="Q520" s="99"/>
      <c r="R520" s="99"/>
      <c r="S520" s="99"/>
      <c r="T520" s="99"/>
      <c r="U520" s="99"/>
      <c r="V520" s="99"/>
      <c r="W520" s="99"/>
      <c r="X520" s="99"/>
      <c r="Y520" s="99"/>
      <c r="Z520" s="99"/>
      <c r="AA520" s="99"/>
      <c r="AB520" s="99"/>
      <c r="AC520" s="99"/>
      <c r="AD520" s="99"/>
    </row>
    <row r="521" spans="1:30" ht="28.5" customHeight="1" x14ac:dyDescent="0.15">
      <c r="A521" s="99"/>
      <c r="B521" s="99"/>
      <c r="C521" s="99"/>
      <c r="D521" s="99"/>
      <c r="E521" s="99"/>
      <c r="F521" s="99"/>
      <c r="G521" s="99"/>
      <c r="H521" s="99"/>
      <c r="I521" s="99"/>
      <c r="J521" s="99"/>
      <c r="K521" s="99"/>
      <c r="L521" s="99"/>
      <c r="M521" s="99"/>
      <c r="N521" s="99"/>
      <c r="O521" s="99"/>
      <c r="P521" s="99"/>
      <c r="Q521" s="99"/>
      <c r="R521" s="99"/>
      <c r="S521" s="99"/>
      <c r="T521" s="99"/>
      <c r="U521" s="99"/>
      <c r="V521" s="99"/>
      <c r="W521" s="99"/>
      <c r="X521" s="99"/>
      <c r="Y521" s="99"/>
      <c r="Z521" s="99"/>
      <c r="AA521" s="99"/>
      <c r="AB521" s="99"/>
      <c r="AC521" s="99"/>
      <c r="AD521" s="99"/>
    </row>
    <row r="522" spans="1:30" ht="28.5" customHeight="1" x14ac:dyDescent="0.15">
      <c r="A522" s="99"/>
      <c r="B522" s="99"/>
      <c r="C522" s="99"/>
      <c r="D522" s="99"/>
      <c r="E522" s="99"/>
      <c r="F522" s="99"/>
      <c r="G522" s="99"/>
      <c r="H522" s="99"/>
      <c r="I522" s="99"/>
      <c r="J522" s="99"/>
      <c r="K522" s="99"/>
      <c r="L522" s="99"/>
      <c r="M522" s="99"/>
      <c r="N522" s="99"/>
      <c r="O522" s="99"/>
      <c r="P522" s="99"/>
      <c r="Q522" s="99"/>
      <c r="R522" s="99"/>
      <c r="S522" s="99"/>
      <c r="T522" s="99"/>
      <c r="U522" s="99"/>
      <c r="V522" s="99"/>
      <c r="W522" s="99"/>
      <c r="X522" s="99"/>
      <c r="Y522" s="99"/>
      <c r="Z522" s="99"/>
      <c r="AA522" s="99"/>
      <c r="AB522" s="99"/>
      <c r="AC522" s="99"/>
      <c r="AD522" s="99"/>
    </row>
    <row r="523" spans="1:30" ht="28.5" customHeight="1" x14ac:dyDescent="0.15">
      <c r="A523" s="99"/>
      <c r="B523" s="99"/>
      <c r="C523" s="99"/>
      <c r="D523" s="99"/>
      <c r="E523" s="99"/>
      <c r="F523" s="99"/>
      <c r="G523" s="99"/>
      <c r="H523" s="99"/>
      <c r="I523" s="99"/>
      <c r="J523" s="99"/>
      <c r="K523" s="99"/>
      <c r="L523" s="99"/>
      <c r="M523" s="99"/>
      <c r="N523" s="99"/>
      <c r="O523" s="99"/>
      <c r="P523" s="99"/>
      <c r="Q523" s="99"/>
      <c r="R523" s="99"/>
      <c r="S523" s="99"/>
      <c r="T523" s="99"/>
      <c r="U523" s="99"/>
      <c r="V523" s="99"/>
      <c r="W523" s="99"/>
      <c r="X523" s="99"/>
      <c r="Y523" s="99"/>
      <c r="Z523" s="99"/>
      <c r="AA523" s="99"/>
      <c r="AB523" s="99"/>
      <c r="AC523" s="99"/>
      <c r="AD523" s="99"/>
    </row>
    <row r="524" spans="1:30" ht="28.5" customHeight="1" x14ac:dyDescent="0.15">
      <c r="A524" s="99"/>
      <c r="B524" s="99"/>
      <c r="C524" s="99"/>
      <c r="D524" s="99"/>
      <c r="E524" s="99"/>
      <c r="F524" s="99"/>
      <c r="G524" s="99"/>
      <c r="H524" s="99"/>
      <c r="I524" s="99"/>
      <c r="J524" s="99"/>
      <c r="K524" s="99"/>
      <c r="L524" s="99"/>
      <c r="M524" s="99"/>
      <c r="N524" s="99"/>
      <c r="O524" s="99"/>
      <c r="P524" s="99"/>
      <c r="Q524" s="99"/>
      <c r="R524" s="99"/>
      <c r="S524" s="99"/>
      <c r="T524" s="99"/>
      <c r="U524" s="99"/>
      <c r="V524" s="99"/>
      <c r="W524" s="99"/>
      <c r="X524" s="99"/>
      <c r="Y524" s="99"/>
      <c r="Z524" s="99"/>
      <c r="AA524" s="99"/>
      <c r="AB524" s="99"/>
      <c r="AC524" s="99"/>
      <c r="AD524" s="99"/>
    </row>
    <row r="525" spans="1:30" ht="28.5" customHeight="1" x14ac:dyDescent="0.15">
      <c r="A525" s="99"/>
      <c r="B525" s="99"/>
      <c r="C525" s="99"/>
      <c r="D525" s="99"/>
      <c r="E525" s="99"/>
      <c r="F525" s="99"/>
      <c r="G525" s="99"/>
      <c r="H525" s="99"/>
      <c r="I525" s="99"/>
      <c r="J525" s="99"/>
      <c r="K525" s="99"/>
      <c r="L525" s="99"/>
      <c r="M525" s="99"/>
      <c r="N525" s="99"/>
      <c r="O525" s="99"/>
      <c r="P525" s="99"/>
      <c r="Q525" s="99"/>
      <c r="R525" s="99"/>
      <c r="S525" s="99"/>
      <c r="T525" s="99"/>
      <c r="U525" s="99"/>
      <c r="V525" s="99"/>
      <c r="W525" s="99"/>
      <c r="X525" s="99"/>
      <c r="Y525" s="99"/>
      <c r="Z525" s="99"/>
      <c r="AA525" s="99"/>
      <c r="AB525" s="99"/>
      <c r="AC525" s="99"/>
      <c r="AD525" s="99"/>
    </row>
    <row r="526" spans="1:30" ht="28.5" customHeight="1" x14ac:dyDescent="0.15">
      <c r="A526" s="99"/>
      <c r="B526" s="99"/>
      <c r="C526" s="99"/>
      <c r="D526" s="99"/>
      <c r="E526" s="99"/>
      <c r="F526" s="99"/>
      <c r="G526" s="99"/>
      <c r="H526" s="99"/>
      <c r="I526" s="99"/>
      <c r="J526" s="99"/>
      <c r="K526" s="99"/>
      <c r="L526" s="99"/>
      <c r="M526" s="99"/>
      <c r="N526" s="99"/>
      <c r="O526" s="99"/>
      <c r="P526" s="99"/>
      <c r="Q526" s="99"/>
      <c r="R526" s="99"/>
      <c r="S526" s="99"/>
      <c r="T526" s="99"/>
      <c r="U526" s="99"/>
      <c r="V526" s="99"/>
      <c r="W526" s="99"/>
      <c r="X526" s="99"/>
      <c r="Y526" s="99"/>
      <c r="Z526" s="99"/>
      <c r="AA526" s="99"/>
      <c r="AB526" s="99"/>
      <c r="AC526" s="99"/>
      <c r="AD526" s="99"/>
    </row>
    <row r="527" spans="1:30" ht="28.5" customHeight="1" x14ac:dyDescent="0.15">
      <c r="A527" s="99"/>
      <c r="B527" s="99"/>
      <c r="C527" s="99"/>
      <c r="D527" s="99"/>
      <c r="E527" s="99"/>
      <c r="F527" s="99"/>
      <c r="G527" s="99"/>
      <c r="H527" s="99"/>
      <c r="I527" s="99"/>
      <c r="J527" s="99"/>
      <c r="K527" s="99"/>
      <c r="L527" s="99"/>
      <c r="M527" s="99"/>
      <c r="N527" s="99"/>
      <c r="O527" s="99"/>
      <c r="P527" s="99"/>
      <c r="Q527" s="99"/>
      <c r="R527" s="99"/>
      <c r="S527" s="99"/>
      <c r="T527" s="99"/>
      <c r="U527" s="99"/>
      <c r="V527" s="99"/>
      <c r="W527" s="99"/>
      <c r="X527" s="99"/>
      <c r="Y527" s="99"/>
      <c r="Z527" s="99"/>
      <c r="AA527" s="99"/>
      <c r="AB527" s="99"/>
      <c r="AC527" s="99"/>
      <c r="AD527" s="99"/>
    </row>
    <row r="528" spans="1:30" ht="28.5" customHeight="1" x14ac:dyDescent="0.15">
      <c r="A528" s="99"/>
      <c r="B528" s="99"/>
      <c r="C528" s="99"/>
      <c r="D528" s="99"/>
      <c r="E528" s="99"/>
      <c r="F528" s="99"/>
      <c r="G528" s="99"/>
      <c r="H528" s="99"/>
      <c r="I528" s="99"/>
      <c r="J528" s="99"/>
      <c r="K528" s="99"/>
      <c r="L528" s="99"/>
      <c r="M528" s="99"/>
      <c r="N528" s="99"/>
      <c r="O528" s="99"/>
      <c r="P528" s="99"/>
      <c r="Q528" s="99"/>
      <c r="R528" s="99"/>
      <c r="S528" s="99"/>
      <c r="T528" s="99"/>
      <c r="U528" s="99"/>
      <c r="V528" s="99"/>
      <c r="W528" s="99"/>
      <c r="X528" s="99"/>
      <c r="Y528" s="99"/>
      <c r="Z528" s="99"/>
      <c r="AA528" s="99"/>
      <c r="AB528" s="99"/>
      <c r="AC528" s="99"/>
      <c r="AD528" s="99"/>
    </row>
    <row r="529" spans="1:30" ht="28.5" customHeight="1" x14ac:dyDescent="0.15">
      <c r="A529" s="99"/>
      <c r="B529" s="99"/>
      <c r="C529" s="99"/>
      <c r="D529" s="99"/>
      <c r="E529" s="99"/>
      <c r="F529" s="99"/>
      <c r="G529" s="99"/>
      <c r="H529" s="99"/>
      <c r="I529" s="99"/>
      <c r="J529" s="99"/>
      <c r="K529" s="99"/>
      <c r="L529" s="99"/>
      <c r="M529" s="99"/>
      <c r="N529" s="99"/>
      <c r="O529" s="99"/>
      <c r="P529" s="99"/>
      <c r="Q529" s="99"/>
      <c r="R529" s="99"/>
      <c r="S529" s="99"/>
      <c r="T529" s="99"/>
      <c r="U529" s="99"/>
      <c r="V529" s="99"/>
      <c r="W529" s="99"/>
      <c r="X529" s="99"/>
      <c r="Y529" s="99"/>
      <c r="Z529" s="99"/>
      <c r="AA529" s="99"/>
      <c r="AB529" s="99"/>
      <c r="AC529" s="99"/>
      <c r="AD529" s="99"/>
    </row>
    <row r="530" spans="1:30" ht="28.5" customHeight="1" x14ac:dyDescent="0.15">
      <c r="A530" s="99"/>
      <c r="B530" s="99"/>
      <c r="C530" s="99"/>
      <c r="D530" s="99"/>
      <c r="E530" s="99"/>
      <c r="F530" s="99"/>
      <c r="G530" s="99"/>
      <c r="H530" s="99"/>
      <c r="I530" s="99"/>
      <c r="J530" s="99"/>
      <c r="K530" s="99"/>
      <c r="L530" s="99"/>
      <c r="M530" s="99"/>
      <c r="N530" s="99"/>
      <c r="O530" s="99"/>
      <c r="P530" s="99"/>
      <c r="Q530" s="99"/>
      <c r="R530" s="99"/>
      <c r="S530" s="99"/>
      <c r="T530" s="99"/>
      <c r="U530" s="99"/>
      <c r="V530" s="99"/>
      <c r="W530" s="99"/>
      <c r="X530" s="99"/>
      <c r="Y530" s="99"/>
      <c r="Z530" s="99"/>
      <c r="AA530" s="99"/>
      <c r="AB530" s="99"/>
      <c r="AC530" s="99"/>
      <c r="AD530" s="99"/>
    </row>
    <row r="531" spans="1:30" ht="28.5" customHeight="1" x14ac:dyDescent="0.15">
      <c r="A531" s="99"/>
      <c r="B531" s="99"/>
      <c r="C531" s="99"/>
      <c r="D531" s="99"/>
      <c r="E531" s="99"/>
      <c r="F531" s="99"/>
      <c r="G531" s="99"/>
      <c r="H531" s="99"/>
      <c r="I531" s="99"/>
      <c r="J531" s="99"/>
      <c r="K531" s="99"/>
      <c r="L531" s="99"/>
      <c r="M531" s="99"/>
      <c r="N531" s="99"/>
      <c r="O531" s="99"/>
      <c r="P531" s="99"/>
      <c r="Q531" s="99"/>
      <c r="R531" s="99"/>
      <c r="S531" s="99"/>
      <c r="T531" s="99"/>
      <c r="U531" s="99"/>
      <c r="V531" s="99"/>
      <c r="W531" s="99"/>
      <c r="X531" s="99"/>
      <c r="Y531" s="99"/>
      <c r="Z531" s="99"/>
      <c r="AA531" s="99"/>
      <c r="AB531" s="99"/>
      <c r="AC531" s="99"/>
      <c r="AD531" s="99"/>
    </row>
    <row r="532" spans="1:30" ht="28.5" customHeight="1" x14ac:dyDescent="0.15">
      <c r="A532" s="99"/>
      <c r="B532" s="99"/>
      <c r="C532" s="99"/>
      <c r="D532" s="99"/>
      <c r="E532" s="99"/>
      <c r="F532" s="99"/>
      <c r="G532" s="99"/>
      <c r="H532" s="99"/>
      <c r="I532" s="99"/>
      <c r="J532" s="99"/>
      <c r="K532" s="99"/>
      <c r="L532" s="99"/>
      <c r="M532" s="99"/>
      <c r="N532" s="99"/>
      <c r="O532" s="99"/>
      <c r="P532" s="99"/>
      <c r="Q532" s="99"/>
      <c r="R532" s="99"/>
      <c r="S532" s="99"/>
      <c r="T532" s="99"/>
      <c r="U532" s="99"/>
      <c r="V532" s="99"/>
      <c r="W532" s="99"/>
      <c r="X532" s="99"/>
      <c r="Y532" s="99"/>
      <c r="Z532" s="99"/>
      <c r="AA532" s="99"/>
      <c r="AB532" s="99"/>
      <c r="AC532" s="99"/>
      <c r="AD532" s="99"/>
    </row>
    <row r="533" spans="1:30" ht="28.5" customHeight="1" x14ac:dyDescent="0.15">
      <c r="A533" s="99"/>
      <c r="B533" s="99"/>
      <c r="C533" s="99"/>
      <c r="D533" s="99"/>
      <c r="E533" s="99"/>
      <c r="F533" s="99"/>
      <c r="G533" s="99"/>
      <c r="H533" s="99"/>
      <c r="I533" s="99"/>
      <c r="J533" s="99"/>
      <c r="K533" s="99"/>
      <c r="L533" s="99"/>
      <c r="M533" s="99"/>
      <c r="N533" s="99"/>
      <c r="O533" s="99"/>
      <c r="P533" s="99"/>
      <c r="Q533" s="99"/>
      <c r="R533" s="99"/>
      <c r="S533" s="99"/>
      <c r="T533" s="99"/>
      <c r="U533" s="99"/>
      <c r="V533" s="99"/>
      <c r="W533" s="99"/>
      <c r="X533" s="99"/>
      <c r="Y533" s="99"/>
      <c r="Z533" s="99"/>
      <c r="AA533" s="99"/>
      <c r="AB533" s="99"/>
      <c r="AC533" s="99"/>
      <c r="AD533" s="99"/>
    </row>
    <row r="534" spans="1:30" ht="28.5" customHeight="1" x14ac:dyDescent="0.15">
      <c r="A534" s="99"/>
      <c r="B534" s="99"/>
      <c r="C534" s="99"/>
      <c r="D534" s="99"/>
      <c r="E534" s="99"/>
      <c r="F534" s="99"/>
      <c r="G534" s="99"/>
      <c r="H534" s="99"/>
      <c r="I534" s="99"/>
      <c r="J534" s="99"/>
      <c r="K534" s="99"/>
      <c r="L534" s="99"/>
      <c r="M534" s="99"/>
      <c r="N534" s="99"/>
      <c r="O534" s="99"/>
      <c r="P534" s="99"/>
      <c r="Q534" s="99"/>
      <c r="R534" s="99"/>
      <c r="S534" s="99"/>
      <c r="T534" s="99"/>
      <c r="U534" s="99"/>
      <c r="V534" s="99"/>
      <c r="W534" s="99"/>
      <c r="X534" s="99"/>
      <c r="Y534" s="99"/>
      <c r="Z534" s="99"/>
      <c r="AA534" s="99"/>
      <c r="AB534" s="99"/>
      <c r="AC534" s="99"/>
      <c r="AD534" s="99"/>
    </row>
    <row r="535" spans="1:30" ht="28.5" customHeight="1" x14ac:dyDescent="0.15">
      <c r="A535" s="99"/>
      <c r="B535" s="99"/>
      <c r="C535" s="99"/>
      <c r="D535" s="99"/>
      <c r="E535" s="99"/>
      <c r="F535" s="99"/>
      <c r="G535" s="99"/>
      <c r="H535" s="99"/>
      <c r="I535" s="99"/>
      <c r="J535" s="99"/>
      <c r="K535" s="99"/>
      <c r="L535" s="99"/>
      <c r="M535" s="99"/>
      <c r="N535" s="99"/>
      <c r="O535" s="99"/>
      <c r="P535" s="99"/>
      <c r="Q535" s="99"/>
      <c r="R535" s="99"/>
      <c r="S535" s="99"/>
      <c r="T535" s="99"/>
      <c r="U535" s="99"/>
      <c r="V535" s="99"/>
      <c r="W535" s="99"/>
      <c r="X535" s="99"/>
      <c r="Y535" s="99"/>
      <c r="Z535" s="99"/>
      <c r="AA535" s="99"/>
      <c r="AB535" s="99"/>
      <c r="AC535" s="99"/>
      <c r="AD535" s="99"/>
    </row>
    <row r="536" spans="1:30" ht="28.5" customHeight="1" x14ac:dyDescent="0.15">
      <c r="A536" s="99"/>
      <c r="B536" s="99"/>
      <c r="C536" s="99"/>
      <c r="D536" s="99"/>
      <c r="E536" s="99"/>
      <c r="F536" s="99"/>
      <c r="G536" s="99"/>
      <c r="H536" s="99"/>
      <c r="I536" s="99"/>
      <c r="J536" s="99"/>
      <c r="K536" s="99"/>
      <c r="L536" s="99"/>
      <c r="M536" s="99"/>
      <c r="N536" s="99"/>
      <c r="O536" s="99"/>
      <c r="P536" s="99"/>
      <c r="Q536" s="99"/>
      <c r="R536" s="99"/>
      <c r="S536" s="99"/>
      <c r="T536" s="99"/>
      <c r="U536" s="99"/>
      <c r="V536" s="99"/>
      <c r="W536" s="99"/>
      <c r="X536" s="99"/>
      <c r="Y536" s="99"/>
      <c r="Z536" s="99"/>
      <c r="AA536" s="99"/>
      <c r="AB536" s="99"/>
      <c r="AC536" s="99"/>
      <c r="AD536" s="99"/>
    </row>
    <row r="537" spans="1:30" ht="28.5" customHeight="1" x14ac:dyDescent="0.15">
      <c r="A537" s="99"/>
      <c r="B537" s="99"/>
      <c r="C537" s="99"/>
      <c r="D537" s="99"/>
      <c r="E537" s="99"/>
      <c r="F537" s="99"/>
      <c r="G537" s="99"/>
      <c r="H537" s="99"/>
      <c r="I537" s="99"/>
      <c r="J537" s="99"/>
      <c r="K537" s="99"/>
      <c r="L537" s="99"/>
      <c r="M537" s="99"/>
      <c r="N537" s="99"/>
      <c r="O537" s="99"/>
      <c r="P537" s="99"/>
      <c r="Q537" s="99"/>
      <c r="R537" s="99"/>
      <c r="S537" s="99"/>
      <c r="T537" s="99"/>
      <c r="U537" s="99"/>
      <c r="V537" s="99"/>
      <c r="W537" s="99"/>
      <c r="X537" s="99"/>
      <c r="Y537" s="99"/>
      <c r="Z537" s="99"/>
      <c r="AA537" s="99"/>
      <c r="AB537" s="99"/>
      <c r="AC537" s="99"/>
      <c r="AD537" s="99"/>
    </row>
    <row r="538" spans="1:30" ht="28.5" customHeight="1" x14ac:dyDescent="0.15">
      <c r="A538" s="99"/>
      <c r="B538" s="99"/>
      <c r="C538" s="99"/>
      <c r="D538" s="99"/>
      <c r="E538" s="99"/>
      <c r="F538" s="99"/>
      <c r="G538" s="99"/>
      <c r="H538" s="99"/>
      <c r="I538" s="99"/>
      <c r="J538" s="99"/>
      <c r="K538" s="99"/>
      <c r="L538" s="99"/>
      <c r="M538" s="99"/>
      <c r="N538" s="99"/>
      <c r="O538" s="99"/>
      <c r="P538" s="99"/>
      <c r="Q538" s="99"/>
      <c r="R538" s="99"/>
      <c r="S538" s="99"/>
      <c r="T538" s="99"/>
      <c r="U538" s="99"/>
      <c r="V538" s="99"/>
      <c r="W538" s="99"/>
      <c r="X538" s="99"/>
      <c r="Y538" s="99"/>
      <c r="Z538" s="99"/>
      <c r="AA538" s="99"/>
      <c r="AB538" s="99"/>
      <c r="AC538" s="99"/>
      <c r="AD538" s="99"/>
    </row>
    <row r="539" spans="1:30" ht="28.5" customHeight="1" x14ac:dyDescent="0.15">
      <c r="A539" s="99"/>
      <c r="B539" s="99"/>
      <c r="C539" s="99"/>
      <c r="D539" s="99"/>
      <c r="E539" s="99"/>
      <c r="F539" s="99"/>
      <c r="G539" s="99"/>
      <c r="H539" s="99"/>
      <c r="I539" s="99"/>
      <c r="J539" s="99"/>
      <c r="K539" s="99"/>
      <c r="L539" s="99"/>
      <c r="M539" s="99"/>
      <c r="N539" s="99"/>
      <c r="O539" s="99"/>
      <c r="P539" s="99"/>
      <c r="Q539" s="99"/>
      <c r="R539" s="99"/>
      <c r="S539" s="99"/>
      <c r="T539" s="99"/>
      <c r="U539" s="99"/>
      <c r="V539" s="99"/>
      <c r="W539" s="99"/>
      <c r="X539" s="99"/>
      <c r="Y539" s="99"/>
      <c r="Z539" s="99"/>
      <c r="AA539" s="99"/>
      <c r="AB539" s="99"/>
      <c r="AC539" s="99"/>
      <c r="AD539" s="99"/>
    </row>
    <row r="540" spans="1:30" ht="28.5" customHeight="1" x14ac:dyDescent="0.15">
      <c r="A540" s="99"/>
      <c r="B540" s="99"/>
      <c r="C540" s="99"/>
      <c r="D540" s="99"/>
      <c r="E540" s="99"/>
      <c r="F540" s="99"/>
      <c r="G540" s="99"/>
      <c r="H540" s="99"/>
      <c r="I540" s="99"/>
      <c r="J540" s="99"/>
      <c r="K540" s="99"/>
      <c r="L540" s="99"/>
      <c r="M540" s="99"/>
      <c r="N540" s="99"/>
      <c r="O540" s="99"/>
      <c r="P540" s="99"/>
      <c r="Q540" s="99"/>
      <c r="R540" s="99"/>
      <c r="S540" s="99"/>
      <c r="T540" s="99"/>
      <c r="U540" s="99"/>
      <c r="V540" s="99"/>
      <c r="W540" s="99"/>
      <c r="X540" s="99"/>
      <c r="Y540" s="99"/>
      <c r="Z540" s="99"/>
      <c r="AA540" s="99"/>
      <c r="AB540" s="99"/>
      <c r="AC540" s="99"/>
      <c r="AD540" s="99"/>
    </row>
    <row r="541" spans="1:30" ht="28.5" customHeight="1" x14ac:dyDescent="0.15">
      <c r="A541" s="99"/>
      <c r="B541" s="99"/>
      <c r="C541" s="99"/>
      <c r="D541" s="99"/>
      <c r="E541" s="99"/>
      <c r="F541" s="99"/>
      <c r="G541" s="99"/>
      <c r="H541" s="99"/>
      <c r="I541" s="99"/>
      <c r="J541" s="99"/>
      <c r="K541" s="99"/>
      <c r="L541" s="99"/>
      <c r="M541" s="99"/>
      <c r="N541" s="99"/>
      <c r="O541" s="99"/>
      <c r="P541" s="99"/>
      <c r="Q541" s="99"/>
      <c r="R541" s="99"/>
      <c r="S541" s="99"/>
      <c r="T541" s="99"/>
      <c r="U541" s="99"/>
      <c r="V541" s="99"/>
      <c r="W541" s="99"/>
      <c r="X541" s="99"/>
      <c r="Y541" s="99"/>
      <c r="Z541" s="99"/>
      <c r="AA541" s="99"/>
      <c r="AB541" s="99"/>
      <c r="AC541" s="99"/>
      <c r="AD541" s="99"/>
    </row>
    <row r="542" spans="1:30" ht="28.5" customHeight="1" x14ac:dyDescent="0.15">
      <c r="A542" s="99"/>
      <c r="B542" s="99"/>
      <c r="C542" s="99"/>
      <c r="D542" s="99"/>
      <c r="E542" s="99"/>
      <c r="F542" s="99"/>
      <c r="G542" s="99"/>
      <c r="H542" s="99"/>
      <c r="I542" s="99"/>
      <c r="J542" s="99"/>
      <c r="K542" s="99"/>
      <c r="L542" s="99"/>
      <c r="M542" s="99"/>
      <c r="N542" s="99"/>
      <c r="O542" s="99"/>
      <c r="P542" s="99"/>
      <c r="Q542" s="99"/>
      <c r="R542" s="99"/>
      <c r="S542" s="99"/>
      <c r="T542" s="99"/>
      <c r="U542" s="99"/>
      <c r="V542" s="99"/>
      <c r="W542" s="99"/>
      <c r="X542" s="99"/>
      <c r="Y542" s="99"/>
      <c r="Z542" s="99"/>
      <c r="AA542" s="99"/>
      <c r="AB542" s="99"/>
      <c r="AC542" s="99"/>
      <c r="AD542" s="99"/>
    </row>
    <row r="543" spans="1:30" ht="28.5" customHeight="1" x14ac:dyDescent="0.15">
      <c r="A543" s="99"/>
      <c r="B543" s="99"/>
      <c r="C543" s="99"/>
      <c r="D543" s="99"/>
      <c r="E543" s="99"/>
      <c r="F543" s="99"/>
      <c r="G543" s="99"/>
      <c r="H543" s="99"/>
      <c r="I543" s="99"/>
      <c r="J543" s="99"/>
      <c r="K543" s="99"/>
      <c r="L543" s="99"/>
      <c r="M543" s="99"/>
      <c r="N543" s="99"/>
      <c r="O543" s="99"/>
      <c r="P543" s="99"/>
      <c r="Q543" s="99"/>
      <c r="R543" s="99"/>
      <c r="S543" s="99"/>
      <c r="T543" s="99"/>
      <c r="U543" s="99"/>
      <c r="V543" s="99"/>
      <c r="W543" s="99"/>
      <c r="X543" s="99"/>
      <c r="Y543" s="99"/>
      <c r="Z543" s="99"/>
      <c r="AA543" s="99"/>
      <c r="AB543" s="99"/>
      <c r="AC543" s="99"/>
      <c r="AD543" s="99"/>
    </row>
    <row r="544" spans="1:30" ht="28.5" customHeight="1" x14ac:dyDescent="0.15">
      <c r="A544" s="99"/>
      <c r="B544" s="99"/>
      <c r="C544" s="99"/>
      <c r="D544" s="99"/>
      <c r="E544" s="99"/>
      <c r="F544" s="99"/>
      <c r="G544" s="99"/>
      <c r="H544" s="99"/>
      <c r="I544" s="99"/>
      <c r="J544" s="99"/>
      <c r="K544" s="99"/>
      <c r="L544" s="99"/>
      <c r="M544" s="99"/>
      <c r="N544" s="99"/>
      <c r="O544" s="99"/>
      <c r="P544" s="99"/>
      <c r="Q544" s="99"/>
      <c r="R544" s="99"/>
      <c r="S544" s="99"/>
      <c r="T544" s="99"/>
      <c r="U544" s="99"/>
      <c r="V544" s="99"/>
      <c r="W544" s="99"/>
      <c r="X544" s="99"/>
      <c r="Y544" s="99"/>
      <c r="Z544" s="99"/>
      <c r="AA544" s="99"/>
      <c r="AB544" s="99"/>
      <c r="AC544" s="99"/>
      <c r="AD544" s="99"/>
    </row>
    <row r="545" spans="1:30" ht="28.5" customHeight="1" x14ac:dyDescent="0.15">
      <c r="A545" s="99"/>
      <c r="B545" s="99"/>
      <c r="C545" s="99"/>
      <c r="D545" s="99"/>
      <c r="E545" s="99"/>
      <c r="F545" s="99"/>
      <c r="G545" s="99"/>
      <c r="H545" s="99"/>
      <c r="I545" s="99"/>
      <c r="J545" s="99"/>
      <c r="K545" s="99"/>
      <c r="L545" s="99"/>
      <c r="M545" s="99"/>
      <c r="N545" s="99"/>
      <c r="O545" s="99"/>
      <c r="P545" s="99"/>
      <c r="Q545" s="99"/>
      <c r="R545" s="99"/>
      <c r="S545" s="99"/>
      <c r="T545" s="99"/>
      <c r="U545" s="99"/>
      <c r="V545" s="99"/>
      <c r="W545" s="99"/>
      <c r="X545" s="99"/>
      <c r="Y545" s="99"/>
      <c r="Z545" s="99"/>
      <c r="AA545" s="99"/>
      <c r="AB545" s="99"/>
      <c r="AC545" s="99"/>
      <c r="AD545" s="99"/>
    </row>
    <row r="546" spans="1:30" ht="28.5" customHeight="1" x14ac:dyDescent="0.15">
      <c r="A546" s="99"/>
      <c r="B546" s="99"/>
      <c r="C546" s="99"/>
      <c r="D546" s="99"/>
      <c r="E546" s="99"/>
      <c r="F546" s="99"/>
      <c r="G546" s="99"/>
      <c r="H546" s="99"/>
      <c r="I546" s="99"/>
      <c r="J546" s="99"/>
      <c r="K546" s="99"/>
      <c r="L546" s="99"/>
      <c r="M546" s="99"/>
      <c r="N546" s="99"/>
      <c r="O546" s="99"/>
      <c r="P546" s="99"/>
      <c r="Q546" s="99"/>
      <c r="R546" s="99"/>
      <c r="S546" s="99"/>
      <c r="T546" s="99"/>
      <c r="U546" s="99"/>
      <c r="V546" s="99"/>
      <c r="W546" s="99"/>
      <c r="X546" s="99"/>
      <c r="Y546" s="99"/>
      <c r="Z546" s="99"/>
      <c r="AA546" s="99"/>
      <c r="AB546" s="99"/>
      <c r="AC546" s="99"/>
      <c r="AD546" s="99"/>
    </row>
    <row r="547" spans="1:30" ht="28.5" customHeight="1" x14ac:dyDescent="0.15">
      <c r="A547" s="99"/>
      <c r="B547" s="99"/>
      <c r="C547" s="99"/>
      <c r="D547" s="99"/>
      <c r="E547" s="99"/>
      <c r="F547" s="99"/>
      <c r="G547" s="99"/>
      <c r="H547" s="99"/>
      <c r="I547" s="99"/>
      <c r="J547" s="99"/>
      <c r="K547" s="99"/>
      <c r="L547" s="99"/>
      <c r="M547" s="99"/>
      <c r="N547" s="99"/>
      <c r="O547" s="99"/>
      <c r="P547" s="99"/>
      <c r="Q547" s="99"/>
      <c r="R547" s="99"/>
      <c r="S547" s="99"/>
      <c r="T547" s="99"/>
      <c r="U547" s="99"/>
      <c r="V547" s="99"/>
      <c r="W547" s="99"/>
      <c r="X547" s="99"/>
      <c r="Y547" s="99"/>
      <c r="Z547" s="99"/>
      <c r="AA547" s="99"/>
      <c r="AB547" s="99"/>
      <c r="AC547" s="99"/>
      <c r="AD547" s="99"/>
    </row>
    <row r="548" spans="1:30" ht="28.5" customHeight="1" x14ac:dyDescent="0.15">
      <c r="A548" s="99"/>
      <c r="B548" s="99"/>
      <c r="C548" s="99"/>
      <c r="D548" s="99"/>
      <c r="E548" s="99"/>
      <c r="F548" s="99"/>
      <c r="G548" s="99"/>
      <c r="H548" s="99"/>
      <c r="I548" s="99"/>
      <c r="J548" s="99"/>
      <c r="K548" s="99"/>
      <c r="L548" s="99"/>
      <c r="M548" s="99"/>
      <c r="N548" s="99"/>
      <c r="O548" s="99"/>
      <c r="P548" s="99"/>
      <c r="Q548" s="99"/>
      <c r="R548" s="99"/>
      <c r="S548" s="99"/>
      <c r="T548" s="99"/>
      <c r="U548" s="99"/>
      <c r="V548" s="99"/>
      <c r="W548" s="99"/>
      <c r="X548" s="99"/>
      <c r="Y548" s="99"/>
      <c r="Z548" s="99"/>
      <c r="AA548" s="99"/>
      <c r="AB548" s="99"/>
      <c r="AC548" s="99"/>
      <c r="AD548" s="99"/>
    </row>
    <row r="549" spans="1:30" ht="28.5" customHeight="1" x14ac:dyDescent="0.15">
      <c r="A549" s="99"/>
      <c r="B549" s="99"/>
      <c r="C549" s="99"/>
      <c r="D549" s="99"/>
      <c r="E549" s="99"/>
      <c r="F549" s="99"/>
      <c r="G549" s="99"/>
      <c r="H549" s="99"/>
      <c r="I549" s="99"/>
      <c r="J549" s="99"/>
      <c r="K549" s="99"/>
      <c r="L549" s="99"/>
      <c r="M549" s="99"/>
      <c r="N549" s="99"/>
      <c r="O549" s="99"/>
      <c r="P549" s="99"/>
      <c r="Q549" s="99"/>
      <c r="R549" s="99"/>
      <c r="S549" s="99"/>
      <c r="T549" s="99"/>
      <c r="U549" s="99"/>
      <c r="V549" s="99"/>
      <c r="W549" s="99"/>
      <c r="X549" s="99"/>
      <c r="Y549" s="99"/>
      <c r="Z549" s="99"/>
      <c r="AA549" s="99"/>
      <c r="AB549" s="99"/>
      <c r="AC549" s="99"/>
      <c r="AD549" s="99"/>
    </row>
    <row r="550" spans="1:30" ht="28.5" customHeight="1" x14ac:dyDescent="0.15">
      <c r="A550" s="99"/>
      <c r="B550" s="99"/>
      <c r="C550" s="99"/>
      <c r="D550" s="99"/>
      <c r="E550" s="99"/>
      <c r="F550" s="99"/>
      <c r="G550" s="99"/>
      <c r="H550" s="99"/>
      <c r="I550" s="99"/>
      <c r="J550" s="99"/>
      <c r="K550" s="99"/>
      <c r="L550" s="99"/>
      <c r="M550" s="99"/>
      <c r="N550" s="99"/>
      <c r="O550" s="99"/>
      <c r="P550" s="99"/>
      <c r="Q550" s="99"/>
      <c r="R550" s="99"/>
      <c r="S550" s="99"/>
      <c r="T550" s="99"/>
      <c r="U550" s="99"/>
      <c r="V550" s="99"/>
      <c r="W550" s="99"/>
      <c r="X550" s="99"/>
      <c r="Y550" s="99"/>
      <c r="Z550" s="99"/>
      <c r="AA550" s="99"/>
      <c r="AB550" s="99"/>
      <c r="AC550" s="99"/>
      <c r="AD550" s="99"/>
    </row>
    <row r="551" spans="1:30" ht="28.5" customHeight="1" x14ac:dyDescent="0.15">
      <c r="A551" s="99"/>
      <c r="B551" s="99"/>
      <c r="C551" s="99"/>
      <c r="D551" s="99"/>
      <c r="E551" s="99"/>
      <c r="F551" s="99"/>
      <c r="G551" s="99"/>
      <c r="H551" s="99"/>
      <c r="I551" s="99"/>
      <c r="J551" s="99"/>
      <c r="K551" s="99"/>
      <c r="L551" s="99"/>
      <c r="M551" s="99"/>
      <c r="N551" s="99"/>
      <c r="O551" s="99"/>
      <c r="P551" s="99"/>
      <c r="Q551" s="99"/>
      <c r="R551" s="99"/>
      <c r="S551" s="99"/>
      <c r="T551" s="99"/>
      <c r="U551" s="99"/>
      <c r="V551" s="99"/>
      <c r="W551" s="99"/>
      <c r="X551" s="99"/>
      <c r="Y551" s="99"/>
      <c r="Z551" s="99"/>
      <c r="AA551" s="99"/>
      <c r="AB551" s="99"/>
      <c r="AC551" s="99"/>
      <c r="AD551" s="99"/>
    </row>
    <row r="552" spans="1:30" ht="28.5" customHeight="1" x14ac:dyDescent="0.15">
      <c r="A552" s="99"/>
      <c r="B552" s="99"/>
      <c r="C552" s="99"/>
      <c r="D552" s="99"/>
      <c r="E552" s="99"/>
      <c r="F552" s="99"/>
      <c r="G552" s="99"/>
      <c r="H552" s="99"/>
      <c r="I552" s="99"/>
      <c r="J552" s="99"/>
      <c r="K552" s="99"/>
      <c r="L552" s="99"/>
      <c r="M552" s="99"/>
      <c r="N552" s="99"/>
      <c r="O552" s="99"/>
      <c r="P552" s="99"/>
      <c r="Q552" s="99"/>
      <c r="R552" s="99"/>
      <c r="S552" s="99"/>
      <c r="T552" s="99"/>
      <c r="U552" s="99"/>
      <c r="V552" s="99"/>
      <c r="W552" s="99"/>
      <c r="X552" s="99"/>
      <c r="Y552" s="99"/>
      <c r="Z552" s="99"/>
      <c r="AA552" s="99"/>
      <c r="AB552" s="99"/>
      <c r="AC552" s="99"/>
      <c r="AD552" s="99"/>
    </row>
    <row r="553" spans="1:30" ht="28.5" customHeight="1" x14ac:dyDescent="0.15">
      <c r="A553" s="99"/>
      <c r="B553" s="99"/>
      <c r="C553" s="99"/>
      <c r="D553" s="99"/>
      <c r="E553" s="99"/>
      <c r="F553" s="99"/>
      <c r="G553" s="99"/>
      <c r="H553" s="99"/>
      <c r="I553" s="99"/>
      <c r="J553" s="99"/>
      <c r="K553" s="99"/>
      <c r="L553" s="99"/>
      <c r="M553" s="99"/>
      <c r="N553" s="99"/>
      <c r="O553" s="99"/>
      <c r="P553" s="99"/>
      <c r="Q553" s="99"/>
      <c r="R553" s="99"/>
      <c r="S553" s="99"/>
      <c r="T553" s="99"/>
      <c r="U553" s="99"/>
      <c r="V553" s="99"/>
      <c r="W553" s="99"/>
      <c r="X553" s="99"/>
      <c r="Y553" s="99"/>
      <c r="Z553" s="99"/>
      <c r="AA553" s="99"/>
      <c r="AB553" s="99"/>
      <c r="AC553" s="99"/>
      <c r="AD553" s="99"/>
    </row>
    <row r="554" spans="1:30" ht="28.5" customHeight="1" x14ac:dyDescent="0.15">
      <c r="A554" s="99"/>
      <c r="B554" s="99"/>
      <c r="C554" s="99"/>
      <c r="D554" s="99"/>
      <c r="E554" s="99"/>
      <c r="F554" s="99"/>
      <c r="G554" s="99"/>
      <c r="H554" s="99"/>
      <c r="I554" s="99"/>
      <c r="J554" s="99"/>
      <c r="K554" s="99"/>
      <c r="L554" s="99"/>
      <c r="M554" s="99"/>
      <c r="N554" s="99"/>
      <c r="O554" s="99"/>
      <c r="P554" s="99"/>
      <c r="Q554" s="99"/>
      <c r="R554" s="99"/>
      <c r="S554" s="99"/>
      <c r="T554" s="99"/>
      <c r="U554" s="99"/>
      <c r="V554" s="99"/>
      <c r="W554" s="99"/>
      <c r="X554" s="99"/>
      <c r="Y554" s="99"/>
      <c r="Z554" s="99"/>
      <c r="AA554" s="99"/>
      <c r="AB554" s="99"/>
      <c r="AC554" s="99"/>
      <c r="AD554" s="99"/>
    </row>
    <row r="555" spans="1:30" ht="28.5" customHeight="1" x14ac:dyDescent="0.15">
      <c r="A555" s="99"/>
      <c r="B555" s="99"/>
      <c r="C555" s="99"/>
      <c r="D555" s="99"/>
      <c r="E555" s="99"/>
      <c r="F555" s="99"/>
      <c r="G555" s="99"/>
      <c r="H555" s="99"/>
      <c r="I555" s="99"/>
      <c r="J555" s="99"/>
      <c r="K555" s="99"/>
      <c r="L555" s="99"/>
      <c r="M555" s="99"/>
      <c r="N555" s="99"/>
      <c r="O555" s="99"/>
      <c r="P555" s="99"/>
      <c r="Q555" s="99"/>
      <c r="R555" s="99"/>
      <c r="S555" s="99"/>
      <c r="T555" s="99"/>
      <c r="U555" s="99"/>
      <c r="V555" s="99"/>
      <c r="W555" s="99"/>
      <c r="X555" s="99"/>
      <c r="Y555" s="99"/>
      <c r="Z555" s="99"/>
      <c r="AA555" s="99"/>
      <c r="AB555" s="99"/>
      <c r="AC555" s="99"/>
      <c r="AD555" s="99"/>
    </row>
    <row r="556" spans="1:30" ht="28.5" customHeight="1" x14ac:dyDescent="0.15">
      <c r="A556" s="99"/>
      <c r="B556" s="99"/>
      <c r="C556" s="99"/>
      <c r="D556" s="99"/>
      <c r="E556" s="99"/>
      <c r="F556" s="99"/>
      <c r="G556" s="99"/>
      <c r="H556" s="99"/>
      <c r="I556" s="99"/>
      <c r="J556" s="99"/>
      <c r="K556" s="99"/>
      <c r="L556" s="99"/>
      <c r="M556" s="99"/>
      <c r="N556" s="99"/>
      <c r="O556" s="99"/>
      <c r="P556" s="99"/>
      <c r="Q556" s="99"/>
      <c r="R556" s="99"/>
      <c r="S556" s="99"/>
      <c r="T556" s="99"/>
      <c r="U556" s="99"/>
      <c r="V556" s="99"/>
      <c r="W556" s="99"/>
      <c r="X556" s="99"/>
      <c r="Y556" s="99"/>
      <c r="Z556" s="99"/>
      <c r="AA556" s="99"/>
      <c r="AB556" s="99"/>
      <c r="AC556" s="99"/>
      <c r="AD556" s="99"/>
    </row>
    <row r="557" spans="1:30" ht="28.5" customHeight="1" x14ac:dyDescent="0.15">
      <c r="A557" s="99"/>
      <c r="B557" s="99"/>
      <c r="C557" s="99"/>
      <c r="D557" s="99"/>
      <c r="E557" s="99"/>
      <c r="F557" s="99"/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99"/>
      <c r="T557" s="99"/>
      <c r="U557" s="99"/>
      <c r="V557" s="99"/>
      <c r="W557" s="99"/>
      <c r="X557" s="99"/>
      <c r="Y557" s="99"/>
      <c r="Z557" s="99"/>
      <c r="AA557" s="99"/>
      <c r="AB557" s="99"/>
      <c r="AC557" s="99"/>
      <c r="AD557" s="99"/>
    </row>
    <row r="558" spans="1:30" ht="28.5" customHeight="1" x14ac:dyDescent="0.15">
      <c r="A558" s="99"/>
      <c r="B558" s="99"/>
      <c r="C558" s="99"/>
      <c r="D558" s="99"/>
      <c r="E558" s="99"/>
      <c r="F558" s="99"/>
      <c r="G558" s="99"/>
      <c r="H558" s="99"/>
      <c r="I558" s="99"/>
      <c r="J558" s="99"/>
      <c r="K558" s="99"/>
      <c r="L558" s="99"/>
      <c r="M558" s="99"/>
      <c r="N558" s="99"/>
      <c r="O558" s="99"/>
      <c r="P558" s="99"/>
      <c r="Q558" s="99"/>
      <c r="R558" s="99"/>
      <c r="S558" s="99"/>
      <c r="T558" s="99"/>
      <c r="U558" s="99"/>
      <c r="V558" s="99"/>
      <c r="W558" s="99"/>
      <c r="X558" s="99"/>
      <c r="Y558" s="99"/>
      <c r="Z558" s="99"/>
      <c r="AA558" s="99"/>
      <c r="AB558" s="99"/>
      <c r="AC558" s="99"/>
      <c r="AD558" s="99"/>
    </row>
    <row r="559" spans="1:30" ht="28.5" customHeight="1" x14ac:dyDescent="0.15">
      <c r="A559" s="99"/>
      <c r="B559" s="99"/>
      <c r="C559" s="99"/>
      <c r="D559" s="99"/>
      <c r="E559" s="99"/>
      <c r="F559" s="99"/>
      <c r="G559" s="99"/>
      <c r="H559" s="99"/>
      <c r="I559" s="99"/>
      <c r="J559" s="99"/>
      <c r="K559" s="99"/>
      <c r="L559" s="99"/>
      <c r="M559" s="99"/>
      <c r="N559" s="99"/>
      <c r="O559" s="99"/>
      <c r="P559" s="99"/>
      <c r="Q559" s="99"/>
      <c r="R559" s="99"/>
      <c r="S559" s="99"/>
      <c r="T559" s="99"/>
      <c r="U559" s="99"/>
      <c r="V559" s="99"/>
      <c r="W559" s="99"/>
      <c r="X559" s="99"/>
      <c r="Y559" s="99"/>
      <c r="Z559" s="99"/>
      <c r="AA559" s="99"/>
      <c r="AB559" s="99"/>
      <c r="AC559" s="99"/>
      <c r="AD559" s="99"/>
    </row>
    <row r="560" spans="1:30" ht="28.5" customHeight="1" x14ac:dyDescent="0.15">
      <c r="A560" s="99"/>
      <c r="B560" s="99"/>
      <c r="C560" s="99"/>
      <c r="D560" s="99"/>
      <c r="E560" s="99"/>
      <c r="F560" s="99"/>
      <c r="G560" s="99"/>
      <c r="H560" s="99"/>
      <c r="I560" s="99"/>
      <c r="J560" s="99"/>
      <c r="K560" s="99"/>
      <c r="L560" s="99"/>
      <c r="M560" s="99"/>
      <c r="N560" s="99"/>
      <c r="O560" s="99"/>
      <c r="P560" s="99"/>
      <c r="Q560" s="99"/>
      <c r="R560" s="99"/>
      <c r="S560" s="99"/>
      <c r="T560" s="99"/>
      <c r="U560" s="99"/>
      <c r="V560" s="99"/>
      <c r="W560" s="99"/>
      <c r="X560" s="99"/>
      <c r="Y560" s="99"/>
      <c r="Z560" s="99"/>
      <c r="AA560" s="99"/>
      <c r="AB560" s="99"/>
      <c r="AC560" s="99"/>
      <c r="AD560" s="99"/>
    </row>
    <row r="561" spans="1:30" ht="28.5" customHeight="1" x14ac:dyDescent="0.15">
      <c r="A561" s="99"/>
      <c r="B561" s="99"/>
      <c r="C561" s="99"/>
      <c r="D561" s="99"/>
      <c r="E561" s="99"/>
      <c r="F561" s="99"/>
      <c r="G561" s="99"/>
      <c r="H561" s="99"/>
      <c r="I561" s="99"/>
      <c r="J561" s="99"/>
      <c r="K561" s="99"/>
      <c r="L561" s="99"/>
      <c r="M561" s="99"/>
      <c r="N561" s="99"/>
      <c r="O561" s="99"/>
      <c r="P561" s="99"/>
      <c r="Q561" s="99"/>
      <c r="R561" s="99"/>
      <c r="S561" s="99"/>
      <c r="T561" s="99"/>
      <c r="U561" s="99"/>
      <c r="V561" s="99"/>
      <c r="W561" s="99"/>
      <c r="X561" s="99"/>
      <c r="Y561" s="99"/>
      <c r="Z561" s="99"/>
      <c r="AA561" s="99"/>
      <c r="AB561" s="99"/>
      <c r="AC561" s="99"/>
      <c r="AD561" s="99"/>
    </row>
    <row r="562" spans="1:30" ht="28.5" customHeight="1" x14ac:dyDescent="0.15">
      <c r="A562" s="99"/>
      <c r="B562" s="99"/>
      <c r="C562" s="99"/>
      <c r="D562" s="99"/>
      <c r="E562" s="99"/>
      <c r="F562" s="99"/>
      <c r="G562" s="99"/>
      <c r="H562" s="99"/>
      <c r="I562" s="99"/>
      <c r="J562" s="99"/>
      <c r="K562" s="99"/>
      <c r="L562" s="99"/>
      <c r="M562" s="99"/>
      <c r="N562" s="99"/>
      <c r="O562" s="99"/>
      <c r="P562" s="99"/>
      <c r="Q562" s="99"/>
      <c r="R562" s="99"/>
      <c r="S562" s="99"/>
      <c r="T562" s="99"/>
      <c r="U562" s="99"/>
      <c r="V562" s="99"/>
      <c r="W562" s="99"/>
      <c r="X562" s="99"/>
      <c r="Y562" s="99"/>
      <c r="Z562" s="99"/>
      <c r="AA562" s="99"/>
      <c r="AB562" s="99"/>
      <c r="AC562" s="99"/>
      <c r="AD562" s="99"/>
    </row>
    <row r="563" spans="1:30" ht="28.5" customHeight="1" x14ac:dyDescent="0.15">
      <c r="A563" s="99"/>
      <c r="B563" s="99"/>
      <c r="C563" s="99"/>
      <c r="D563" s="99"/>
      <c r="E563" s="99"/>
      <c r="F563" s="99"/>
      <c r="G563" s="99"/>
      <c r="H563" s="99"/>
      <c r="I563" s="99"/>
      <c r="J563" s="99"/>
      <c r="K563" s="99"/>
      <c r="L563" s="99"/>
      <c r="M563" s="99"/>
      <c r="N563" s="99"/>
      <c r="O563" s="99"/>
      <c r="P563" s="99"/>
      <c r="Q563" s="99"/>
      <c r="R563" s="99"/>
      <c r="S563" s="99"/>
      <c r="T563" s="99"/>
      <c r="U563" s="99"/>
      <c r="V563" s="99"/>
      <c r="W563" s="99"/>
      <c r="X563" s="99"/>
      <c r="Y563" s="99"/>
      <c r="Z563" s="99"/>
      <c r="AA563" s="99"/>
      <c r="AB563" s="99"/>
      <c r="AC563" s="99"/>
      <c r="AD563" s="99"/>
    </row>
    <row r="564" spans="1:30" ht="28.5" customHeight="1" x14ac:dyDescent="0.15">
      <c r="A564" s="99"/>
      <c r="B564" s="99"/>
      <c r="C564" s="99"/>
      <c r="D564" s="99"/>
      <c r="E564" s="99"/>
      <c r="F564" s="99"/>
      <c r="G564" s="99"/>
      <c r="H564" s="99"/>
      <c r="I564" s="99"/>
      <c r="J564" s="99"/>
      <c r="K564" s="99"/>
      <c r="L564" s="99"/>
      <c r="M564" s="99"/>
      <c r="N564" s="99"/>
      <c r="O564" s="99"/>
      <c r="P564" s="99"/>
      <c r="Q564" s="99"/>
      <c r="R564" s="99"/>
      <c r="S564" s="99"/>
      <c r="T564" s="99"/>
      <c r="U564" s="99"/>
      <c r="V564" s="99"/>
      <c r="W564" s="99"/>
      <c r="X564" s="99"/>
      <c r="Y564" s="99"/>
      <c r="Z564" s="99"/>
      <c r="AA564" s="99"/>
      <c r="AB564" s="99"/>
      <c r="AC564" s="99"/>
      <c r="AD564" s="99"/>
    </row>
    <row r="565" spans="1:30" ht="28.5" customHeight="1" x14ac:dyDescent="0.15">
      <c r="A565" s="99"/>
      <c r="B565" s="99"/>
      <c r="C565" s="99"/>
      <c r="D565" s="99"/>
      <c r="E565" s="99"/>
      <c r="F565" s="99"/>
      <c r="G565" s="99"/>
      <c r="H565" s="99"/>
      <c r="I565" s="99"/>
      <c r="J565" s="99"/>
      <c r="K565" s="99"/>
      <c r="L565" s="99"/>
      <c r="M565" s="99"/>
      <c r="N565" s="99"/>
      <c r="O565" s="99"/>
      <c r="P565" s="99"/>
      <c r="Q565" s="99"/>
      <c r="R565" s="99"/>
      <c r="S565" s="99"/>
      <c r="T565" s="99"/>
      <c r="U565" s="99"/>
      <c r="V565" s="99"/>
      <c r="W565" s="99"/>
      <c r="X565" s="99"/>
      <c r="Y565" s="99"/>
      <c r="Z565" s="99"/>
      <c r="AA565" s="99"/>
      <c r="AB565" s="99"/>
      <c r="AC565" s="99"/>
      <c r="AD565" s="99"/>
    </row>
    <row r="566" spans="1:30" ht="28.5" customHeight="1" x14ac:dyDescent="0.15">
      <c r="A566" s="99"/>
      <c r="B566" s="99"/>
      <c r="C566" s="99"/>
      <c r="D566" s="99"/>
      <c r="E566" s="99"/>
      <c r="F566" s="99"/>
      <c r="G566" s="99"/>
      <c r="H566" s="99"/>
      <c r="I566" s="99"/>
      <c r="J566" s="99"/>
      <c r="K566" s="99"/>
      <c r="L566" s="99"/>
      <c r="M566" s="99"/>
      <c r="N566" s="99"/>
      <c r="O566" s="99"/>
      <c r="P566" s="99"/>
      <c r="Q566" s="99"/>
      <c r="R566" s="99"/>
      <c r="S566" s="99"/>
      <c r="T566" s="99"/>
      <c r="U566" s="99"/>
      <c r="V566" s="99"/>
      <c r="W566" s="99"/>
      <c r="X566" s="99"/>
      <c r="Y566" s="99"/>
      <c r="Z566" s="99"/>
      <c r="AA566" s="99"/>
      <c r="AB566" s="99"/>
      <c r="AC566" s="99"/>
      <c r="AD566" s="99"/>
    </row>
    <row r="567" spans="1:30" ht="28.5" customHeight="1" x14ac:dyDescent="0.15">
      <c r="A567" s="99"/>
      <c r="B567" s="99"/>
      <c r="C567" s="99"/>
      <c r="D567" s="99"/>
      <c r="E567" s="99"/>
      <c r="F567" s="99"/>
      <c r="G567" s="99"/>
      <c r="H567" s="99"/>
      <c r="I567" s="99"/>
      <c r="J567" s="99"/>
      <c r="K567" s="99"/>
      <c r="L567" s="99"/>
      <c r="M567" s="99"/>
      <c r="N567" s="99"/>
      <c r="O567" s="99"/>
      <c r="P567" s="99"/>
      <c r="Q567" s="99"/>
      <c r="R567" s="99"/>
      <c r="S567" s="99"/>
      <c r="T567" s="99"/>
      <c r="U567" s="99"/>
      <c r="V567" s="99"/>
      <c r="W567" s="99"/>
      <c r="X567" s="99"/>
      <c r="Y567" s="99"/>
      <c r="Z567" s="99"/>
      <c r="AA567" s="99"/>
      <c r="AB567" s="99"/>
      <c r="AC567" s="99"/>
      <c r="AD567" s="99"/>
    </row>
    <row r="568" spans="1:30" ht="28.5" customHeight="1" x14ac:dyDescent="0.15">
      <c r="A568" s="99"/>
      <c r="B568" s="99"/>
      <c r="C568" s="99"/>
      <c r="D568" s="99"/>
      <c r="E568" s="99"/>
      <c r="F568" s="99"/>
      <c r="G568" s="99"/>
      <c r="H568" s="99"/>
      <c r="I568" s="99"/>
      <c r="J568" s="99"/>
      <c r="K568" s="99"/>
      <c r="L568" s="99"/>
      <c r="M568" s="99"/>
      <c r="N568" s="99"/>
      <c r="O568" s="99"/>
      <c r="P568" s="99"/>
      <c r="Q568" s="99"/>
      <c r="R568" s="99"/>
      <c r="S568" s="99"/>
      <c r="T568" s="99"/>
      <c r="U568" s="99"/>
      <c r="V568" s="99"/>
      <c r="W568" s="99"/>
      <c r="X568" s="99"/>
      <c r="Y568" s="99"/>
      <c r="Z568" s="99"/>
      <c r="AA568" s="99"/>
      <c r="AB568" s="99"/>
      <c r="AC568" s="99"/>
      <c r="AD568" s="99"/>
    </row>
    <row r="569" spans="1:30" ht="28.5" customHeight="1" x14ac:dyDescent="0.15">
      <c r="A569" s="99"/>
      <c r="B569" s="99"/>
      <c r="C569" s="99"/>
      <c r="D569" s="99"/>
      <c r="E569" s="99"/>
      <c r="F569" s="99"/>
      <c r="G569" s="99"/>
      <c r="H569" s="99"/>
      <c r="I569" s="99"/>
      <c r="J569" s="99"/>
      <c r="K569" s="99"/>
      <c r="L569" s="99"/>
      <c r="M569" s="99"/>
      <c r="N569" s="99"/>
      <c r="O569" s="99"/>
      <c r="P569" s="99"/>
      <c r="Q569" s="99"/>
      <c r="R569" s="99"/>
      <c r="S569" s="99"/>
      <c r="T569" s="99"/>
      <c r="U569" s="99"/>
      <c r="V569" s="99"/>
      <c r="W569" s="99"/>
      <c r="X569" s="99"/>
      <c r="Y569" s="99"/>
      <c r="Z569" s="99"/>
      <c r="AA569" s="99"/>
      <c r="AB569" s="99"/>
      <c r="AC569" s="99"/>
      <c r="AD569" s="99"/>
    </row>
    <row r="570" spans="1:30" ht="28.5" customHeight="1" x14ac:dyDescent="0.15">
      <c r="A570" s="99"/>
      <c r="B570" s="99"/>
      <c r="C570" s="99"/>
      <c r="D570" s="99"/>
      <c r="E570" s="99"/>
      <c r="F570" s="99"/>
      <c r="G570" s="99"/>
      <c r="H570" s="99"/>
      <c r="I570" s="99"/>
      <c r="J570" s="99"/>
      <c r="K570" s="99"/>
      <c r="L570" s="99"/>
      <c r="M570" s="99"/>
      <c r="N570" s="99"/>
      <c r="O570" s="99"/>
      <c r="P570" s="99"/>
      <c r="Q570" s="99"/>
      <c r="R570" s="99"/>
      <c r="S570" s="99"/>
      <c r="T570" s="99"/>
      <c r="U570" s="99"/>
      <c r="V570" s="99"/>
      <c r="W570" s="99"/>
      <c r="X570" s="99"/>
      <c r="Y570" s="99"/>
      <c r="Z570" s="99"/>
      <c r="AA570" s="99"/>
      <c r="AB570" s="99"/>
      <c r="AC570" s="99"/>
      <c r="AD570" s="99"/>
    </row>
    <row r="571" spans="1:30" ht="28.5" customHeight="1" x14ac:dyDescent="0.15">
      <c r="A571" s="99"/>
      <c r="B571" s="99"/>
      <c r="C571" s="99"/>
      <c r="D571" s="99"/>
      <c r="E571" s="99"/>
      <c r="F571" s="99"/>
      <c r="G571" s="99"/>
      <c r="H571" s="99"/>
      <c r="I571" s="99"/>
      <c r="J571" s="99"/>
      <c r="K571" s="99"/>
      <c r="L571" s="99"/>
      <c r="M571" s="99"/>
      <c r="N571" s="99"/>
      <c r="O571" s="99"/>
      <c r="P571" s="99"/>
      <c r="Q571" s="99"/>
      <c r="R571" s="99"/>
      <c r="S571" s="99"/>
      <c r="T571" s="99"/>
      <c r="U571" s="99"/>
      <c r="V571" s="99"/>
      <c r="W571" s="99"/>
      <c r="X571" s="99"/>
      <c r="Y571" s="99"/>
      <c r="Z571" s="99"/>
      <c r="AA571" s="99"/>
      <c r="AB571" s="99"/>
      <c r="AC571" s="99"/>
      <c r="AD571" s="99"/>
    </row>
    <row r="572" spans="1:30" ht="28.5" customHeight="1" x14ac:dyDescent="0.15">
      <c r="A572" s="99"/>
      <c r="B572" s="99"/>
      <c r="C572" s="99"/>
      <c r="D572" s="99"/>
      <c r="E572" s="99"/>
      <c r="F572" s="99"/>
      <c r="G572" s="99"/>
      <c r="H572" s="99"/>
      <c r="I572" s="99"/>
      <c r="J572" s="99"/>
      <c r="K572" s="99"/>
      <c r="L572" s="99"/>
      <c r="M572" s="99"/>
      <c r="N572" s="99"/>
      <c r="O572" s="99"/>
      <c r="P572" s="99"/>
      <c r="Q572" s="99"/>
      <c r="R572" s="99"/>
      <c r="S572" s="99"/>
      <c r="T572" s="99"/>
      <c r="U572" s="99"/>
      <c r="V572" s="99"/>
      <c r="W572" s="99"/>
      <c r="X572" s="99"/>
      <c r="Y572" s="99"/>
      <c r="Z572" s="99"/>
      <c r="AA572" s="99"/>
      <c r="AB572" s="99"/>
      <c r="AC572" s="99"/>
      <c r="AD572" s="99"/>
    </row>
    <row r="573" spans="1:30" ht="28.5" customHeight="1" x14ac:dyDescent="0.15">
      <c r="A573" s="99"/>
      <c r="B573" s="99"/>
      <c r="C573" s="99"/>
      <c r="D573" s="99"/>
      <c r="E573" s="99"/>
      <c r="F573" s="99"/>
      <c r="G573" s="99"/>
      <c r="H573" s="99"/>
      <c r="I573" s="99"/>
      <c r="J573" s="99"/>
      <c r="K573" s="99"/>
      <c r="L573" s="99"/>
      <c r="M573" s="99"/>
      <c r="N573" s="99"/>
      <c r="O573" s="99"/>
      <c r="P573" s="99"/>
      <c r="Q573" s="99"/>
      <c r="R573" s="99"/>
      <c r="S573" s="99"/>
      <c r="T573" s="99"/>
      <c r="U573" s="99"/>
      <c r="V573" s="99"/>
      <c r="W573" s="99"/>
      <c r="X573" s="99"/>
      <c r="Y573" s="99"/>
      <c r="Z573" s="99"/>
      <c r="AA573" s="99"/>
      <c r="AB573" s="99"/>
      <c r="AC573" s="99"/>
      <c r="AD573" s="99"/>
    </row>
    <row r="574" spans="1:30" ht="28.5" customHeight="1" x14ac:dyDescent="0.15">
      <c r="A574" s="99"/>
      <c r="B574" s="99"/>
      <c r="C574" s="99"/>
      <c r="D574" s="99"/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99"/>
      <c r="T574" s="99"/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</row>
    <row r="575" spans="1:30" ht="28.5" customHeight="1" x14ac:dyDescent="0.15">
      <c r="A575" s="99"/>
      <c r="B575" s="99"/>
      <c r="C575" s="99"/>
      <c r="D575" s="99"/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99"/>
      <c r="T575" s="99"/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</row>
    <row r="576" spans="1:30" ht="28.5" customHeight="1" x14ac:dyDescent="0.15">
      <c r="A576" s="99"/>
      <c r="B576" s="99"/>
      <c r="C576" s="99"/>
      <c r="D576" s="99"/>
      <c r="E576" s="99"/>
      <c r="F576" s="99"/>
      <c r="G576" s="99"/>
      <c r="H576" s="99"/>
      <c r="I576" s="99"/>
      <c r="J576" s="99"/>
      <c r="K576" s="99"/>
      <c r="L576" s="99"/>
      <c r="M576" s="99"/>
      <c r="N576" s="99"/>
      <c r="O576" s="99"/>
      <c r="P576" s="99"/>
      <c r="Q576" s="99"/>
      <c r="R576" s="99"/>
      <c r="S576" s="99"/>
      <c r="T576" s="99"/>
      <c r="U576" s="99"/>
      <c r="V576" s="99"/>
      <c r="W576" s="99"/>
      <c r="X576" s="99"/>
      <c r="Y576" s="99"/>
      <c r="Z576" s="99"/>
      <c r="AA576" s="99"/>
      <c r="AB576" s="99"/>
      <c r="AC576" s="99"/>
      <c r="AD576" s="99"/>
    </row>
    <row r="577" spans="1:30" ht="28.5" customHeight="1" x14ac:dyDescent="0.15">
      <c r="A577" s="99"/>
      <c r="B577" s="99"/>
      <c r="C577" s="99"/>
      <c r="D577" s="99"/>
      <c r="E577" s="99"/>
      <c r="F577" s="99"/>
      <c r="G577" s="99"/>
      <c r="H577" s="99"/>
      <c r="I577" s="99"/>
      <c r="J577" s="99"/>
      <c r="K577" s="99"/>
      <c r="L577" s="99"/>
      <c r="M577" s="99"/>
      <c r="N577" s="99"/>
      <c r="O577" s="99"/>
      <c r="P577" s="99"/>
      <c r="Q577" s="99"/>
      <c r="R577" s="99"/>
      <c r="S577" s="99"/>
      <c r="T577" s="99"/>
      <c r="U577" s="99"/>
      <c r="V577" s="99"/>
      <c r="W577" s="99"/>
      <c r="X577" s="99"/>
      <c r="Y577" s="99"/>
      <c r="Z577" s="99"/>
      <c r="AA577" s="99"/>
      <c r="AB577" s="99"/>
      <c r="AC577" s="99"/>
      <c r="AD577" s="99"/>
    </row>
    <row r="578" spans="1:30" ht="28.5" customHeight="1" x14ac:dyDescent="0.15">
      <c r="A578" s="99"/>
      <c r="B578" s="99"/>
      <c r="C578" s="99"/>
      <c r="D578" s="99"/>
      <c r="E578" s="99"/>
      <c r="F578" s="99"/>
      <c r="G578" s="99"/>
      <c r="H578" s="99"/>
      <c r="I578" s="99"/>
      <c r="J578" s="99"/>
      <c r="K578" s="99"/>
      <c r="L578" s="99"/>
      <c r="M578" s="99"/>
      <c r="N578" s="99"/>
      <c r="O578" s="99"/>
      <c r="P578" s="99"/>
      <c r="Q578" s="99"/>
      <c r="R578" s="99"/>
      <c r="S578" s="99"/>
      <c r="T578" s="99"/>
      <c r="U578" s="99"/>
      <c r="V578" s="99"/>
      <c r="W578" s="99"/>
      <c r="X578" s="99"/>
      <c r="Y578" s="99"/>
      <c r="Z578" s="99"/>
      <c r="AA578" s="99"/>
      <c r="AB578" s="99"/>
      <c r="AC578" s="99"/>
      <c r="AD578" s="99"/>
    </row>
    <row r="579" spans="1:30" ht="28.5" customHeight="1" x14ac:dyDescent="0.15">
      <c r="A579" s="99"/>
      <c r="B579" s="99"/>
      <c r="C579" s="99"/>
      <c r="D579" s="99"/>
      <c r="E579" s="99"/>
      <c r="F579" s="99"/>
      <c r="G579" s="99"/>
      <c r="H579" s="99"/>
      <c r="I579" s="99"/>
      <c r="J579" s="99"/>
      <c r="K579" s="99"/>
      <c r="L579" s="99"/>
      <c r="M579" s="99"/>
      <c r="N579" s="99"/>
      <c r="O579" s="99"/>
      <c r="P579" s="99"/>
      <c r="Q579" s="99"/>
      <c r="R579" s="99"/>
      <c r="S579" s="99"/>
      <c r="T579" s="99"/>
      <c r="U579" s="99"/>
      <c r="V579" s="99"/>
      <c r="W579" s="99"/>
      <c r="X579" s="99"/>
      <c r="Y579" s="99"/>
      <c r="Z579" s="99"/>
      <c r="AA579" s="99"/>
      <c r="AB579" s="99"/>
      <c r="AC579" s="99"/>
      <c r="AD579" s="99"/>
    </row>
    <row r="580" spans="1:30" ht="28.5" customHeight="1" x14ac:dyDescent="0.15">
      <c r="A580" s="99"/>
      <c r="B580" s="99"/>
      <c r="C580" s="99"/>
      <c r="D580" s="99"/>
      <c r="E580" s="99"/>
      <c r="F580" s="99"/>
      <c r="G580" s="99"/>
      <c r="H580" s="99"/>
      <c r="I580" s="99"/>
      <c r="J580" s="99"/>
      <c r="K580" s="99"/>
      <c r="L580" s="99"/>
      <c r="M580" s="99"/>
      <c r="N580" s="99"/>
      <c r="O580" s="99"/>
      <c r="P580" s="99"/>
      <c r="Q580" s="99"/>
      <c r="R580" s="99"/>
      <c r="S580" s="99"/>
      <c r="T580" s="99"/>
      <c r="U580" s="99"/>
      <c r="V580" s="99"/>
      <c r="W580" s="99"/>
      <c r="X580" s="99"/>
      <c r="Y580" s="99"/>
      <c r="Z580" s="99"/>
      <c r="AA580" s="99"/>
      <c r="AB580" s="99"/>
      <c r="AC580" s="99"/>
      <c r="AD580" s="99"/>
    </row>
    <row r="581" spans="1:30" ht="28.5" customHeight="1" x14ac:dyDescent="0.15">
      <c r="A581" s="99"/>
      <c r="B581" s="99"/>
      <c r="C581" s="99"/>
      <c r="D581" s="99"/>
      <c r="E581" s="99"/>
      <c r="F581" s="99"/>
      <c r="G581" s="99"/>
      <c r="H581" s="99"/>
      <c r="I581" s="99"/>
      <c r="J581" s="99"/>
      <c r="K581" s="99"/>
      <c r="L581" s="99"/>
      <c r="M581" s="99"/>
      <c r="N581" s="99"/>
      <c r="O581" s="99"/>
      <c r="P581" s="99"/>
      <c r="Q581" s="99"/>
      <c r="R581" s="99"/>
      <c r="S581" s="99"/>
      <c r="T581" s="99"/>
      <c r="U581" s="99"/>
      <c r="V581" s="99"/>
      <c r="W581" s="99"/>
      <c r="X581" s="99"/>
      <c r="Y581" s="99"/>
      <c r="Z581" s="99"/>
      <c r="AA581" s="99"/>
      <c r="AB581" s="99"/>
      <c r="AC581" s="99"/>
      <c r="AD581" s="99"/>
    </row>
    <row r="582" spans="1:30" ht="28.5" customHeight="1" x14ac:dyDescent="0.15">
      <c r="A582" s="99"/>
      <c r="B582" s="99"/>
      <c r="C582" s="99"/>
      <c r="D582" s="99"/>
      <c r="E582" s="99"/>
      <c r="F582" s="99"/>
      <c r="G582" s="99"/>
      <c r="H582" s="99"/>
      <c r="I582" s="99"/>
      <c r="J582" s="99"/>
      <c r="K582" s="99"/>
      <c r="L582" s="99"/>
      <c r="M582" s="99"/>
      <c r="N582" s="99"/>
      <c r="O582" s="99"/>
      <c r="P582" s="99"/>
      <c r="Q582" s="99"/>
      <c r="R582" s="99"/>
      <c r="S582" s="99"/>
      <c r="T582" s="99"/>
      <c r="U582" s="99"/>
      <c r="V582" s="99"/>
      <c r="W582" s="99"/>
      <c r="X582" s="99"/>
      <c r="Y582" s="99"/>
      <c r="Z582" s="99"/>
      <c r="AA582" s="99"/>
      <c r="AB582" s="99"/>
      <c r="AC582" s="99"/>
      <c r="AD582" s="99"/>
    </row>
    <row r="583" spans="1:30" ht="28.5" customHeight="1" x14ac:dyDescent="0.15">
      <c r="A583" s="99"/>
      <c r="B583" s="99"/>
      <c r="C583" s="99"/>
      <c r="D583" s="99"/>
      <c r="E583" s="99"/>
      <c r="F583" s="99"/>
      <c r="G583" s="99"/>
      <c r="H583" s="99"/>
      <c r="I583" s="99"/>
      <c r="J583" s="99"/>
      <c r="K583" s="99"/>
      <c r="L583" s="99"/>
      <c r="M583" s="99"/>
      <c r="N583" s="99"/>
      <c r="O583" s="99"/>
      <c r="P583" s="99"/>
      <c r="Q583" s="99"/>
      <c r="R583" s="99"/>
      <c r="S583" s="99"/>
      <c r="T583" s="99"/>
      <c r="U583" s="99"/>
      <c r="V583" s="99"/>
      <c r="W583" s="99"/>
      <c r="X583" s="99"/>
      <c r="Y583" s="99"/>
      <c r="Z583" s="99"/>
      <c r="AA583" s="99"/>
      <c r="AB583" s="99"/>
      <c r="AC583" s="99"/>
      <c r="AD583" s="99"/>
    </row>
    <row r="584" spans="1:30" ht="28.5" customHeight="1" x14ac:dyDescent="0.15">
      <c r="A584" s="99"/>
      <c r="B584" s="99"/>
      <c r="C584" s="99"/>
      <c r="D584" s="99"/>
      <c r="E584" s="99"/>
      <c r="F584" s="99"/>
      <c r="G584" s="99"/>
      <c r="H584" s="99"/>
      <c r="I584" s="99"/>
      <c r="J584" s="99"/>
      <c r="K584" s="99"/>
      <c r="L584" s="99"/>
      <c r="M584" s="99"/>
      <c r="N584" s="99"/>
      <c r="O584" s="99"/>
      <c r="P584" s="99"/>
      <c r="Q584" s="99"/>
      <c r="R584" s="99"/>
      <c r="S584" s="99"/>
      <c r="T584" s="99"/>
      <c r="U584" s="99"/>
      <c r="V584" s="99"/>
      <c r="W584" s="99"/>
      <c r="X584" s="99"/>
      <c r="Y584" s="99"/>
      <c r="Z584" s="99"/>
      <c r="AA584" s="99"/>
      <c r="AB584" s="99"/>
      <c r="AC584" s="99"/>
      <c r="AD584" s="99"/>
    </row>
    <row r="585" spans="1:30" ht="28.5" customHeight="1" x14ac:dyDescent="0.15">
      <c r="A585" s="99"/>
      <c r="B585" s="99"/>
      <c r="C585" s="99"/>
      <c r="D585" s="99"/>
      <c r="E585" s="99"/>
      <c r="F585" s="99"/>
      <c r="G585" s="99"/>
      <c r="H585" s="99"/>
      <c r="I585" s="99"/>
      <c r="J585" s="99"/>
      <c r="K585" s="99"/>
      <c r="L585" s="99"/>
      <c r="M585" s="99"/>
      <c r="N585" s="99"/>
      <c r="O585" s="99"/>
      <c r="P585" s="99"/>
      <c r="Q585" s="99"/>
      <c r="R585" s="99"/>
      <c r="S585" s="99"/>
      <c r="T585" s="99"/>
      <c r="U585" s="99"/>
      <c r="V585" s="99"/>
      <c r="W585" s="99"/>
      <c r="X585" s="99"/>
      <c r="Y585" s="99"/>
      <c r="Z585" s="99"/>
      <c r="AA585" s="99"/>
      <c r="AB585" s="99"/>
      <c r="AC585" s="99"/>
      <c r="AD585" s="99"/>
    </row>
    <row r="586" spans="1:30" ht="28.5" customHeight="1" x14ac:dyDescent="0.15">
      <c r="A586" s="99"/>
      <c r="B586" s="99"/>
      <c r="C586" s="99"/>
      <c r="D586" s="99"/>
      <c r="E586" s="99"/>
      <c r="F586" s="99"/>
      <c r="G586" s="99"/>
      <c r="H586" s="99"/>
      <c r="I586" s="99"/>
      <c r="J586" s="99"/>
      <c r="K586" s="99"/>
      <c r="L586" s="99"/>
      <c r="M586" s="99"/>
      <c r="N586" s="99"/>
      <c r="O586" s="99"/>
      <c r="P586" s="99"/>
      <c r="Q586" s="99"/>
      <c r="R586" s="99"/>
      <c r="S586" s="99"/>
      <c r="T586" s="99"/>
      <c r="U586" s="99"/>
      <c r="V586" s="99"/>
      <c r="W586" s="99"/>
      <c r="X586" s="99"/>
      <c r="Y586" s="99"/>
      <c r="Z586" s="99"/>
      <c r="AA586" s="99"/>
      <c r="AB586" s="99"/>
      <c r="AC586" s="99"/>
      <c r="AD586" s="99"/>
    </row>
    <row r="587" spans="1:30" ht="28.5" customHeight="1" x14ac:dyDescent="0.15">
      <c r="A587" s="99"/>
      <c r="B587" s="99"/>
      <c r="C587" s="99"/>
      <c r="D587" s="99"/>
      <c r="E587" s="99"/>
      <c r="F587" s="99"/>
      <c r="G587" s="99"/>
      <c r="H587" s="99"/>
      <c r="I587" s="99"/>
      <c r="J587" s="99"/>
      <c r="K587" s="99"/>
      <c r="L587" s="99"/>
      <c r="M587" s="99"/>
      <c r="N587" s="99"/>
      <c r="O587" s="99"/>
      <c r="P587" s="99"/>
      <c r="Q587" s="99"/>
      <c r="R587" s="99"/>
      <c r="S587" s="99"/>
      <c r="T587" s="99"/>
      <c r="U587" s="99"/>
      <c r="V587" s="99"/>
      <c r="W587" s="99"/>
      <c r="X587" s="99"/>
      <c r="Y587" s="99"/>
      <c r="Z587" s="99"/>
      <c r="AA587" s="99"/>
      <c r="AB587" s="99"/>
      <c r="AC587" s="99"/>
      <c r="AD587" s="99"/>
    </row>
    <row r="588" spans="1:30" ht="28.5" customHeight="1" x14ac:dyDescent="0.15">
      <c r="A588" s="99"/>
      <c r="B588" s="99"/>
      <c r="C588" s="99"/>
      <c r="D588" s="99"/>
      <c r="E588" s="99"/>
      <c r="F588" s="99"/>
      <c r="G588" s="99"/>
      <c r="H588" s="99"/>
      <c r="I588" s="99"/>
      <c r="J588" s="99"/>
      <c r="K588" s="99"/>
      <c r="L588" s="99"/>
      <c r="M588" s="99"/>
      <c r="N588" s="99"/>
      <c r="O588" s="99"/>
      <c r="P588" s="99"/>
      <c r="Q588" s="99"/>
      <c r="R588" s="99"/>
      <c r="S588" s="99"/>
      <c r="T588" s="99"/>
      <c r="U588" s="99"/>
      <c r="V588" s="99"/>
      <c r="W588" s="99"/>
      <c r="X588" s="99"/>
      <c r="Y588" s="99"/>
      <c r="Z588" s="99"/>
      <c r="AA588" s="99"/>
      <c r="AB588" s="99"/>
      <c r="AC588" s="99"/>
      <c r="AD588" s="99"/>
    </row>
    <row r="589" spans="1:30" ht="28.5" customHeight="1" x14ac:dyDescent="0.15">
      <c r="A589" s="99"/>
      <c r="B589" s="99"/>
      <c r="C589" s="99"/>
      <c r="D589" s="99"/>
      <c r="E589" s="99"/>
      <c r="F589" s="99"/>
      <c r="G589" s="99"/>
      <c r="H589" s="99"/>
      <c r="I589" s="99"/>
      <c r="J589" s="99"/>
      <c r="K589" s="99"/>
      <c r="L589" s="99"/>
      <c r="M589" s="99"/>
      <c r="N589" s="99"/>
      <c r="O589" s="99"/>
      <c r="P589" s="99"/>
      <c r="Q589" s="99"/>
      <c r="R589" s="99"/>
      <c r="S589" s="99"/>
      <c r="T589" s="99"/>
      <c r="U589" s="99"/>
      <c r="V589" s="99"/>
      <c r="W589" s="99"/>
      <c r="X589" s="99"/>
      <c r="Y589" s="99"/>
      <c r="Z589" s="99"/>
      <c r="AA589" s="99"/>
      <c r="AB589" s="99"/>
      <c r="AC589" s="99"/>
      <c r="AD589" s="99"/>
    </row>
    <row r="590" spans="1:30" ht="28.5" customHeight="1" x14ac:dyDescent="0.15">
      <c r="A590" s="99"/>
      <c r="B590" s="99"/>
      <c r="C590" s="99"/>
      <c r="D590" s="99"/>
      <c r="E590" s="99"/>
      <c r="F590" s="99"/>
      <c r="G590" s="99"/>
      <c r="H590" s="99"/>
      <c r="I590" s="99"/>
      <c r="J590" s="99"/>
      <c r="K590" s="99"/>
      <c r="L590" s="99"/>
      <c r="M590" s="99"/>
      <c r="N590" s="99"/>
      <c r="O590" s="99"/>
      <c r="P590" s="99"/>
      <c r="Q590" s="99"/>
      <c r="R590" s="99"/>
      <c r="S590" s="99"/>
      <c r="T590" s="99"/>
      <c r="U590" s="99"/>
      <c r="V590" s="99"/>
      <c r="W590" s="99"/>
      <c r="X590" s="99"/>
      <c r="Y590" s="99"/>
      <c r="Z590" s="99"/>
      <c r="AA590" s="99"/>
      <c r="AB590" s="99"/>
      <c r="AC590" s="99"/>
      <c r="AD590" s="99"/>
    </row>
    <row r="591" spans="1:30" ht="28.5" customHeight="1" x14ac:dyDescent="0.15">
      <c r="A591" s="99"/>
      <c r="B591" s="99"/>
      <c r="C591" s="99"/>
      <c r="D591" s="99"/>
      <c r="E591" s="99"/>
      <c r="F591" s="99"/>
      <c r="G591" s="99"/>
      <c r="H591" s="99"/>
      <c r="I591" s="99"/>
      <c r="J591" s="99"/>
      <c r="K591" s="99"/>
      <c r="L591" s="99"/>
      <c r="M591" s="99"/>
      <c r="N591" s="99"/>
      <c r="O591" s="99"/>
      <c r="P591" s="99"/>
      <c r="Q591" s="99"/>
      <c r="R591" s="99"/>
      <c r="S591" s="99"/>
      <c r="T591" s="99"/>
      <c r="U591" s="99"/>
      <c r="V591" s="99"/>
      <c r="W591" s="99"/>
      <c r="X591" s="99"/>
      <c r="Y591" s="99"/>
      <c r="Z591" s="99"/>
      <c r="AA591" s="99"/>
      <c r="AB591" s="99"/>
      <c r="AC591" s="99"/>
      <c r="AD591" s="99"/>
    </row>
    <row r="592" spans="1:30" ht="28.5" customHeight="1" x14ac:dyDescent="0.15">
      <c r="A592" s="99"/>
      <c r="B592" s="99"/>
      <c r="C592" s="99"/>
      <c r="D592" s="99"/>
      <c r="E592" s="99"/>
      <c r="F592" s="99"/>
      <c r="G592" s="99"/>
      <c r="H592" s="99"/>
      <c r="I592" s="99"/>
      <c r="J592" s="99"/>
      <c r="K592" s="99"/>
      <c r="L592" s="99"/>
      <c r="M592" s="99"/>
      <c r="N592" s="99"/>
      <c r="O592" s="99"/>
      <c r="P592" s="99"/>
      <c r="Q592" s="99"/>
      <c r="R592" s="99"/>
      <c r="S592" s="99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</row>
    <row r="593" spans="1:30" ht="28.5" customHeight="1" x14ac:dyDescent="0.15">
      <c r="A593" s="99"/>
      <c r="B593" s="99"/>
      <c r="C593" s="99"/>
      <c r="D593" s="99"/>
      <c r="E593" s="99"/>
      <c r="F593" s="99"/>
      <c r="G593" s="99"/>
      <c r="H593" s="99"/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99"/>
      <c r="T593" s="99"/>
      <c r="U593" s="99"/>
      <c r="V593" s="99"/>
      <c r="W593" s="99"/>
      <c r="X593" s="99"/>
      <c r="Y593" s="99"/>
      <c r="Z593" s="99"/>
      <c r="AA593" s="99"/>
      <c r="AB593" s="99"/>
      <c r="AC593" s="99"/>
      <c r="AD593" s="99"/>
    </row>
    <row r="594" spans="1:30" ht="28.5" customHeight="1" x14ac:dyDescent="0.15">
      <c r="A594" s="99"/>
      <c r="B594" s="99"/>
      <c r="C594" s="99"/>
      <c r="D594" s="99"/>
      <c r="E594" s="99"/>
      <c r="F594" s="99"/>
      <c r="G594" s="99"/>
      <c r="H594" s="99"/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99"/>
      <c r="T594" s="99"/>
      <c r="U594" s="99"/>
      <c r="V594" s="99"/>
      <c r="W594" s="99"/>
      <c r="X594" s="99"/>
      <c r="Y594" s="99"/>
      <c r="Z594" s="99"/>
      <c r="AA594" s="99"/>
      <c r="AB594" s="99"/>
      <c r="AC594" s="99"/>
      <c r="AD594" s="99"/>
    </row>
    <row r="595" spans="1:30" ht="28.5" customHeight="1" x14ac:dyDescent="0.15">
      <c r="A595" s="99"/>
      <c r="B595" s="99"/>
      <c r="C595" s="99"/>
      <c r="D595" s="99"/>
      <c r="E595" s="99"/>
      <c r="F595" s="99"/>
      <c r="G595" s="99"/>
      <c r="H595" s="99"/>
      <c r="I595" s="99"/>
      <c r="J595" s="99"/>
      <c r="K595" s="99"/>
      <c r="L595" s="99"/>
      <c r="M595" s="99"/>
      <c r="N595" s="99"/>
      <c r="O595" s="99"/>
      <c r="P595" s="99"/>
      <c r="Q595" s="99"/>
      <c r="R595" s="99"/>
      <c r="S595" s="99"/>
      <c r="T595" s="99"/>
      <c r="U595" s="99"/>
      <c r="V595" s="99"/>
      <c r="W595" s="99"/>
      <c r="X595" s="99"/>
      <c r="Y595" s="99"/>
      <c r="Z595" s="99"/>
      <c r="AA595" s="99"/>
      <c r="AB595" s="99"/>
      <c r="AC595" s="99"/>
      <c r="AD595" s="99"/>
    </row>
    <row r="596" spans="1:30" ht="28.5" customHeight="1" x14ac:dyDescent="0.15">
      <c r="A596" s="99"/>
      <c r="B596" s="99"/>
      <c r="C596" s="99"/>
      <c r="D596" s="99"/>
      <c r="E596" s="99"/>
      <c r="F596" s="99"/>
      <c r="G596" s="99"/>
      <c r="H596" s="99"/>
      <c r="I596" s="99"/>
      <c r="J596" s="99"/>
      <c r="K596" s="99"/>
      <c r="L596" s="99"/>
      <c r="M596" s="99"/>
      <c r="N596" s="99"/>
      <c r="O596" s="99"/>
      <c r="P596" s="99"/>
      <c r="Q596" s="99"/>
      <c r="R596" s="99"/>
      <c r="S596" s="99"/>
      <c r="T596" s="99"/>
      <c r="U596" s="99"/>
      <c r="V596" s="99"/>
      <c r="W596" s="99"/>
      <c r="X596" s="99"/>
      <c r="Y596" s="99"/>
      <c r="Z596" s="99"/>
      <c r="AA596" s="99"/>
      <c r="AB596" s="99"/>
      <c r="AC596" s="99"/>
      <c r="AD596" s="99"/>
    </row>
    <row r="597" spans="1:30" ht="28.5" customHeight="1" x14ac:dyDescent="0.15">
      <c r="A597" s="99"/>
      <c r="B597" s="99"/>
      <c r="C597" s="99"/>
      <c r="D597" s="99"/>
      <c r="E597" s="99"/>
      <c r="F597" s="99"/>
      <c r="G597" s="99"/>
      <c r="H597" s="99"/>
      <c r="I597" s="99"/>
      <c r="J597" s="99"/>
      <c r="K597" s="99"/>
      <c r="L597" s="99"/>
      <c r="M597" s="99"/>
      <c r="N597" s="99"/>
      <c r="O597" s="99"/>
      <c r="P597" s="99"/>
      <c r="Q597" s="99"/>
      <c r="R597" s="99"/>
      <c r="S597" s="99"/>
      <c r="T597" s="99"/>
      <c r="U597" s="99"/>
      <c r="V597" s="99"/>
      <c r="W597" s="99"/>
      <c r="X597" s="99"/>
      <c r="Y597" s="99"/>
      <c r="Z597" s="99"/>
      <c r="AA597" s="99"/>
      <c r="AB597" s="99"/>
      <c r="AC597" s="99"/>
      <c r="AD597" s="99"/>
    </row>
    <row r="598" spans="1:30" ht="28.5" customHeight="1" x14ac:dyDescent="0.15">
      <c r="A598" s="99"/>
      <c r="B598" s="99"/>
      <c r="C598" s="99"/>
      <c r="D598" s="99"/>
      <c r="E598" s="99"/>
      <c r="F598" s="99"/>
      <c r="G598" s="99"/>
      <c r="H598" s="99"/>
      <c r="I598" s="99"/>
      <c r="J598" s="99"/>
      <c r="K598" s="99"/>
      <c r="L598" s="99"/>
      <c r="M598" s="99"/>
      <c r="N598" s="99"/>
      <c r="O598" s="99"/>
      <c r="P598" s="99"/>
      <c r="Q598" s="99"/>
      <c r="R598" s="99"/>
      <c r="S598" s="99"/>
      <c r="T598" s="99"/>
      <c r="U598" s="99"/>
      <c r="V598" s="99"/>
      <c r="W598" s="99"/>
      <c r="X598" s="99"/>
      <c r="Y598" s="99"/>
      <c r="Z598" s="99"/>
      <c r="AA598" s="99"/>
      <c r="AB598" s="99"/>
      <c r="AC598" s="99"/>
      <c r="AD598" s="99"/>
    </row>
    <row r="599" spans="1:30" ht="28.5" customHeight="1" x14ac:dyDescent="0.15">
      <c r="A599" s="99"/>
      <c r="B599" s="99"/>
      <c r="C599" s="99"/>
      <c r="D599" s="99"/>
      <c r="E599" s="99"/>
      <c r="F599" s="99"/>
      <c r="G599" s="99"/>
      <c r="H599" s="99"/>
      <c r="I599" s="99"/>
      <c r="J599" s="99"/>
      <c r="K599" s="99"/>
      <c r="L599" s="99"/>
      <c r="M599" s="99"/>
      <c r="N599" s="99"/>
      <c r="O599" s="99"/>
      <c r="P599" s="99"/>
      <c r="Q599" s="99"/>
      <c r="R599" s="99"/>
      <c r="S599" s="99"/>
      <c r="T599" s="99"/>
      <c r="U599" s="99"/>
      <c r="V599" s="99"/>
      <c r="W599" s="99"/>
      <c r="X599" s="99"/>
      <c r="Y599" s="99"/>
      <c r="Z599" s="99"/>
      <c r="AA599" s="99"/>
      <c r="AB599" s="99"/>
      <c r="AC599" s="99"/>
      <c r="AD599" s="99"/>
    </row>
    <row r="600" spans="1:30" ht="28.5" customHeight="1" x14ac:dyDescent="0.15">
      <c r="A600" s="99"/>
      <c r="B600" s="99"/>
      <c r="C600" s="99"/>
      <c r="D600" s="99"/>
      <c r="E600" s="99"/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99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</row>
    <row r="601" spans="1:30" ht="28.5" customHeight="1" x14ac:dyDescent="0.15">
      <c r="A601" s="99"/>
      <c r="B601" s="99"/>
      <c r="C601" s="99"/>
      <c r="D601" s="99"/>
      <c r="E601" s="99"/>
      <c r="F601" s="99"/>
      <c r="G601" s="99"/>
      <c r="H601" s="99"/>
      <c r="I601" s="99"/>
      <c r="J601" s="99"/>
      <c r="K601" s="99"/>
      <c r="L601" s="99"/>
      <c r="M601" s="99"/>
      <c r="N601" s="99"/>
      <c r="O601" s="99"/>
      <c r="P601" s="99"/>
      <c r="Q601" s="99"/>
      <c r="R601" s="99"/>
      <c r="S601" s="99"/>
      <c r="T601" s="99"/>
      <c r="U601" s="99"/>
      <c r="V601" s="99"/>
      <c r="W601" s="99"/>
      <c r="X601" s="99"/>
      <c r="Y601" s="99"/>
      <c r="Z601" s="99"/>
      <c r="AA601" s="99"/>
      <c r="AB601" s="99"/>
      <c r="AC601" s="99"/>
      <c r="AD601" s="99"/>
    </row>
    <row r="602" spans="1:30" ht="28.5" customHeight="1" x14ac:dyDescent="0.15">
      <c r="A602" s="99"/>
      <c r="B602" s="99"/>
      <c r="C602" s="99"/>
      <c r="D602" s="99"/>
      <c r="E602" s="99"/>
      <c r="F602" s="99"/>
      <c r="G602" s="99"/>
      <c r="H602" s="99"/>
      <c r="I602" s="99"/>
      <c r="J602" s="99"/>
      <c r="K602" s="99"/>
      <c r="L602" s="99"/>
      <c r="M602" s="99"/>
      <c r="N602" s="99"/>
      <c r="O602" s="99"/>
      <c r="P602" s="99"/>
      <c r="Q602" s="99"/>
      <c r="R602" s="99"/>
      <c r="S602" s="99"/>
      <c r="T602" s="99"/>
      <c r="U602" s="99"/>
      <c r="V602" s="99"/>
      <c r="W602" s="99"/>
      <c r="X602" s="99"/>
      <c r="Y602" s="99"/>
      <c r="Z602" s="99"/>
      <c r="AA602" s="99"/>
      <c r="AB602" s="99"/>
      <c r="AC602" s="99"/>
      <c r="AD602" s="99"/>
    </row>
    <row r="603" spans="1:30" ht="28.5" customHeight="1" x14ac:dyDescent="0.15">
      <c r="A603" s="99"/>
      <c r="B603" s="99"/>
      <c r="C603" s="99"/>
      <c r="D603" s="99"/>
      <c r="E603" s="99"/>
      <c r="F603" s="99"/>
      <c r="G603" s="99"/>
      <c r="H603" s="99"/>
      <c r="I603" s="99"/>
      <c r="J603" s="99"/>
      <c r="K603" s="99"/>
      <c r="L603" s="99"/>
      <c r="M603" s="99"/>
      <c r="N603" s="99"/>
      <c r="O603" s="99"/>
      <c r="P603" s="99"/>
      <c r="Q603" s="99"/>
      <c r="R603" s="99"/>
      <c r="S603" s="99"/>
      <c r="T603" s="99"/>
      <c r="U603" s="99"/>
      <c r="V603" s="99"/>
      <c r="W603" s="99"/>
      <c r="X603" s="99"/>
      <c r="Y603" s="99"/>
      <c r="Z603" s="99"/>
      <c r="AA603" s="99"/>
      <c r="AB603" s="99"/>
      <c r="AC603" s="99"/>
      <c r="AD603" s="99"/>
    </row>
    <row r="604" spans="1:30" ht="28.5" customHeight="1" x14ac:dyDescent="0.15">
      <c r="A604" s="99"/>
      <c r="B604" s="99"/>
      <c r="C604" s="99"/>
      <c r="D604" s="99"/>
      <c r="E604" s="99"/>
      <c r="F604" s="99"/>
      <c r="G604" s="99"/>
      <c r="H604" s="99"/>
      <c r="I604" s="99"/>
      <c r="J604" s="99"/>
      <c r="K604" s="99"/>
      <c r="L604" s="99"/>
      <c r="M604" s="99"/>
      <c r="N604" s="99"/>
      <c r="O604" s="99"/>
      <c r="P604" s="99"/>
      <c r="Q604" s="99"/>
      <c r="R604" s="99"/>
      <c r="S604" s="99"/>
      <c r="T604" s="99"/>
      <c r="U604" s="99"/>
      <c r="V604" s="99"/>
      <c r="W604" s="99"/>
      <c r="X604" s="99"/>
      <c r="Y604" s="99"/>
      <c r="Z604" s="99"/>
      <c r="AA604" s="99"/>
      <c r="AB604" s="99"/>
      <c r="AC604" s="99"/>
      <c r="AD604" s="99"/>
    </row>
    <row r="605" spans="1:30" ht="28.5" customHeight="1" x14ac:dyDescent="0.15">
      <c r="A605" s="99"/>
      <c r="B605" s="99"/>
      <c r="C605" s="99"/>
      <c r="D605" s="99"/>
      <c r="E605" s="99"/>
      <c r="F605" s="99"/>
      <c r="G605" s="99"/>
      <c r="H605" s="99"/>
      <c r="I605" s="99"/>
      <c r="J605" s="99"/>
      <c r="K605" s="99"/>
      <c r="L605" s="99"/>
      <c r="M605" s="99"/>
      <c r="N605" s="99"/>
      <c r="O605" s="99"/>
      <c r="P605" s="99"/>
      <c r="Q605" s="99"/>
      <c r="R605" s="99"/>
      <c r="S605" s="99"/>
      <c r="T605" s="99"/>
      <c r="U605" s="99"/>
      <c r="V605" s="99"/>
      <c r="W605" s="99"/>
      <c r="X605" s="99"/>
      <c r="Y605" s="99"/>
      <c r="Z605" s="99"/>
      <c r="AA605" s="99"/>
      <c r="AB605" s="99"/>
      <c r="AC605" s="99"/>
      <c r="AD605" s="99"/>
    </row>
    <row r="606" spans="1:30" ht="28.5" customHeight="1" x14ac:dyDescent="0.15">
      <c r="A606" s="99"/>
      <c r="B606" s="99"/>
      <c r="C606" s="99"/>
      <c r="D606" s="99"/>
      <c r="E606" s="99"/>
      <c r="F606" s="99"/>
      <c r="G606" s="99"/>
      <c r="H606" s="99"/>
      <c r="I606" s="99"/>
      <c r="J606" s="99"/>
      <c r="K606" s="99"/>
      <c r="L606" s="99"/>
      <c r="M606" s="99"/>
      <c r="N606" s="99"/>
      <c r="O606" s="99"/>
      <c r="P606" s="99"/>
      <c r="Q606" s="99"/>
      <c r="R606" s="99"/>
      <c r="S606" s="99"/>
      <c r="T606" s="99"/>
      <c r="U606" s="99"/>
      <c r="V606" s="99"/>
      <c r="W606" s="99"/>
      <c r="X606" s="99"/>
      <c r="Y606" s="99"/>
      <c r="Z606" s="99"/>
      <c r="AA606" s="99"/>
      <c r="AB606" s="99"/>
      <c r="AC606" s="99"/>
      <c r="AD606" s="99"/>
    </row>
    <row r="607" spans="1:30" ht="28.5" customHeight="1" x14ac:dyDescent="0.15">
      <c r="A607" s="99"/>
      <c r="B607" s="99"/>
      <c r="C607" s="99"/>
      <c r="D607" s="99"/>
      <c r="E607" s="99"/>
      <c r="F607" s="99"/>
      <c r="G607" s="99"/>
      <c r="H607" s="99"/>
      <c r="I607" s="99"/>
      <c r="J607" s="99"/>
      <c r="K607" s="99"/>
      <c r="L607" s="99"/>
      <c r="M607" s="99"/>
      <c r="N607" s="99"/>
      <c r="O607" s="99"/>
      <c r="P607" s="99"/>
      <c r="Q607" s="99"/>
      <c r="R607" s="99"/>
      <c r="S607" s="99"/>
      <c r="T607" s="99"/>
      <c r="U607" s="99"/>
      <c r="V607" s="99"/>
      <c r="W607" s="99"/>
      <c r="X607" s="99"/>
      <c r="Y607" s="99"/>
      <c r="Z607" s="99"/>
      <c r="AA607" s="99"/>
      <c r="AB607" s="99"/>
      <c r="AC607" s="99"/>
      <c r="AD607" s="99"/>
    </row>
    <row r="608" spans="1:30" ht="28.5" customHeight="1" x14ac:dyDescent="0.15">
      <c r="A608" s="99"/>
      <c r="B608" s="99"/>
      <c r="C608" s="99"/>
      <c r="D608" s="99"/>
      <c r="E608" s="99"/>
      <c r="F608" s="99"/>
      <c r="G608" s="99"/>
      <c r="H608" s="99"/>
      <c r="I608" s="99"/>
      <c r="J608" s="99"/>
      <c r="K608" s="99"/>
      <c r="L608" s="99"/>
      <c r="M608" s="99"/>
      <c r="N608" s="99"/>
      <c r="O608" s="99"/>
      <c r="P608" s="99"/>
      <c r="Q608" s="99"/>
      <c r="R608" s="99"/>
      <c r="S608" s="99"/>
      <c r="T608" s="99"/>
      <c r="U608" s="99"/>
      <c r="V608" s="99"/>
      <c r="W608" s="99"/>
      <c r="X608" s="99"/>
      <c r="Y608" s="99"/>
      <c r="Z608" s="99"/>
      <c r="AA608" s="99"/>
      <c r="AB608" s="99"/>
      <c r="AC608" s="99"/>
      <c r="AD608" s="99"/>
    </row>
    <row r="609" spans="1:30" ht="28.5" customHeight="1" x14ac:dyDescent="0.15">
      <c r="A609" s="99"/>
      <c r="B609" s="99"/>
      <c r="C609" s="99"/>
      <c r="D609" s="99"/>
      <c r="E609" s="99"/>
      <c r="F609" s="99"/>
      <c r="G609" s="99"/>
      <c r="H609" s="99"/>
      <c r="I609" s="99"/>
      <c r="J609" s="99"/>
      <c r="K609" s="99"/>
      <c r="L609" s="99"/>
      <c r="M609" s="99"/>
      <c r="N609" s="99"/>
      <c r="O609" s="99"/>
      <c r="P609" s="99"/>
      <c r="Q609" s="99"/>
      <c r="R609" s="99"/>
      <c r="S609" s="99"/>
      <c r="T609" s="99"/>
      <c r="U609" s="99"/>
      <c r="V609" s="99"/>
      <c r="W609" s="99"/>
      <c r="X609" s="99"/>
      <c r="Y609" s="99"/>
      <c r="Z609" s="99"/>
      <c r="AA609" s="99"/>
      <c r="AB609" s="99"/>
      <c r="AC609" s="99"/>
      <c r="AD609" s="99"/>
    </row>
    <row r="610" spans="1:30" ht="28.5" customHeight="1" x14ac:dyDescent="0.15">
      <c r="A610" s="99"/>
      <c r="B610" s="99"/>
      <c r="C610" s="99"/>
      <c r="D610" s="99"/>
      <c r="E610" s="99"/>
      <c r="F610" s="99"/>
      <c r="G610" s="99"/>
      <c r="H610" s="99"/>
      <c r="I610" s="99"/>
      <c r="J610" s="99"/>
      <c r="K610" s="99"/>
      <c r="L610" s="99"/>
      <c r="M610" s="99"/>
      <c r="N610" s="99"/>
      <c r="O610" s="99"/>
      <c r="P610" s="99"/>
      <c r="Q610" s="99"/>
      <c r="R610" s="99"/>
      <c r="S610" s="99"/>
      <c r="T610" s="99"/>
      <c r="U610" s="99"/>
      <c r="V610" s="99"/>
      <c r="W610" s="99"/>
      <c r="X610" s="99"/>
      <c r="Y610" s="99"/>
      <c r="Z610" s="99"/>
      <c r="AA610" s="99"/>
      <c r="AB610" s="99"/>
      <c r="AC610" s="99"/>
      <c r="AD610" s="99"/>
    </row>
    <row r="611" spans="1:30" ht="28.5" customHeight="1" x14ac:dyDescent="0.15">
      <c r="A611" s="99"/>
      <c r="B611" s="99"/>
      <c r="C611" s="99"/>
      <c r="D611" s="99"/>
      <c r="E611" s="99"/>
      <c r="F611" s="99"/>
      <c r="G611" s="99"/>
      <c r="H611" s="99"/>
      <c r="I611" s="99"/>
      <c r="J611" s="99"/>
      <c r="K611" s="99"/>
      <c r="L611" s="99"/>
      <c r="M611" s="99"/>
      <c r="N611" s="99"/>
      <c r="O611" s="99"/>
      <c r="P611" s="99"/>
      <c r="Q611" s="99"/>
      <c r="R611" s="99"/>
      <c r="S611" s="99"/>
      <c r="T611" s="99"/>
      <c r="U611" s="99"/>
      <c r="V611" s="99"/>
      <c r="W611" s="99"/>
      <c r="X611" s="99"/>
      <c r="Y611" s="99"/>
      <c r="Z611" s="99"/>
      <c r="AA611" s="99"/>
      <c r="AB611" s="99"/>
      <c r="AC611" s="99"/>
      <c r="AD611" s="99"/>
    </row>
    <row r="612" spans="1:30" ht="28.5" customHeight="1" x14ac:dyDescent="0.15">
      <c r="A612" s="99"/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99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</row>
    <row r="613" spans="1:30" ht="28.5" customHeight="1" x14ac:dyDescent="0.15">
      <c r="A613" s="99"/>
      <c r="B613" s="99"/>
      <c r="C613" s="99"/>
      <c r="D613" s="99"/>
      <c r="E613" s="99"/>
      <c r="F613" s="99"/>
      <c r="G613" s="99"/>
      <c r="H613" s="99"/>
      <c r="I613" s="99"/>
      <c r="J613" s="99"/>
      <c r="K613" s="99"/>
      <c r="L613" s="99"/>
      <c r="M613" s="99"/>
      <c r="N613" s="99"/>
      <c r="O613" s="99"/>
      <c r="P613" s="99"/>
      <c r="Q613" s="99"/>
      <c r="R613" s="99"/>
      <c r="S613" s="99"/>
      <c r="T613" s="99"/>
      <c r="U613" s="99"/>
      <c r="V613" s="99"/>
      <c r="W613" s="99"/>
      <c r="X613" s="99"/>
      <c r="Y613" s="99"/>
      <c r="Z613" s="99"/>
      <c r="AA613" s="99"/>
      <c r="AB613" s="99"/>
      <c r="AC613" s="99"/>
      <c r="AD613" s="99"/>
    </row>
    <row r="614" spans="1:30" ht="28.5" customHeight="1" x14ac:dyDescent="0.15">
      <c r="A614" s="99"/>
      <c r="B614" s="99"/>
      <c r="C614" s="99"/>
      <c r="D614" s="99"/>
      <c r="E614" s="99"/>
      <c r="F614" s="99"/>
      <c r="G614" s="99"/>
      <c r="H614" s="99"/>
      <c r="I614" s="99"/>
      <c r="J614" s="99"/>
      <c r="K614" s="99"/>
      <c r="L614" s="99"/>
      <c r="M614" s="99"/>
      <c r="N614" s="99"/>
      <c r="O614" s="99"/>
      <c r="P614" s="99"/>
      <c r="Q614" s="99"/>
      <c r="R614" s="99"/>
      <c r="S614" s="99"/>
      <c r="T614" s="99"/>
      <c r="U614" s="99"/>
      <c r="V614" s="99"/>
      <c r="W614" s="99"/>
      <c r="X614" s="99"/>
      <c r="Y614" s="99"/>
      <c r="Z614" s="99"/>
      <c r="AA614" s="99"/>
      <c r="AB614" s="99"/>
      <c r="AC614" s="99"/>
      <c r="AD614" s="99"/>
    </row>
    <row r="615" spans="1:30" ht="28.5" customHeight="1" x14ac:dyDescent="0.15">
      <c r="A615" s="99"/>
      <c r="B615" s="99"/>
      <c r="C615" s="99"/>
      <c r="D615" s="99"/>
      <c r="E615" s="99"/>
      <c r="F615" s="99"/>
      <c r="G615" s="99"/>
      <c r="H615" s="99"/>
      <c r="I615" s="99"/>
      <c r="J615" s="99"/>
      <c r="K615" s="99"/>
      <c r="L615" s="99"/>
      <c r="M615" s="99"/>
      <c r="N615" s="99"/>
      <c r="O615" s="99"/>
      <c r="P615" s="99"/>
      <c r="Q615" s="99"/>
      <c r="R615" s="99"/>
      <c r="S615" s="99"/>
      <c r="T615" s="99"/>
      <c r="U615" s="99"/>
      <c r="V615" s="99"/>
      <c r="W615" s="99"/>
      <c r="X615" s="99"/>
      <c r="Y615" s="99"/>
      <c r="Z615" s="99"/>
      <c r="AA615" s="99"/>
      <c r="AB615" s="99"/>
      <c r="AC615" s="99"/>
      <c r="AD615" s="99"/>
    </row>
    <row r="616" spans="1:30" ht="28.5" customHeight="1" x14ac:dyDescent="0.15">
      <c r="A616" s="99"/>
      <c r="B616" s="99"/>
      <c r="C616" s="99"/>
      <c r="D616" s="99"/>
      <c r="E616" s="99"/>
      <c r="F616" s="99"/>
      <c r="G616" s="99"/>
      <c r="H616" s="99"/>
      <c r="I616" s="99"/>
      <c r="J616" s="99"/>
      <c r="K616" s="99"/>
      <c r="L616" s="99"/>
      <c r="M616" s="99"/>
      <c r="N616" s="99"/>
      <c r="O616" s="99"/>
      <c r="P616" s="99"/>
      <c r="Q616" s="99"/>
      <c r="R616" s="99"/>
      <c r="S616" s="99"/>
      <c r="T616" s="99"/>
      <c r="U616" s="99"/>
      <c r="V616" s="99"/>
      <c r="W616" s="99"/>
      <c r="X616" s="99"/>
      <c r="Y616" s="99"/>
      <c r="Z616" s="99"/>
      <c r="AA616" s="99"/>
      <c r="AB616" s="99"/>
      <c r="AC616" s="99"/>
      <c r="AD616" s="99"/>
    </row>
    <row r="617" spans="1:30" ht="28.5" customHeight="1" x14ac:dyDescent="0.15">
      <c r="A617" s="99"/>
      <c r="B617" s="99"/>
      <c r="C617" s="99"/>
      <c r="D617" s="99"/>
      <c r="E617" s="99"/>
      <c r="F617" s="99"/>
      <c r="G617" s="99"/>
      <c r="H617" s="99"/>
      <c r="I617" s="99"/>
      <c r="J617" s="99"/>
      <c r="K617" s="99"/>
      <c r="L617" s="99"/>
      <c r="M617" s="99"/>
      <c r="N617" s="99"/>
      <c r="O617" s="99"/>
      <c r="P617" s="99"/>
      <c r="Q617" s="99"/>
      <c r="R617" s="99"/>
      <c r="S617" s="99"/>
      <c r="T617" s="99"/>
      <c r="U617" s="99"/>
      <c r="V617" s="99"/>
      <c r="W617" s="99"/>
      <c r="X617" s="99"/>
      <c r="Y617" s="99"/>
      <c r="Z617" s="99"/>
      <c r="AA617" s="99"/>
      <c r="AB617" s="99"/>
      <c r="AC617" s="99"/>
      <c r="AD617" s="99"/>
    </row>
    <row r="618" spans="1:30" ht="28.5" customHeight="1" x14ac:dyDescent="0.15">
      <c r="A618" s="99"/>
      <c r="B618" s="99"/>
      <c r="C618" s="99"/>
      <c r="D618" s="99"/>
      <c r="E618" s="99"/>
      <c r="F618" s="99"/>
      <c r="G618" s="99"/>
      <c r="H618" s="99"/>
      <c r="I618" s="99"/>
      <c r="J618" s="99"/>
      <c r="K618" s="99"/>
      <c r="L618" s="99"/>
      <c r="M618" s="99"/>
      <c r="N618" s="99"/>
      <c r="O618" s="99"/>
      <c r="P618" s="99"/>
      <c r="Q618" s="99"/>
      <c r="R618" s="99"/>
      <c r="S618" s="99"/>
      <c r="T618" s="99"/>
      <c r="U618" s="99"/>
      <c r="V618" s="99"/>
      <c r="W618" s="99"/>
      <c r="X618" s="99"/>
      <c r="Y618" s="99"/>
      <c r="Z618" s="99"/>
      <c r="AA618" s="99"/>
      <c r="AB618" s="99"/>
      <c r="AC618" s="99"/>
      <c r="AD618" s="99"/>
    </row>
    <row r="619" spans="1:30" ht="28.5" customHeight="1" x14ac:dyDescent="0.15">
      <c r="A619" s="99"/>
      <c r="B619" s="99"/>
      <c r="C619" s="99"/>
      <c r="D619" s="99"/>
      <c r="E619" s="99"/>
      <c r="F619" s="99"/>
      <c r="G619" s="99"/>
      <c r="H619" s="99"/>
      <c r="I619" s="99"/>
      <c r="J619" s="99"/>
      <c r="K619" s="99"/>
      <c r="L619" s="99"/>
      <c r="M619" s="99"/>
      <c r="N619" s="99"/>
      <c r="O619" s="99"/>
      <c r="P619" s="99"/>
      <c r="Q619" s="99"/>
      <c r="R619" s="99"/>
      <c r="S619" s="99"/>
      <c r="T619" s="99"/>
      <c r="U619" s="99"/>
      <c r="V619" s="99"/>
      <c r="W619" s="99"/>
      <c r="X619" s="99"/>
      <c r="Y619" s="99"/>
      <c r="Z619" s="99"/>
      <c r="AA619" s="99"/>
      <c r="AB619" s="99"/>
      <c r="AC619" s="99"/>
      <c r="AD619" s="99"/>
    </row>
    <row r="620" spans="1:30" ht="28.5" customHeight="1" x14ac:dyDescent="0.15">
      <c r="A620" s="99"/>
      <c r="B620" s="99"/>
      <c r="C620" s="99"/>
      <c r="D620" s="99"/>
      <c r="E620" s="99"/>
      <c r="F620" s="99"/>
      <c r="G620" s="99"/>
      <c r="H620" s="99"/>
      <c r="I620" s="99"/>
      <c r="J620" s="99"/>
      <c r="K620" s="99"/>
      <c r="L620" s="99"/>
      <c r="M620" s="99"/>
      <c r="N620" s="99"/>
      <c r="O620" s="99"/>
      <c r="P620" s="99"/>
      <c r="Q620" s="99"/>
      <c r="R620" s="99"/>
      <c r="S620" s="99"/>
      <c r="T620" s="99"/>
      <c r="U620" s="99"/>
      <c r="V620" s="99"/>
      <c r="W620" s="99"/>
      <c r="X620" s="99"/>
      <c r="Y620" s="99"/>
      <c r="Z620" s="99"/>
      <c r="AA620" s="99"/>
      <c r="AB620" s="99"/>
      <c r="AC620" s="99"/>
      <c r="AD620" s="99"/>
    </row>
    <row r="621" spans="1:30" ht="28.5" customHeight="1" x14ac:dyDescent="0.15">
      <c r="A621" s="99"/>
      <c r="B621" s="99"/>
      <c r="C621" s="99"/>
      <c r="D621" s="99"/>
      <c r="E621" s="99"/>
      <c r="F621" s="99"/>
      <c r="G621" s="99"/>
      <c r="H621" s="99"/>
      <c r="I621" s="99"/>
      <c r="J621" s="99"/>
      <c r="K621" s="99"/>
      <c r="L621" s="99"/>
      <c r="M621" s="99"/>
      <c r="N621" s="99"/>
      <c r="O621" s="99"/>
      <c r="P621" s="99"/>
      <c r="Q621" s="99"/>
      <c r="R621" s="99"/>
      <c r="S621" s="99"/>
      <c r="T621" s="99"/>
      <c r="U621" s="99"/>
      <c r="V621" s="99"/>
      <c r="W621" s="99"/>
      <c r="X621" s="99"/>
      <c r="Y621" s="99"/>
      <c r="Z621" s="99"/>
      <c r="AA621" s="99"/>
      <c r="AB621" s="99"/>
      <c r="AC621" s="99"/>
      <c r="AD621" s="99"/>
    </row>
    <row r="622" spans="1:30" ht="28.5" customHeight="1" x14ac:dyDescent="0.15">
      <c r="A622" s="99"/>
      <c r="B622" s="99"/>
      <c r="C622" s="99"/>
      <c r="D622" s="99"/>
      <c r="E622" s="99"/>
      <c r="F622" s="99"/>
      <c r="G622" s="99"/>
      <c r="H622" s="99"/>
      <c r="I622" s="99"/>
      <c r="J622" s="99"/>
      <c r="K622" s="99"/>
      <c r="L622" s="99"/>
      <c r="M622" s="99"/>
      <c r="N622" s="99"/>
      <c r="O622" s="99"/>
      <c r="P622" s="99"/>
      <c r="Q622" s="99"/>
      <c r="R622" s="99"/>
      <c r="S622" s="99"/>
      <c r="T622" s="99"/>
      <c r="U622" s="99"/>
      <c r="V622" s="99"/>
      <c r="W622" s="99"/>
      <c r="X622" s="99"/>
      <c r="Y622" s="99"/>
      <c r="Z622" s="99"/>
      <c r="AA622" s="99"/>
      <c r="AB622" s="99"/>
      <c r="AC622" s="99"/>
      <c r="AD622" s="99"/>
    </row>
    <row r="623" spans="1:30" ht="28.5" customHeight="1" x14ac:dyDescent="0.15">
      <c r="A623" s="99"/>
      <c r="B623" s="99"/>
      <c r="C623" s="99"/>
      <c r="D623" s="99"/>
      <c r="E623" s="99"/>
      <c r="F623" s="99"/>
      <c r="G623" s="99"/>
      <c r="H623" s="99"/>
      <c r="I623" s="99"/>
      <c r="J623" s="99"/>
      <c r="K623" s="99"/>
      <c r="L623" s="99"/>
      <c r="M623" s="99"/>
      <c r="N623" s="99"/>
      <c r="O623" s="99"/>
      <c r="P623" s="99"/>
      <c r="Q623" s="99"/>
      <c r="R623" s="99"/>
      <c r="S623" s="99"/>
      <c r="T623" s="99"/>
      <c r="U623" s="99"/>
      <c r="V623" s="99"/>
      <c r="W623" s="99"/>
      <c r="X623" s="99"/>
      <c r="Y623" s="99"/>
      <c r="Z623" s="99"/>
      <c r="AA623" s="99"/>
      <c r="AB623" s="99"/>
      <c r="AC623" s="99"/>
      <c r="AD623" s="99"/>
    </row>
    <row r="624" spans="1:30" ht="28.5" customHeight="1" x14ac:dyDescent="0.15">
      <c r="A624" s="99"/>
      <c r="B624" s="99"/>
      <c r="C624" s="99"/>
      <c r="D624" s="99"/>
      <c r="E624" s="99"/>
      <c r="F624" s="99"/>
      <c r="G624" s="99"/>
      <c r="H624" s="99"/>
      <c r="I624" s="99"/>
      <c r="J624" s="99"/>
      <c r="K624" s="99"/>
      <c r="L624" s="99"/>
      <c r="M624" s="99"/>
      <c r="N624" s="99"/>
      <c r="O624" s="99"/>
      <c r="P624" s="99"/>
      <c r="Q624" s="99"/>
      <c r="R624" s="99"/>
      <c r="S624" s="99"/>
      <c r="T624" s="99"/>
      <c r="U624" s="99"/>
      <c r="V624" s="99"/>
      <c r="W624" s="99"/>
      <c r="X624" s="99"/>
      <c r="Y624" s="99"/>
      <c r="Z624" s="99"/>
      <c r="AA624" s="99"/>
      <c r="AB624" s="99"/>
      <c r="AC624" s="99"/>
      <c r="AD624" s="99"/>
    </row>
    <row r="625" spans="1:30" ht="28.5" customHeight="1" x14ac:dyDescent="0.15">
      <c r="A625" s="99"/>
      <c r="B625" s="99"/>
      <c r="C625" s="99"/>
      <c r="D625" s="99"/>
      <c r="E625" s="99"/>
      <c r="F625" s="99"/>
      <c r="G625" s="99"/>
      <c r="H625" s="99"/>
      <c r="I625" s="99"/>
      <c r="J625" s="99"/>
      <c r="K625" s="99"/>
      <c r="L625" s="99"/>
      <c r="M625" s="99"/>
      <c r="N625" s="99"/>
      <c r="O625" s="99"/>
      <c r="P625" s="99"/>
      <c r="Q625" s="99"/>
      <c r="R625" s="99"/>
      <c r="S625" s="99"/>
      <c r="T625" s="99"/>
      <c r="U625" s="99"/>
      <c r="V625" s="99"/>
      <c r="W625" s="99"/>
      <c r="X625" s="99"/>
      <c r="Y625" s="99"/>
      <c r="Z625" s="99"/>
      <c r="AA625" s="99"/>
      <c r="AB625" s="99"/>
      <c r="AC625" s="99"/>
      <c r="AD625" s="99"/>
    </row>
    <row r="626" spans="1:30" ht="28.5" customHeight="1" x14ac:dyDescent="0.15">
      <c r="A626" s="99"/>
      <c r="B626" s="99"/>
      <c r="C626" s="99"/>
      <c r="D626" s="99"/>
      <c r="E626" s="99"/>
      <c r="F626" s="99"/>
      <c r="G626" s="99"/>
      <c r="H626" s="99"/>
      <c r="I626" s="99"/>
      <c r="J626" s="99"/>
      <c r="K626" s="99"/>
      <c r="L626" s="99"/>
      <c r="M626" s="99"/>
      <c r="N626" s="99"/>
      <c r="O626" s="99"/>
      <c r="P626" s="99"/>
      <c r="Q626" s="99"/>
      <c r="R626" s="99"/>
      <c r="S626" s="99"/>
      <c r="T626" s="99"/>
      <c r="U626" s="99"/>
      <c r="V626" s="99"/>
      <c r="W626" s="99"/>
      <c r="X626" s="99"/>
      <c r="Y626" s="99"/>
      <c r="Z626" s="99"/>
      <c r="AA626" s="99"/>
      <c r="AB626" s="99"/>
      <c r="AC626" s="99"/>
      <c r="AD626" s="99"/>
    </row>
    <row r="627" spans="1:30" ht="28.5" customHeight="1" x14ac:dyDescent="0.15">
      <c r="A627" s="99"/>
      <c r="B627" s="99"/>
      <c r="C627" s="99"/>
      <c r="D627" s="99"/>
      <c r="E627" s="99"/>
      <c r="F627" s="99"/>
      <c r="G627" s="99"/>
      <c r="H627" s="99"/>
      <c r="I627" s="99"/>
      <c r="J627" s="99"/>
      <c r="K627" s="99"/>
      <c r="L627" s="99"/>
      <c r="M627" s="99"/>
      <c r="N627" s="99"/>
      <c r="O627" s="99"/>
      <c r="P627" s="99"/>
      <c r="Q627" s="99"/>
      <c r="R627" s="99"/>
      <c r="S627" s="99"/>
      <c r="T627" s="99"/>
      <c r="U627" s="99"/>
      <c r="V627" s="99"/>
      <c r="W627" s="99"/>
      <c r="X627" s="99"/>
      <c r="Y627" s="99"/>
      <c r="Z627" s="99"/>
      <c r="AA627" s="99"/>
      <c r="AB627" s="99"/>
      <c r="AC627" s="99"/>
      <c r="AD627" s="99"/>
    </row>
    <row r="628" spans="1:30" ht="28.5" customHeight="1" x14ac:dyDescent="0.15">
      <c r="A628" s="99"/>
      <c r="B628" s="99"/>
      <c r="C628" s="99"/>
      <c r="D628" s="99"/>
      <c r="E628" s="99"/>
      <c r="F628" s="99"/>
      <c r="G628" s="99"/>
      <c r="H628" s="99"/>
      <c r="I628" s="99"/>
      <c r="J628" s="99"/>
      <c r="K628" s="99"/>
      <c r="L628" s="99"/>
      <c r="M628" s="99"/>
      <c r="N628" s="99"/>
      <c r="O628" s="99"/>
      <c r="P628" s="99"/>
      <c r="Q628" s="99"/>
      <c r="R628" s="99"/>
      <c r="S628" s="99"/>
      <c r="T628" s="99"/>
      <c r="U628" s="99"/>
      <c r="V628" s="99"/>
      <c r="W628" s="99"/>
      <c r="X628" s="99"/>
      <c r="Y628" s="99"/>
      <c r="Z628" s="99"/>
      <c r="AA628" s="99"/>
      <c r="AB628" s="99"/>
      <c r="AC628" s="99"/>
      <c r="AD628" s="99"/>
    </row>
    <row r="629" spans="1:30" ht="28.5" customHeight="1" x14ac:dyDescent="0.15">
      <c r="A629" s="99"/>
      <c r="B629" s="99"/>
      <c r="C629" s="99"/>
      <c r="D629" s="99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99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</row>
    <row r="630" spans="1:30" ht="28.5" customHeight="1" x14ac:dyDescent="0.15">
      <c r="A630" s="99"/>
      <c r="B630" s="99"/>
      <c r="C630" s="99"/>
      <c r="D630" s="99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99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</row>
    <row r="631" spans="1:30" ht="28.5" customHeight="1" x14ac:dyDescent="0.15">
      <c r="A631" s="99"/>
      <c r="B631" s="99"/>
      <c r="C631" s="99"/>
      <c r="D631" s="99"/>
      <c r="E631" s="99"/>
      <c r="F631" s="99"/>
      <c r="G631" s="99"/>
      <c r="H631" s="99"/>
      <c r="I631" s="99"/>
      <c r="J631" s="99"/>
      <c r="K631" s="99"/>
      <c r="L631" s="99"/>
      <c r="M631" s="99"/>
      <c r="N631" s="99"/>
      <c r="O631" s="99"/>
      <c r="P631" s="99"/>
      <c r="Q631" s="99"/>
      <c r="R631" s="99"/>
      <c r="S631" s="99"/>
      <c r="T631" s="99"/>
      <c r="U631" s="99"/>
      <c r="V631" s="99"/>
      <c r="W631" s="99"/>
      <c r="X631" s="99"/>
      <c r="Y631" s="99"/>
      <c r="Z631" s="99"/>
      <c r="AA631" s="99"/>
      <c r="AB631" s="99"/>
      <c r="AC631" s="99"/>
      <c r="AD631" s="99"/>
    </row>
    <row r="632" spans="1:30" ht="28.5" customHeight="1" x14ac:dyDescent="0.15">
      <c r="A632" s="99"/>
      <c r="B632" s="99"/>
      <c r="C632" s="99"/>
      <c r="D632" s="99"/>
      <c r="E632" s="99"/>
      <c r="F632" s="99"/>
      <c r="G632" s="99"/>
      <c r="H632" s="99"/>
      <c r="I632" s="99"/>
      <c r="J632" s="99"/>
      <c r="K632" s="99"/>
      <c r="L632" s="99"/>
      <c r="M632" s="99"/>
      <c r="N632" s="99"/>
      <c r="O632" s="99"/>
      <c r="P632" s="99"/>
      <c r="Q632" s="99"/>
      <c r="R632" s="99"/>
      <c r="S632" s="99"/>
      <c r="T632" s="99"/>
      <c r="U632" s="99"/>
      <c r="V632" s="99"/>
      <c r="W632" s="99"/>
      <c r="X632" s="99"/>
      <c r="Y632" s="99"/>
      <c r="Z632" s="99"/>
      <c r="AA632" s="99"/>
      <c r="AB632" s="99"/>
      <c r="AC632" s="99"/>
      <c r="AD632" s="99"/>
    </row>
    <row r="633" spans="1:30" ht="28.5" customHeight="1" x14ac:dyDescent="0.15">
      <c r="A633" s="99"/>
      <c r="B633" s="99"/>
      <c r="C633" s="99"/>
      <c r="D633" s="99"/>
      <c r="E633" s="99"/>
      <c r="F633" s="99"/>
      <c r="G633" s="99"/>
      <c r="H633" s="99"/>
      <c r="I633" s="99"/>
      <c r="J633" s="99"/>
      <c r="K633" s="99"/>
      <c r="L633" s="99"/>
      <c r="M633" s="99"/>
      <c r="N633" s="99"/>
      <c r="O633" s="99"/>
      <c r="P633" s="99"/>
      <c r="Q633" s="99"/>
      <c r="R633" s="99"/>
      <c r="S633" s="99"/>
      <c r="T633" s="99"/>
      <c r="U633" s="99"/>
      <c r="V633" s="99"/>
      <c r="W633" s="99"/>
      <c r="X633" s="99"/>
      <c r="Y633" s="99"/>
      <c r="Z633" s="99"/>
      <c r="AA633" s="99"/>
      <c r="AB633" s="99"/>
      <c r="AC633" s="99"/>
      <c r="AD633" s="99"/>
    </row>
    <row r="634" spans="1:30" ht="28.5" customHeight="1" x14ac:dyDescent="0.15">
      <c r="A634" s="99"/>
      <c r="B634" s="99"/>
      <c r="C634" s="99"/>
      <c r="D634" s="99"/>
      <c r="E634" s="99"/>
      <c r="F634" s="99"/>
      <c r="G634" s="99"/>
      <c r="H634" s="99"/>
      <c r="I634" s="99"/>
      <c r="J634" s="99"/>
      <c r="K634" s="99"/>
      <c r="L634" s="99"/>
      <c r="M634" s="99"/>
      <c r="N634" s="99"/>
      <c r="O634" s="99"/>
      <c r="P634" s="99"/>
      <c r="Q634" s="99"/>
      <c r="R634" s="99"/>
      <c r="S634" s="99"/>
      <c r="T634" s="99"/>
      <c r="U634" s="99"/>
      <c r="V634" s="99"/>
      <c r="W634" s="99"/>
      <c r="X634" s="99"/>
      <c r="Y634" s="99"/>
      <c r="Z634" s="99"/>
      <c r="AA634" s="99"/>
      <c r="AB634" s="99"/>
      <c r="AC634" s="99"/>
      <c r="AD634" s="99"/>
    </row>
    <row r="635" spans="1:30" ht="28.5" customHeight="1" x14ac:dyDescent="0.15">
      <c r="A635" s="99"/>
      <c r="B635" s="99"/>
      <c r="C635" s="99"/>
      <c r="D635" s="99"/>
      <c r="E635" s="99"/>
      <c r="F635" s="99"/>
      <c r="G635" s="99"/>
      <c r="H635" s="99"/>
      <c r="I635" s="99"/>
      <c r="J635" s="99"/>
      <c r="K635" s="99"/>
      <c r="L635" s="99"/>
      <c r="M635" s="99"/>
      <c r="N635" s="99"/>
      <c r="O635" s="99"/>
      <c r="P635" s="99"/>
      <c r="Q635" s="99"/>
      <c r="R635" s="99"/>
      <c r="S635" s="99"/>
      <c r="T635" s="99"/>
      <c r="U635" s="99"/>
      <c r="V635" s="99"/>
      <c r="W635" s="99"/>
      <c r="X635" s="99"/>
      <c r="Y635" s="99"/>
      <c r="Z635" s="99"/>
      <c r="AA635" s="99"/>
      <c r="AB635" s="99"/>
      <c r="AC635" s="99"/>
      <c r="AD635" s="99"/>
    </row>
    <row r="636" spans="1:30" ht="28.5" customHeight="1" x14ac:dyDescent="0.15">
      <c r="A636" s="99"/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99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</row>
    <row r="637" spans="1:30" ht="28.5" customHeight="1" x14ac:dyDescent="0.15">
      <c r="A637" s="99"/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99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</row>
    <row r="638" spans="1:30" ht="28.5" customHeight="1" x14ac:dyDescent="0.15">
      <c r="A638" s="99"/>
      <c r="B638" s="99"/>
      <c r="C638" s="99"/>
      <c r="D638" s="99"/>
      <c r="E638" s="99"/>
      <c r="F638" s="99"/>
      <c r="G638" s="99"/>
      <c r="H638" s="99"/>
      <c r="I638" s="99"/>
      <c r="J638" s="99"/>
      <c r="K638" s="99"/>
      <c r="L638" s="99"/>
      <c r="M638" s="99"/>
      <c r="N638" s="99"/>
      <c r="O638" s="99"/>
      <c r="P638" s="99"/>
      <c r="Q638" s="99"/>
      <c r="R638" s="99"/>
      <c r="S638" s="99"/>
      <c r="T638" s="99"/>
      <c r="U638" s="99"/>
      <c r="V638" s="99"/>
      <c r="W638" s="99"/>
      <c r="X638" s="99"/>
      <c r="Y638" s="99"/>
      <c r="Z638" s="99"/>
      <c r="AA638" s="99"/>
      <c r="AB638" s="99"/>
      <c r="AC638" s="99"/>
      <c r="AD638" s="99"/>
    </row>
    <row r="639" spans="1:30" ht="28.5" customHeight="1" x14ac:dyDescent="0.15">
      <c r="A639" s="99"/>
      <c r="B639" s="99"/>
      <c r="C639" s="99"/>
      <c r="D639" s="99"/>
      <c r="E639" s="99"/>
      <c r="F639" s="99"/>
      <c r="G639" s="99"/>
      <c r="H639" s="99"/>
      <c r="I639" s="99"/>
      <c r="J639" s="99"/>
      <c r="K639" s="99"/>
      <c r="L639" s="99"/>
      <c r="M639" s="99"/>
      <c r="N639" s="99"/>
      <c r="O639" s="99"/>
      <c r="P639" s="99"/>
      <c r="Q639" s="99"/>
      <c r="R639" s="99"/>
      <c r="S639" s="99"/>
      <c r="T639" s="99"/>
      <c r="U639" s="99"/>
      <c r="V639" s="99"/>
      <c r="W639" s="99"/>
      <c r="X639" s="99"/>
      <c r="Y639" s="99"/>
      <c r="Z639" s="99"/>
      <c r="AA639" s="99"/>
      <c r="AB639" s="99"/>
      <c r="AC639" s="99"/>
      <c r="AD639" s="99"/>
    </row>
    <row r="640" spans="1:30" ht="28.5" customHeight="1" x14ac:dyDescent="0.15">
      <c r="A640" s="99"/>
      <c r="B640" s="99"/>
      <c r="C640" s="99"/>
      <c r="D640" s="99"/>
      <c r="E640" s="99"/>
      <c r="F640" s="99"/>
      <c r="G640" s="99"/>
      <c r="H640" s="99"/>
      <c r="I640" s="99"/>
      <c r="J640" s="99"/>
      <c r="K640" s="99"/>
      <c r="L640" s="99"/>
      <c r="M640" s="99"/>
      <c r="N640" s="99"/>
      <c r="O640" s="99"/>
      <c r="P640" s="99"/>
      <c r="Q640" s="99"/>
      <c r="R640" s="99"/>
      <c r="S640" s="99"/>
      <c r="T640" s="99"/>
      <c r="U640" s="99"/>
      <c r="V640" s="99"/>
      <c r="W640" s="99"/>
      <c r="X640" s="99"/>
      <c r="Y640" s="99"/>
      <c r="Z640" s="99"/>
      <c r="AA640" s="99"/>
      <c r="AB640" s="99"/>
      <c r="AC640" s="99"/>
      <c r="AD640" s="99"/>
    </row>
    <row r="641" spans="1:30" ht="28.5" customHeight="1" x14ac:dyDescent="0.15">
      <c r="A641" s="99"/>
      <c r="B641" s="99"/>
      <c r="C641" s="99"/>
      <c r="D641" s="99"/>
      <c r="E641" s="99"/>
      <c r="F641" s="99"/>
      <c r="G641" s="99"/>
      <c r="H641" s="99"/>
      <c r="I641" s="99"/>
      <c r="J641" s="99"/>
      <c r="K641" s="99"/>
      <c r="L641" s="99"/>
      <c r="M641" s="99"/>
      <c r="N641" s="99"/>
      <c r="O641" s="99"/>
      <c r="P641" s="99"/>
      <c r="Q641" s="99"/>
      <c r="R641" s="99"/>
      <c r="S641" s="99"/>
      <c r="T641" s="99"/>
      <c r="U641" s="99"/>
      <c r="V641" s="99"/>
      <c r="W641" s="99"/>
      <c r="X641" s="99"/>
      <c r="Y641" s="99"/>
      <c r="Z641" s="99"/>
      <c r="AA641" s="99"/>
      <c r="AB641" s="99"/>
      <c r="AC641" s="99"/>
      <c r="AD641" s="99"/>
    </row>
    <row r="642" spans="1:30" ht="28.5" customHeight="1" x14ac:dyDescent="0.15">
      <c r="A642" s="99"/>
      <c r="B642" s="99"/>
      <c r="C642" s="99"/>
      <c r="D642" s="99"/>
      <c r="E642" s="99"/>
      <c r="F642" s="99"/>
      <c r="G642" s="99"/>
      <c r="H642" s="99"/>
      <c r="I642" s="99"/>
      <c r="J642" s="99"/>
      <c r="K642" s="99"/>
      <c r="L642" s="99"/>
      <c r="M642" s="99"/>
      <c r="N642" s="99"/>
      <c r="O642" s="99"/>
      <c r="P642" s="99"/>
      <c r="Q642" s="99"/>
      <c r="R642" s="99"/>
      <c r="S642" s="99"/>
      <c r="T642" s="99"/>
      <c r="U642" s="99"/>
      <c r="V642" s="99"/>
      <c r="W642" s="99"/>
      <c r="X642" s="99"/>
      <c r="Y642" s="99"/>
      <c r="Z642" s="99"/>
      <c r="AA642" s="99"/>
      <c r="AB642" s="99"/>
      <c r="AC642" s="99"/>
      <c r="AD642" s="99"/>
    </row>
    <row r="643" spans="1:30" ht="28.5" customHeight="1" x14ac:dyDescent="0.15">
      <c r="A643" s="99"/>
      <c r="B643" s="99"/>
      <c r="C643" s="99"/>
      <c r="D643" s="99"/>
      <c r="E643" s="99"/>
      <c r="F643" s="99"/>
      <c r="G643" s="99"/>
      <c r="H643" s="99"/>
      <c r="I643" s="99"/>
      <c r="J643" s="99"/>
      <c r="K643" s="99"/>
      <c r="L643" s="99"/>
      <c r="M643" s="99"/>
      <c r="N643" s="99"/>
      <c r="O643" s="99"/>
      <c r="P643" s="99"/>
      <c r="Q643" s="99"/>
      <c r="R643" s="99"/>
      <c r="S643" s="99"/>
      <c r="T643" s="99"/>
      <c r="U643" s="99"/>
      <c r="V643" s="99"/>
      <c r="W643" s="99"/>
      <c r="X643" s="99"/>
      <c r="Y643" s="99"/>
      <c r="Z643" s="99"/>
      <c r="AA643" s="99"/>
      <c r="AB643" s="99"/>
      <c r="AC643" s="99"/>
      <c r="AD643" s="99"/>
    </row>
    <row r="644" spans="1:30" ht="28.5" customHeight="1" x14ac:dyDescent="0.15">
      <c r="A644" s="99"/>
      <c r="B644" s="99"/>
      <c r="C644" s="99"/>
      <c r="D644" s="99"/>
      <c r="E644" s="99"/>
      <c r="F644" s="99"/>
      <c r="G644" s="99"/>
      <c r="H644" s="99"/>
      <c r="I644" s="99"/>
      <c r="J644" s="99"/>
      <c r="K644" s="99"/>
      <c r="L644" s="99"/>
      <c r="M644" s="99"/>
      <c r="N644" s="99"/>
      <c r="O644" s="99"/>
      <c r="P644" s="99"/>
      <c r="Q644" s="99"/>
      <c r="R644" s="99"/>
      <c r="S644" s="99"/>
      <c r="T644" s="99"/>
      <c r="U644" s="99"/>
      <c r="V644" s="99"/>
      <c r="W644" s="99"/>
      <c r="X644" s="99"/>
      <c r="Y644" s="99"/>
      <c r="Z644" s="99"/>
      <c r="AA644" s="99"/>
      <c r="AB644" s="99"/>
      <c r="AC644" s="99"/>
      <c r="AD644" s="99"/>
    </row>
    <row r="645" spans="1:30" ht="28.5" customHeight="1" x14ac:dyDescent="0.15">
      <c r="A645" s="99"/>
      <c r="B645" s="99"/>
      <c r="C645" s="99"/>
      <c r="D645" s="99"/>
      <c r="E645" s="99"/>
      <c r="F645" s="99"/>
      <c r="G645" s="99"/>
      <c r="H645" s="99"/>
      <c r="I645" s="99"/>
      <c r="J645" s="99"/>
      <c r="K645" s="99"/>
      <c r="L645" s="99"/>
      <c r="M645" s="99"/>
      <c r="N645" s="99"/>
      <c r="O645" s="99"/>
      <c r="P645" s="99"/>
      <c r="Q645" s="99"/>
      <c r="R645" s="99"/>
      <c r="S645" s="99"/>
      <c r="T645" s="99"/>
      <c r="U645" s="99"/>
      <c r="V645" s="99"/>
      <c r="W645" s="99"/>
      <c r="X645" s="99"/>
      <c r="Y645" s="99"/>
      <c r="Z645" s="99"/>
      <c r="AA645" s="99"/>
      <c r="AB645" s="99"/>
      <c r="AC645" s="99"/>
      <c r="AD645" s="99"/>
    </row>
    <row r="646" spans="1:30" ht="28.5" customHeight="1" x14ac:dyDescent="0.15">
      <c r="A646" s="99"/>
      <c r="B646" s="99"/>
      <c r="C646" s="99"/>
      <c r="D646" s="99"/>
      <c r="E646" s="99"/>
      <c r="F646" s="99"/>
      <c r="G646" s="99"/>
      <c r="H646" s="99"/>
      <c r="I646" s="99"/>
      <c r="J646" s="99"/>
      <c r="K646" s="99"/>
      <c r="L646" s="99"/>
      <c r="M646" s="99"/>
      <c r="N646" s="99"/>
      <c r="O646" s="99"/>
      <c r="P646" s="99"/>
      <c r="Q646" s="99"/>
      <c r="R646" s="99"/>
      <c r="S646" s="99"/>
      <c r="T646" s="99"/>
      <c r="U646" s="99"/>
      <c r="V646" s="99"/>
      <c r="W646" s="99"/>
      <c r="X646" s="99"/>
      <c r="Y646" s="99"/>
      <c r="Z646" s="99"/>
      <c r="AA646" s="99"/>
      <c r="AB646" s="99"/>
      <c r="AC646" s="99"/>
      <c r="AD646" s="99"/>
    </row>
    <row r="647" spans="1:30" ht="28.5" customHeight="1" x14ac:dyDescent="0.15">
      <c r="A647" s="99"/>
      <c r="B647" s="99"/>
      <c r="C647" s="99"/>
      <c r="D647" s="99"/>
      <c r="E647" s="99"/>
      <c r="F647" s="99"/>
      <c r="G647" s="99"/>
      <c r="H647" s="99"/>
      <c r="I647" s="99"/>
      <c r="J647" s="99"/>
      <c r="K647" s="99"/>
      <c r="L647" s="99"/>
      <c r="M647" s="99"/>
      <c r="N647" s="99"/>
      <c r="O647" s="99"/>
      <c r="P647" s="99"/>
      <c r="Q647" s="99"/>
      <c r="R647" s="99"/>
      <c r="S647" s="99"/>
      <c r="T647" s="99"/>
      <c r="U647" s="99"/>
      <c r="V647" s="99"/>
      <c r="W647" s="99"/>
      <c r="X647" s="99"/>
      <c r="Y647" s="99"/>
      <c r="Z647" s="99"/>
      <c r="AA647" s="99"/>
      <c r="AB647" s="99"/>
      <c r="AC647" s="99"/>
      <c r="AD647" s="99"/>
    </row>
    <row r="648" spans="1:30" ht="28.5" customHeight="1" x14ac:dyDescent="0.15">
      <c r="A648" s="99"/>
      <c r="B648" s="99"/>
      <c r="C648" s="99"/>
      <c r="D648" s="99"/>
      <c r="E648" s="99"/>
      <c r="F648" s="99"/>
      <c r="G648" s="99"/>
      <c r="H648" s="99"/>
      <c r="I648" s="99"/>
      <c r="J648" s="99"/>
      <c r="K648" s="99"/>
      <c r="L648" s="99"/>
      <c r="M648" s="99"/>
      <c r="N648" s="99"/>
      <c r="O648" s="99"/>
      <c r="P648" s="99"/>
      <c r="Q648" s="99"/>
      <c r="R648" s="99"/>
      <c r="S648" s="99"/>
      <c r="T648" s="99"/>
      <c r="U648" s="99"/>
      <c r="V648" s="99"/>
      <c r="W648" s="99"/>
      <c r="X648" s="99"/>
      <c r="Y648" s="99"/>
      <c r="Z648" s="99"/>
      <c r="AA648" s="99"/>
      <c r="AB648" s="99"/>
      <c r="AC648" s="99"/>
      <c r="AD648" s="99"/>
    </row>
    <row r="649" spans="1:30" ht="28.5" customHeight="1" x14ac:dyDescent="0.15">
      <c r="A649" s="99"/>
      <c r="B649" s="99"/>
      <c r="C649" s="99"/>
      <c r="D649" s="99"/>
      <c r="E649" s="99"/>
      <c r="F649" s="99"/>
      <c r="G649" s="99"/>
      <c r="H649" s="99"/>
      <c r="I649" s="99"/>
      <c r="J649" s="99"/>
      <c r="K649" s="99"/>
      <c r="L649" s="99"/>
      <c r="M649" s="99"/>
      <c r="N649" s="99"/>
      <c r="O649" s="99"/>
      <c r="P649" s="99"/>
      <c r="Q649" s="99"/>
      <c r="R649" s="99"/>
      <c r="S649" s="99"/>
      <c r="T649" s="99"/>
      <c r="U649" s="99"/>
      <c r="V649" s="99"/>
      <c r="W649" s="99"/>
      <c r="X649" s="99"/>
      <c r="Y649" s="99"/>
      <c r="Z649" s="99"/>
      <c r="AA649" s="99"/>
      <c r="AB649" s="99"/>
      <c r="AC649" s="99"/>
      <c r="AD649" s="99"/>
    </row>
    <row r="650" spans="1:30" ht="28.5" customHeight="1" x14ac:dyDescent="0.15">
      <c r="A650" s="99"/>
      <c r="B650" s="99"/>
      <c r="C650" s="99"/>
      <c r="D650" s="99"/>
      <c r="E650" s="99"/>
      <c r="F650" s="99"/>
      <c r="G650" s="99"/>
      <c r="H650" s="99"/>
      <c r="I650" s="99"/>
      <c r="J650" s="99"/>
      <c r="K650" s="99"/>
      <c r="L650" s="99"/>
      <c r="M650" s="99"/>
      <c r="N650" s="99"/>
      <c r="O650" s="99"/>
      <c r="P650" s="99"/>
      <c r="Q650" s="99"/>
      <c r="R650" s="99"/>
      <c r="S650" s="99"/>
      <c r="T650" s="99"/>
      <c r="U650" s="99"/>
      <c r="V650" s="99"/>
      <c r="W650" s="99"/>
      <c r="X650" s="99"/>
      <c r="Y650" s="99"/>
      <c r="Z650" s="99"/>
      <c r="AA650" s="99"/>
      <c r="AB650" s="99"/>
      <c r="AC650" s="99"/>
      <c r="AD650" s="99"/>
    </row>
    <row r="651" spans="1:30" ht="28.5" customHeight="1" x14ac:dyDescent="0.15">
      <c r="A651" s="99"/>
      <c r="B651" s="99"/>
      <c r="C651" s="99"/>
      <c r="D651" s="99"/>
      <c r="E651" s="99"/>
      <c r="F651" s="99"/>
      <c r="G651" s="99"/>
      <c r="H651" s="99"/>
      <c r="I651" s="99"/>
      <c r="J651" s="99"/>
      <c r="K651" s="99"/>
      <c r="L651" s="99"/>
      <c r="M651" s="99"/>
      <c r="N651" s="99"/>
      <c r="O651" s="99"/>
      <c r="P651" s="99"/>
      <c r="Q651" s="99"/>
      <c r="R651" s="99"/>
      <c r="S651" s="99"/>
      <c r="T651" s="99"/>
      <c r="U651" s="99"/>
      <c r="V651" s="99"/>
      <c r="W651" s="99"/>
      <c r="X651" s="99"/>
      <c r="Y651" s="99"/>
      <c r="Z651" s="99"/>
      <c r="AA651" s="99"/>
      <c r="AB651" s="99"/>
      <c r="AC651" s="99"/>
      <c r="AD651" s="99"/>
    </row>
    <row r="652" spans="1:30" ht="28.5" customHeight="1" x14ac:dyDescent="0.15">
      <c r="A652" s="99"/>
      <c r="B652" s="99"/>
      <c r="C652" s="99"/>
      <c r="D652" s="99"/>
      <c r="E652" s="99"/>
      <c r="F652" s="99"/>
      <c r="G652" s="99"/>
      <c r="H652" s="99"/>
      <c r="I652" s="99"/>
      <c r="J652" s="99"/>
      <c r="K652" s="99"/>
      <c r="L652" s="99"/>
      <c r="M652" s="99"/>
      <c r="N652" s="99"/>
      <c r="O652" s="99"/>
      <c r="P652" s="99"/>
      <c r="Q652" s="99"/>
      <c r="R652" s="99"/>
      <c r="S652" s="99"/>
      <c r="T652" s="99"/>
      <c r="U652" s="99"/>
      <c r="V652" s="99"/>
      <c r="W652" s="99"/>
      <c r="X652" s="99"/>
      <c r="Y652" s="99"/>
      <c r="Z652" s="99"/>
      <c r="AA652" s="99"/>
      <c r="AB652" s="99"/>
      <c r="AC652" s="99"/>
      <c r="AD652" s="99"/>
    </row>
    <row r="653" spans="1:30" ht="28.5" customHeight="1" x14ac:dyDescent="0.15">
      <c r="A653" s="99"/>
      <c r="B653" s="99"/>
      <c r="C653" s="99"/>
      <c r="D653" s="99"/>
      <c r="E653" s="99"/>
      <c r="F653" s="99"/>
      <c r="G653" s="99"/>
      <c r="H653" s="99"/>
      <c r="I653" s="99"/>
      <c r="J653" s="99"/>
      <c r="K653" s="99"/>
      <c r="L653" s="99"/>
      <c r="M653" s="99"/>
      <c r="N653" s="99"/>
      <c r="O653" s="99"/>
      <c r="P653" s="99"/>
      <c r="Q653" s="99"/>
      <c r="R653" s="99"/>
      <c r="S653" s="99"/>
      <c r="T653" s="99"/>
      <c r="U653" s="99"/>
      <c r="V653" s="99"/>
      <c r="W653" s="99"/>
      <c r="X653" s="99"/>
      <c r="Y653" s="99"/>
      <c r="Z653" s="99"/>
      <c r="AA653" s="99"/>
      <c r="AB653" s="99"/>
      <c r="AC653" s="99"/>
      <c r="AD653" s="99"/>
    </row>
    <row r="654" spans="1:30" ht="28.5" customHeight="1" x14ac:dyDescent="0.15">
      <c r="A654" s="99"/>
      <c r="B654" s="99"/>
      <c r="C654" s="99"/>
      <c r="D654" s="99"/>
      <c r="E654" s="99"/>
      <c r="F654" s="99"/>
      <c r="G654" s="99"/>
      <c r="H654" s="99"/>
      <c r="I654" s="99"/>
      <c r="J654" s="99"/>
      <c r="K654" s="99"/>
      <c r="L654" s="99"/>
      <c r="M654" s="99"/>
      <c r="N654" s="99"/>
      <c r="O654" s="99"/>
      <c r="P654" s="99"/>
      <c r="Q654" s="99"/>
      <c r="R654" s="99"/>
      <c r="S654" s="99"/>
      <c r="T654" s="99"/>
      <c r="U654" s="99"/>
      <c r="V654" s="99"/>
      <c r="W654" s="99"/>
      <c r="X654" s="99"/>
      <c r="Y654" s="99"/>
      <c r="Z654" s="99"/>
      <c r="AA654" s="99"/>
      <c r="AB654" s="99"/>
      <c r="AC654" s="99"/>
      <c r="AD654" s="99"/>
    </row>
    <row r="655" spans="1:30" ht="28.5" customHeight="1" x14ac:dyDescent="0.15">
      <c r="A655" s="99"/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99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</row>
    <row r="656" spans="1:30" ht="28.5" customHeight="1" x14ac:dyDescent="0.15">
      <c r="A656" s="99"/>
      <c r="B656" s="99"/>
      <c r="C656" s="99"/>
      <c r="D656" s="99"/>
      <c r="E656" s="99"/>
      <c r="F656" s="99"/>
      <c r="G656" s="99"/>
      <c r="H656" s="99"/>
      <c r="I656" s="99"/>
      <c r="J656" s="99"/>
      <c r="K656" s="99"/>
      <c r="L656" s="99"/>
      <c r="M656" s="99"/>
      <c r="N656" s="99"/>
      <c r="O656" s="99"/>
      <c r="P656" s="99"/>
      <c r="Q656" s="99"/>
      <c r="R656" s="99"/>
      <c r="S656" s="99"/>
      <c r="T656" s="99"/>
      <c r="U656" s="99"/>
      <c r="V656" s="99"/>
      <c r="W656" s="99"/>
      <c r="X656" s="99"/>
      <c r="Y656" s="99"/>
      <c r="Z656" s="99"/>
      <c r="AA656" s="99"/>
      <c r="AB656" s="99"/>
      <c r="AC656" s="99"/>
      <c r="AD656" s="99"/>
    </row>
    <row r="657" spans="1:30" ht="28.5" customHeight="1" x14ac:dyDescent="0.15">
      <c r="A657" s="99"/>
      <c r="B657" s="99"/>
      <c r="C657" s="99"/>
      <c r="D657" s="99"/>
      <c r="E657" s="99"/>
      <c r="F657" s="99"/>
      <c r="G657" s="99"/>
      <c r="H657" s="99"/>
      <c r="I657" s="99"/>
      <c r="J657" s="99"/>
      <c r="K657" s="99"/>
      <c r="L657" s="99"/>
      <c r="M657" s="99"/>
      <c r="N657" s="99"/>
      <c r="O657" s="99"/>
      <c r="P657" s="99"/>
      <c r="Q657" s="99"/>
      <c r="R657" s="99"/>
      <c r="S657" s="99"/>
      <c r="T657" s="99"/>
      <c r="U657" s="99"/>
      <c r="V657" s="99"/>
      <c r="W657" s="99"/>
      <c r="X657" s="99"/>
      <c r="Y657" s="99"/>
      <c r="Z657" s="99"/>
      <c r="AA657" s="99"/>
      <c r="AB657" s="99"/>
      <c r="AC657" s="99"/>
      <c r="AD657" s="99"/>
    </row>
    <row r="658" spans="1:30" ht="28.5" customHeight="1" x14ac:dyDescent="0.15">
      <c r="A658" s="99"/>
      <c r="B658" s="99"/>
      <c r="C658" s="99"/>
      <c r="D658" s="99"/>
      <c r="E658" s="99"/>
      <c r="F658" s="99"/>
      <c r="G658" s="99"/>
      <c r="H658" s="99"/>
      <c r="I658" s="99"/>
      <c r="J658" s="99"/>
      <c r="K658" s="99"/>
      <c r="L658" s="99"/>
      <c r="M658" s="99"/>
      <c r="N658" s="99"/>
      <c r="O658" s="99"/>
      <c r="P658" s="99"/>
      <c r="Q658" s="99"/>
      <c r="R658" s="99"/>
      <c r="S658" s="99"/>
      <c r="T658" s="99"/>
      <c r="U658" s="99"/>
      <c r="V658" s="99"/>
      <c r="W658" s="99"/>
      <c r="X658" s="99"/>
      <c r="Y658" s="99"/>
      <c r="Z658" s="99"/>
      <c r="AA658" s="99"/>
      <c r="AB658" s="99"/>
      <c r="AC658" s="99"/>
      <c r="AD658" s="99"/>
    </row>
    <row r="659" spans="1:30" ht="28.5" customHeight="1" x14ac:dyDescent="0.15">
      <c r="A659" s="99"/>
      <c r="B659" s="99"/>
      <c r="C659" s="99"/>
      <c r="D659" s="99"/>
      <c r="E659" s="99"/>
      <c r="F659" s="99"/>
      <c r="G659" s="99"/>
      <c r="H659" s="99"/>
      <c r="I659" s="99"/>
      <c r="J659" s="99"/>
      <c r="K659" s="99"/>
      <c r="L659" s="99"/>
      <c r="M659" s="99"/>
      <c r="N659" s="99"/>
      <c r="O659" s="99"/>
      <c r="P659" s="99"/>
      <c r="Q659" s="99"/>
      <c r="R659" s="99"/>
      <c r="S659" s="99"/>
      <c r="T659" s="99"/>
      <c r="U659" s="99"/>
      <c r="V659" s="99"/>
      <c r="W659" s="99"/>
      <c r="X659" s="99"/>
      <c r="Y659" s="99"/>
      <c r="Z659" s="99"/>
      <c r="AA659" s="99"/>
      <c r="AB659" s="99"/>
      <c r="AC659" s="99"/>
      <c r="AD659" s="99"/>
    </row>
    <row r="660" spans="1:30" ht="28.5" customHeight="1" x14ac:dyDescent="0.15">
      <c r="A660" s="99"/>
      <c r="B660" s="99"/>
      <c r="C660" s="99"/>
      <c r="D660" s="99"/>
      <c r="E660" s="99"/>
      <c r="F660" s="99"/>
      <c r="G660" s="99"/>
      <c r="H660" s="99"/>
      <c r="I660" s="99"/>
      <c r="J660" s="99"/>
      <c r="K660" s="99"/>
      <c r="L660" s="99"/>
      <c r="M660" s="99"/>
      <c r="N660" s="99"/>
      <c r="O660" s="99"/>
      <c r="P660" s="99"/>
      <c r="Q660" s="99"/>
      <c r="R660" s="99"/>
      <c r="S660" s="99"/>
      <c r="T660" s="99"/>
      <c r="U660" s="99"/>
      <c r="V660" s="99"/>
      <c r="W660" s="99"/>
      <c r="X660" s="99"/>
      <c r="Y660" s="99"/>
      <c r="Z660" s="99"/>
      <c r="AA660" s="99"/>
      <c r="AB660" s="99"/>
      <c r="AC660" s="99"/>
      <c r="AD660" s="99"/>
    </row>
    <row r="661" spans="1:30" ht="28.5" customHeight="1" x14ac:dyDescent="0.15">
      <c r="A661" s="99"/>
      <c r="B661" s="99"/>
      <c r="C661" s="99"/>
      <c r="D661" s="99"/>
      <c r="E661" s="99"/>
      <c r="F661" s="99"/>
      <c r="G661" s="99"/>
      <c r="H661" s="99"/>
      <c r="I661" s="99"/>
      <c r="J661" s="99"/>
      <c r="K661" s="99"/>
      <c r="L661" s="99"/>
      <c r="M661" s="99"/>
      <c r="N661" s="99"/>
      <c r="O661" s="99"/>
      <c r="P661" s="99"/>
      <c r="Q661" s="99"/>
      <c r="R661" s="99"/>
      <c r="S661" s="99"/>
      <c r="T661" s="99"/>
      <c r="U661" s="99"/>
      <c r="V661" s="99"/>
      <c r="W661" s="99"/>
      <c r="X661" s="99"/>
      <c r="Y661" s="99"/>
      <c r="Z661" s="99"/>
      <c r="AA661" s="99"/>
      <c r="AB661" s="99"/>
      <c r="AC661" s="99"/>
      <c r="AD661" s="99"/>
    </row>
    <row r="662" spans="1:30" ht="28.5" customHeight="1" x14ac:dyDescent="0.15">
      <c r="A662" s="99"/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99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</row>
    <row r="663" spans="1:30" ht="28.5" customHeight="1" x14ac:dyDescent="0.15">
      <c r="A663" s="99"/>
      <c r="B663" s="99"/>
      <c r="C663" s="99"/>
      <c r="D663" s="99"/>
      <c r="E663" s="99"/>
      <c r="F663" s="99"/>
      <c r="G663" s="99"/>
      <c r="H663" s="99"/>
      <c r="I663" s="99"/>
      <c r="J663" s="99"/>
      <c r="K663" s="99"/>
      <c r="L663" s="99"/>
      <c r="M663" s="99"/>
      <c r="N663" s="99"/>
      <c r="O663" s="99"/>
      <c r="P663" s="99"/>
      <c r="Q663" s="99"/>
      <c r="R663" s="99"/>
      <c r="S663" s="99"/>
      <c r="T663" s="99"/>
      <c r="U663" s="99"/>
      <c r="V663" s="99"/>
      <c r="W663" s="99"/>
      <c r="X663" s="99"/>
      <c r="Y663" s="99"/>
      <c r="Z663" s="99"/>
      <c r="AA663" s="99"/>
      <c r="AB663" s="99"/>
      <c r="AC663" s="99"/>
      <c r="AD663" s="99"/>
    </row>
    <row r="664" spans="1:30" ht="28.5" customHeight="1" x14ac:dyDescent="0.15">
      <c r="A664" s="99"/>
      <c r="B664" s="99"/>
      <c r="C664" s="99"/>
      <c r="D664" s="99"/>
      <c r="E664" s="99"/>
      <c r="F664" s="99"/>
      <c r="G664" s="99"/>
      <c r="H664" s="99"/>
      <c r="I664" s="99"/>
      <c r="J664" s="99"/>
      <c r="K664" s="99"/>
      <c r="L664" s="99"/>
      <c r="M664" s="99"/>
      <c r="N664" s="99"/>
      <c r="O664" s="99"/>
      <c r="P664" s="99"/>
      <c r="Q664" s="99"/>
      <c r="R664" s="99"/>
      <c r="S664" s="99"/>
      <c r="T664" s="99"/>
      <c r="U664" s="99"/>
      <c r="V664" s="99"/>
      <c r="W664" s="99"/>
      <c r="X664" s="99"/>
      <c r="Y664" s="99"/>
      <c r="Z664" s="99"/>
      <c r="AA664" s="99"/>
      <c r="AB664" s="99"/>
      <c r="AC664" s="99"/>
      <c r="AD664" s="99"/>
    </row>
    <row r="665" spans="1:30" ht="28.5" customHeight="1" x14ac:dyDescent="0.15">
      <c r="A665" s="99"/>
      <c r="B665" s="99"/>
      <c r="C665" s="99"/>
      <c r="D665" s="99"/>
      <c r="E665" s="99"/>
      <c r="F665" s="99"/>
      <c r="G665" s="99"/>
      <c r="H665" s="99"/>
      <c r="I665" s="99"/>
      <c r="J665" s="99"/>
      <c r="K665" s="99"/>
      <c r="L665" s="99"/>
      <c r="M665" s="99"/>
      <c r="N665" s="99"/>
      <c r="O665" s="99"/>
      <c r="P665" s="99"/>
      <c r="Q665" s="99"/>
      <c r="R665" s="99"/>
      <c r="S665" s="99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</row>
    <row r="666" spans="1:30" ht="28.5" customHeight="1" x14ac:dyDescent="0.15">
      <c r="A666" s="99"/>
      <c r="B666" s="99"/>
      <c r="C666" s="99"/>
      <c r="D666" s="99"/>
      <c r="E666" s="99"/>
      <c r="F666" s="99"/>
      <c r="G666" s="99"/>
      <c r="H666" s="99"/>
      <c r="I666" s="99"/>
      <c r="J666" s="99"/>
      <c r="K666" s="99"/>
      <c r="L666" s="99"/>
      <c r="M666" s="99"/>
      <c r="N666" s="99"/>
      <c r="O666" s="99"/>
      <c r="P666" s="99"/>
      <c r="Q666" s="99"/>
      <c r="R666" s="99"/>
      <c r="S666" s="99"/>
      <c r="T666" s="99"/>
      <c r="U666" s="99"/>
      <c r="V666" s="99"/>
      <c r="W666" s="99"/>
      <c r="X666" s="99"/>
      <c r="Y666" s="99"/>
      <c r="Z666" s="99"/>
      <c r="AA666" s="99"/>
      <c r="AB666" s="99"/>
      <c r="AC666" s="99"/>
      <c r="AD666" s="99"/>
    </row>
    <row r="667" spans="1:30" ht="28.5" customHeight="1" x14ac:dyDescent="0.15">
      <c r="A667" s="99"/>
      <c r="B667" s="99"/>
      <c r="C667" s="99"/>
      <c r="D667" s="99"/>
      <c r="E667" s="99"/>
      <c r="F667" s="99"/>
      <c r="G667" s="99"/>
      <c r="H667" s="99"/>
      <c r="I667" s="99"/>
      <c r="J667" s="99"/>
      <c r="K667" s="99"/>
      <c r="L667" s="99"/>
      <c r="M667" s="99"/>
      <c r="N667" s="99"/>
      <c r="O667" s="99"/>
      <c r="P667" s="99"/>
      <c r="Q667" s="99"/>
      <c r="R667" s="99"/>
      <c r="S667" s="99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</row>
    <row r="668" spans="1:30" ht="28.5" customHeight="1" x14ac:dyDescent="0.15">
      <c r="A668" s="99"/>
      <c r="B668" s="99"/>
      <c r="C668" s="99"/>
      <c r="D668" s="99"/>
      <c r="E668" s="99"/>
      <c r="F668" s="99"/>
      <c r="G668" s="99"/>
      <c r="H668" s="99"/>
      <c r="I668" s="99"/>
      <c r="J668" s="99"/>
      <c r="K668" s="99"/>
      <c r="L668" s="99"/>
      <c r="M668" s="99"/>
      <c r="N668" s="99"/>
      <c r="O668" s="99"/>
      <c r="P668" s="99"/>
      <c r="Q668" s="99"/>
      <c r="R668" s="99"/>
      <c r="S668" s="99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</row>
    <row r="669" spans="1:30" ht="28.5" customHeight="1" x14ac:dyDescent="0.15">
      <c r="A669" s="99"/>
      <c r="B669" s="99"/>
      <c r="C669" s="99"/>
      <c r="D669" s="99"/>
      <c r="E669" s="99"/>
      <c r="F669" s="99"/>
      <c r="G669" s="99"/>
      <c r="H669" s="99"/>
      <c r="I669" s="99"/>
      <c r="J669" s="99"/>
      <c r="K669" s="99"/>
      <c r="L669" s="99"/>
      <c r="M669" s="99"/>
      <c r="N669" s="99"/>
      <c r="O669" s="99"/>
      <c r="P669" s="99"/>
      <c r="Q669" s="99"/>
      <c r="R669" s="99"/>
      <c r="S669" s="99"/>
      <c r="T669" s="99"/>
      <c r="U669" s="99"/>
      <c r="V669" s="99"/>
      <c r="W669" s="99"/>
      <c r="X669" s="99"/>
      <c r="Y669" s="99"/>
      <c r="Z669" s="99"/>
      <c r="AA669" s="99"/>
      <c r="AB669" s="99"/>
      <c r="AC669" s="99"/>
      <c r="AD669" s="99"/>
    </row>
    <row r="670" spans="1:30" ht="28.5" customHeight="1" x14ac:dyDescent="0.15">
      <c r="A670" s="99"/>
      <c r="B670" s="99"/>
      <c r="C670" s="99"/>
      <c r="D670" s="99"/>
      <c r="E670" s="99"/>
      <c r="F670" s="99"/>
      <c r="G670" s="99"/>
      <c r="H670" s="99"/>
      <c r="I670" s="99"/>
      <c r="J670" s="99"/>
      <c r="K670" s="99"/>
      <c r="L670" s="99"/>
      <c r="M670" s="99"/>
      <c r="N670" s="99"/>
      <c r="O670" s="99"/>
      <c r="P670" s="99"/>
      <c r="Q670" s="99"/>
      <c r="R670" s="99"/>
      <c r="S670" s="99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</row>
    <row r="671" spans="1:30" ht="28.5" customHeight="1" x14ac:dyDescent="0.15">
      <c r="A671" s="99"/>
      <c r="B671" s="99"/>
      <c r="C671" s="99"/>
      <c r="D671" s="99"/>
      <c r="E671" s="99"/>
      <c r="F671" s="99"/>
      <c r="G671" s="99"/>
      <c r="H671" s="99"/>
      <c r="I671" s="99"/>
      <c r="J671" s="99"/>
      <c r="K671" s="99"/>
      <c r="L671" s="99"/>
      <c r="M671" s="99"/>
      <c r="N671" s="99"/>
      <c r="O671" s="99"/>
      <c r="P671" s="99"/>
      <c r="Q671" s="99"/>
      <c r="R671" s="99"/>
      <c r="S671" s="99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</row>
    <row r="672" spans="1:30" ht="28.5" customHeight="1" x14ac:dyDescent="0.15">
      <c r="A672" s="99"/>
      <c r="B672" s="99"/>
      <c r="C672" s="99"/>
      <c r="D672" s="99"/>
      <c r="E672" s="99"/>
      <c r="F672" s="99"/>
      <c r="G672" s="99"/>
      <c r="H672" s="99"/>
      <c r="I672" s="99"/>
      <c r="J672" s="99"/>
      <c r="K672" s="99"/>
      <c r="L672" s="99"/>
      <c r="M672" s="99"/>
      <c r="N672" s="99"/>
      <c r="O672" s="99"/>
      <c r="P672" s="99"/>
      <c r="Q672" s="99"/>
      <c r="R672" s="99"/>
      <c r="S672" s="99"/>
      <c r="T672" s="99"/>
      <c r="U672" s="99"/>
      <c r="V672" s="99"/>
      <c r="W672" s="99"/>
      <c r="X672" s="99"/>
      <c r="Y672" s="99"/>
      <c r="Z672" s="99"/>
      <c r="AA672" s="99"/>
      <c r="AB672" s="99"/>
      <c r="AC672" s="99"/>
      <c r="AD672" s="99"/>
    </row>
    <row r="673" spans="1:30" ht="28.5" customHeight="1" x14ac:dyDescent="0.15">
      <c r="A673" s="99"/>
      <c r="B673" s="99"/>
      <c r="C673" s="99"/>
      <c r="D673" s="99"/>
      <c r="E673" s="99"/>
      <c r="F673" s="99"/>
      <c r="G673" s="99"/>
      <c r="H673" s="99"/>
      <c r="I673" s="99"/>
      <c r="J673" s="99"/>
      <c r="K673" s="99"/>
      <c r="L673" s="99"/>
      <c r="M673" s="99"/>
      <c r="N673" s="99"/>
      <c r="O673" s="99"/>
      <c r="P673" s="99"/>
      <c r="Q673" s="99"/>
      <c r="R673" s="99"/>
      <c r="S673" s="99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</row>
    <row r="674" spans="1:30" ht="28.5" customHeight="1" x14ac:dyDescent="0.15">
      <c r="A674" s="99"/>
      <c r="B674" s="99"/>
      <c r="C674" s="99"/>
      <c r="D674" s="99"/>
      <c r="E674" s="99"/>
      <c r="F674" s="99"/>
      <c r="G674" s="99"/>
      <c r="H674" s="99"/>
      <c r="I674" s="99"/>
      <c r="J674" s="99"/>
      <c r="K674" s="99"/>
      <c r="L674" s="99"/>
      <c r="M674" s="99"/>
      <c r="N674" s="99"/>
      <c r="O674" s="99"/>
      <c r="P674" s="99"/>
      <c r="Q674" s="99"/>
      <c r="R674" s="99"/>
      <c r="S674" s="99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</row>
    <row r="675" spans="1:30" ht="28.5" customHeight="1" x14ac:dyDescent="0.15">
      <c r="A675" s="99"/>
      <c r="B675" s="99"/>
      <c r="C675" s="99"/>
      <c r="D675" s="99"/>
      <c r="E675" s="99"/>
      <c r="F675" s="99"/>
      <c r="G675" s="99"/>
      <c r="H675" s="99"/>
      <c r="I675" s="99"/>
      <c r="J675" s="99"/>
      <c r="K675" s="99"/>
      <c r="L675" s="99"/>
      <c r="M675" s="99"/>
      <c r="N675" s="99"/>
      <c r="O675" s="99"/>
      <c r="P675" s="99"/>
      <c r="Q675" s="99"/>
      <c r="R675" s="99"/>
      <c r="S675" s="99"/>
      <c r="T675" s="99"/>
      <c r="U675" s="99"/>
      <c r="V675" s="99"/>
      <c r="W675" s="99"/>
      <c r="X675" s="99"/>
      <c r="Y675" s="99"/>
      <c r="Z675" s="99"/>
      <c r="AA675" s="99"/>
      <c r="AB675" s="99"/>
      <c r="AC675" s="99"/>
      <c r="AD675" s="99"/>
    </row>
    <row r="676" spans="1:30" ht="28.5" customHeight="1" x14ac:dyDescent="0.15">
      <c r="A676" s="99"/>
      <c r="B676" s="99"/>
      <c r="C676" s="99"/>
      <c r="D676" s="99"/>
      <c r="E676" s="99"/>
      <c r="F676" s="99"/>
      <c r="G676" s="99"/>
      <c r="H676" s="99"/>
      <c r="I676" s="99"/>
      <c r="J676" s="99"/>
      <c r="K676" s="99"/>
      <c r="L676" s="99"/>
      <c r="M676" s="99"/>
      <c r="N676" s="99"/>
      <c r="O676" s="99"/>
      <c r="P676" s="99"/>
      <c r="Q676" s="99"/>
      <c r="R676" s="99"/>
      <c r="S676" s="99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</row>
    <row r="677" spans="1:30" ht="28.5" customHeight="1" x14ac:dyDescent="0.15">
      <c r="A677" s="99"/>
      <c r="B677" s="99"/>
      <c r="C677" s="99"/>
      <c r="D677" s="99"/>
      <c r="E677" s="99"/>
      <c r="F677" s="99"/>
      <c r="G677" s="99"/>
      <c r="H677" s="99"/>
      <c r="I677" s="99"/>
      <c r="J677" s="99"/>
      <c r="K677" s="99"/>
      <c r="L677" s="99"/>
      <c r="M677" s="99"/>
      <c r="N677" s="99"/>
      <c r="O677" s="99"/>
      <c r="P677" s="99"/>
      <c r="Q677" s="99"/>
      <c r="R677" s="99"/>
      <c r="S677" s="99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</row>
    <row r="678" spans="1:30" ht="28.5" customHeight="1" x14ac:dyDescent="0.15">
      <c r="A678" s="99"/>
      <c r="B678" s="99"/>
      <c r="C678" s="99"/>
      <c r="D678" s="99"/>
      <c r="E678" s="99"/>
      <c r="F678" s="99"/>
      <c r="G678" s="99"/>
      <c r="H678" s="99"/>
      <c r="I678" s="99"/>
      <c r="J678" s="99"/>
      <c r="K678" s="99"/>
      <c r="L678" s="99"/>
      <c r="M678" s="99"/>
      <c r="N678" s="99"/>
      <c r="O678" s="99"/>
      <c r="P678" s="99"/>
      <c r="Q678" s="99"/>
      <c r="R678" s="99"/>
      <c r="S678" s="99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</row>
    <row r="679" spans="1:30" ht="28.5" customHeight="1" x14ac:dyDescent="0.15">
      <c r="A679" s="99"/>
      <c r="B679" s="99"/>
      <c r="C679" s="99"/>
      <c r="D679" s="99"/>
      <c r="E679" s="99"/>
      <c r="F679" s="99"/>
      <c r="G679" s="99"/>
      <c r="H679" s="99"/>
      <c r="I679" s="99"/>
      <c r="J679" s="99"/>
      <c r="K679" s="99"/>
      <c r="L679" s="99"/>
      <c r="M679" s="99"/>
      <c r="N679" s="99"/>
      <c r="O679" s="99"/>
      <c r="P679" s="99"/>
      <c r="Q679" s="99"/>
      <c r="R679" s="99"/>
      <c r="S679" s="99"/>
      <c r="T679" s="99"/>
      <c r="U679" s="99"/>
      <c r="V679" s="99"/>
      <c r="W679" s="99"/>
      <c r="X679" s="99"/>
      <c r="Y679" s="99"/>
      <c r="Z679" s="99"/>
      <c r="AA679" s="99"/>
      <c r="AB679" s="99"/>
      <c r="AC679" s="99"/>
      <c r="AD679" s="99"/>
    </row>
    <row r="680" spans="1:30" ht="28.5" customHeight="1" x14ac:dyDescent="0.15">
      <c r="A680" s="99"/>
      <c r="B680" s="99"/>
      <c r="C680" s="99"/>
      <c r="D680" s="99"/>
      <c r="E680" s="99"/>
      <c r="F680" s="99"/>
      <c r="G680" s="99"/>
      <c r="H680" s="99"/>
      <c r="I680" s="99"/>
      <c r="J680" s="99"/>
      <c r="K680" s="99"/>
      <c r="L680" s="99"/>
      <c r="M680" s="99"/>
      <c r="N680" s="99"/>
      <c r="O680" s="99"/>
      <c r="P680" s="99"/>
      <c r="Q680" s="99"/>
      <c r="R680" s="99"/>
      <c r="S680" s="99"/>
      <c r="T680" s="99"/>
      <c r="U680" s="99"/>
      <c r="V680" s="99"/>
      <c r="W680" s="99"/>
      <c r="X680" s="99"/>
      <c r="Y680" s="99"/>
      <c r="Z680" s="99"/>
      <c r="AA680" s="99"/>
      <c r="AB680" s="99"/>
      <c r="AC680" s="99"/>
      <c r="AD680" s="99"/>
    </row>
    <row r="681" spans="1:30" ht="28.5" customHeight="1" x14ac:dyDescent="0.15">
      <c r="A681" s="99"/>
      <c r="B681" s="99"/>
      <c r="C681" s="99"/>
      <c r="D681" s="99"/>
      <c r="E681" s="99"/>
      <c r="F681" s="99"/>
      <c r="G681" s="99"/>
      <c r="H681" s="99"/>
      <c r="I681" s="99"/>
      <c r="J681" s="99"/>
      <c r="K681" s="99"/>
      <c r="L681" s="99"/>
      <c r="M681" s="99"/>
      <c r="N681" s="99"/>
      <c r="O681" s="99"/>
      <c r="P681" s="99"/>
      <c r="Q681" s="99"/>
      <c r="R681" s="99"/>
      <c r="S681" s="99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</row>
    <row r="682" spans="1:30" ht="28.5" customHeight="1" x14ac:dyDescent="0.15">
      <c r="A682" s="99"/>
      <c r="B682" s="99"/>
      <c r="C682" s="99"/>
      <c r="D682" s="99"/>
      <c r="E682" s="99"/>
      <c r="F682" s="99"/>
      <c r="G682" s="99"/>
      <c r="H682" s="99"/>
      <c r="I682" s="99"/>
      <c r="J682" s="99"/>
      <c r="K682" s="99"/>
      <c r="L682" s="99"/>
      <c r="M682" s="99"/>
      <c r="N682" s="99"/>
      <c r="O682" s="99"/>
      <c r="P682" s="99"/>
      <c r="Q682" s="99"/>
      <c r="R682" s="99"/>
      <c r="S682" s="99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</row>
    <row r="683" spans="1:30" ht="28.5" customHeight="1" x14ac:dyDescent="0.15">
      <c r="A683" s="99"/>
      <c r="B683" s="99"/>
      <c r="C683" s="99"/>
      <c r="D683" s="99"/>
      <c r="E683" s="99"/>
      <c r="F683" s="99"/>
      <c r="G683" s="99"/>
      <c r="H683" s="99"/>
      <c r="I683" s="99"/>
      <c r="J683" s="99"/>
      <c r="K683" s="99"/>
      <c r="L683" s="99"/>
      <c r="M683" s="99"/>
      <c r="N683" s="99"/>
      <c r="O683" s="99"/>
      <c r="P683" s="99"/>
      <c r="Q683" s="99"/>
      <c r="R683" s="99"/>
      <c r="S683" s="99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</row>
    <row r="684" spans="1:30" ht="28.5" customHeight="1" x14ac:dyDescent="0.15">
      <c r="A684" s="99"/>
      <c r="B684" s="99"/>
      <c r="C684" s="99"/>
      <c r="D684" s="99"/>
      <c r="E684" s="99"/>
      <c r="F684" s="99"/>
      <c r="G684" s="99"/>
      <c r="H684" s="99"/>
      <c r="I684" s="99"/>
      <c r="J684" s="99"/>
      <c r="K684" s="99"/>
      <c r="L684" s="99"/>
      <c r="M684" s="99"/>
      <c r="N684" s="99"/>
      <c r="O684" s="99"/>
      <c r="P684" s="99"/>
      <c r="Q684" s="99"/>
      <c r="R684" s="99"/>
      <c r="S684" s="99"/>
      <c r="T684" s="99"/>
      <c r="U684" s="99"/>
      <c r="V684" s="99"/>
      <c r="W684" s="99"/>
      <c r="X684" s="99"/>
      <c r="Y684" s="99"/>
      <c r="Z684" s="99"/>
      <c r="AA684" s="99"/>
      <c r="AB684" s="99"/>
      <c r="AC684" s="99"/>
      <c r="AD684" s="99"/>
    </row>
    <row r="685" spans="1:30" ht="28.5" customHeight="1" x14ac:dyDescent="0.15">
      <c r="A685" s="99"/>
      <c r="B685" s="99"/>
      <c r="C685" s="99"/>
      <c r="D685" s="99"/>
      <c r="E685" s="99"/>
      <c r="F685" s="99"/>
      <c r="G685" s="99"/>
      <c r="H685" s="99"/>
      <c r="I685" s="99"/>
      <c r="J685" s="99"/>
      <c r="K685" s="99"/>
      <c r="L685" s="99"/>
      <c r="M685" s="99"/>
      <c r="N685" s="99"/>
      <c r="O685" s="99"/>
      <c r="P685" s="99"/>
      <c r="Q685" s="99"/>
      <c r="R685" s="99"/>
      <c r="S685" s="99"/>
      <c r="T685" s="99"/>
      <c r="U685" s="99"/>
      <c r="V685" s="99"/>
      <c r="W685" s="99"/>
      <c r="X685" s="99"/>
      <c r="Y685" s="99"/>
      <c r="Z685" s="99"/>
      <c r="AA685" s="99"/>
      <c r="AB685" s="99"/>
      <c r="AC685" s="99"/>
      <c r="AD685" s="99"/>
    </row>
    <row r="686" spans="1:30" ht="28.5" customHeight="1" x14ac:dyDescent="0.15">
      <c r="A686" s="99"/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99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</row>
    <row r="687" spans="1:30" ht="28.5" customHeight="1" x14ac:dyDescent="0.15">
      <c r="A687" s="99"/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99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</row>
    <row r="688" spans="1:30" ht="28.5" customHeight="1" x14ac:dyDescent="0.15">
      <c r="A688" s="99"/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99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</row>
    <row r="689" spans="1:30" ht="28.5" customHeight="1" x14ac:dyDescent="0.15">
      <c r="A689" s="99"/>
      <c r="B689" s="99"/>
      <c r="C689" s="99"/>
      <c r="D689" s="99"/>
      <c r="E689" s="99"/>
      <c r="F689" s="99"/>
      <c r="G689" s="99"/>
      <c r="H689" s="99"/>
      <c r="I689" s="99"/>
      <c r="J689" s="99"/>
      <c r="K689" s="99"/>
      <c r="L689" s="99"/>
      <c r="M689" s="99"/>
      <c r="N689" s="99"/>
      <c r="O689" s="99"/>
      <c r="P689" s="99"/>
      <c r="Q689" s="99"/>
      <c r="R689" s="99"/>
      <c r="S689" s="99"/>
      <c r="T689" s="99"/>
      <c r="U689" s="99"/>
      <c r="V689" s="99"/>
      <c r="W689" s="99"/>
      <c r="X689" s="99"/>
      <c r="Y689" s="99"/>
      <c r="Z689" s="99"/>
      <c r="AA689" s="99"/>
      <c r="AB689" s="99"/>
      <c r="AC689" s="99"/>
      <c r="AD689" s="99"/>
    </row>
    <row r="690" spans="1:30" ht="28.5" customHeight="1" x14ac:dyDescent="0.15">
      <c r="A690" s="99"/>
      <c r="B690" s="99"/>
      <c r="C690" s="99"/>
      <c r="D690" s="99"/>
      <c r="E690" s="99"/>
      <c r="F690" s="99"/>
      <c r="G690" s="99"/>
      <c r="H690" s="99"/>
      <c r="I690" s="99"/>
      <c r="J690" s="99"/>
      <c r="K690" s="99"/>
      <c r="L690" s="99"/>
      <c r="M690" s="99"/>
      <c r="N690" s="99"/>
      <c r="O690" s="99"/>
      <c r="P690" s="99"/>
      <c r="Q690" s="99"/>
      <c r="R690" s="99"/>
      <c r="S690" s="99"/>
      <c r="T690" s="99"/>
      <c r="U690" s="99"/>
      <c r="V690" s="99"/>
      <c r="W690" s="99"/>
      <c r="X690" s="99"/>
      <c r="Y690" s="99"/>
      <c r="Z690" s="99"/>
      <c r="AA690" s="99"/>
      <c r="AB690" s="99"/>
      <c r="AC690" s="99"/>
      <c r="AD690" s="99"/>
    </row>
    <row r="691" spans="1:30" ht="28.5" customHeight="1" x14ac:dyDescent="0.15">
      <c r="A691" s="99"/>
      <c r="B691" s="99"/>
      <c r="C691" s="99"/>
      <c r="D691" s="99"/>
      <c r="E691" s="99"/>
      <c r="F691" s="99"/>
      <c r="G691" s="99"/>
      <c r="H691" s="99"/>
      <c r="I691" s="99"/>
      <c r="J691" s="99"/>
      <c r="K691" s="99"/>
      <c r="L691" s="99"/>
      <c r="M691" s="99"/>
      <c r="N691" s="99"/>
      <c r="O691" s="99"/>
      <c r="P691" s="99"/>
      <c r="Q691" s="99"/>
      <c r="R691" s="99"/>
      <c r="S691" s="99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</row>
    <row r="692" spans="1:30" ht="28.5" customHeight="1" x14ac:dyDescent="0.15">
      <c r="A692" s="99"/>
      <c r="B692" s="99"/>
      <c r="C692" s="99"/>
      <c r="D692" s="99"/>
      <c r="E692" s="99"/>
      <c r="F692" s="99"/>
      <c r="G692" s="99"/>
      <c r="H692" s="99"/>
      <c r="I692" s="99"/>
      <c r="J692" s="99"/>
      <c r="K692" s="99"/>
      <c r="L692" s="99"/>
      <c r="M692" s="99"/>
      <c r="N692" s="99"/>
      <c r="O692" s="99"/>
      <c r="P692" s="99"/>
      <c r="Q692" s="99"/>
      <c r="R692" s="99"/>
      <c r="S692" s="99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</row>
    <row r="693" spans="1:30" ht="28.5" customHeight="1" x14ac:dyDescent="0.15">
      <c r="A693" s="99"/>
      <c r="B693" s="99"/>
      <c r="C693" s="99"/>
      <c r="D693" s="99"/>
      <c r="E693" s="99"/>
      <c r="F693" s="99"/>
      <c r="G693" s="99"/>
      <c r="H693" s="99"/>
      <c r="I693" s="99"/>
      <c r="J693" s="99"/>
      <c r="K693" s="99"/>
      <c r="L693" s="99"/>
      <c r="M693" s="99"/>
      <c r="N693" s="99"/>
      <c r="O693" s="99"/>
      <c r="P693" s="99"/>
      <c r="Q693" s="99"/>
      <c r="R693" s="99"/>
      <c r="S693" s="99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</row>
    <row r="694" spans="1:30" ht="28.5" customHeight="1" x14ac:dyDescent="0.15">
      <c r="A694" s="99"/>
      <c r="B694" s="99"/>
      <c r="C694" s="99"/>
      <c r="D694" s="99"/>
      <c r="E694" s="99"/>
      <c r="F694" s="99"/>
      <c r="G694" s="99"/>
      <c r="H694" s="99"/>
      <c r="I694" s="99"/>
      <c r="J694" s="99"/>
      <c r="K694" s="99"/>
      <c r="L694" s="99"/>
      <c r="M694" s="99"/>
      <c r="N694" s="99"/>
      <c r="O694" s="99"/>
      <c r="P694" s="99"/>
      <c r="Q694" s="99"/>
      <c r="R694" s="99"/>
      <c r="S694" s="99"/>
      <c r="T694" s="99"/>
      <c r="U694" s="99"/>
      <c r="V694" s="99"/>
      <c r="W694" s="99"/>
      <c r="X694" s="99"/>
      <c r="Y694" s="99"/>
      <c r="Z694" s="99"/>
      <c r="AA694" s="99"/>
      <c r="AB694" s="99"/>
      <c r="AC694" s="99"/>
      <c r="AD694" s="99"/>
    </row>
    <row r="695" spans="1:30" ht="28.5" customHeight="1" x14ac:dyDescent="0.15">
      <c r="A695" s="99"/>
      <c r="B695" s="99"/>
      <c r="C695" s="99"/>
      <c r="D695" s="99"/>
      <c r="E695" s="99"/>
      <c r="F695" s="99"/>
      <c r="G695" s="99"/>
      <c r="H695" s="99"/>
      <c r="I695" s="99"/>
      <c r="J695" s="99"/>
      <c r="K695" s="99"/>
      <c r="L695" s="99"/>
      <c r="M695" s="99"/>
      <c r="N695" s="99"/>
      <c r="O695" s="99"/>
      <c r="P695" s="99"/>
      <c r="Q695" s="99"/>
      <c r="R695" s="99"/>
      <c r="S695" s="99"/>
      <c r="T695" s="99"/>
      <c r="U695" s="99"/>
      <c r="V695" s="99"/>
      <c r="W695" s="99"/>
      <c r="X695" s="99"/>
      <c r="Y695" s="99"/>
      <c r="Z695" s="99"/>
      <c r="AA695" s="99"/>
      <c r="AB695" s="99"/>
      <c r="AC695" s="99"/>
      <c r="AD695" s="99"/>
    </row>
    <row r="696" spans="1:30" ht="28.5" customHeight="1" x14ac:dyDescent="0.15">
      <c r="A696" s="99"/>
      <c r="B696" s="99"/>
      <c r="C696" s="99"/>
      <c r="D696" s="99"/>
      <c r="E696" s="99"/>
      <c r="F696" s="99"/>
      <c r="G696" s="99"/>
      <c r="H696" s="99"/>
      <c r="I696" s="99"/>
      <c r="J696" s="99"/>
      <c r="K696" s="99"/>
      <c r="L696" s="99"/>
      <c r="M696" s="99"/>
      <c r="N696" s="99"/>
      <c r="O696" s="99"/>
      <c r="P696" s="99"/>
      <c r="Q696" s="99"/>
      <c r="R696" s="99"/>
      <c r="S696" s="99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</row>
    <row r="697" spans="1:30" ht="28.5" customHeight="1" x14ac:dyDescent="0.15">
      <c r="A697" s="99"/>
      <c r="B697" s="99"/>
      <c r="C697" s="99"/>
      <c r="D697" s="99"/>
      <c r="E697" s="99"/>
      <c r="F697" s="99"/>
      <c r="G697" s="99"/>
      <c r="H697" s="99"/>
      <c r="I697" s="99"/>
      <c r="J697" s="99"/>
      <c r="K697" s="99"/>
      <c r="L697" s="99"/>
      <c r="M697" s="99"/>
      <c r="N697" s="99"/>
      <c r="O697" s="99"/>
      <c r="P697" s="99"/>
      <c r="Q697" s="99"/>
      <c r="R697" s="99"/>
      <c r="S697" s="99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</row>
    <row r="698" spans="1:30" ht="28.5" customHeight="1" x14ac:dyDescent="0.15">
      <c r="A698" s="99"/>
      <c r="B698" s="99"/>
      <c r="C698" s="99"/>
      <c r="D698" s="99"/>
      <c r="E698" s="99"/>
      <c r="F698" s="99"/>
      <c r="G698" s="99"/>
      <c r="H698" s="99"/>
      <c r="I698" s="99"/>
      <c r="J698" s="99"/>
      <c r="K698" s="99"/>
      <c r="L698" s="99"/>
      <c r="M698" s="99"/>
      <c r="N698" s="99"/>
      <c r="O698" s="99"/>
      <c r="P698" s="99"/>
      <c r="Q698" s="99"/>
      <c r="R698" s="99"/>
      <c r="S698" s="99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</row>
    <row r="699" spans="1:30" ht="28.5" customHeight="1" x14ac:dyDescent="0.15">
      <c r="A699" s="99"/>
      <c r="B699" s="99"/>
      <c r="C699" s="99"/>
      <c r="D699" s="99"/>
      <c r="E699" s="99"/>
      <c r="F699" s="99"/>
      <c r="G699" s="99"/>
      <c r="H699" s="99"/>
      <c r="I699" s="99"/>
      <c r="J699" s="99"/>
      <c r="K699" s="99"/>
      <c r="L699" s="99"/>
      <c r="M699" s="99"/>
      <c r="N699" s="99"/>
      <c r="O699" s="99"/>
      <c r="P699" s="99"/>
      <c r="Q699" s="99"/>
      <c r="R699" s="99"/>
      <c r="S699" s="99"/>
      <c r="T699" s="99"/>
      <c r="U699" s="99"/>
      <c r="V699" s="99"/>
      <c r="W699" s="99"/>
      <c r="X699" s="99"/>
      <c r="Y699" s="99"/>
      <c r="Z699" s="99"/>
      <c r="AA699" s="99"/>
      <c r="AB699" s="99"/>
      <c r="AC699" s="99"/>
      <c r="AD699" s="99"/>
    </row>
    <row r="700" spans="1:30" ht="28.5" customHeight="1" x14ac:dyDescent="0.15">
      <c r="A700" s="99"/>
      <c r="B700" s="99"/>
      <c r="C700" s="99"/>
      <c r="D700" s="99"/>
      <c r="E700" s="99"/>
      <c r="F700" s="99"/>
      <c r="G700" s="99"/>
      <c r="H700" s="99"/>
      <c r="I700" s="99"/>
      <c r="J700" s="99"/>
      <c r="K700" s="99"/>
      <c r="L700" s="99"/>
      <c r="M700" s="99"/>
      <c r="N700" s="99"/>
      <c r="O700" s="99"/>
      <c r="P700" s="99"/>
      <c r="Q700" s="99"/>
      <c r="R700" s="99"/>
      <c r="S700" s="99"/>
      <c r="T700" s="99"/>
      <c r="U700" s="99"/>
      <c r="V700" s="99"/>
      <c r="W700" s="99"/>
      <c r="X700" s="99"/>
      <c r="Y700" s="99"/>
      <c r="Z700" s="99"/>
      <c r="AA700" s="99"/>
      <c r="AB700" s="99"/>
      <c r="AC700" s="99"/>
      <c r="AD700" s="99"/>
    </row>
    <row r="701" spans="1:30" ht="28.5" customHeight="1" x14ac:dyDescent="0.15">
      <c r="A701" s="99"/>
      <c r="B701" s="99"/>
      <c r="C701" s="99"/>
      <c r="D701" s="99"/>
      <c r="E701" s="99"/>
      <c r="F701" s="99"/>
      <c r="G701" s="99"/>
      <c r="H701" s="99"/>
      <c r="I701" s="99"/>
      <c r="J701" s="99"/>
      <c r="K701" s="99"/>
      <c r="L701" s="99"/>
      <c r="M701" s="99"/>
      <c r="N701" s="99"/>
      <c r="O701" s="99"/>
      <c r="P701" s="99"/>
      <c r="Q701" s="99"/>
      <c r="R701" s="99"/>
      <c r="S701" s="99"/>
      <c r="T701" s="99"/>
      <c r="U701" s="99"/>
      <c r="V701" s="99"/>
      <c r="W701" s="99"/>
      <c r="X701" s="99"/>
      <c r="Y701" s="99"/>
      <c r="Z701" s="99"/>
      <c r="AA701" s="99"/>
      <c r="AB701" s="99"/>
      <c r="AC701" s="99"/>
      <c r="AD701" s="99"/>
    </row>
    <row r="702" spans="1:30" ht="28.5" customHeight="1" x14ac:dyDescent="0.15">
      <c r="A702" s="99"/>
      <c r="B702" s="99"/>
      <c r="C702" s="99"/>
      <c r="D702" s="99"/>
      <c r="E702" s="99"/>
      <c r="F702" s="99"/>
      <c r="G702" s="99"/>
      <c r="H702" s="99"/>
      <c r="I702" s="99"/>
      <c r="J702" s="99"/>
      <c r="K702" s="99"/>
      <c r="L702" s="99"/>
      <c r="M702" s="99"/>
      <c r="N702" s="99"/>
      <c r="O702" s="99"/>
      <c r="P702" s="99"/>
      <c r="Q702" s="99"/>
      <c r="R702" s="99"/>
      <c r="S702" s="99"/>
      <c r="T702" s="99"/>
      <c r="U702" s="99"/>
      <c r="V702" s="99"/>
      <c r="W702" s="99"/>
      <c r="X702" s="99"/>
      <c r="Y702" s="99"/>
      <c r="Z702" s="99"/>
      <c r="AA702" s="99"/>
      <c r="AB702" s="99"/>
      <c r="AC702" s="99"/>
      <c r="AD702" s="99"/>
    </row>
    <row r="703" spans="1:30" ht="28.5" customHeight="1" x14ac:dyDescent="0.15">
      <c r="A703" s="99"/>
      <c r="B703" s="99"/>
      <c r="C703" s="99"/>
      <c r="D703" s="99"/>
      <c r="E703" s="99"/>
      <c r="F703" s="99"/>
      <c r="G703" s="99"/>
      <c r="H703" s="99"/>
      <c r="I703" s="99"/>
      <c r="J703" s="99"/>
      <c r="K703" s="99"/>
      <c r="L703" s="99"/>
      <c r="M703" s="99"/>
      <c r="N703" s="99"/>
      <c r="O703" s="99"/>
      <c r="P703" s="99"/>
      <c r="Q703" s="99"/>
      <c r="R703" s="99"/>
      <c r="S703" s="99"/>
      <c r="T703" s="99"/>
      <c r="U703" s="99"/>
      <c r="V703" s="99"/>
      <c r="W703" s="99"/>
      <c r="X703" s="99"/>
      <c r="Y703" s="99"/>
      <c r="Z703" s="99"/>
      <c r="AA703" s="99"/>
      <c r="AB703" s="99"/>
      <c r="AC703" s="99"/>
      <c r="AD703" s="99"/>
    </row>
    <row r="704" spans="1:30" ht="28.5" customHeight="1" x14ac:dyDescent="0.15">
      <c r="A704" s="99"/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99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</row>
    <row r="705" spans="1:30" ht="28.5" customHeight="1" x14ac:dyDescent="0.15">
      <c r="A705" s="99"/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99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</row>
    <row r="706" spans="1:30" ht="28.5" customHeight="1" x14ac:dyDescent="0.15">
      <c r="A706" s="99"/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99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</row>
    <row r="707" spans="1:30" ht="28.5" customHeight="1" x14ac:dyDescent="0.15">
      <c r="A707" s="99"/>
      <c r="B707" s="99"/>
      <c r="C707" s="99"/>
      <c r="D707" s="99"/>
      <c r="E707" s="99"/>
      <c r="F707" s="99"/>
      <c r="G707" s="99"/>
      <c r="H707" s="99"/>
      <c r="I707" s="99"/>
      <c r="J707" s="99"/>
      <c r="K707" s="99"/>
      <c r="L707" s="99"/>
      <c r="M707" s="99"/>
      <c r="N707" s="99"/>
      <c r="O707" s="99"/>
      <c r="P707" s="99"/>
      <c r="Q707" s="99"/>
      <c r="R707" s="99"/>
      <c r="S707" s="99"/>
      <c r="T707" s="99"/>
      <c r="U707" s="99"/>
      <c r="V707" s="99"/>
      <c r="W707" s="99"/>
      <c r="X707" s="99"/>
      <c r="Y707" s="99"/>
      <c r="Z707" s="99"/>
      <c r="AA707" s="99"/>
      <c r="AB707" s="99"/>
      <c r="AC707" s="99"/>
      <c r="AD707" s="99"/>
    </row>
    <row r="708" spans="1:30" ht="28.5" customHeight="1" x14ac:dyDescent="0.15">
      <c r="A708" s="99"/>
      <c r="B708" s="99"/>
      <c r="C708" s="99"/>
      <c r="D708" s="99"/>
      <c r="E708" s="99"/>
      <c r="F708" s="99"/>
      <c r="G708" s="99"/>
      <c r="H708" s="99"/>
      <c r="I708" s="99"/>
      <c r="J708" s="99"/>
      <c r="K708" s="99"/>
      <c r="L708" s="99"/>
      <c r="M708" s="99"/>
      <c r="N708" s="99"/>
      <c r="O708" s="99"/>
      <c r="P708" s="99"/>
      <c r="Q708" s="99"/>
      <c r="R708" s="99"/>
      <c r="S708" s="99"/>
      <c r="T708" s="99"/>
      <c r="U708" s="99"/>
      <c r="V708" s="99"/>
      <c r="W708" s="99"/>
      <c r="X708" s="99"/>
      <c r="Y708" s="99"/>
      <c r="Z708" s="99"/>
      <c r="AA708" s="99"/>
      <c r="AB708" s="99"/>
      <c r="AC708" s="99"/>
      <c r="AD708" s="99"/>
    </row>
    <row r="709" spans="1:30" ht="28.5" customHeight="1" x14ac:dyDescent="0.15">
      <c r="A709" s="99"/>
      <c r="B709" s="99"/>
      <c r="C709" s="99"/>
      <c r="D709" s="99"/>
      <c r="E709" s="99"/>
      <c r="F709" s="99"/>
      <c r="G709" s="99"/>
      <c r="H709" s="99"/>
      <c r="I709" s="99"/>
      <c r="J709" s="99"/>
      <c r="K709" s="99"/>
      <c r="L709" s="99"/>
      <c r="M709" s="99"/>
      <c r="N709" s="99"/>
      <c r="O709" s="99"/>
      <c r="P709" s="99"/>
      <c r="Q709" s="99"/>
      <c r="R709" s="99"/>
      <c r="S709" s="99"/>
      <c r="T709" s="99"/>
      <c r="U709" s="99"/>
      <c r="V709" s="99"/>
      <c r="W709" s="99"/>
      <c r="X709" s="99"/>
      <c r="Y709" s="99"/>
      <c r="Z709" s="99"/>
      <c r="AA709" s="99"/>
      <c r="AB709" s="99"/>
      <c r="AC709" s="99"/>
      <c r="AD709" s="99"/>
    </row>
    <row r="710" spans="1:30" ht="28.5" customHeight="1" x14ac:dyDescent="0.15">
      <c r="A710" s="99"/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99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</row>
    <row r="711" spans="1:30" ht="28.5" customHeight="1" x14ac:dyDescent="0.15">
      <c r="A711" s="99"/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99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</row>
    <row r="712" spans="1:30" ht="28.5" customHeight="1" x14ac:dyDescent="0.15">
      <c r="A712" s="99"/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99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</row>
    <row r="713" spans="1:30" ht="28.5" customHeight="1" x14ac:dyDescent="0.15">
      <c r="A713" s="99"/>
      <c r="B713" s="99"/>
      <c r="C713" s="99"/>
      <c r="D713" s="99"/>
      <c r="E713" s="99"/>
      <c r="F713" s="99"/>
      <c r="G713" s="99"/>
      <c r="H713" s="99"/>
      <c r="I713" s="99"/>
      <c r="J713" s="99"/>
      <c r="K713" s="99"/>
      <c r="L713" s="99"/>
      <c r="M713" s="99"/>
      <c r="N713" s="99"/>
      <c r="O713" s="99"/>
      <c r="P713" s="99"/>
      <c r="Q713" s="99"/>
      <c r="R713" s="99"/>
      <c r="S713" s="99"/>
      <c r="T713" s="99"/>
      <c r="U713" s="99"/>
      <c r="V713" s="99"/>
      <c r="W713" s="99"/>
      <c r="X713" s="99"/>
      <c r="Y713" s="99"/>
      <c r="Z713" s="99"/>
      <c r="AA713" s="99"/>
      <c r="AB713" s="99"/>
      <c r="AC713" s="99"/>
      <c r="AD713" s="99"/>
    </row>
    <row r="714" spans="1:30" ht="28.5" customHeight="1" x14ac:dyDescent="0.15">
      <c r="A714" s="99"/>
      <c r="B714" s="99"/>
      <c r="C714" s="99"/>
      <c r="D714" s="99"/>
      <c r="E714" s="99"/>
      <c r="F714" s="99"/>
      <c r="G714" s="99"/>
      <c r="H714" s="99"/>
      <c r="I714" s="99"/>
      <c r="J714" s="99"/>
      <c r="K714" s="99"/>
      <c r="L714" s="99"/>
      <c r="M714" s="99"/>
      <c r="N714" s="99"/>
      <c r="O714" s="99"/>
      <c r="P714" s="99"/>
      <c r="Q714" s="99"/>
      <c r="R714" s="99"/>
      <c r="S714" s="99"/>
      <c r="T714" s="99"/>
      <c r="U714" s="99"/>
      <c r="V714" s="99"/>
      <c r="W714" s="99"/>
      <c r="X714" s="99"/>
      <c r="Y714" s="99"/>
      <c r="Z714" s="99"/>
      <c r="AA714" s="99"/>
      <c r="AB714" s="99"/>
      <c r="AC714" s="99"/>
      <c r="AD714" s="99"/>
    </row>
    <row r="715" spans="1:30" ht="28.5" customHeight="1" x14ac:dyDescent="0.15">
      <c r="A715" s="99"/>
      <c r="B715" s="99"/>
      <c r="C715" s="99"/>
      <c r="D715" s="99"/>
      <c r="E715" s="99"/>
      <c r="F715" s="99"/>
      <c r="G715" s="99"/>
      <c r="H715" s="99"/>
      <c r="I715" s="99"/>
      <c r="J715" s="99"/>
      <c r="K715" s="99"/>
      <c r="L715" s="99"/>
      <c r="M715" s="99"/>
      <c r="N715" s="99"/>
      <c r="O715" s="99"/>
      <c r="P715" s="99"/>
      <c r="Q715" s="99"/>
      <c r="R715" s="99"/>
      <c r="S715" s="99"/>
      <c r="T715" s="99"/>
      <c r="U715" s="99"/>
      <c r="V715" s="99"/>
      <c r="W715" s="99"/>
      <c r="X715" s="99"/>
      <c r="Y715" s="99"/>
      <c r="Z715" s="99"/>
      <c r="AA715" s="99"/>
      <c r="AB715" s="99"/>
      <c r="AC715" s="99"/>
      <c r="AD715" s="99"/>
    </row>
    <row r="716" spans="1:30" ht="28.5" customHeight="1" x14ac:dyDescent="0.15">
      <c r="A716" s="99"/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99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</row>
    <row r="717" spans="1:30" ht="28.5" customHeight="1" x14ac:dyDescent="0.15">
      <c r="A717" s="99"/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99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</row>
    <row r="718" spans="1:30" ht="28.5" customHeight="1" x14ac:dyDescent="0.15">
      <c r="A718" s="99"/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99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</row>
    <row r="719" spans="1:30" ht="28.5" customHeight="1" x14ac:dyDescent="0.15">
      <c r="A719" s="99"/>
      <c r="B719" s="99"/>
      <c r="C719" s="99"/>
      <c r="D719" s="99"/>
      <c r="E719" s="99"/>
      <c r="F719" s="99"/>
      <c r="G719" s="99"/>
      <c r="H719" s="99"/>
      <c r="I719" s="99"/>
      <c r="J719" s="99"/>
      <c r="K719" s="99"/>
      <c r="L719" s="99"/>
      <c r="M719" s="99"/>
      <c r="N719" s="99"/>
      <c r="O719" s="99"/>
      <c r="P719" s="99"/>
      <c r="Q719" s="99"/>
      <c r="R719" s="99"/>
      <c r="S719" s="99"/>
      <c r="T719" s="99"/>
      <c r="U719" s="99"/>
      <c r="V719" s="99"/>
      <c r="W719" s="99"/>
      <c r="X719" s="99"/>
      <c r="Y719" s="99"/>
      <c r="Z719" s="99"/>
      <c r="AA719" s="99"/>
      <c r="AB719" s="99"/>
      <c r="AC719" s="99"/>
      <c r="AD719" s="99"/>
    </row>
    <row r="720" spans="1:30" ht="28.5" customHeight="1" x14ac:dyDescent="0.15">
      <c r="A720" s="99"/>
      <c r="B720" s="99"/>
      <c r="C720" s="99"/>
      <c r="D720" s="99"/>
      <c r="E720" s="99"/>
      <c r="F720" s="99"/>
      <c r="G720" s="99"/>
      <c r="H720" s="99"/>
      <c r="I720" s="99"/>
      <c r="J720" s="99"/>
      <c r="K720" s="99"/>
      <c r="L720" s="99"/>
      <c r="M720" s="99"/>
      <c r="N720" s="99"/>
      <c r="O720" s="99"/>
      <c r="P720" s="99"/>
      <c r="Q720" s="99"/>
      <c r="R720" s="99"/>
      <c r="S720" s="99"/>
      <c r="T720" s="99"/>
      <c r="U720" s="99"/>
      <c r="V720" s="99"/>
      <c r="W720" s="99"/>
      <c r="X720" s="99"/>
      <c r="Y720" s="99"/>
      <c r="Z720" s="99"/>
      <c r="AA720" s="99"/>
      <c r="AB720" s="99"/>
      <c r="AC720" s="99"/>
      <c r="AD720" s="99"/>
    </row>
    <row r="721" spans="1:30" ht="28.5" customHeight="1" x14ac:dyDescent="0.15">
      <c r="A721" s="99"/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99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</row>
    <row r="722" spans="1:30" ht="28.5" customHeight="1" x14ac:dyDescent="0.15">
      <c r="A722" s="99"/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99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</row>
    <row r="723" spans="1:30" ht="28.5" customHeight="1" x14ac:dyDescent="0.15">
      <c r="A723" s="99"/>
      <c r="B723" s="99"/>
      <c r="C723" s="99"/>
      <c r="D723" s="99"/>
      <c r="E723" s="99"/>
      <c r="F723" s="99"/>
      <c r="G723" s="99"/>
      <c r="H723" s="99"/>
      <c r="I723" s="99"/>
      <c r="J723" s="99"/>
      <c r="K723" s="99"/>
      <c r="L723" s="99"/>
      <c r="M723" s="99"/>
      <c r="N723" s="99"/>
      <c r="O723" s="99"/>
      <c r="P723" s="99"/>
      <c r="Q723" s="99"/>
      <c r="R723" s="99"/>
      <c r="S723" s="99"/>
      <c r="T723" s="99"/>
      <c r="U723" s="99"/>
      <c r="V723" s="99"/>
      <c r="W723" s="99"/>
      <c r="X723" s="99"/>
      <c r="Y723" s="99"/>
      <c r="Z723" s="99"/>
      <c r="AA723" s="99"/>
      <c r="AB723" s="99"/>
      <c r="AC723" s="99"/>
      <c r="AD723" s="99"/>
    </row>
    <row r="724" spans="1:30" ht="28.5" customHeight="1" x14ac:dyDescent="0.15">
      <c r="A724" s="99"/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99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</row>
    <row r="725" spans="1:30" ht="28.5" customHeight="1" x14ac:dyDescent="0.15">
      <c r="A725" s="99"/>
      <c r="B725" s="99"/>
      <c r="C725" s="99"/>
      <c r="D725" s="99"/>
      <c r="E725" s="99"/>
      <c r="F725" s="99"/>
      <c r="G725" s="99"/>
      <c r="H725" s="99"/>
      <c r="I725" s="99"/>
      <c r="J725" s="99"/>
      <c r="K725" s="99"/>
      <c r="L725" s="99"/>
      <c r="M725" s="99"/>
      <c r="N725" s="99"/>
      <c r="O725" s="99"/>
      <c r="P725" s="99"/>
      <c r="Q725" s="99"/>
      <c r="R725" s="99"/>
      <c r="S725" s="99"/>
      <c r="T725" s="99"/>
      <c r="U725" s="99"/>
      <c r="V725" s="99"/>
      <c r="W725" s="99"/>
      <c r="X725" s="99"/>
      <c r="Y725" s="99"/>
      <c r="Z725" s="99"/>
      <c r="AA725" s="99"/>
      <c r="AB725" s="99"/>
      <c r="AC725" s="99"/>
      <c r="AD725" s="99"/>
    </row>
    <row r="726" spans="1:30" ht="28.5" customHeight="1" x14ac:dyDescent="0.15">
      <c r="A726" s="99"/>
      <c r="B726" s="99"/>
      <c r="C726" s="99"/>
      <c r="D726" s="99"/>
      <c r="E726" s="99"/>
      <c r="F726" s="99"/>
      <c r="G726" s="99"/>
      <c r="H726" s="99"/>
      <c r="I726" s="99"/>
      <c r="J726" s="99"/>
      <c r="K726" s="99"/>
      <c r="L726" s="99"/>
      <c r="M726" s="99"/>
      <c r="N726" s="99"/>
      <c r="O726" s="99"/>
      <c r="P726" s="99"/>
      <c r="Q726" s="99"/>
      <c r="R726" s="99"/>
      <c r="S726" s="99"/>
      <c r="T726" s="99"/>
      <c r="U726" s="99"/>
      <c r="V726" s="99"/>
      <c r="W726" s="99"/>
      <c r="X726" s="99"/>
      <c r="Y726" s="99"/>
      <c r="Z726" s="99"/>
      <c r="AA726" s="99"/>
      <c r="AB726" s="99"/>
      <c r="AC726" s="99"/>
      <c r="AD726" s="99"/>
    </row>
    <row r="727" spans="1:30" ht="28.5" customHeight="1" x14ac:dyDescent="0.15">
      <c r="A727" s="99"/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99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</row>
    <row r="728" spans="1:30" ht="28.5" customHeight="1" x14ac:dyDescent="0.15">
      <c r="A728" s="99"/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99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</row>
    <row r="729" spans="1:30" ht="28.5" customHeight="1" x14ac:dyDescent="0.15">
      <c r="A729" s="99"/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99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</row>
    <row r="730" spans="1:30" ht="28.5" customHeight="1" x14ac:dyDescent="0.15">
      <c r="A730" s="99"/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99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</row>
    <row r="731" spans="1:30" ht="28.5" customHeight="1" x14ac:dyDescent="0.15">
      <c r="A731" s="99"/>
      <c r="B731" s="99"/>
      <c r="C731" s="99"/>
      <c r="D731" s="99"/>
      <c r="E731" s="99"/>
      <c r="F731" s="99"/>
      <c r="G731" s="99"/>
      <c r="H731" s="99"/>
      <c r="I731" s="99"/>
      <c r="J731" s="99"/>
      <c r="K731" s="99"/>
      <c r="L731" s="99"/>
      <c r="M731" s="99"/>
      <c r="N731" s="99"/>
      <c r="O731" s="99"/>
      <c r="P731" s="99"/>
      <c r="Q731" s="99"/>
      <c r="R731" s="99"/>
      <c r="S731" s="99"/>
      <c r="T731" s="99"/>
      <c r="U731" s="99"/>
      <c r="V731" s="99"/>
      <c r="W731" s="99"/>
      <c r="X731" s="99"/>
      <c r="Y731" s="99"/>
      <c r="Z731" s="99"/>
      <c r="AA731" s="99"/>
      <c r="AB731" s="99"/>
      <c r="AC731" s="99"/>
      <c r="AD731" s="99"/>
    </row>
    <row r="732" spans="1:30" ht="28.5" customHeight="1" x14ac:dyDescent="0.15">
      <c r="A732" s="99"/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99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</row>
    <row r="733" spans="1:30" ht="28.5" customHeight="1" x14ac:dyDescent="0.15">
      <c r="A733" s="99"/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99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</row>
    <row r="734" spans="1:30" ht="28.5" customHeight="1" x14ac:dyDescent="0.15">
      <c r="A734" s="99"/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99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</row>
    <row r="735" spans="1:30" ht="28.5" customHeight="1" x14ac:dyDescent="0.15">
      <c r="A735" s="99"/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99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</row>
    <row r="736" spans="1:30" ht="28.5" customHeight="1" x14ac:dyDescent="0.15">
      <c r="A736" s="99"/>
      <c r="B736" s="99"/>
      <c r="C736" s="99"/>
      <c r="D736" s="99"/>
      <c r="E736" s="99"/>
      <c r="F736" s="99"/>
      <c r="G736" s="99"/>
      <c r="H736" s="99"/>
      <c r="I736" s="99"/>
      <c r="J736" s="99"/>
      <c r="K736" s="99"/>
      <c r="L736" s="99"/>
      <c r="M736" s="99"/>
      <c r="N736" s="99"/>
      <c r="O736" s="99"/>
      <c r="P736" s="99"/>
      <c r="Q736" s="99"/>
      <c r="R736" s="99"/>
      <c r="S736" s="99"/>
      <c r="T736" s="99"/>
      <c r="U736" s="99"/>
      <c r="V736" s="99"/>
      <c r="W736" s="99"/>
      <c r="X736" s="99"/>
      <c r="Y736" s="99"/>
      <c r="Z736" s="99"/>
      <c r="AA736" s="99"/>
      <c r="AB736" s="99"/>
      <c r="AC736" s="99"/>
      <c r="AD736" s="99"/>
    </row>
    <row r="737" spans="1:30" ht="28.5" customHeight="1" x14ac:dyDescent="0.15">
      <c r="A737" s="99"/>
      <c r="B737" s="99"/>
      <c r="C737" s="99"/>
      <c r="D737" s="99"/>
      <c r="E737" s="99"/>
      <c r="F737" s="99"/>
      <c r="G737" s="99"/>
      <c r="H737" s="99"/>
      <c r="I737" s="99"/>
      <c r="J737" s="99"/>
      <c r="K737" s="99"/>
      <c r="L737" s="99"/>
      <c r="M737" s="99"/>
      <c r="N737" s="99"/>
      <c r="O737" s="99"/>
      <c r="P737" s="99"/>
      <c r="Q737" s="99"/>
      <c r="R737" s="99"/>
      <c r="S737" s="99"/>
      <c r="T737" s="99"/>
      <c r="U737" s="99"/>
      <c r="V737" s="99"/>
      <c r="W737" s="99"/>
      <c r="X737" s="99"/>
      <c r="Y737" s="99"/>
      <c r="Z737" s="99"/>
      <c r="AA737" s="99"/>
      <c r="AB737" s="99"/>
      <c r="AC737" s="99"/>
      <c r="AD737" s="99"/>
    </row>
    <row r="738" spans="1:30" ht="28.5" customHeight="1" x14ac:dyDescent="0.15">
      <c r="A738" s="99"/>
      <c r="B738" s="99"/>
      <c r="C738" s="99"/>
      <c r="D738" s="99"/>
      <c r="E738" s="99"/>
      <c r="F738" s="99"/>
      <c r="G738" s="99"/>
      <c r="H738" s="99"/>
      <c r="I738" s="99"/>
      <c r="J738" s="99"/>
      <c r="K738" s="99"/>
      <c r="L738" s="99"/>
      <c r="M738" s="99"/>
      <c r="N738" s="99"/>
      <c r="O738" s="99"/>
      <c r="P738" s="99"/>
      <c r="Q738" s="99"/>
      <c r="R738" s="99"/>
      <c r="S738" s="99"/>
      <c r="T738" s="99"/>
      <c r="U738" s="99"/>
      <c r="V738" s="99"/>
      <c r="W738" s="99"/>
      <c r="X738" s="99"/>
      <c r="Y738" s="99"/>
      <c r="Z738" s="99"/>
      <c r="AA738" s="99"/>
      <c r="AB738" s="99"/>
      <c r="AC738" s="99"/>
      <c r="AD738" s="99"/>
    </row>
    <row r="739" spans="1:30" ht="28.5" customHeight="1" x14ac:dyDescent="0.15">
      <c r="A739" s="99"/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99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</row>
    <row r="740" spans="1:30" ht="28.5" customHeight="1" x14ac:dyDescent="0.15">
      <c r="A740" s="99"/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99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</row>
    <row r="741" spans="1:30" ht="28.5" customHeight="1" x14ac:dyDescent="0.15">
      <c r="A741" s="99"/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99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</row>
    <row r="742" spans="1:30" ht="28.5" customHeight="1" x14ac:dyDescent="0.15">
      <c r="A742" s="99"/>
      <c r="B742" s="99"/>
      <c r="C742" s="99"/>
      <c r="D742" s="99"/>
      <c r="E742" s="99"/>
      <c r="F742" s="99"/>
      <c r="G742" s="99"/>
      <c r="H742" s="99"/>
      <c r="I742" s="99"/>
      <c r="J742" s="99"/>
      <c r="K742" s="99"/>
      <c r="L742" s="99"/>
      <c r="M742" s="99"/>
      <c r="N742" s="99"/>
      <c r="O742" s="99"/>
      <c r="P742" s="99"/>
      <c r="Q742" s="99"/>
      <c r="R742" s="99"/>
      <c r="S742" s="99"/>
      <c r="T742" s="99"/>
      <c r="U742" s="99"/>
      <c r="V742" s="99"/>
      <c r="W742" s="99"/>
      <c r="X742" s="99"/>
      <c r="Y742" s="99"/>
      <c r="Z742" s="99"/>
      <c r="AA742" s="99"/>
      <c r="AB742" s="99"/>
      <c r="AC742" s="99"/>
      <c r="AD742" s="99"/>
    </row>
    <row r="743" spans="1:30" ht="28.5" customHeight="1" x14ac:dyDescent="0.15">
      <c r="A743" s="99"/>
      <c r="B743" s="99"/>
      <c r="C743" s="99"/>
      <c r="D743" s="99"/>
      <c r="E743" s="99"/>
      <c r="F743" s="99"/>
      <c r="G743" s="99"/>
      <c r="H743" s="99"/>
      <c r="I743" s="99"/>
      <c r="J743" s="99"/>
      <c r="K743" s="99"/>
      <c r="L743" s="99"/>
      <c r="M743" s="99"/>
      <c r="N743" s="99"/>
      <c r="O743" s="99"/>
      <c r="P743" s="99"/>
      <c r="Q743" s="99"/>
      <c r="R743" s="99"/>
      <c r="S743" s="99"/>
      <c r="T743" s="99"/>
      <c r="U743" s="99"/>
      <c r="V743" s="99"/>
      <c r="W743" s="99"/>
      <c r="X743" s="99"/>
      <c r="Y743" s="99"/>
      <c r="Z743" s="99"/>
      <c r="AA743" s="99"/>
      <c r="AB743" s="99"/>
      <c r="AC743" s="99"/>
      <c r="AD743" s="99"/>
    </row>
    <row r="744" spans="1:30" ht="28.5" customHeight="1" x14ac:dyDescent="0.15">
      <c r="A744" s="99"/>
      <c r="B744" s="99"/>
      <c r="C744" s="99"/>
      <c r="D744" s="99"/>
      <c r="E744" s="99"/>
      <c r="F744" s="99"/>
      <c r="G744" s="99"/>
      <c r="H744" s="99"/>
      <c r="I744" s="99"/>
      <c r="J744" s="99"/>
      <c r="K744" s="99"/>
      <c r="L744" s="99"/>
      <c r="M744" s="99"/>
      <c r="N744" s="99"/>
      <c r="O744" s="99"/>
      <c r="P744" s="99"/>
      <c r="Q744" s="99"/>
      <c r="R744" s="99"/>
      <c r="S744" s="99"/>
      <c r="T744" s="99"/>
      <c r="U744" s="99"/>
      <c r="V744" s="99"/>
      <c r="W744" s="99"/>
      <c r="X744" s="99"/>
      <c r="Y744" s="99"/>
      <c r="Z744" s="99"/>
      <c r="AA744" s="99"/>
      <c r="AB744" s="99"/>
      <c r="AC744" s="99"/>
      <c r="AD744" s="99"/>
    </row>
    <row r="745" spans="1:30" ht="28.5" customHeight="1" x14ac:dyDescent="0.15">
      <c r="A745" s="99"/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99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</row>
    <row r="746" spans="1:30" ht="28.5" customHeight="1" x14ac:dyDescent="0.15">
      <c r="A746" s="99"/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99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</row>
    <row r="747" spans="1:30" ht="28.5" customHeight="1" x14ac:dyDescent="0.15">
      <c r="A747" s="99"/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99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</row>
    <row r="748" spans="1:30" ht="28.5" customHeight="1" x14ac:dyDescent="0.15">
      <c r="A748" s="99"/>
      <c r="B748" s="99"/>
      <c r="C748" s="99"/>
      <c r="D748" s="99"/>
      <c r="E748" s="99"/>
      <c r="F748" s="99"/>
      <c r="G748" s="99"/>
      <c r="H748" s="99"/>
      <c r="I748" s="99"/>
      <c r="J748" s="99"/>
      <c r="K748" s="99"/>
      <c r="L748" s="99"/>
      <c r="M748" s="99"/>
      <c r="N748" s="99"/>
      <c r="O748" s="99"/>
      <c r="P748" s="99"/>
      <c r="Q748" s="99"/>
      <c r="R748" s="99"/>
      <c r="S748" s="99"/>
      <c r="T748" s="99"/>
      <c r="U748" s="99"/>
      <c r="V748" s="99"/>
      <c r="W748" s="99"/>
      <c r="X748" s="99"/>
      <c r="Y748" s="99"/>
      <c r="Z748" s="99"/>
      <c r="AA748" s="99"/>
      <c r="AB748" s="99"/>
      <c r="AC748" s="99"/>
      <c r="AD748" s="99"/>
    </row>
    <row r="749" spans="1:30" ht="28.5" customHeight="1" x14ac:dyDescent="0.15">
      <c r="A749" s="99"/>
      <c r="B749" s="99"/>
      <c r="C749" s="99"/>
      <c r="D749" s="99"/>
      <c r="E749" s="99"/>
      <c r="F749" s="99"/>
      <c r="G749" s="99"/>
      <c r="H749" s="99"/>
      <c r="I749" s="99"/>
      <c r="J749" s="99"/>
      <c r="K749" s="99"/>
      <c r="L749" s="99"/>
      <c r="M749" s="99"/>
      <c r="N749" s="99"/>
      <c r="O749" s="99"/>
      <c r="P749" s="99"/>
      <c r="Q749" s="99"/>
      <c r="R749" s="99"/>
      <c r="S749" s="99"/>
      <c r="T749" s="99"/>
      <c r="U749" s="99"/>
      <c r="V749" s="99"/>
      <c r="W749" s="99"/>
      <c r="X749" s="99"/>
      <c r="Y749" s="99"/>
      <c r="Z749" s="99"/>
      <c r="AA749" s="99"/>
      <c r="AB749" s="99"/>
      <c r="AC749" s="99"/>
      <c r="AD749" s="99"/>
    </row>
    <row r="750" spans="1:30" ht="28.5" customHeight="1" x14ac:dyDescent="0.15">
      <c r="A750" s="99"/>
      <c r="B750" s="99"/>
      <c r="C750" s="99"/>
      <c r="D750" s="99"/>
      <c r="E750" s="99"/>
      <c r="F750" s="99"/>
      <c r="G750" s="99"/>
      <c r="H750" s="99"/>
      <c r="I750" s="99"/>
      <c r="J750" s="99"/>
      <c r="K750" s="99"/>
      <c r="L750" s="99"/>
      <c r="M750" s="99"/>
      <c r="N750" s="99"/>
      <c r="O750" s="99"/>
      <c r="P750" s="99"/>
      <c r="Q750" s="99"/>
      <c r="R750" s="99"/>
      <c r="S750" s="99"/>
      <c r="T750" s="99"/>
      <c r="U750" s="99"/>
      <c r="V750" s="99"/>
      <c r="W750" s="99"/>
      <c r="X750" s="99"/>
      <c r="Y750" s="99"/>
      <c r="Z750" s="99"/>
      <c r="AA750" s="99"/>
      <c r="AB750" s="99"/>
      <c r="AC750" s="99"/>
      <c r="AD750" s="99"/>
    </row>
    <row r="751" spans="1:30" ht="28.5" customHeight="1" x14ac:dyDescent="0.15">
      <c r="A751" s="99"/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99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</row>
    <row r="752" spans="1:30" ht="28.5" customHeight="1" x14ac:dyDescent="0.15">
      <c r="A752" s="99"/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99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</row>
    <row r="753" spans="1:30" ht="28.5" customHeight="1" x14ac:dyDescent="0.15">
      <c r="A753" s="99"/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99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</row>
    <row r="754" spans="1:30" ht="28.5" customHeight="1" x14ac:dyDescent="0.15">
      <c r="A754" s="99"/>
      <c r="B754" s="99"/>
      <c r="C754" s="99"/>
      <c r="D754" s="99"/>
      <c r="E754" s="99"/>
      <c r="F754" s="99"/>
      <c r="G754" s="99"/>
      <c r="H754" s="99"/>
      <c r="I754" s="99"/>
      <c r="J754" s="99"/>
      <c r="K754" s="99"/>
      <c r="L754" s="99"/>
      <c r="M754" s="99"/>
      <c r="N754" s="99"/>
      <c r="O754" s="99"/>
      <c r="P754" s="99"/>
      <c r="Q754" s="99"/>
      <c r="R754" s="99"/>
      <c r="S754" s="99"/>
      <c r="T754" s="99"/>
      <c r="U754" s="99"/>
      <c r="V754" s="99"/>
      <c r="W754" s="99"/>
      <c r="X754" s="99"/>
      <c r="Y754" s="99"/>
      <c r="Z754" s="99"/>
      <c r="AA754" s="99"/>
      <c r="AB754" s="99"/>
      <c r="AC754" s="99"/>
      <c r="AD754" s="99"/>
    </row>
    <row r="755" spans="1:30" ht="28.5" customHeight="1" x14ac:dyDescent="0.15">
      <c r="A755" s="99"/>
      <c r="B755" s="99"/>
      <c r="C755" s="99"/>
      <c r="D755" s="99"/>
      <c r="E755" s="99"/>
      <c r="F755" s="99"/>
      <c r="G755" s="99"/>
      <c r="H755" s="99"/>
      <c r="I755" s="99"/>
      <c r="J755" s="99"/>
      <c r="K755" s="99"/>
      <c r="L755" s="99"/>
      <c r="M755" s="99"/>
      <c r="N755" s="99"/>
      <c r="O755" s="99"/>
      <c r="P755" s="99"/>
      <c r="Q755" s="99"/>
      <c r="R755" s="99"/>
      <c r="S755" s="99"/>
      <c r="T755" s="99"/>
      <c r="U755" s="99"/>
      <c r="V755" s="99"/>
      <c r="W755" s="99"/>
      <c r="X755" s="99"/>
      <c r="Y755" s="99"/>
      <c r="Z755" s="99"/>
      <c r="AA755" s="99"/>
      <c r="AB755" s="99"/>
      <c r="AC755" s="99"/>
      <c r="AD755" s="99"/>
    </row>
    <row r="756" spans="1:30" ht="28.5" customHeight="1" x14ac:dyDescent="0.15">
      <c r="A756" s="99"/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99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</row>
    <row r="757" spans="1:30" ht="28.5" customHeight="1" x14ac:dyDescent="0.15">
      <c r="A757" s="99"/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99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</row>
    <row r="758" spans="1:30" ht="28.5" customHeight="1" x14ac:dyDescent="0.15">
      <c r="A758" s="99"/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99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</row>
    <row r="759" spans="1:30" ht="28.5" customHeight="1" x14ac:dyDescent="0.15">
      <c r="A759" s="99"/>
      <c r="B759" s="99"/>
      <c r="C759" s="99"/>
      <c r="D759" s="99"/>
      <c r="E759" s="99"/>
      <c r="F759" s="99"/>
      <c r="G759" s="99"/>
      <c r="H759" s="99"/>
      <c r="I759" s="99"/>
      <c r="J759" s="99"/>
      <c r="K759" s="99"/>
      <c r="L759" s="99"/>
      <c r="M759" s="99"/>
      <c r="N759" s="99"/>
      <c r="O759" s="99"/>
      <c r="P759" s="99"/>
      <c r="Q759" s="99"/>
      <c r="R759" s="99"/>
      <c r="S759" s="99"/>
      <c r="T759" s="99"/>
      <c r="U759" s="99"/>
      <c r="V759" s="99"/>
      <c r="W759" s="99"/>
      <c r="X759" s="99"/>
      <c r="Y759" s="99"/>
      <c r="Z759" s="99"/>
      <c r="AA759" s="99"/>
      <c r="AB759" s="99"/>
      <c r="AC759" s="99"/>
      <c r="AD759" s="99"/>
    </row>
    <row r="760" spans="1:30" ht="28.5" customHeight="1" x14ac:dyDescent="0.15">
      <c r="A760" s="99"/>
      <c r="B760" s="99"/>
      <c r="C760" s="99"/>
      <c r="D760" s="99"/>
      <c r="E760" s="99"/>
      <c r="F760" s="99"/>
      <c r="G760" s="99"/>
      <c r="H760" s="99"/>
      <c r="I760" s="99"/>
      <c r="J760" s="99"/>
      <c r="K760" s="99"/>
      <c r="L760" s="99"/>
      <c r="M760" s="99"/>
      <c r="N760" s="99"/>
      <c r="O760" s="99"/>
      <c r="P760" s="99"/>
      <c r="Q760" s="99"/>
      <c r="R760" s="99"/>
      <c r="S760" s="99"/>
      <c r="T760" s="99"/>
      <c r="U760" s="99"/>
      <c r="V760" s="99"/>
      <c r="W760" s="99"/>
      <c r="X760" s="99"/>
      <c r="Y760" s="99"/>
      <c r="Z760" s="99"/>
      <c r="AA760" s="99"/>
      <c r="AB760" s="99"/>
      <c r="AC760" s="99"/>
      <c r="AD760" s="99"/>
    </row>
    <row r="761" spans="1:30" ht="28.5" customHeight="1" x14ac:dyDescent="0.15">
      <c r="A761" s="99"/>
      <c r="B761" s="99"/>
      <c r="C761" s="99"/>
      <c r="D761" s="99"/>
      <c r="E761" s="99"/>
      <c r="F761" s="99"/>
      <c r="G761" s="99"/>
      <c r="H761" s="99"/>
      <c r="I761" s="99"/>
      <c r="J761" s="99"/>
      <c r="K761" s="99"/>
      <c r="L761" s="99"/>
      <c r="M761" s="99"/>
      <c r="N761" s="99"/>
      <c r="O761" s="99"/>
      <c r="P761" s="99"/>
      <c r="Q761" s="99"/>
      <c r="R761" s="99"/>
      <c r="S761" s="99"/>
      <c r="T761" s="99"/>
      <c r="U761" s="99"/>
      <c r="V761" s="99"/>
      <c r="W761" s="99"/>
      <c r="X761" s="99"/>
      <c r="Y761" s="99"/>
      <c r="Z761" s="99"/>
      <c r="AA761" s="99"/>
      <c r="AB761" s="99"/>
      <c r="AC761" s="99"/>
      <c r="AD761" s="99"/>
    </row>
    <row r="762" spans="1:30" ht="28.5" customHeight="1" x14ac:dyDescent="0.15">
      <c r="A762" s="99"/>
      <c r="B762" s="99"/>
      <c r="C762" s="99"/>
      <c r="D762" s="99"/>
      <c r="E762" s="99"/>
      <c r="F762" s="99"/>
      <c r="G762" s="99"/>
      <c r="H762" s="99"/>
      <c r="I762" s="99"/>
      <c r="J762" s="99"/>
      <c r="K762" s="99"/>
      <c r="L762" s="99"/>
      <c r="M762" s="99"/>
      <c r="N762" s="99"/>
      <c r="O762" s="99"/>
      <c r="P762" s="99"/>
      <c r="Q762" s="99"/>
      <c r="R762" s="99"/>
      <c r="S762" s="99"/>
      <c r="T762" s="99"/>
      <c r="U762" s="99"/>
      <c r="V762" s="99"/>
      <c r="W762" s="99"/>
      <c r="X762" s="99"/>
      <c r="Y762" s="99"/>
      <c r="Z762" s="99"/>
      <c r="AA762" s="99"/>
      <c r="AB762" s="99"/>
      <c r="AC762" s="99"/>
      <c r="AD762" s="99"/>
    </row>
    <row r="763" spans="1:30" ht="28.5" customHeight="1" x14ac:dyDescent="0.15">
      <c r="A763" s="99"/>
      <c r="B763" s="99"/>
      <c r="C763" s="99"/>
      <c r="D763" s="99"/>
      <c r="E763" s="99"/>
      <c r="F763" s="99"/>
      <c r="G763" s="99"/>
      <c r="H763" s="99"/>
      <c r="I763" s="99"/>
      <c r="J763" s="99"/>
      <c r="K763" s="99"/>
      <c r="L763" s="99"/>
      <c r="M763" s="99"/>
      <c r="N763" s="99"/>
      <c r="O763" s="99"/>
      <c r="P763" s="99"/>
      <c r="Q763" s="99"/>
      <c r="R763" s="99"/>
      <c r="S763" s="99"/>
      <c r="T763" s="99"/>
      <c r="U763" s="99"/>
      <c r="V763" s="99"/>
      <c r="W763" s="99"/>
      <c r="X763" s="99"/>
      <c r="Y763" s="99"/>
      <c r="Z763" s="99"/>
      <c r="AA763" s="99"/>
      <c r="AB763" s="99"/>
      <c r="AC763" s="99"/>
      <c r="AD763" s="99"/>
    </row>
    <row r="764" spans="1:30" ht="28.5" customHeight="1" x14ac:dyDescent="0.15">
      <c r="A764" s="99"/>
      <c r="B764" s="99"/>
      <c r="C764" s="99"/>
      <c r="D764" s="99"/>
      <c r="E764" s="99"/>
      <c r="F764" s="99"/>
      <c r="G764" s="99"/>
      <c r="H764" s="99"/>
      <c r="I764" s="99"/>
      <c r="J764" s="99"/>
      <c r="K764" s="99"/>
      <c r="L764" s="99"/>
      <c r="M764" s="99"/>
      <c r="N764" s="99"/>
      <c r="O764" s="99"/>
      <c r="P764" s="99"/>
      <c r="Q764" s="99"/>
      <c r="R764" s="99"/>
      <c r="S764" s="99"/>
      <c r="T764" s="99"/>
      <c r="U764" s="99"/>
      <c r="V764" s="99"/>
      <c r="W764" s="99"/>
      <c r="X764" s="99"/>
      <c r="Y764" s="99"/>
      <c r="Z764" s="99"/>
      <c r="AA764" s="99"/>
      <c r="AB764" s="99"/>
      <c r="AC764" s="99"/>
      <c r="AD764" s="99"/>
    </row>
    <row r="765" spans="1:30" ht="28.5" customHeight="1" x14ac:dyDescent="0.15">
      <c r="A765" s="99"/>
      <c r="B765" s="99"/>
      <c r="C765" s="99"/>
      <c r="D765" s="99"/>
      <c r="E765" s="99"/>
      <c r="F765" s="99"/>
      <c r="G765" s="99"/>
      <c r="H765" s="99"/>
      <c r="I765" s="99"/>
      <c r="J765" s="99"/>
      <c r="K765" s="99"/>
      <c r="L765" s="99"/>
      <c r="M765" s="99"/>
      <c r="N765" s="99"/>
      <c r="O765" s="99"/>
      <c r="P765" s="99"/>
      <c r="Q765" s="99"/>
      <c r="R765" s="99"/>
      <c r="S765" s="99"/>
      <c r="T765" s="99"/>
      <c r="U765" s="99"/>
      <c r="V765" s="99"/>
      <c r="W765" s="99"/>
      <c r="X765" s="99"/>
      <c r="Y765" s="99"/>
      <c r="Z765" s="99"/>
      <c r="AA765" s="99"/>
      <c r="AB765" s="99"/>
      <c r="AC765" s="99"/>
      <c r="AD765" s="99"/>
    </row>
    <row r="766" spans="1:30" ht="28.5" customHeight="1" x14ac:dyDescent="0.15">
      <c r="A766" s="99"/>
      <c r="B766" s="99"/>
      <c r="C766" s="99"/>
      <c r="D766" s="99"/>
      <c r="E766" s="99"/>
      <c r="F766" s="99"/>
      <c r="G766" s="99"/>
      <c r="H766" s="99"/>
      <c r="I766" s="99"/>
      <c r="J766" s="99"/>
      <c r="K766" s="99"/>
      <c r="L766" s="99"/>
      <c r="M766" s="99"/>
      <c r="N766" s="99"/>
      <c r="O766" s="99"/>
      <c r="P766" s="99"/>
      <c r="Q766" s="99"/>
      <c r="R766" s="99"/>
      <c r="S766" s="99"/>
      <c r="T766" s="99"/>
      <c r="U766" s="99"/>
      <c r="V766" s="99"/>
      <c r="W766" s="99"/>
      <c r="X766" s="99"/>
      <c r="Y766" s="99"/>
      <c r="Z766" s="99"/>
      <c r="AA766" s="99"/>
      <c r="AB766" s="99"/>
      <c r="AC766" s="99"/>
      <c r="AD766" s="99"/>
    </row>
    <row r="767" spans="1:30" ht="28.5" customHeight="1" x14ac:dyDescent="0.15">
      <c r="A767" s="99"/>
      <c r="B767" s="99"/>
      <c r="C767" s="99"/>
      <c r="D767" s="99"/>
      <c r="E767" s="99"/>
      <c r="F767" s="99"/>
      <c r="G767" s="99"/>
      <c r="H767" s="99"/>
      <c r="I767" s="99"/>
      <c r="J767" s="99"/>
      <c r="K767" s="99"/>
      <c r="L767" s="99"/>
      <c r="M767" s="99"/>
      <c r="N767" s="99"/>
      <c r="O767" s="99"/>
      <c r="P767" s="99"/>
      <c r="Q767" s="99"/>
      <c r="R767" s="99"/>
      <c r="S767" s="99"/>
      <c r="T767" s="99"/>
      <c r="U767" s="99"/>
      <c r="V767" s="99"/>
      <c r="W767" s="99"/>
      <c r="X767" s="99"/>
      <c r="Y767" s="99"/>
      <c r="Z767" s="99"/>
      <c r="AA767" s="99"/>
      <c r="AB767" s="99"/>
      <c r="AC767" s="99"/>
      <c r="AD767" s="99"/>
    </row>
    <row r="768" spans="1:30" ht="28.5" customHeight="1" x14ac:dyDescent="0.15">
      <c r="A768" s="99"/>
      <c r="B768" s="99"/>
      <c r="C768" s="99"/>
      <c r="D768" s="99"/>
      <c r="E768" s="99"/>
      <c r="F768" s="99"/>
      <c r="G768" s="99"/>
      <c r="H768" s="99"/>
      <c r="I768" s="99"/>
      <c r="J768" s="99"/>
      <c r="K768" s="99"/>
      <c r="L768" s="99"/>
      <c r="M768" s="99"/>
      <c r="N768" s="99"/>
      <c r="O768" s="99"/>
      <c r="P768" s="99"/>
      <c r="Q768" s="99"/>
      <c r="R768" s="99"/>
      <c r="S768" s="99"/>
      <c r="T768" s="99"/>
      <c r="U768" s="99"/>
      <c r="V768" s="99"/>
      <c r="W768" s="99"/>
      <c r="X768" s="99"/>
      <c r="Y768" s="99"/>
      <c r="Z768" s="99"/>
      <c r="AA768" s="99"/>
      <c r="AB768" s="99"/>
      <c r="AC768" s="99"/>
      <c r="AD768" s="99"/>
    </row>
    <row r="769" spans="1:30" ht="28.5" customHeight="1" x14ac:dyDescent="0.15">
      <c r="A769" s="99"/>
      <c r="B769" s="99"/>
      <c r="C769" s="99"/>
      <c r="D769" s="99"/>
      <c r="E769" s="99"/>
      <c r="F769" s="99"/>
      <c r="G769" s="99"/>
      <c r="H769" s="99"/>
      <c r="I769" s="99"/>
      <c r="J769" s="99"/>
      <c r="K769" s="99"/>
      <c r="L769" s="99"/>
      <c r="M769" s="99"/>
      <c r="N769" s="99"/>
      <c r="O769" s="99"/>
      <c r="P769" s="99"/>
      <c r="Q769" s="99"/>
      <c r="R769" s="99"/>
      <c r="S769" s="99"/>
      <c r="T769" s="99"/>
      <c r="U769" s="99"/>
      <c r="V769" s="99"/>
      <c r="W769" s="99"/>
      <c r="X769" s="99"/>
      <c r="Y769" s="99"/>
      <c r="Z769" s="99"/>
      <c r="AA769" s="99"/>
      <c r="AB769" s="99"/>
      <c r="AC769" s="99"/>
      <c r="AD769" s="99"/>
    </row>
    <row r="770" spans="1:30" ht="28.5" customHeight="1" x14ac:dyDescent="0.15">
      <c r="A770" s="99"/>
      <c r="B770" s="99"/>
      <c r="C770" s="99"/>
      <c r="D770" s="99"/>
      <c r="E770" s="99"/>
      <c r="F770" s="99"/>
      <c r="G770" s="99"/>
      <c r="H770" s="99"/>
      <c r="I770" s="99"/>
      <c r="J770" s="99"/>
      <c r="K770" s="99"/>
      <c r="L770" s="99"/>
      <c r="M770" s="99"/>
      <c r="N770" s="99"/>
      <c r="O770" s="99"/>
      <c r="P770" s="99"/>
      <c r="Q770" s="99"/>
      <c r="R770" s="99"/>
      <c r="S770" s="99"/>
      <c r="T770" s="99"/>
      <c r="U770" s="99"/>
      <c r="V770" s="99"/>
      <c r="W770" s="99"/>
      <c r="X770" s="99"/>
      <c r="Y770" s="99"/>
      <c r="Z770" s="99"/>
      <c r="AA770" s="99"/>
      <c r="AB770" s="99"/>
      <c r="AC770" s="99"/>
      <c r="AD770" s="99"/>
    </row>
    <row r="771" spans="1:30" ht="28.5" customHeight="1" x14ac:dyDescent="0.15">
      <c r="A771" s="99"/>
      <c r="B771" s="99"/>
      <c r="C771" s="99"/>
      <c r="D771" s="99"/>
      <c r="E771" s="99"/>
      <c r="F771" s="99"/>
      <c r="G771" s="99"/>
      <c r="H771" s="99"/>
      <c r="I771" s="99"/>
      <c r="J771" s="99"/>
      <c r="K771" s="99"/>
      <c r="L771" s="99"/>
      <c r="M771" s="99"/>
      <c r="N771" s="99"/>
      <c r="O771" s="99"/>
      <c r="P771" s="99"/>
      <c r="Q771" s="99"/>
      <c r="R771" s="99"/>
      <c r="S771" s="99"/>
      <c r="T771" s="99"/>
      <c r="U771" s="99"/>
      <c r="V771" s="99"/>
      <c r="W771" s="99"/>
      <c r="X771" s="99"/>
      <c r="Y771" s="99"/>
      <c r="Z771" s="99"/>
      <c r="AA771" s="99"/>
      <c r="AB771" s="99"/>
      <c r="AC771" s="99"/>
      <c r="AD771" s="99"/>
    </row>
    <row r="772" spans="1:30" ht="28.5" customHeight="1" x14ac:dyDescent="0.15">
      <c r="A772" s="99"/>
      <c r="B772" s="99"/>
      <c r="C772" s="99"/>
      <c r="D772" s="99"/>
      <c r="E772" s="99"/>
      <c r="F772" s="99"/>
      <c r="G772" s="99"/>
      <c r="H772" s="99"/>
      <c r="I772" s="99"/>
      <c r="J772" s="99"/>
      <c r="K772" s="99"/>
      <c r="L772" s="99"/>
      <c r="M772" s="99"/>
      <c r="N772" s="99"/>
      <c r="O772" s="99"/>
      <c r="P772" s="99"/>
      <c r="Q772" s="99"/>
      <c r="R772" s="99"/>
      <c r="S772" s="99"/>
      <c r="T772" s="99"/>
      <c r="U772" s="99"/>
      <c r="V772" s="99"/>
      <c r="W772" s="99"/>
      <c r="X772" s="99"/>
      <c r="Y772" s="99"/>
      <c r="Z772" s="99"/>
      <c r="AA772" s="99"/>
      <c r="AB772" s="99"/>
      <c r="AC772" s="99"/>
      <c r="AD772" s="99"/>
    </row>
    <row r="773" spans="1:30" ht="28.5" customHeight="1" x14ac:dyDescent="0.15">
      <c r="A773" s="99"/>
      <c r="B773" s="99"/>
      <c r="C773" s="99"/>
      <c r="D773" s="99"/>
      <c r="E773" s="99"/>
      <c r="F773" s="99"/>
      <c r="G773" s="99"/>
      <c r="H773" s="99"/>
      <c r="I773" s="99"/>
      <c r="J773" s="99"/>
      <c r="K773" s="99"/>
      <c r="L773" s="99"/>
      <c r="M773" s="99"/>
      <c r="N773" s="99"/>
      <c r="O773" s="99"/>
      <c r="P773" s="99"/>
      <c r="Q773" s="99"/>
      <c r="R773" s="99"/>
      <c r="S773" s="99"/>
      <c r="T773" s="99"/>
      <c r="U773" s="99"/>
      <c r="V773" s="99"/>
      <c r="W773" s="99"/>
      <c r="X773" s="99"/>
      <c r="Y773" s="99"/>
      <c r="Z773" s="99"/>
      <c r="AA773" s="99"/>
      <c r="AB773" s="99"/>
      <c r="AC773" s="99"/>
      <c r="AD773" s="99"/>
    </row>
    <row r="774" spans="1:30" ht="28.5" customHeight="1" x14ac:dyDescent="0.15">
      <c r="A774" s="99"/>
      <c r="B774" s="99"/>
      <c r="C774" s="99"/>
      <c r="D774" s="99"/>
      <c r="E774" s="99"/>
      <c r="F774" s="99"/>
      <c r="G774" s="99"/>
      <c r="H774" s="99"/>
      <c r="I774" s="99"/>
      <c r="J774" s="99"/>
      <c r="K774" s="99"/>
      <c r="L774" s="99"/>
      <c r="M774" s="99"/>
      <c r="N774" s="99"/>
      <c r="O774" s="99"/>
      <c r="P774" s="99"/>
      <c r="Q774" s="99"/>
      <c r="R774" s="99"/>
      <c r="S774" s="99"/>
      <c r="T774" s="99"/>
      <c r="U774" s="99"/>
      <c r="V774" s="99"/>
      <c r="W774" s="99"/>
      <c r="X774" s="99"/>
      <c r="Y774" s="99"/>
      <c r="Z774" s="99"/>
      <c r="AA774" s="99"/>
      <c r="AB774" s="99"/>
      <c r="AC774" s="99"/>
      <c r="AD774" s="99"/>
    </row>
    <row r="775" spans="1:30" ht="28.5" customHeight="1" x14ac:dyDescent="0.15">
      <c r="A775" s="99"/>
      <c r="B775" s="99"/>
      <c r="C775" s="99"/>
      <c r="D775" s="99"/>
      <c r="E775" s="99"/>
      <c r="F775" s="99"/>
      <c r="G775" s="99"/>
      <c r="H775" s="99"/>
      <c r="I775" s="99"/>
      <c r="J775" s="99"/>
      <c r="K775" s="99"/>
      <c r="L775" s="99"/>
      <c r="M775" s="99"/>
      <c r="N775" s="99"/>
      <c r="O775" s="99"/>
      <c r="P775" s="99"/>
      <c r="Q775" s="99"/>
      <c r="R775" s="99"/>
      <c r="S775" s="99"/>
      <c r="T775" s="99"/>
      <c r="U775" s="99"/>
      <c r="V775" s="99"/>
      <c r="W775" s="99"/>
      <c r="X775" s="99"/>
      <c r="Y775" s="99"/>
      <c r="Z775" s="99"/>
      <c r="AA775" s="99"/>
      <c r="AB775" s="99"/>
      <c r="AC775" s="99"/>
      <c r="AD775" s="99"/>
    </row>
    <row r="776" spans="1:30" ht="28.5" customHeight="1" x14ac:dyDescent="0.15">
      <c r="A776" s="99"/>
      <c r="B776" s="99"/>
      <c r="C776" s="99"/>
      <c r="D776" s="99"/>
      <c r="E776" s="99"/>
      <c r="F776" s="99"/>
      <c r="G776" s="99"/>
      <c r="H776" s="99"/>
      <c r="I776" s="99"/>
      <c r="J776" s="99"/>
      <c r="K776" s="99"/>
      <c r="L776" s="99"/>
      <c r="M776" s="99"/>
      <c r="N776" s="99"/>
      <c r="O776" s="99"/>
      <c r="P776" s="99"/>
      <c r="Q776" s="99"/>
      <c r="R776" s="99"/>
      <c r="S776" s="99"/>
      <c r="T776" s="99"/>
      <c r="U776" s="99"/>
      <c r="V776" s="99"/>
      <c r="W776" s="99"/>
      <c r="X776" s="99"/>
      <c r="Y776" s="99"/>
      <c r="Z776" s="99"/>
      <c r="AA776" s="99"/>
      <c r="AB776" s="99"/>
      <c r="AC776" s="99"/>
      <c r="AD776" s="99"/>
    </row>
    <row r="777" spans="1:30" ht="28.5" customHeight="1" x14ac:dyDescent="0.15">
      <c r="A777" s="99"/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99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</row>
    <row r="778" spans="1:30" ht="28.5" customHeight="1" x14ac:dyDescent="0.15">
      <c r="A778" s="99"/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99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</row>
    <row r="779" spans="1:30" ht="28.5" customHeight="1" x14ac:dyDescent="0.15">
      <c r="A779" s="99"/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99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</row>
    <row r="780" spans="1:30" ht="28.5" customHeight="1" x14ac:dyDescent="0.15">
      <c r="A780" s="99"/>
      <c r="B780" s="99"/>
      <c r="C780" s="99"/>
      <c r="D780" s="99"/>
      <c r="E780" s="99"/>
      <c r="F780" s="99"/>
      <c r="G780" s="99"/>
      <c r="H780" s="99"/>
      <c r="I780" s="99"/>
      <c r="J780" s="99"/>
      <c r="K780" s="99"/>
      <c r="L780" s="99"/>
      <c r="M780" s="99"/>
      <c r="N780" s="99"/>
      <c r="O780" s="99"/>
      <c r="P780" s="99"/>
      <c r="Q780" s="99"/>
      <c r="R780" s="99"/>
      <c r="S780" s="99"/>
      <c r="T780" s="99"/>
      <c r="U780" s="99"/>
      <c r="V780" s="99"/>
      <c r="W780" s="99"/>
      <c r="X780" s="99"/>
      <c r="Y780" s="99"/>
      <c r="Z780" s="99"/>
      <c r="AA780" s="99"/>
      <c r="AB780" s="99"/>
      <c r="AC780" s="99"/>
      <c r="AD780" s="99"/>
    </row>
    <row r="781" spans="1:30" ht="28.5" customHeight="1" x14ac:dyDescent="0.15">
      <c r="A781" s="99"/>
      <c r="B781" s="99"/>
      <c r="C781" s="99"/>
      <c r="D781" s="99"/>
      <c r="E781" s="99"/>
      <c r="F781" s="99"/>
      <c r="G781" s="99"/>
      <c r="H781" s="99"/>
      <c r="I781" s="99"/>
      <c r="J781" s="99"/>
      <c r="K781" s="99"/>
      <c r="L781" s="99"/>
      <c r="M781" s="99"/>
      <c r="N781" s="99"/>
      <c r="O781" s="99"/>
      <c r="P781" s="99"/>
      <c r="Q781" s="99"/>
      <c r="R781" s="99"/>
      <c r="S781" s="99"/>
      <c r="T781" s="99"/>
      <c r="U781" s="99"/>
      <c r="V781" s="99"/>
      <c r="W781" s="99"/>
      <c r="X781" s="99"/>
      <c r="Y781" s="99"/>
      <c r="Z781" s="99"/>
      <c r="AA781" s="99"/>
      <c r="AB781" s="99"/>
      <c r="AC781" s="99"/>
      <c r="AD781" s="99"/>
    </row>
    <row r="782" spans="1:30" ht="28.5" customHeight="1" x14ac:dyDescent="0.15">
      <c r="A782" s="99"/>
      <c r="B782" s="99"/>
      <c r="C782" s="99"/>
      <c r="D782" s="99"/>
      <c r="E782" s="99"/>
      <c r="F782" s="99"/>
      <c r="G782" s="99"/>
      <c r="H782" s="99"/>
      <c r="I782" s="99"/>
      <c r="J782" s="99"/>
      <c r="K782" s="99"/>
      <c r="L782" s="99"/>
      <c r="M782" s="99"/>
      <c r="N782" s="99"/>
      <c r="O782" s="99"/>
      <c r="P782" s="99"/>
      <c r="Q782" s="99"/>
      <c r="R782" s="99"/>
      <c r="S782" s="99"/>
      <c r="T782" s="99"/>
      <c r="U782" s="99"/>
      <c r="V782" s="99"/>
      <c r="W782" s="99"/>
      <c r="X782" s="99"/>
      <c r="Y782" s="99"/>
      <c r="Z782" s="99"/>
      <c r="AA782" s="99"/>
      <c r="AB782" s="99"/>
      <c r="AC782" s="99"/>
      <c r="AD782" s="99"/>
    </row>
    <row r="783" spans="1:30" ht="28.5" customHeight="1" x14ac:dyDescent="0.15">
      <c r="A783" s="99"/>
      <c r="B783" s="99"/>
      <c r="C783" s="99"/>
      <c r="D783" s="99"/>
      <c r="E783" s="99"/>
      <c r="F783" s="99"/>
      <c r="G783" s="99"/>
      <c r="H783" s="99"/>
      <c r="I783" s="99"/>
      <c r="J783" s="99"/>
      <c r="K783" s="99"/>
      <c r="L783" s="99"/>
      <c r="M783" s="99"/>
      <c r="N783" s="99"/>
      <c r="O783" s="99"/>
      <c r="P783" s="99"/>
      <c r="Q783" s="99"/>
      <c r="R783" s="99"/>
      <c r="S783" s="99"/>
      <c r="T783" s="99"/>
      <c r="U783" s="99"/>
      <c r="V783" s="99"/>
      <c r="W783" s="99"/>
      <c r="X783" s="99"/>
      <c r="Y783" s="99"/>
      <c r="Z783" s="99"/>
      <c r="AA783" s="99"/>
      <c r="AB783" s="99"/>
      <c r="AC783" s="99"/>
      <c r="AD783" s="99"/>
    </row>
    <row r="784" spans="1:30" ht="28.5" customHeight="1" x14ac:dyDescent="0.15">
      <c r="A784" s="99"/>
      <c r="B784" s="99"/>
      <c r="C784" s="99"/>
      <c r="D784" s="99"/>
      <c r="E784" s="99"/>
      <c r="F784" s="99"/>
      <c r="G784" s="99"/>
      <c r="H784" s="99"/>
      <c r="I784" s="99"/>
      <c r="J784" s="99"/>
      <c r="K784" s="99"/>
      <c r="L784" s="99"/>
      <c r="M784" s="99"/>
      <c r="N784" s="99"/>
      <c r="O784" s="99"/>
      <c r="P784" s="99"/>
      <c r="Q784" s="99"/>
      <c r="R784" s="99"/>
      <c r="S784" s="99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</row>
    <row r="785" spans="1:30" ht="28.5" customHeight="1" x14ac:dyDescent="0.15">
      <c r="A785" s="99"/>
      <c r="B785" s="99"/>
      <c r="C785" s="99"/>
      <c r="D785" s="99"/>
      <c r="E785" s="99"/>
      <c r="F785" s="99"/>
      <c r="G785" s="99"/>
      <c r="H785" s="99"/>
      <c r="I785" s="99"/>
      <c r="J785" s="99"/>
      <c r="K785" s="99"/>
      <c r="L785" s="99"/>
      <c r="M785" s="99"/>
      <c r="N785" s="99"/>
      <c r="O785" s="99"/>
      <c r="P785" s="99"/>
      <c r="Q785" s="99"/>
      <c r="R785" s="99"/>
      <c r="S785" s="99"/>
      <c r="T785" s="99"/>
      <c r="U785" s="99"/>
      <c r="V785" s="99"/>
      <c r="W785" s="99"/>
      <c r="X785" s="99"/>
      <c r="Y785" s="99"/>
      <c r="Z785" s="99"/>
      <c r="AA785" s="99"/>
      <c r="AB785" s="99"/>
      <c r="AC785" s="99"/>
      <c r="AD785" s="99"/>
    </row>
    <row r="786" spans="1:30" ht="28.5" customHeight="1" x14ac:dyDescent="0.15">
      <c r="A786" s="99"/>
      <c r="B786" s="99"/>
      <c r="C786" s="99"/>
      <c r="D786" s="99"/>
      <c r="E786" s="99"/>
      <c r="F786" s="99"/>
      <c r="G786" s="99"/>
      <c r="H786" s="99"/>
      <c r="I786" s="99"/>
      <c r="J786" s="99"/>
      <c r="K786" s="99"/>
      <c r="L786" s="99"/>
      <c r="M786" s="99"/>
      <c r="N786" s="99"/>
      <c r="O786" s="99"/>
      <c r="P786" s="99"/>
      <c r="Q786" s="99"/>
      <c r="R786" s="99"/>
      <c r="S786" s="99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</row>
    <row r="787" spans="1:30" ht="28.5" customHeight="1" x14ac:dyDescent="0.15">
      <c r="A787" s="99"/>
      <c r="B787" s="99"/>
      <c r="C787" s="99"/>
      <c r="D787" s="99"/>
      <c r="E787" s="99"/>
      <c r="F787" s="99"/>
      <c r="G787" s="99"/>
      <c r="H787" s="99"/>
      <c r="I787" s="99"/>
      <c r="J787" s="99"/>
      <c r="K787" s="99"/>
      <c r="L787" s="99"/>
      <c r="M787" s="99"/>
      <c r="N787" s="99"/>
      <c r="O787" s="99"/>
      <c r="P787" s="99"/>
      <c r="Q787" s="99"/>
      <c r="R787" s="99"/>
      <c r="S787" s="99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</row>
    <row r="788" spans="1:30" ht="28.5" customHeight="1" x14ac:dyDescent="0.15">
      <c r="A788" s="99"/>
      <c r="B788" s="99"/>
      <c r="C788" s="99"/>
      <c r="D788" s="99"/>
      <c r="E788" s="99"/>
      <c r="F788" s="99"/>
      <c r="G788" s="99"/>
      <c r="H788" s="99"/>
      <c r="I788" s="99"/>
      <c r="J788" s="99"/>
      <c r="K788" s="99"/>
      <c r="L788" s="99"/>
      <c r="M788" s="99"/>
      <c r="N788" s="99"/>
      <c r="O788" s="99"/>
      <c r="P788" s="99"/>
      <c r="Q788" s="99"/>
      <c r="R788" s="99"/>
      <c r="S788" s="99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</row>
    <row r="789" spans="1:30" ht="28.5" customHeight="1" x14ac:dyDescent="0.15">
      <c r="A789" s="99"/>
      <c r="B789" s="99"/>
      <c r="C789" s="99"/>
      <c r="D789" s="99"/>
      <c r="E789" s="99"/>
      <c r="F789" s="99"/>
      <c r="G789" s="99"/>
      <c r="H789" s="99"/>
      <c r="I789" s="99"/>
      <c r="J789" s="99"/>
      <c r="K789" s="99"/>
      <c r="L789" s="99"/>
      <c r="M789" s="99"/>
      <c r="N789" s="99"/>
      <c r="O789" s="99"/>
      <c r="P789" s="99"/>
      <c r="Q789" s="99"/>
      <c r="R789" s="99"/>
      <c r="S789" s="99"/>
      <c r="T789" s="99"/>
      <c r="U789" s="99"/>
      <c r="V789" s="99"/>
      <c r="W789" s="99"/>
      <c r="X789" s="99"/>
      <c r="Y789" s="99"/>
      <c r="Z789" s="99"/>
      <c r="AA789" s="99"/>
      <c r="AB789" s="99"/>
      <c r="AC789" s="99"/>
      <c r="AD789" s="99"/>
    </row>
    <row r="790" spans="1:30" ht="28.5" customHeight="1" x14ac:dyDescent="0.15">
      <c r="A790" s="99"/>
      <c r="B790" s="99"/>
      <c r="C790" s="99"/>
      <c r="D790" s="99"/>
      <c r="E790" s="99"/>
      <c r="F790" s="99"/>
      <c r="G790" s="99"/>
      <c r="H790" s="99"/>
      <c r="I790" s="99"/>
      <c r="J790" s="99"/>
      <c r="K790" s="99"/>
      <c r="L790" s="99"/>
      <c r="M790" s="99"/>
      <c r="N790" s="99"/>
      <c r="O790" s="99"/>
      <c r="P790" s="99"/>
      <c r="Q790" s="99"/>
      <c r="R790" s="99"/>
      <c r="S790" s="99"/>
      <c r="T790" s="99"/>
      <c r="U790" s="99"/>
      <c r="V790" s="99"/>
      <c r="W790" s="99"/>
      <c r="X790" s="99"/>
      <c r="Y790" s="99"/>
      <c r="Z790" s="99"/>
      <c r="AA790" s="99"/>
      <c r="AB790" s="99"/>
      <c r="AC790" s="99"/>
      <c r="AD790" s="99"/>
    </row>
    <row r="791" spans="1:30" ht="28.5" customHeight="1" x14ac:dyDescent="0.15">
      <c r="A791" s="99"/>
      <c r="B791" s="99"/>
      <c r="C791" s="99"/>
      <c r="D791" s="99"/>
      <c r="E791" s="99"/>
      <c r="F791" s="99"/>
      <c r="G791" s="99"/>
      <c r="H791" s="99"/>
      <c r="I791" s="99"/>
      <c r="J791" s="99"/>
      <c r="K791" s="99"/>
      <c r="L791" s="99"/>
      <c r="M791" s="99"/>
      <c r="N791" s="99"/>
      <c r="O791" s="99"/>
      <c r="P791" s="99"/>
      <c r="Q791" s="99"/>
      <c r="R791" s="99"/>
      <c r="S791" s="99"/>
      <c r="T791" s="99"/>
      <c r="U791" s="99"/>
      <c r="V791" s="99"/>
      <c r="W791" s="99"/>
      <c r="X791" s="99"/>
      <c r="Y791" s="99"/>
      <c r="Z791" s="99"/>
      <c r="AA791" s="99"/>
      <c r="AB791" s="99"/>
      <c r="AC791" s="99"/>
      <c r="AD791" s="99"/>
    </row>
    <row r="792" spans="1:30" ht="28.5" customHeight="1" x14ac:dyDescent="0.15">
      <c r="A792" s="99"/>
      <c r="B792" s="99"/>
      <c r="C792" s="99"/>
      <c r="D792" s="99"/>
      <c r="E792" s="99"/>
      <c r="F792" s="99"/>
      <c r="G792" s="99"/>
      <c r="H792" s="99"/>
      <c r="I792" s="99"/>
      <c r="J792" s="99"/>
      <c r="K792" s="99"/>
      <c r="L792" s="99"/>
      <c r="M792" s="99"/>
      <c r="N792" s="99"/>
      <c r="O792" s="99"/>
      <c r="P792" s="99"/>
      <c r="Q792" s="99"/>
      <c r="R792" s="99"/>
      <c r="S792" s="99"/>
      <c r="T792" s="99"/>
      <c r="U792" s="99"/>
      <c r="V792" s="99"/>
      <c r="W792" s="99"/>
      <c r="X792" s="99"/>
      <c r="Y792" s="99"/>
      <c r="Z792" s="99"/>
      <c r="AA792" s="99"/>
      <c r="AB792" s="99"/>
      <c r="AC792" s="99"/>
      <c r="AD792" s="99"/>
    </row>
    <row r="793" spans="1:30" ht="28.5" customHeight="1" x14ac:dyDescent="0.15">
      <c r="A793" s="99"/>
      <c r="B793" s="99"/>
      <c r="C793" s="99"/>
      <c r="D793" s="99"/>
      <c r="E793" s="99"/>
      <c r="F793" s="99"/>
      <c r="G793" s="99"/>
      <c r="H793" s="99"/>
      <c r="I793" s="99"/>
      <c r="J793" s="99"/>
      <c r="K793" s="99"/>
      <c r="L793" s="99"/>
      <c r="M793" s="99"/>
      <c r="N793" s="99"/>
      <c r="O793" s="99"/>
      <c r="P793" s="99"/>
      <c r="Q793" s="99"/>
      <c r="R793" s="99"/>
      <c r="S793" s="99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</row>
    <row r="794" spans="1:30" ht="28.5" customHeight="1" x14ac:dyDescent="0.15">
      <c r="A794" s="99"/>
      <c r="B794" s="99"/>
      <c r="C794" s="99"/>
      <c r="D794" s="99"/>
      <c r="E794" s="99"/>
      <c r="F794" s="99"/>
      <c r="G794" s="99"/>
      <c r="H794" s="99"/>
      <c r="I794" s="99"/>
      <c r="J794" s="99"/>
      <c r="K794" s="99"/>
      <c r="L794" s="99"/>
      <c r="M794" s="99"/>
      <c r="N794" s="99"/>
      <c r="O794" s="99"/>
      <c r="P794" s="99"/>
      <c r="Q794" s="99"/>
      <c r="R794" s="99"/>
      <c r="S794" s="99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</row>
    <row r="795" spans="1:30" ht="28.5" customHeight="1" x14ac:dyDescent="0.15">
      <c r="A795" s="99"/>
      <c r="B795" s="99"/>
      <c r="C795" s="99"/>
      <c r="D795" s="99"/>
      <c r="E795" s="99"/>
      <c r="F795" s="99"/>
      <c r="G795" s="99"/>
      <c r="H795" s="99"/>
      <c r="I795" s="99"/>
      <c r="J795" s="99"/>
      <c r="K795" s="99"/>
      <c r="L795" s="99"/>
      <c r="M795" s="99"/>
      <c r="N795" s="99"/>
      <c r="O795" s="99"/>
      <c r="P795" s="99"/>
      <c r="Q795" s="99"/>
      <c r="R795" s="99"/>
      <c r="S795" s="99"/>
      <c r="T795" s="99"/>
      <c r="U795" s="99"/>
      <c r="V795" s="99"/>
      <c r="W795" s="99"/>
      <c r="X795" s="99"/>
      <c r="Y795" s="99"/>
      <c r="Z795" s="99"/>
      <c r="AA795" s="99"/>
      <c r="AB795" s="99"/>
      <c r="AC795" s="99"/>
      <c r="AD795" s="99"/>
    </row>
    <row r="796" spans="1:30" ht="28.5" customHeight="1" x14ac:dyDescent="0.15">
      <c r="A796" s="99"/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99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</row>
    <row r="797" spans="1:30" ht="28.5" customHeight="1" x14ac:dyDescent="0.15">
      <c r="A797" s="99"/>
      <c r="B797" s="99"/>
      <c r="C797" s="99"/>
      <c r="D797" s="99"/>
      <c r="E797" s="99"/>
      <c r="F797" s="99"/>
      <c r="G797" s="99"/>
      <c r="H797" s="99"/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99"/>
      <c r="T797" s="99"/>
      <c r="U797" s="99"/>
      <c r="V797" s="99"/>
      <c r="W797" s="99"/>
      <c r="X797" s="99"/>
      <c r="Y797" s="99"/>
      <c r="Z797" s="99"/>
      <c r="AA797" s="99"/>
      <c r="AB797" s="99"/>
      <c r="AC797" s="99"/>
      <c r="AD797" s="99"/>
    </row>
    <row r="798" spans="1:30" ht="28.5" customHeight="1" x14ac:dyDescent="0.15">
      <c r="A798" s="99"/>
      <c r="B798" s="99"/>
      <c r="C798" s="99"/>
      <c r="D798" s="99"/>
      <c r="E798" s="99"/>
      <c r="F798" s="99"/>
      <c r="G798" s="99"/>
      <c r="H798" s="99"/>
      <c r="I798" s="99"/>
      <c r="J798" s="99"/>
      <c r="K798" s="99"/>
      <c r="L798" s="99"/>
      <c r="M798" s="99"/>
      <c r="N798" s="99"/>
      <c r="O798" s="99"/>
      <c r="P798" s="99"/>
      <c r="Q798" s="99"/>
      <c r="R798" s="99"/>
      <c r="S798" s="99"/>
      <c r="T798" s="99"/>
      <c r="U798" s="99"/>
      <c r="V798" s="99"/>
      <c r="W798" s="99"/>
      <c r="X798" s="99"/>
      <c r="Y798" s="99"/>
      <c r="Z798" s="99"/>
      <c r="AA798" s="99"/>
      <c r="AB798" s="99"/>
      <c r="AC798" s="99"/>
      <c r="AD798" s="99"/>
    </row>
    <row r="799" spans="1:30" ht="28.5" customHeight="1" x14ac:dyDescent="0.15">
      <c r="A799" s="99"/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99"/>
      <c r="T799" s="99"/>
      <c r="U799" s="99"/>
      <c r="V799" s="99"/>
      <c r="W799" s="99"/>
      <c r="X799" s="99"/>
      <c r="Y799" s="99"/>
      <c r="Z799" s="99"/>
      <c r="AA799" s="99"/>
      <c r="AB799" s="99"/>
      <c r="AC799" s="99"/>
      <c r="AD799" s="99"/>
    </row>
    <row r="800" spans="1:30" ht="28.5" customHeight="1" x14ac:dyDescent="0.15">
      <c r="A800" s="99"/>
      <c r="B800" s="99"/>
      <c r="C800" s="99"/>
      <c r="D800" s="99"/>
      <c r="E800" s="99"/>
      <c r="F800" s="99"/>
      <c r="G800" s="99"/>
      <c r="H800" s="99"/>
      <c r="I800" s="99"/>
      <c r="J800" s="99"/>
      <c r="K800" s="99"/>
      <c r="L800" s="99"/>
      <c r="M800" s="99"/>
      <c r="N800" s="99"/>
      <c r="O800" s="99"/>
      <c r="P800" s="99"/>
      <c r="Q800" s="99"/>
      <c r="R800" s="99"/>
      <c r="S800" s="99"/>
      <c r="T800" s="99"/>
      <c r="U800" s="99"/>
      <c r="V800" s="99"/>
      <c r="W800" s="99"/>
      <c r="X800" s="99"/>
      <c r="Y800" s="99"/>
      <c r="Z800" s="99"/>
      <c r="AA800" s="99"/>
      <c r="AB800" s="99"/>
      <c r="AC800" s="99"/>
      <c r="AD800" s="99"/>
    </row>
    <row r="801" spans="1:30" ht="28.5" customHeight="1" x14ac:dyDescent="0.15">
      <c r="A801" s="99"/>
      <c r="B801" s="99"/>
      <c r="C801" s="99"/>
      <c r="D801" s="99"/>
      <c r="E801" s="99"/>
      <c r="F801" s="99"/>
      <c r="G801" s="99"/>
      <c r="H801" s="99"/>
      <c r="I801" s="99"/>
      <c r="J801" s="99"/>
      <c r="K801" s="99"/>
      <c r="L801" s="99"/>
      <c r="M801" s="99"/>
      <c r="N801" s="99"/>
      <c r="O801" s="99"/>
      <c r="P801" s="99"/>
      <c r="Q801" s="99"/>
      <c r="R801" s="99"/>
      <c r="S801" s="99"/>
      <c r="T801" s="99"/>
      <c r="U801" s="99"/>
      <c r="V801" s="99"/>
      <c r="W801" s="99"/>
      <c r="X801" s="99"/>
      <c r="Y801" s="99"/>
      <c r="Z801" s="99"/>
      <c r="AA801" s="99"/>
      <c r="AB801" s="99"/>
      <c r="AC801" s="99"/>
      <c r="AD801" s="99"/>
    </row>
    <row r="802" spans="1:30" ht="28.5" customHeight="1" x14ac:dyDescent="0.15">
      <c r="A802" s="99"/>
      <c r="B802" s="99"/>
      <c r="C802" s="99"/>
      <c r="D802" s="99"/>
      <c r="E802" s="99"/>
      <c r="F802" s="99"/>
      <c r="G802" s="99"/>
      <c r="H802" s="99"/>
      <c r="I802" s="99"/>
      <c r="J802" s="99"/>
      <c r="K802" s="99"/>
      <c r="L802" s="99"/>
      <c r="M802" s="99"/>
      <c r="N802" s="99"/>
      <c r="O802" s="99"/>
      <c r="P802" s="99"/>
      <c r="Q802" s="99"/>
      <c r="R802" s="99"/>
      <c r="S802" s="99"/>
      <c r="T802" s="99"/>
      <c r="U802" s="99"/>
      <c r="V802" s="99"/>
      <c r="W802" s="99"/>
      <c r="X802" s="99"/>
      <c r="Y802" s="99"/>
      <c r="Z802" s="99"/>
      <c r="AA802" s="99"/>
      <c r="AB802" s="99"/>
      <c r="AC802" s="99"/>
      <c r="AD802" s="99"/>
    </row>
    <row r="803" spans="1:30" ht="28.5" customHeight="1" x14ac:dyDescent="0.15">
      <c r="A803" s="99"/>
      <c r="B803" s="99"/>
      <c r="C803" s="99"/>
      <c r="D803" s="99"/>
      <c r="E803" s="99"/>
      <c r="F803" s="99"/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99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</row>
    <row r="804" spans="1:30" ht="28.5" customHeight="1" x14ac:dyDescent="0.15">
      <c r="A804" s="99"/>
      <c r="B804" s="99"/>
      <c r="C804" s="99"/>
      <c r="D804" s="99"/>
      <c r="E804" s="99"/>
      <c r="F804" s="99"/>
      <c r="G804" s="99"/>
      <c r="H804" s="99"/>
      <c r="I804" s="99"/>
      <c r="J804" s="99"/>
      <c r="K804" s="99"/>
      <c r="L804" s="99"/>
      <c r="M804" s="99"/>
      <c r="N804" s="99"/>
      <c r="O804" s="99"/>
      <c r="P804" s="99"/>
      <c r="Q804" s="99"/>
      <c r="R804" s="99"/>
      <c r="S804" s="99"/>
      <c r="T804" s="99"/>
      <c r="U804" s="99"/>
      <c r="V804" s="99"/>
      <c r="W804" s="99"/>
      <c r="X804" s="99"/>
      <c r="Y804" s="99"/>
      <c r="Z804" s="99"/>
      <c r="AA804" s="99"/>
      <c r="AB804" s="99"/>
      <c r="AC804" s="99"/>
      <c r="AD804" s="99"/>
    </row>
    <row r="805" spans="1:30" ht="28.5" customHeight="1" x14ac:dyDescent="0.15">
      <c r="A805" s="99"/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99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</row>
    <row r="806" spans="1:30" ht="28.5" customHeight="1" x14ac:dyDescent="0.15">
      <c r="A806" s="99"/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99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</row>
    <row r="807" spans="1:30" ht="28.5" customHeight="1" x14ac:dyDescent="0.15">
      <c r="A807" s="99"/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99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</row>
    <row r="808" spans="1:30" ht="28.5" customHeight="1" x14ac:dyDescent="0.15">
      <c r="A808" s="99"/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99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</row>
    <row r="809" spans="1:30" ht="28.5" customHeight="1" x14ac:dyDescent="0.15">
      <c r="A809" s="99"/>
      <c r="B809" s="99"/>
      <c r="C809" s="99"/>
      <c r="D809" s="99"/>
      <c r="E809" s="99"/>
      <c r="F809" s="99"/>
      <c r="G809" s="99"/>
      <c r="H809" s="99"/>
      <c r="I809" s="99"/>
      <c r="J809" s="99"/>
      <c r="K809" s="99"/>
      <c r="L809" s="99"/>
      <c r="M809" s="99"/>
      <c r="N809" s="99"/>
      <c r="O809" s="99"/>
      <c r="P809" s="99"/>
      <c r="Q809" s="99"/>
      <c r="R809" s="99"/>
      <c r="S809" s="99"/>
      <c r="T809" s="99"/>
      <c r="U809" s="99"/>
      <c r="V809" s="99"/>
      <c r="W809" s="99"/>
      <c r="X809" s="99"/>
      <c r="Y809" s="99"/>
      <c r="Z809" s="99"/>
      <c r="AA809" s="99"/>
      <c r="AB809" s="99"/>
      <c r="AC809" s="99"/>
      <c r="AD809" s="99"/>
    </row>
    <row r="810" spans="1:30" ht="28.5" customHeight="1" x14ac:dyDescent="0.15">
      <c r="A810" s="99"/>
      <c r="B810" s="99"/>
      <c r="C810" s="99"/>
      <c r="D810" s="99"/>
      <c r="E810" s="99"/>
      <c r="F810" s="99"/>
      <c r="G810" s="99"/>
      <c r="H810" s="99"/>
      <c r="I810" s="99"/>
      <c r="J810" s="99"/>
      <c r="K810" s="99"/>
      <c r="L810" s="99"/>
      <c r="M810" s="99"/>
      <c r="N810" s="99"/>
      <c r="O810" s="99"/>
      <c r="P810" s="99"/>
      <c r="Q810" s="99"/>
      <c r="R810" s="99"/>
      <c r="S810" s="99"/>
      <c r="T810" s="99"/>
      <c r="U810" s="99"/>
      <c r="V810" s="99"/>
      <c r="W810" s="99"/>
      <c r="X810" s="99"/>
      <c r="Y810" s="99"/>
      <c r="Z810" s="99"/>
      <c r="AA810" s="99"/>
      <c r="AB810" s="99"/>
      <c r="AC810" s="99"/>
      <c r="AD810" s="99"/>
    </row>
    <row r="811" spans="1:30" ht="28.5" customHeight="1" x14ac:dyDescent="0.15">
      <c r="A811" s="99"/>
      <c r="B811" s="99"/>
      <c r="C811" s="99"/>
      <c r="D811" s="99"/>
      <c r="E811" s="99"/>
      <c r="F811" s="99"/>
      <c r="G811" s="99"/>
      <c r="H811" s="99"/>
      <c r="I811" s="99"/>
      <c r="J811" s="99"/>
      <c r="K811" s="99"/>
      <c r="L811" s="99"/>
      <c r="M811" s="99"/>
      <c r="N811" s="99"/>
      <c r="O811" s="99"/>
      <c r="P811" s="99"/>
      <c r="Q811" s="99"/>
      <c r="R811" s="99"/>
      <c r="S811" s="99"/>
      <c r="T811" s="99"/>
      <c r="U811" s="99"/>
      <c r="V811" s="99"/>
      <c r="W811" s="99"/>
      <c r="X811" s="99"/>
      <c r="Y811" s="99"/>
      <c r="Z811" s="99"/>
      <c r="AA811" s="99"/>
      <c r="AB811" s="99"/>
      <c r="AC811" s="99"/>
      <c r="AD811" s="99"/>
    </row>
    <row r="812" spans="1:30" ht="28.5" customHeight="1" x14ac:dyDescent="0.15">
      <c r="A812" s="99"/>
      <c r="B812" s="99"/>
      <c r="C812" s="99"/>
      <c r="D812" s="99"/>
      <c r="E812" s="99"/>
      <c r="F812" s="99"/>
      <c r="G812" s="99"/>
      <c r="H812" s="99"/>
      <c r="I812" s="99"/>
      <c r="J812" s="99"/>
      <c r="K812" s="99"/>
      <c r="L812" s="99"/>
      <c r="M812" s="99"/>
      <c r="N812" s="99"/>
      <c r="O812" s="99"/>
      <c r="P812" s="99"/>
      <c r="Q812" s="99"/>
      <c r="R812" s="99"/>
      <c r="S812" s="99"/>
      <c r="T812" s="99"/>
      <c r="U812" s="99"/>
      <c r="V812" s="99"/>
      <c r="W812" s="99"/>
      <c r="X812" s="99"/>
      <c r="Y812" s="99"/>
      <c r="Z812" s="99"/>
      <c r="AA812" s="99"/>
      <c r="AB812" s="99"/>
      <c r="AC812" s="99"/>
      <c r="AD812" s="99"/>
    </row>
    <row r="813" spans="1:30" ht="28.5" customHeight="1" x14ac:dyDescent="0.15">
      <c r="A813" s="99"/>
      <c r="B813" s="99"/>
      <c r="C813" s="99"/>
      <c r="D813" s="99"/>
      <c r="E813" s="99"/>
      <c r="F813" s="99"/>
      <c r="G813" s="99"/>
      <c r="H813" s="99"/>
      <c r="I813" s="99"/>
      <c r="J813" s="99"/>
      <c r="K813" s="99"/>
      <c r="L813" s="99"/>
      <c r="M813" s="99"/>
      <c r="N813" s="99"/>
      <c r="O813" s="99"/>
      <c r="P813" s="99"/>
      <c r="Q813" s="99"/>
      <c r="R813" s="99"/>
      <c r="S813" s="99"/>
      <c r="T813" s="99"/>
      <c r="U813" s="99"/>
      <c r="V813" s="99"/>
      <c r="W813" s="99"/>
      <c r="X813" s="99"/>
      <c r="Y813" s="99"/>
      <c r="Z813" s="99"/>
      <c r="AA813" s="99"/>
      <c r="AB813" s="99"/>
      <c r="AC813" s="99"/>
      <c r="AD813" s="99"/>
    </row>
    <row r="814" spans="1:30" ht="28.5" customHeight="1" x14ac:dyDescent="0.15">
      <c r="A814" s="99"/>
      <c r="B814" s="99"/>
      <c r="C814" s="99"/>
      <c r="D814" s="99"/>
      <c r="E814" s="99"/>
      <c r="F814" s="99"/>
      <c r="G814" s="99"/>
      <c r="H814" s="99"/>
      <c r="I814" s="99"/>
      <c r="J814" s="99"/>
      <c r="K814" s="99"/>
      <c r="L814" s="99"/>
      <c r="M814" s="99"/>
      <c r="N814" s="99"/>
      <c r="O814" s="99"/>
      <c r="P814" s="99"/>
      <c r="Q814" s="99"/>
      <c r="R814" s="99"/>
      <c r="S814" s="99"/>
      <c r="T814" s="99"/>
      <c r="U814" s="99"/>
      <c r="V814" s="99"/>
      <c r="W814" s="99"/>
      <c r="X814" s="99"/>
      <c r="Y814" s="99"/>
      <c r="Z814" s="99"/>
      <c r="AA814" s="99"/>
      <c r="AB814" s="99"/>
      <c r="AC814" s="99"/>
      <c r="AD814" s="99"/>
    </row>
    <row r="815" spans="1:30" ht="28.5" customHeight="1" x14ac:dyDescent="0.15">
      <c r="A815" s="99"/>
      <c r="B815" s="99"/>
      <c r="C815" s="99"/>
      <c r="D815" s="99"/>
      <c r="E815" s="99"/>
      <c r="F815" s="99"/>
      <c r="G815" s="99"/>
      <c r="H815" s="99"/>
      <c r="I815" s="99"/>
      <c r="J815" s="99"/>
      <c r="K815" s="99"/>
      <c r="L815" s="99"/>
      <c r="M815" s="99"/>
      <c r="N815" s="99"/>
      <c r="O815" s="99"/>
      <c r="P815" s="99"/>
      <c r="Q815" s="99"/>
      <c r="R815" s="99"/>
      <c r="S815" s="99"/>
      <c r="T815" s="99"/>
      <c r="U815" s="99"/>
      <c r="V815" s="99"/>
      <c r="W815" s="99"/>
      <c r="X815" s="99"/>
      <c r="Y815" s="99"/>
      <c r="Z815" s="99"/>
      <c r="AA815" s="99"/>
      <c r="AB815" s="99"/>
      <c r="AC815" s="99"/>
      <c r="AD815" s="99"/>
    </row>
    <row r="816" spans="1:30" ht="28.5" customHeight="1" x14ac:dyDescent="0.15">
      <c r="A816" s="99"/>
      <c r="B816" s="99"/>
      <c r="C816" s="99"/>
      <c r="D816" s="99"/>
      <c r="E816" s="99"/>
      <c r="F816" s="99"/>
      <c r="G816" s="99"/>
      <c r="H816" s="99"/>
      <c r="I816" s="99"/>
      <c r="J816" s="99"/>
      <c r="K816" s="99"/>
      <c r="L816" s="99"/>
      <c r="M816" s="99"/>
      <c r="N816" s="99"/>
      <c r="O816" s="99"/>
      <c r="P816" s="99"/>
      <c r="Q816" s="99"/>
      <c r="R816" s="99"/>
      <c r="S816" s="99"/>
      <c r="T816" s="99"/>
      <c r="U816" s="99"/>
      <c r="V816" s="99"/>
      <c r="W816" s="99"/>
      <c r="X816" s="99"/>
      <c r="Y816" s="99"/>
      <c r="Z816" s="99"/>
      <c r="AA816" s="99"/>
      <c r="AB816" s="99"/>
      <c r="AC816" s="99"/>
      <c r="AD816" s="99"/>
    </row>
    <row r="817" spans="1:30" ht="28.5" customHeight="1" x14ac:dyDescent="0.15">
      <c r="A817" s="99"/>
      <c r="B817" s="99"/>
      <c r="C817" s="99"/>
      <c r="D817" s="99"/>
      <c r="E817" s="99"/>
      <c r="F817" s="99"/>
      <c r="G817" s="99"/>
      <c r="H817" s="99"/>
      <c r="I817" s="99"/>
      <c r="J817" s="99"/>
      <c r="K817" s="99"/>
      <c r="L817" s="99"/>
      <c r="M817" s="99"/>
      <c r="N817" s="99"/>
      <c r="O817" s="99"/>
      <c r="P817" s="99"/>
      <c r="Q817" s="99"/>
      <c r="R817" s="99"/>
      <c r="S817" s="99"/>
      <c r="T817" s="99"/>
      <c r="U817" s="99"/>
      <c r="V817" s="99"/>
      <c r="W817" s="99"/>
      <c r="X817" s="99"/>
      <c r="Y817" s="99"/>
      <c r="Z817" s="99"/>
      <c r="AA817" s="99"/>
      <c r="AB817" s="99"/>
      <c r="AC817" s="99"/>
      <c r="AD817" s="99"/>
    </row>
    <row r="818" spans="1:30" ht="28.5" customHeight="1" x14ac:dyDescent="0.15">
      <c r="A818" s="99"/>
      <c r="B818" s="99"/>
      <c r="C818" s="99"/>
      <c r="D818" s="99"/>
      <c r="E818" s="99"/>
      <c r="F818" s="99"/>
      <c r="G818" s="99"/>
      <c r="H818" s="99"/>
      <c r="I818" s="99"/>
      <c r="J818" s="99"/>
      <c r="K818" s="99"/>
      <c r="L818" s="99"/>
      <c r="M818" s="99"/>
      <c r="N818" s="99"/>
      <c r="O818" s="99"/>
      <c r="P818" s="99"/>
      <c r="Q818" s="99"/>
      <c r="R818" s="99"/>
      <c r="S818" s="99"/>
      <c r="T818" s="99"/>
      <c r="U818" s="99"/>
      <c r="V818" s="99"/>
      <c r="W818" s="99"/>
      <c r="X818" s="99"/>
      <c r="Y818" s="99"/>
      <c r="Z818" s="99"/>
      <c r="AA818" s="99"/>
      <c r="AB818" s="99"/>
      <c r="AC818" s="99"/>
      <c r="AD818" s="99"/>
    </row>
    <row r="819" spans="1:30" ht="28.5" customHeight="1" x14ac:dyDescent="0.15">
      <c r="A819" s="99"/>
      <c r="B819" s="99"/>
      <c r="C819" s="99"/>
      <c r="D819" s="99"/>
      <c r="E819" s="99"/>
      <c r="F819" s="99"/>
      <c r="G819" s="99"/>
      <c r="H819" s="99"/>
      <c r="I819" s="99"/>
      <c r="J819" s="99"/>
      <c r="K819" s="99"/>
      <c r="L819" s="99"/>
      <c r="M819" s="99"/>
      <c r="N819" s="99"/>
      <c r="O819" s="99"/>
      <c r="P819" s="99"/>
      <c r="Q819" s="99"/>
      <c r="R819" s="99"/>
      <c r="S819" s="99"/>
      <c r="T819" s="99"/>
      <c r="U819" s="99"/>
      <c r="V819" s="99"/>
      <c r="W819" s="99"/>
      <c r="X819" s="99"/>
      <c r="Y819" s="99"/>
      <c r="Z819" s="99"/>
      <c r="AA819" s="99"/>
      <c r="AB819" s="99"/>
      <c r="AC819" s="99"/>
      <c r="AD819" s="99"/>
    </row>
    <row r="820" spans="1:30" ht="28.5" customHeight="1" x14ac:dyDescent="0.15">
      <c r="A820" s="99"/>
      <c r="B820" s="99"/>
      <c r="C820" s="99"/>
      <c r="D820" s="99"/>
      <c r="E820" s="99"/>
      <c r="F820" s="99"/>
      <c r="G820" s="99"/>
      <c r="H820" s="99"/>
      <c r="I820" s="99"/>
      <c r="J820" s="99"/>
      <c r="K820" s="99"/>
      <c r="L820" s="99"/>
      <c r="M820" s="99"/>
      <c r="N820" s="99"/>
      <c r="O820" s="99"/>
      <c r="P820" s="99"/>
      <c r="Q820" s="99"/>
      <c r="R820" s="99"/>
      <c r="S820" s="99"/>
      <c r="T820" s="99"/>
      <c r="U820" s="99"/>
      <c r="V820" s="99"/>
      <c r="W820" s="99"/>
      <c r="X820" s="99"/>
      <c r="Y820" s="99"/>
      <c r="Z820" s="99"/>
      <c r="AA820" s="99"/>
      <c r="AB820" s="99"/>
      <c r="AC820" s="99"/>
      <c r="AD820" s="99"/>
    </row>
    <row r="821" spans="1:30" ht="28.5" customHeight="1" x14ac:dyDescent="0.15">
      <c r="A821" s="99"/>
      <c r="B821" s="99"/>
      <c r="C821" s="99"/>
      <c r="D821" s="99"/>
      <c r="E821" s="99"/>
      <c r="F821" s="99"/>
      <c r="G821" s="99"/>
      <c r="H821" s="99"/>
      <c r="I821" s="99"/>
      <c r="J821" s="99"/>
      <c r="K821" s="99"/>
      <c r="L821" s="99"/>
      <c r="M821" s="99"/>
      <c r="N821" s="99"/>
      <c r="O821" s="99"/>
      <c r="P821" s="99"/>
      <c r="Q821" s="99"/>
      <c r="R821" s="99"/>
      <c r="S821" s="99"/>
      <c r="T821" s="99"/>
      <c r="U821" s="99"/>
      <c r="V821" s="99"/>
      <c r="W821" s="99"/>
      <c r="X821" s="99"/>
      <c r="Y821" s="99"/>
      <c r="Z821" s="99"/>
      <c r="AA821" s="99"/>
      <c r="AB821" s="99"/>
      <c r="AC821" s="99"/>
      <c r="AD821" s="99"/>
    </row>
    <row r="822" spans="1:30" ht="28.5" customHeight="1" x14ac:dyDescent="0.15">
      <c r="A822" s="99"/>
      <c r="B822" s="99"/>
      <c r="C822" s="99"/>
      <c r="D822" s="99"/>
      <c r="E822" s="99"/>
      <c r="F822" s="99"/>
      <c r="G822" s="99"/>
      <c r="H822" s="99"/>
      <c r="I822" s="99"/>
      <c r="J822" s="99"/>
      <c r="K822" s="99"/>
      <c r="L822" s="99"/>
      <c r="M822" s="99"/>
      <c r="N822" s="99"/>
      <c r="O822" s="99"/>
      <c r="P822" s="99"/>
      <c r="Q822" s="99"/>
      <c r="R822" s="99"/>
      <c r="S822" s="99"/>
      <c r="T822" s="99"/>
      <c r="U822" s="99"/>
      <c r="V822" s="99"/>
      <c r="W822" s="99"/>
      <c r="X822" s="99"/>
      <c r="Y822" s="99"/>
      <c r="Z822" s="99"/>
      <c r="AA822" s="99"/>
      <c r="AB822" s="99"/>
      <c r="AC822" s="99"/>
      <c r="AD822" s="99"/>
    </row>
    <row r="823" spans="1:30" ht="28.5" customHeight="1" x14ac:dyDescent="0.15">
      <c r="A823" s="99"/>
      <c r="B823" s="99"/>
      <c r="C823" s="99"/>
      <c r="D823" s="99"/>
      <c r="E823" s="99"/>
      <c r="F823" s="99"/>
      <c r="G823" s="99"/>
      <c r="H823" s="99"/>
      <c r="I823" s="99"/>
      <c r="J823" s="99"/>
      <c r="K823" s="99"/>
      <c r="L823" s="99"/>
      <c r="M823" s="99"/>
      <c r="N823" s="99"/>
      <c r="O823" s="99"/>
      <c r="P823" s="99"/>
      <c r="Q823" s="99"/>
      <c r="R823" s="99"/>
      <c r="S823" s="99"/>
      <c r="T823" s="99"/>
      <c r="U823" s="99"/>
      <c r="V823" s="99"/>
      <c r="W823" s="99"/>
      <c r="X823" s="99"/>
      <c r="Y823" s="99"/>
      <c r="Z823" s="99"/>
      <c r="AA823" s="99"/>
      <c r="AB823" s="99"/>
      <c r="AC823" s="99"/>
      <c r="AD823" s="99"/>
    </row>
    <row r="824" spans="1:30" ht="28.5" customHeight="1" x14ac:dyDescent="0.15">
      <c r="A824" s="99"/>
      <c r="B824" s="99"/>
      <c r="C824" s="99"/>
      <c r="D824" s="99"/>
      <c r="E824" s="99"/>
      <c r="F824" s="99"/>
      <c r="G824" s="99"/>
      <c r="H824" s="99"/>
      <c r="I824" s="99"/>
      <c r="J824" s="99"/>
      <c r="K824" s="99"/>
      <c r="L824" s="99"/>
      <c r="M824" s="99"/>
      <c r="N824" s="99"/>
      <c r="O824" s="99"/>
      <c r="P824" s="99"/>
      <c r="Q824" s="99"/>
      <c r="R824" s="99"/>
      <c r="S824" s="99"/>
      <c r="T824" s="99"/>
      <c r="U824" s="99"/>
      <c r="V824" s="99"/>
      <c r="W824" s="99"/>
      <c r="X824" s="99"/>
      <c r="Y824" s="99"/>
      <c r="Z824" s="99"/>
      <c r="AA824" s="99"/>
      <c r="AB824" s="99"/>
      <c r="AC824" s="99"/>
      <c r="AD824" s="99"/>
    </row>
    <row r="825" spans="1:30" ht="28.5" customHeight="1" x14ac:dyDescent="0.15">
      <c r="A825" s="99"/>
      <c r="B825" s="99"/>
      <c r="C825" s="99"/>
      <c r="D825" s="99"/>
      <c r="E825" s="99"/>
      <c r="F825" s="99"/>
      <c r="G825" s="99"/>
      <c r="H825" s="99"/>
      <c r="I825" s="99"/>
      <c r="J825" s="99"/>
      <c r="K825" s="99"/>
      <c r="L825" s="99"/>
      <c r="M825" s="99"/>
      <c r="N825" s="99"/>
      <c r="O825" s="99"/>
      <c r="P825" s="99"/>
      <c r="Q825" s="99"/>
      <c r="R825" s="99"/>
      <c r="S825" s="99"/>
      <c r="T825" s="99"/>
      <c r="U825" s="99"/>
      <c r="V825" s="99"/>
      <c r="W825" s="99"/>
      <c r="X825" s="99"/>
      <c r="Y825" s="99"/>
      <c r="Z825" s="99"/>
      <c r="AA825" s="99"/>
      <c r="AB825" s="99"/>
      <c r="AC825" s="99"/>
      <c r="AD825" s="99"/>
    </row>
    <row r="826" spans="1:30" ht="28.5" customHeight="1" x14ac:dyDescent="0.15">
      <c r="A826" s="99"/>
      <c r="B826" s="99"/>
      <c r="C826" s="99"/>
      <c r="D826" s="99"/>
      <c r="E826" s="99"/>
      <c r="F826" s="99"/>
      <c r="G826" s="99"/>
      <c r="H826" s="99"/>
      <c r="I826" s="99"/>
      <c r="J826" s="99"/>
      <c r="K826" s="99"/>
      <c r="L826" s="99"/>
      <c r="M826" s="99"/>
      <c r="N826" s="99"/>
      <c r="O826" s="99"/>
      <c r="P826" s="99"/>
      <c r="Q826" s="99"/>
      <c r="R826" s="99"/>
      <c r="S826" s="99"/>
      <c r="T826" s="99"/>
      <c r="U826" s="99"/>
      <c r="V826" s="99"/>
      <c r="W826" s="99"/>
      <c r="X826" s="99"/>
      <c r="Y826" s="99"/>
      <c r="Z826" s="99"/>
      <c r="AA826" s="99"/>
      <c r="AB826" s="99"/>
      <c r="AC826" s="99"/>
      <c r="AD826" s="99"/>
    </row>
    <row r="827" spans="1:30" ht="28.5" customHeight="1" x14ac:dyDescent="0.15">
      <c r="A827" s="99"/>
      <c r="B827" s="99"/>
      <c r="C827" s="99"/>
      <c r="D827" s="99"/>
      <c r="E827" s="99"/>
      <c r="F827" s="99"/>
      <c r="G827" s="99"/>
      <c r="H827" s="99"/>
      <c r="I827" s="99"/>
      <c r="J827" s="99"/>
      <c r="K827" s="99"/>
      <c r="L827" s="99"/>
      <c r="M827" s="99"/>
      <c r="N827" s="99"/>
      <c r="O827" s="99"/>
      <c r="P827" s="99"/>
      <c r="Q827" s="99"/>
      <c r="R827" s="99"/>
      <c r="S827" s="99"/>
      <c r="T827" s="99"/>
      <c r="U827" s="99"/>
      <c r="V827" s="99"/>
      <c r="W827" s="99"/>
      <c r="X827" s="99"/>
      <c r="Y827" s="99"/>
      <c r="Z827" s="99"/>
      <c r="AA827" s="99"/>
      <c r="AB827" s="99"/>
      <c r="AC827" s="99"/>
      <c r="AD827" s="99"/>
    </row>
    <row r="828" spans="1:30" ht="28.5" customHeight="1" x14ac:dyDescent="0.15">
      <c r="A828" s="99"/>
      <c r="B828" s="99"/>
      <c r="C828" s="99"/>
      <c r="D828" s="99"/>
      <c r="E828" s="99"/>
      <c r="F828" s="99"/>
      <c r="G828" s="99"/>
      <c r="H828" s="99"/>
      <c r="I828" s="99"/>
      <c r="J828" s="99"/>
      <c r="K828" s="99"/>
      <c r="L828" s="99"/>
      <c r="M828" s="99"/>
      <c r="N828" s="99"/>
      <c r="O828" s="99"/>
      <c r="P828" s="99"/>
      <c r="Q828" s="99"/>
      <c r="R828" s="99"/>
      <c r="S828" s="99"/>
      <c r="T828" s="99"/>
      <c r="U828" s="99"/>
      <c r="V828" s="99"/>
      <c r="W828" s="99"/>
      <c r="X828" s="99"/>
      <c r="Y828" s="99"/>
      <c r="Z828" s="99"/>
      <c r="AA828" s="99"/>
      <c r="AB828" s="99"/>
      <c r="AC828" s="99"/>
      <c r="AD828" s="99"/>
    </row>
    <row r="829" spans="1:30" ht="28.5" customHeight="1" x14ac:dyDescent="0.15">
      <c r="A829" s="99"/>
      <c r="B829" s="99"/>
      <c r="C829" s="99"/>
      <c r="D829" s="99"/>
      <c r="E829" s="99"/>
      <c r="F829" s="99"/>
      <c r="G829" s="99"/>
      <c r="H829" s="99"/>
      <c r="I829" s="99"/>
      <c r="J829" s="99"/>
      <c r="K829" s="99"/>
      <c r="L829" s="99"/>
      <c r="M829" s="99"/>
      <c r="N829" s="99"/>
      <c r="O829" s="99"/>
      <c r="P829" s="99"/>
      <c r="Q829" s="99"/>
      <c r="R829" s="99"/>
      <c r="S829" s="99"/>
      <c r="T829" s="99"/>
      <c r="U829" s="99"/>
      <c r="V829" s="99"/>
      <c r="W829" s="99"/>
      <c r="X829" s="99"/>
      <c r="Y829" s="99"/>
      <c r="Z829" s="99"/>
      <c r="AA829" s="99"/>
      <c r="AB829" s="99"/>
      <c r="AC829" s="99"/>
      <c r="AD829" s="99"/>
    </row>
    <row r="830" spans="1:30" ht="28.5" customHeight="1" x14ac:dyDescent="0.15">
      <c r="A830" s="99"/>
      <c r="B830" s="99"/>
      <c r="C830" s="99"/>
      <c r="D830" s="99"/>
      <c r="E830" s="99"/>
      <c r="F830" s="99"/>
      <c r="G830" s="99"/>
      <c r="H830" s="99"/>
      <c r="I830" s="99"/>
      <c r="J830" s="99"/>
      <c r="K830" s="99"/>
      <c r="L830" s="99"/>
      <c r="M830" s="99"/>
      <c r="N830" s="99"/>
      <c r="O830" s="99"/>
      <c r="P830" s="99"/>
      <c r="Q830" s="99"/>
      <c r="R830" s="99"/>
      <c r="S830" s="99"/>
      <c r="T830" s="99"/>
      <c r="U830" s="99"/>
      <c r="V830" s="99"/>
      <c r="W830" s="99"/>
      <c r="X830" s="99"/>
      <c r="Y830" s="99"/>
      <c r="Z830" s="99"/>
      <c r="AA830" s="99"/>
      <c r="AB830" s="99"/>
      <c r="AC830" s="99"/>
      <c r="AD830" s="99"/>
    </row>
    <row r="831" spans="1:30" ht="28.5" customHeight="1" x14ac:dyDescent="0.15">
      <c r="A831" s="99"/>
      <c r="B831" s="99"/>
      <c r="C831" s="99"/>
      <c r="D831" s="99"/>
      <c r="E831" s="99"/>
      <c r="F831" s="99"/>
      <c r="G831" s="99"/>
      <c r="H831" s="99"/>
      <c r="I831" s="99"/>
      <c r="J831" s="99"/>
      <c r="K831" s="99"/>
      <c r="L831" s="99"/>
      <c r="M831" s="99"/>
      <c r="N831" s="99"/>
      <c r="O831" s="99"/>
      <c r="P831" s="99"/>
      <c r="Q831" s="99"/>
      <c r="R831" s="99"/>
      <c r="S831" s="99"/>
      <c r="T831" s="99"/>
      <c r="U831" s="99"/>
      <c r="V831" s="99"/>
      <c r="W831" s="99"/>
      <c r="X831" s="99"/>
      <c r="Y831" s="99"/>
      <c r="Z831" s="99"/>
      <c r="AA831" s="99"/>
      <c r="AB831" s="99"/>
      <c r="AC831" s="99"/>
      <c r="AD831" s="99"/>
    </row>
    <row r="832" spans="1:30" ht="28.5" customHeight="1" x14ac:dyDescent="0.15">
      <c r="A832" s="99"/>
      <c r="B832" s="99"/>
      <c r="C832" s="99"/>
      <c r="D832" s="99"/>
      <c r="E832" s="99"/>
      <c r="F832" s="99"/>
      <c r="G832" s="99"/>
      <c r="H832" s="99"/>
      <c r="I832" s="99"/>
      <c r="J832" s="99"/>
      <c r="K832" s="99"/>
      <c r="L832" s="99"/>
      <c r="M832" s="99"/>
      <c r="N832" s="99"/>
      <c r="O832" s="99"/>
      <c r="P832" s="99"/>
      <c r="Q832" s="99"/>
      <c r="R832" s="99"/>
      <c r="S832" s="99"/>
      <c r="T832" s="99"/>
      <c r="U832" s="99"/>
      <c r="V832" s="99"/>
      <c r="W832" s="99"/>
      <c r="X832" s="99"/>
      <c r="Y832" s="99"/>
      <c r="Z832" s="99"/>
      <c r="AA832" s="99"/>
      <c r="AB832" s="99"/>
      <c r="AC832" s="99"/>
      <c r="AD832" s="99"/>
    </row>
    <row r="833" spans="1:30" ht="28.5" customHeight="1" x14ac:dyDescent="0.15">
      <c r="A833" s="99"/>
      <c r="B833" s="99"/>
      <c r="C833" s="99"/>
      <c r="D833" s="99"/>
      <c r="E833" s="99"/>
      <c r="F833" s="99"/>
      <c r="G833" s="99"/>
      <c r="H833" s="99"/>
      <c r="I833" s="99"/>
      <c r="J833" s="99"/>
      <c r="K833" s="99"/>
      <c r="L833" s="99"/>
      <c r="M833" s="99"/>
      <c r="N833" s="99"/>
      <c r="O833" s="99"/>
      <c r="P833" s="99"/>
      <c r="Q833" s="99"/>
      <c r="R833" s="99"/>
      <c r="S833" s="99"/>
      <c r="T833" s="99"/>
      <c r="U833" s="99"/>
      <c r="V833" s="99"/>
      <c r="W833" s="99"/>
      <c r="X833" s="99"/>
      <c r="Y833" s="99"/>
      <c r="Z833" s="99"/>
      <c r="AA833" s="99"/>
      <c r="AB833" s="99"/>
      <c r="AC833" s="99"/>
      <c r="AD833" s="99"/>
    </row>
    <row r="834" spans="1:30" ht="28.5" customHeight="1" x14ac:dyDescent="0.15">
      <c r="A834" s="99"/>
      <c r="B834" s="99"/>
      <c r="C834" s="99"/>
      <c r="D834" s="99"/>
      <c r="E834" s="99"/>
      <c r="F834" s="99"/>
      <c r="G834" s="99"/>
      <c r="H834" s="99"/>
      <c r="I834" s="99"/>
      <c r="J834" s="99"/>
      <c r="K834" s="99"/>
      <c r="L834" s="99"/>
      <c r="M834" s="99"/>
      <c r="N834" s="99"/>
      <c r="O834" s="99"/>
      <c r="P834" s="99"/>
      <c r="Q834" s="99"/>
      <c r="R834" s="99"/>
      <c r="S834" s="99"/>
      <c r="T834" s="99"/>
      <c r="U834" s="99"/>
      <c r="V834" s="99"/>
      <c r="W834" s="99"/>
      <c r="X834" s="99"/>
      <c r="Y834" s="99"/>
      <c r="Z834" s="99"/>
      <c r="AA834" s="99"/>
      <c r="AB834" s="99"/>
      <c r="AC834" s="99"/>
      <c r="AD834" s="99"/>
    </row>
    <row r="835" spans="1:30" ht="28.5" customHeight="1" x14ac:dyDescent="0.15">
      <c r="A835" s="99"/>
      <c r="B835" s="99"/>
      <c r="C835" s="99"/>
      <c r="D835" s="99"/>
      <c r="E835" s="99"/>
      <c r="F835" s="99"/>
      <c r="G835" s="99"/>
      <c r="H835" s="99"/>
      <c r="I835" s="99"/>
      <c r="J835" s="99"/>
      <c r="K835" s="99"/>
      <c r="L835" s="99"/>
      <c r="M835" s="99"/>
      <c r="N835" s="99"/>
      <c r="O835" s="99"/>
      <c r="P835" s="99"/>
      <c r="Q835" s="99"/>
      <c r="R835" s="99"/>
      <c r="S835" s="99"/>
      <c r="T835" s="99"/>
      <c r="U835" s="99"/>
      <c r="V835" s="99"/>
      <c r="W835" s="99"/>
      <c r="X835" s="99"/>
      <c r="Y835" s="99"/>
      <c r="Z835" s="99"/>
      <c r="AA835" s="99"/>
      <c r="AB835" s="99"/>
      <c r="AC835" s="99"/>
      <c r="AD835" s="99"/>
    </row>
    <row r="836" spans="1:30" ht="28.5" customHeight="1" x14ac:dyDescent="0.15">
      <c r="A836" s="99"/>
      <c r="B836" s="99"/>
      <c r="C836" s="99"/>
      <c r="D836" s="99"/>
      <c r="E836" s="99"/>
      <c r="F836" s="99"/>
      <c r="G836" s="99"/>
      <c r="H836" s="99"/>
      <c r="I836" s="99"/>
      <c r="J836" s="99"/>
      <c r="K836" s="99"/>
      <c r="L836" s="99"/>
      <c r="M836" s="99"/>
      <c r="N836" s="99"/>
      <c r="O836" s="99"/>
      <c r="P836" s="99"/>
      <c r="Q836" s="99"/>
      <c r="R836" s="99"/>
      <c r="S836" s="99"/>
      <c r="T836" s="99"/>
      <c r="U836" s="99"/>
      <c r="V836" s="99"/>
      <c r="W836" s="99"/>
      <c r="X836" s="99"/>
      <c r="Y836" s="99"/>
      <c r="Z836" s="99"/>
      <c r="AA836" s="99"/>
      <c r="AB836" s="99"/>
      <c r="AC836" s="99"/>
      <c r="AD836" s="99"/>
    </row>
    <row r="837" spans="1:30" ht="28.5" customHeight="1" x14ac:dyDescent="0.15">
      <c r="A837" s="99"/>
      <c r="B837" s="99"/>
      <c r="C837" s="99"/>
      <c r="D837" s="99"/>
      <c r="E837" s="99"/>
      <c r="F837" s="99"/>
      <c r="G837" s="99"/>
      <c r="H837" s="99"/>
      <c r="I837" s="99"/>
      <c r="J837" s="99"/>
      <c r="K837" s="99"/>
      <c r="L837" s="99"/>
      <c r="M837" s="99"/>
      <c r="N837" s="99"/>
      <c r="O837" s="99"/>
      <c r="P837" s="99"/>
      <c r="Q837" s="99"/>
      <c r="R837" s="99"/>
      <c r="S837" s="99"/>
      <c r="T837" s="99"/>
      <c r="U837" s="99"/>
      <c r="V837" s="99"/>
      <c r="W837" s="99"/>
      <c r="X837" s="99"/>
      <c r="Y837" s="99"/>
      <c r="Z837" s="99"/>
      <c r="AA837" s="99"/>
      <c r="AB837" s="99"/>
      <c r="AC837" s="99"/>
      <c r="AD837" s="99"/>
    </row>
    <row r="838" spans="1:30" ht="28.5" customHeight="1" x14ac:dyDescent="0.15">
      <c r="A838" s="99"/>
      <c r="B838" s="99"/>
      <c r="C838" s="99"/>
      <c r="D838" s="99"/>
      <c r="E838" s="99"/>
      <c r="F838" s="99"/>
      <c r="G838" s="99"/>
      <c r="H838" s="99"/>
      <c r="I838" s="99"/>
      <c r="J838" s="99"/>
      <c r="K838" s="99"/>
      <c r="L838" s="99"/>
      <c r="M838" s="99"/>
      <c r="N838" s="99"/>
      <c r="O838" s="99"/>
      <c r="P838" s="99"/>
      <c r="Q838" s="99"/>
      <c r="R838" s="99"/>
      <c r="S838" s="99"/>
      <c r="T838" s="99"/>
      <c r="U838" s="99"/>
      <c r="V838" s="99"/>
      <c r="W838" s="99"/>
      <c r="X838" s="99"/>
      <c r="Y838" s="99"/>
      <c r="Z838" s="99"/>
      <c r="AA838" s="99"/>
      <c r="AB838" s="99"/>
      <c r="AC838" s="99"/>
      <c r="AD838" s="99"/>
    </row>
    <row r="839" spans="1:30" ht="28.5" customHeight="1" x14ac:dyDescent="0.15">
      <c r="A839" s="99"/>
      <c r="B839" s="99"/>
      <c r="C839" s="99"/>
      <c r="D839" s="99"/>
      <c r="E839" s="99"/>
      <c r="F839" s="99"/>
      <c r="G839" s="99"/>
      <c r="H839" s="99"/>
      <c r="I839" s="99"/>
      <c r="J839" s="99"/>
      <c r="K839" s="99"/>
      <c r="L839" s="99"/>
      <c r="M839" s="99"/>
      <c r="N839" s="99"/>
      <c r="O839" s="99"/>
      <c r="P839" s="99"/>
      <c r="Q839" s="99"/>
      <c r="R839" s="99"/>
      <c r="S839" s="99"/>
      <c r="T839" s="99"/>
      <c r="U839" s="99"/>
      <c r="V839" s="99"/>
      <c r="W839" s="99"/>
      <c r="X839" s="99"/>
      <c r="Y839" s="99"/>
      <c r="Z839" s="99"/>
      <c r="AA839" s="99"/>
      <c r="AB839" s="99"/>
      <c r="AC839" s="99"/>
      <c r="AD839" s="99"/>
    </row>
    <row r="840" spans="1:30" ht="28.5" customHeight="1" x14ac:dyDescent="0.15">
      <c r="A840" s="99"/>
      <c r="B840" s="99"/>
      <c r="C840" s="99"/>
      <c r="D840" s="99"/>
      <c r="E840" s="99"/>
      <c r="F840" s="99"/>
      <c r="G840" s="99"/>
      <c r="H840" s="99"/>
      <c r="I840" s="99"/>
      <c r="J840" s="99"/>
      <c r="K840" s="99"/>
      <c r="L840" s="99"/>
      <c r="M840" s="99"/>
      <c r="N840" s="99"/>
      <c r="O840" s="99"/>
      <c r="P840" s="99"/>
      <c r="Q840" s="99"/>
      <c r="R840" s="99"/>
      <c r="S840" s="99"/>
      <c r="T840" s="99"/>
      <c r="U840" s="99"/>
      <c r="V840" s="99"/>
      <c r="W840" s="99"/>
      <c r="X840" s="99"/>
      <c r="Y840" s="99"/>
      <c r="Z840" s="99"/>
      <c r="AA840" s="99"/>
      <c r="AB840" s="99"/>
      <c r="AC840" s="99"/>
      <c r="AD840" s="99"/>
    </row>
    <row r="841" spans="1:30" ht="28.5" customHeight="1" x14ac:dyDescent="0.15">
      <c r="A841" s="99"/>
      <c r="B841" s="99"/>
      <c r="C841" s="99"/>
      <c r="D841" s="99"/>
      <c r="E841" s="99"/>
      <c r="F841" s="99"/>
      <c r="G841" s="99"/>
      <c r="H841" s="99"/>
      <c r="I841" s="99"/>
      <c r="J841" s="99"/>
      <c r="K841" s="99"/>
      <c r="L841" s="99"/>
      <c r="M841" s="99"/>
      <c r="N841" s="99"/>
      <c r="O841" s="99"/>
      <c r="P841" s="99"/>
      <c r="Q841" s="99"/>
      <c r="R841" s="99"/>
      <c r="S841" s="99"/>
      <c r="T841" s="99"/>
      <c r="U841" s="99"/>
      <c r="V841" s="99"/>
      <c r="W841" s="99"/>
      <c r="X841" s="99"/>
      <c r="Y841" s="99"/>
      <c r="Z841" s="99"/>
      <c r="AA841" s="99"/>
      <c r="AB841" s="99"/>
      <c r="AC841" s="99"/>
      <c r="AD841" s="99"/>
    </row>
    <row r="842" spans="1:30" ht="28.5" customHeight="1" x14ac:dyDescent="0.15">
      <c r="A842" s="99"/>
      <c r="B842" s="99"/>
      <c r="C842" s="99"/>
      <c r="D842" s="99"/>
      <c r="E842" s="99"/>
      <c r="F842" s="99"/>
      <c r="G842" s="99"/>
      <c r="H842" s="99"/>
      <c r="I842" s="99"/>
      <c r="J842" s="99"/>
      <c r="K842" s="99"/>
      <c r="L842" s="99"/>
      <c r="M842" s="99"/>
      <c r="N842" s="99"/>
      <c r="O842" s="99"/>
      <c r="P842" s="99"/>
      <c r="Q842" s="99"/>
      <c r="R842" s="99"/>
      <c r="S842" s="99"/>
      <c r="T842" s="99"/>
      <c r="U842" s="99"/>
      <c r="V842" s="99"/>
      <c r="W842" s="99"/>
      <c r="X842" s="99"/>
      <c r="Y842" s="99"/>
      <c r="Z842" s="99"/>
      <c r="AA842" s="99"/>
      <c r="AB842" s="99"/>
      <c r="AC842" s="99"/>
      <c r="AD842" s="99"/>
    </row>
    <row r="843" spans="1:30" ht="28.5" customHeight="1" x14ac:dyDescent="0.15">
      <c r="A843" s="99"/>
      <c r="B843" s="99"/>
      <c r="C843" s="99"/>
      <c r="D843" s="99"/>
      <c r="E843" s="99"/>
      <c r="F843" s="99"/>
      <c r="G843" s="99"/>
      <c r="H843" s="99"/>
      <c r="I843" s="99"/>
      <c r="J843" s="99"/>
      <c r="K843" s="99"/>
      <c r="L843" s="99"/>
      <c r="M843" s="99"/>
      <c r="N843" s="99"/>
      <c r="O843" s="99"/>
      <c r="P843" s="99"/>
      <c r="Q843" s="99"/>
      <c r="R843" s="99"/>
      <c r="S843" s="99"/>
      <c r="T843" s="99"/>
      <c r="U843" s="99"/>
      <c r="V843" s="99"/>
      <c r="W843" s="99"/>
      <c r="X843" s="99"/>
      <c r="Y843" s="99"/>
      <c r="Z843" s="99"/>
      <c r="AA843" s="99"/>
      <c r="AB843" s="99"/>
      <c r="AC843" s="99"/>
      <c r="AD843" s="99"/>
    </row>
    <row r="844" spans="1:30" ht="28.5" customHeight="1" x14ac:dyDescent="0.15">
      <c r="A844" s="99"/>
      <c r="B844" s="99"/>
      <c r="C844" s="99"/>
      <c r="D844" s="99"/>
      <c r="E844" s="99"/>
      <c r="F844" s="99"/>
      <c r="G844" s="99"/>
      <c r="H844" s="99"/>
      <c r="I844" s="99"/>
      <c r="J844" s="99"/>
      <c r="K844" s="99"/>
      <c r="L844" s="99"/>
      <c r="M844" s="99"/>
      <c r="N844" s="99"/>
      <c r="O844" s="99"/>
      <c r="P844" s="99"/>
      <c r="Q844" s="99"/>
      <c r="R844" s="99"/>
      <c r="S844" s="99"/>
      <c r="T844" s="99"/>
      <c r="U844" s="99"/>
      <c r="V844" s="99"/>
      <c r="W844" s="99"/>
      <c r="X844" s="99"/>
      <c r="Y844" s="99"/>
      <c r="Z844" s="99"/>
      <c r="AA844" s="99"/>
      <c r="AB844" s="99"/>
      <c r="AC844" s="99"/>
      <c r="AD844" s="99"/>
    </row>
    <row r="845" spans="1:30" ht="28.5" customHeight="1" x14ac:dyDescent="0.15">
      <c r="A845" s="99"/>
      <c r="B845" s="99"/>
      <c r="C845" s="99"/>
      <c r="D845" s="99"/>
      <c r="E845" s="99"/>
      <c r="F845" s="99"/>
      <c r="G845" s="99"/>
      <c r="H845" s="99"/>
      <c r="I845" s="99"/>
      <c r="J845" s="99"/>
      <c r="K845" s="99"/>
      <c r="L845" s="99"/>
      <c r="M845" s="99"/>
      <c r="N845" s="99"/>
      <c r="O845" s="99"/>
      <c r="P845" s="99"/>
      <c r="Q845" s="99"/>
      <c r="R845" s="99"/>
      <c r="S845" s="99"/>
      <c r="T845" s="99"/>
      <c r="U845" s="99"/>
      <c r="V845" s="99"/>
      <c r="W845" s="99"/>
      <c r="X845" s="99"/>
      <c r="Y845" s="99"/>
      <c r="Z845" s="99"/>
      <c r="AA845" s="99"/>
      <c r="AB845" s="99"/>
      <c r="AC845" s="99"/>
      <c r="AD845" s="99"/>
    </row>
    <row r="846" spans="1:30" ht="28.5" customHeight="1" x14ac:dyDescent="0.15">
      <c r="A846" s="99"/>
      <c r="B846" s="99"/>
      <c r="C846" s="99"/>
      <c r="D846" s="99"/>
      <c r="E846" s="99"/>
      <c r="F846" s="99"/>
      <c r="G846" s="99"/>
      <c r="H846" s="99"/>
      <c r="I846" s="99"/>
      <c r="J846" s="99"/>
      <c r="K846" s="99"/>
      <c r="L846" s="99"/>
      <c r="M846" s="99"/>
      <c r="N846" s="99"/>
      <c r="O846" s="99"/>
      <c r="P846" s="99"/>
      <c r="Q846" s="99"/>
      <c r="R846" s="99"/>
      <c r="S846" s="99"/>
      <c r="T846" s="99"/>
      <c r="U846" s="99"/>
      <c r="V846" s="99"/>
      <c r="W846" s="99"/>
      <c r="X846" s="99"/>
      <c r="Y846" s="99"/>
      <c r="Z846" s="99"/>
      <c r="AA846" s="99"/>
      <c r="AB846" s="99"/>
      <c r="AC846" s="99"/>
      <c r="AD846" s="99"/>
    </row>
    <row r="847" spans="1:30" ht="28.5" customHeight="1" x14ac:dyDescent="0.15">
      <c r="A847" s="99"/>
      <c r="B847" s="99"/>
      <c r="C847" s="99"/>
      <c r="D847" s="99"/>
      <c r="E847" s="99"/>
      <c r="F847" s="99"/>
      <c r="G847" s="99"/>
      <c r="H847" s="99"/>
      <c r="I847" s="99"/>
      <c r="J847" s="99"/>
      <c r="K847" s="99"/>
      <c r="L847" s="99"/>
      <c r="M847" s="99"/>
      <c r="N847" s="99"/>
      <c r="O847" s="99"/>
      <c r="P847" s="99"/>
      <c r="Q847" s="99"/>
      <c r="R847" s="99"/>
      <c r="S847" s="99"/>
      <c r="T847" s="99"/>
      <c r="U847" s="99"/>
      <c r="V847" s="99"/>
      <c r="W847" s="99"/>
      <c r="X847" s="99"/>
      <c r="Y847" s="99"/>
      <c r="Z847" s="99"/>
      <c r="AA847" s="99"/>
      <c r="AB847" s="99"/>
      <c r="AC847" s="99"/>
      <c r="AD847" s="99"/>
    </row>
    <row r="848" spans="1:30" ht="28.5" customHeight="1" x14ac:dyDescent="0.15">
      <c r="A848" s="99"/>
      <c r="B848" s="99"/>
      <c r="C848" s="99"/>
      <c r="D848" s="99"/>
      <c r="E848" s="99"/>
      <c r="F848" s="99"/>
      <c r="G848" s="99"/>
      <c r="H848" s="99"/>
      <c r="I848" s="99"/>
      <c r="J848" s="99"/>
      <c r="K848" s="99"/>
      <c r="L848" s="99"/>
      <c r="M848" s="99"/>
      <c r="N848" s="99"/>
      <c r="O848" s="99"/>
      <c r="P848" s="99"/>
      <c r="Q848" s="99"/>
      <c r="R848" s="99"/>
      <c r="S848" s="99"/>
      <c r="T848" s="99"/>
      <c r="U848" s="99"/>
      <c r="V848" s="99"/>
      <c r="W848" s="99"/>
      <c r="X848" s="99"/>
      <c r="Y848" s="99"/>
      <c r="Z848" s="99"/>
      <c r="AA848" s="99"/>
      <c r="AB848" s="99"/>
      <c r="AC848" s="99"/>
      <c r="AD848" s="99"/>
    </row>
    <row r="849" spans="1:30" ht="28.5" customHeight="1" x14ac:dyDescent="0.15">
      <c r="A849" s="99"/>
      <c r="B849" s="99"/>
      <c r="C849" s="99"/>
      <c r="D849" s="99"/>
      <c r="E849" s="99"/>
      <c r="F849" s="99"/>
      <c r="G849" s="99"/>
      <c r="H849" s="99"/>
      <c r="I849" s="99"/>
      <c r="J849" s="99"/>
      <c r="K849" s="99"/>
      <c r="L849" s="99"/>
      <c r="M849" s="99"/>
      <c r="N849" s="99"/>
      <c r="O849" s="99"/>
      <c r="P849" s="99"/>
      <c r="Q849" s="99"/>
      <c r="R849" s="99"/>
      <c r="S849" s="99"/>
      <c r="T849" s="99"/>
      <c r="U849" s="99"/>
      <c r="V849" s="99"/>
      <c r="W849" s="99"/>
      <c r="X849" s="99"/>
      <c r="Y849" s="99"/>
      <c r="Z849" s="99"/>
      <c r="AA849" s="99"/>
      <c r="AB849" s="99"/>
      <c r="AC849" s="99"/>
      <c r="AD849" s="99"/>
    </row>
    <row r="850" spans="1:30" ht="28.5" customHeight="1" x14ac:dyDescent="0.15">
      <c r="A850" s="99"/>
      <c r="B850" s="99"/>
      <c r="C850" s="99"/>
      <c r="D850" s="99"/>
      <c r="E850" s="99"/>
      <c r="F850" s="99"/>
      <c r="G850" s="99"/>
      <c r="H850" s="99"/>
      <c r="I850" s="99"/>
      <c r="J850" s="99"/>
      <c r="K850" s="99"/>
      <c r="L850" s="99"/>
      <c r="M850" s="99"/>
      <c r="N850" s="99"/>
      <c r="O850" s="99"/>
      <c r="P850" s="99"/>
      <c r="Q850" s="99"/>
      <c r="R850" s="99"/>
      <c r="S850" s="99"/>
      <c r="T850" s="99"/>
      <c r="U850" s="99"/>
      <c r="V850" s="99"/>
      <c r="W850" s="99"/>
      <c r="X850" s="99"/>
      <c r="Y850" s="99"/>
      <c r="Z850" s="99"/>
      <c r="AA850" s="99"/>
      <c r="AB850" s="99"/>
      <c r="AC850" s="99"/>
      <c r="AD850" s="99"/>
    </row>
    <row r="851" spans="1:30" ht="28.5" customHeight="1" x14ac:dyDescent="0.15">
      <c r="A851" s="99"/>
      <c r="B851" s="99"/>
      <c r="C851" s="99"/>
      <c r="D851" s="99"/>
      <c r="E851" s="99"/>
      <c r="F851" s="99"/>
      <c r="G851" s="99"/>
      <c r="H851" s="99"/>
      <c r="I851" s="99"/>
      <c r="J851" s="99"/>
      <c r="K851" s="99"/>
      <c r="L851" s="99"/>
      <c r="M851" s="99"/>
      <c r="N851" s="99"/>
      <c r="O851" s="99"/>
      <c r="P851" s="99"/>
      <c r="Q851" s="99"/>
      <c r="R851" s="99"/>
      <c r="S851" s="99"/>
      <c r="T851" s="99"/>
      <c r="U851" s="99"/>
      <c r="V851" s="99"/>
      <c r="W851" s="99"/>
      <c r="X851" s="99"/>
      <c r="Y851" s="99"/>
      <c r="Z851" s="99"/>
      <c r="AA851" s="99"/>
      <c r="AB851" s="99"/>
      <c r="AC851" s="99"/>
      <c r="AD851" s="99"/>
    </row>
    <row r="852" spans="1:30" ht="28.5" customHeight="1" x14ac:dyDescent="0.15">
      <c r="A852" s="99"/>
      <c r="B852" s="99"/>
      <c r="C852" s="99"/>
      <c r="D852" s="99"/>
      <c r="E852" s="99"/>
      <c r="F852" s="99"/>
      <c r="G852" s="99"/>
      <c r="H852" s="99"/>
      <c r="I852" s="99"/>
      <c r="J852" s="99"/>
      <c r="K852" s="99"/>
      <c r="L852" s="99"/>
      <c r="M852" s="99"/>
      <c r="N852" s="99"/>
      <c r="O852" s="99"/>
      <c r="P852" s="99"/>
      <c r="Q852" s="99"/>
      <c r="R852" s="99"/>
      <c r="S852" s="99"/>
      <c r="T852" s="99"/>
      <c r="U852" s="99"/>
      <c r="V852" s="99"/>
      <c r="W852" s="99"/>
      <c r="X852" s="99"/>
      <c r="Y852" s="99"/>
      <c r="Z852" s="99"/>
      <c r="AA852" s="99"/>
      <c r="AB852" s="99"/>
      <c r="AC852" s="99"/>
      <c r="AD852" s="99"/>
    </row>
    <row r="853" spans="1:30" ht="28.5" customHeight="1" x14ac:dyDescent="0.15">
      <c r="A853" s="99"/>
      <c r="B853" s="99"/>
      <c r="C853" s="99"/>
      <c r="D853" s="99"/>
      <c r="E853" s="99"/>
      <c r="F853" s="99"/>
      <c r="G853" s="99"/>
      <c r="H853" s="99"/>
      <c r="I853" s="99"/>
      <c r="J853" s="99"/>
      <c r="K853" s="99"/>
      <c r="L853" s="99"/>
      <c r="M853" s="99"/>
      <c r="N853" s="99"/>
      <c r="O853" s="99"/>
      <c r="P853" s="99"/>
      <c r="Q853" s="99"/>
      <c r="R853" s="99"/>
      <c r="S853" s="99"/>
      <c r="T853" s="99"/>
      <c r="U853" s="99"/>
      <c r="V853" s="99"/>
      <c r="W853" s="99"/>
      <c r="X853" s="99"/>
      <c r="Y853" s="99"/>
      <c r="Z853" s="99"/>
      <c r="AA853" s="99"/>
      <c r="AB853" s="99"/>
      <c r="AC853" s="99"/>
      <c r="AD853" s="99"/>
    </row>
    <row r="854" spans="1:30" ht="28.5" customHeight="1" x14ac:dyDescent="0.15">
      <c r="A854" s="99"/>
      <c r="B854" s="99"/>
      <c r="C854" s="99"/>
      <c r="D854" s="99"/>
      <c r="E854" s="99"/>
      <c r="F854" s="99"/>
      <c r="G854" s="99"/>
      <c r="H854" s="99"/>
      <c r="I854" s="99"/>
      <c r="J854" s="99"/>
      <c r="K854" s="99"/>
      <c r="L854" s="99"/>
      <c r="M854" s="99"/>
      <c r="N854" s="99"/>
      <c r="O854" s="99"/>
      <c r="P854" s="99"/>
      <c r="Q854" s="99"/>
      <c r="R854" s="99"/>
      <c r="S854" s="99"/>
      <c r="T854" s="99"/>
      <c r="U854" s="99"/>
      <c r="V854" s="99"/>
      <c r="W854" s="99"/>
      <c r="X854" s="99"/>
      <c r="Y854" s="99"/>
      <c r="Z854" s="99"/>
      <c r="AA854" s="99"/>
      <c r="AB854" s="99"/>
      <c r="AC854" s="99"/>
      <c r="AD854" s="99"/>
    </row>
    <row r="855" spans="1:30" ht="28.5" customHeight="1" x14ac:dyDescent="0.15">
      <c r="A855" s="99"/>
      <c r="B855" s="99"/>
      <c r="C855" s="99"/>
      <c r="D855" s="99"/>
      <c r="E855" s="99"/>
      <c r="F855" s="99"/>
      <c r="G855" s="99"/>
      <c r="H855" s="99"/>
      <c r="I855" s="99"/>
      <c r="J855" s="99"/>
      <c r="K855" s="99"/>
      <c r="L855" s="99"/>
      <c r="M855" s="99"/>
      <c r="N855" s="99"/>
      <c r="O855" s="99"/>
      <c r="P855" s="99"/>
      <c r="Q855" s="99"/>
      <c r="R855" s="99"/>
      <c r="S855" s="99"/>
      <c r="T855" s="99"/>
      <c r="U855" s="99"/>
      <c r="V855" s="99"/>
      <c r="W855" s="99"/>
      <c r="X855" s="99"/>
      <c r="Y855" s="99"/>
      <c r="Z855" s="99"/>
      <c r="AA855" s="99"/>
      <c r="AB855" s="99"/>
      <c r="AC855" s="99"/>
      <c r="AD855" s="99"/>
    </row>
    <row r="856" spans="1:30" ht="28.5" customHeight="1" x14ac:dyDescent="0.15">
      <c r="A856" s="99"/>
      <c r="B856" s="99"/>
      <c r="C856" s="99"/>
      <c r="D856" s="99"/>
      <c r="E856" s="99"/>
      <c r="F856" s="99"/>
      <c r="G856" s="99"/>
      <c r="H856" s="99"/>
      <c r="I856" s="99"/>
      <c r="J856" s="99"/>
      <c r="K856" s="99"/>
      <c r="L856" s="99"/>
      <c r="M856" s="99"/>
      <c r="N856" s="99"/>
      <c r="O856" s="99"/>
      <c r="P856" s="99"/>
      <c r="Q856" s="99"/>
      <c r="R856" s="99"/>
      <c r="S856" s="99"/>
      <c r="T856" s="99"/>
      <c r="U856" s="99"/>
      <c r="V856" s="99"/>
      <c r="W856" s="99"/>
      <c r="X856" s="99"/>
      <c r="Y856" s="99"/>
      <c r="Z856" s="99"/>
      <c r="AA856" s="99"/>
      <c r="AB856" s="99"/>
      <c r="AC856" s="99"/>
      <c r="AD856" s="99"/>
    </row>
    <row r="857" spans="1:30" ht="28.5" customHeight="1" x14ac:dyDescent="0.15">
      <c r="A857" s="99"/>
      <c r="B857" s="99"/>
      <c r="C857" s="99"/>
      <c r="D857" s="99"/>
      <c r="E857" s="99"/>
      <c r="F857" s="99"/>
      <c r="G857" s="99"/>
      <c r="H857" s="99"/>
      <c r="I857" s="99"/>
      <c r="J857" s="99"/>
      <c r="K857" s="99"/>
      <c r="L857" s="99"/>
      <c r="M857" s="99"/>
      <c r="N857" s="99"/>
      <c r="O857" s="99"/>
      <c r="P857" s="99"/>
      <c r="Q857" s="99"/>
      <c r="R857" s="99"/>
      <c r="S857" s="99"/>
      <c r="T857" s="99"/>
      <c r="U857" s="99"/>
      <c r="V857" s="99"/>
      <c r="W857" s="99"/>
      <c r="X857" s="99"/>
      <c r="Y857" s="99"/>
      <c r="Z857" s="99"/>
      <c r="AA857" s="99"/>
      <c r="AB857" s="99"/>
      <c r="AC857" s="99"/>
      <c r="AD857" s="99"/>
    </row>
    <row r="858" spans="1:30" ht="28.5" customHeight="1" x14ac:dyDescent="0.15">
      <c r="A858" s="99"/>
      <c r="B858" s="99"/>
      <c r="C858" s="99"/>
      <c r="D858" s="99"/>
      <c r="E858" s="99"/>
      <c r="F858" s="99"/>
      <c r="G858" s="99"/>
      <c r="H858" s="99"/>
      <c r="I858" s="99"/>
      <c r="J858" s="99"/>
      <c r="K858" s="99"/>
      <c r="L858" s="99"/>
      <c r="M858" s="99"/>
      <c r="N858" s="99"/>
      <c r="O858" s="99"/>
      <c r="P858" s="99"/>
      <c r="Q858" s="99"/>
      <c r="R858" s="99"/>
      <c r="S858" s="99"/>
      <c r="T858" s="99"/>
      <c r="U858" s="99"/>
      <c r="V858" s="99"/>
      <c r="W858" s="99"/>
      <c r="X858" s="99"/>
      <c r="Y858" s="99"/>
      <c r="Z858" s="99"/>
      <c r="AA858" s="99"/>
      <c r="AB858" s="99"/>
      <c r="AC858" s="99"/>
      <c r="AD858" s="99"/>
    </row>
    <row r="859" spans="1:30" ht="28.5" customHeight="1" x14ac:dyDescent="0.15">
      <c r="A859" s="99"/>
      <c r="B859" s="99"/>
      <c r="C859" s="99"/>
      <c r="D859" s="99"/>
      <c r="E859" s="99"/>
      <c r="F859" s="99"/>
      <c r="G859" s="99"/>
      <c r="H859" s="99"/>
      <c r="I859" s="99"/>
      <c r="J859" s="99"/>
      <c r="K859" s="99"/>
      <c r="L859" s="99"/>
      <c r="M859" s="99"/>
      <c r="N859" s="99"/>
      <c r="O859" s="99"/>
      <c r="P859" s="99"/>
      <c r="Q859" s="99"/>
      <c r="R859" s="99"/>
      <c r="S859" s="99"/>
      <c r="T859" s="99"/>
      <c r="U859" s="99"/>
      <c r="V859" s="99"/>
      <c r="W859" s="99"/>
      <c r="X859" s="99"/>
      <c r="Y859" s="99"/>
      <c r="Z859" s="99"/>
      <c r="AA859" s="99"/>
      <c r="AB859" s="99"/>
      <c r="AC859" s="99"/>
      <c r="AD859" s="99"/>
    </row>
    <row r="860" spans="1:30" ht="28.5" customHeight="1" x14ac:dyDescent="0.15">
      <c r="A860" s="99"/>
      <c r="B860" s="99"/>
      <c r="C860" s="99"/>
      <c r="D860" s="99"/>
      <c r="E860" s="99"/>
      <c r="F860" s="99"/>
      <c r="G860" s="99"/>
      <c r="H860" s="99"/>
      <c r="I860" s="99"/>
      <c r="J860" s="99"/>
      <c r="K860" s="99"/>
      <c r="L860" s="99"/>
      <c r="M860" s="99"/>
      <c r="N860" s="99"/>
      <c r="O860" s="99"/>
      <c r="P860" s="99"/>
      <c r="Q860" s="99"/>
      <c r="R860" s="99"/>
      <c r="S860" s="99"/>
      <c r="T860" s="99"/>
      <c r="U860" s="99"/>
      <c r="V860" s="99"/>
      <c r="W860" s="99"/>
      <c r="X860" s="99"/>
      <c r="Y860" s="99"/>
      <c r="Z860" s="99"/>
      <c r="AA860" s="99"/>
      <c r="AB860" s="99"/>
      <c r="AC860" s="99"/>
      <c r="AD860" s="99"/>
    </row>
    <row r="861" spans="1:30" ht="28.5" customHeight="1" x14ac:dyDescent="0.15">
      <c r="A861" s="99"/>
      <c r="B861" s="99"/>
      <c r="C861" s="99"/>
      <c r="D861" s="99"/>
      <c r="E861" s="99"/>
      <c r="F861" s="99"/>
      <c r="G861" s="99"/>
      <c r="H861" s="99"/>
      <c r="I861" s="99"/>
      <c r="J861" s="99"/>
      <c r="K861" s="99"/>
      <c r="L861" s="99"/>
      <c r="M861" s="99"/>
      <c r="N861" s="99"/>
      <c r="O861" s="99"/>
      <c r="P861" s="99"/>
      <c r="Q861" s="99"/>
      <c r="R861" s="99"/>
      <c r="S861" s="99"/>
      <c r="T861" s="99"/>
      <c r="U861" s="99"/>
      <c r="V861" s="99"/>
      <c r="W861" s="99"/>
      <c r="X861" s="99"/>
      <c r="Y861" s="99"/>
      <c r="Z861" s="99"/>
      <c r="AA861" s="99"/>
      <c r="AB861" s="99"/>
      <c r="AC861" s="99"/>
      <c r="AD861" s="99"/>
    </row>
    <row r="862" spans="1:30" ht="28.5" customHeight="1" x14ac:dyDescent="0.15">
      <c r="A862" s="99"/>
      <c r="B862" s="99"/>
      <c r="C862" s="99"/>
      <c r="D862" s="99"/>
      <c r="E862" s="99"/>
      <c r="F862" s="99"/>
      <c r="G862" s="99"/>
      <c r="H862" s="99"/>
      <c r="I862" s="99"/>
      <c r="J862" s="99"/>
      <c r="K862" s="99"/>
      <c r="L862" s="99"/>
      <c r="M862" s="99"/>
      <c r="N862" s="99"/>
      <c r="O862" s="99"/>
      <c r="P862" s="99"/>
      <c r="Q862" s="99"/>
      <c r="R862" s="99"/>
      <c r="S862" s="99"/>
      <c r="T862" s="99"/>
      <c r="U862" s="99"/>
      <c r="V862" s="99"/>
      <c r="W862" s="99"/>
      <c r="X862" s="99"/>
      <c r="Y862" s="99"/>
      <c r="Z862" s="99"/>
      <c r="AA862" s="99"/>
      <c r="AB862" s="99"/>
      <c r="AC862" s="99"/>
      <c r="AD862" s="99"/>
    </row>
    <row r="863" spans="1:30" ht="28.5" customHeight="1" x14ac:dyDescent="0.15">
      <c r="A863" s="99"/>
      <c r="B863" s="99"/>
      <c r="C863" s="99"/>
      <c r="D863" s="99"/>
      <c r="E863" s="99"/>
      <c r="F863" s="99"/>
      <c r="G863" s="99"/>
      <c r="H863" s="99"/>
      <c r="I863" s="99"/>
      <c r="J863" s="99"/>
      <c r="K863" s="99"/>
      <c r="L863" s="99"/>
      <c r="M863" s="99"/>
      <c r="N863" s="99"/>
      <c r="O863" s="99"/>
      <c r="P863" s="99"/>
      <c r="Q863" s="99"/>
      <c r="R863" s="99"/>
      <c r="S863" s="99"/>
      <c r="T863" s="99"/>
      <c r="U863" s="99"/>
      <c r="V863" s="99"/>
      <c r="W863" s="99"/>
      <c r="X863" s="99"/>
      <c r="Y863" s="99"/>
      <c r="Z863" s="99"/>
      <c r="AA863" s="99"/>
      <c r="AB863" s="99"/>
      <c r="AC863" s="99"/>
      <c r="AD863" s="99"/>
    </row>
    <row r="864" spans="1:30" ht="28.5" customHeight="1" x14ac:dyDescent="0.15">
      <c r="A864" s="99"/>
      <c r="B864" s="99"/>
      <c r="C864" s="99"/>
      <c r="D864" s="99"/>
      <c r="E864" s="99"/>
      <c r="F864" s="99"/>
      <c r="G864" s="99"/>
      <c r="H864" s="99"/>
      <c r="I864" s="99"/>
      <c r="J864" s="99"/>
      <c r="K864" s="99"/>
      <c r="L864" s="99"/>
      <c r="M864" s="99"/>
      <c r="N864" s="99"/>
      <c r="O864" s="99"/>
      <c r="P864" s="99"/>
      <c r="Q864" s="99"/>
      <c r="R864" s="99"/>
      <c r="S864" s="99"/>
      <c r="T864" s="99"/>
      <c r="U864" s="99"/>
      <c r="V864" s="99"/>
      <c r="W864" s="99"/>
      <c r="X864" s="99"/>
      <c r="Y864" s="99"/>
      <c r="Z864" s="99"/>
      <c r="AA864" s="99"/>
      <c r="AB864" s="99"/>
      <c r="AC864" s="99"/>
      <c r="AD864" s="99"/>
    </row>
    <row r="865" spans="1:30" ht="28.5" customHeight="1" x14ac:dyDescent="0.15">
      <c r="A865" s="99"/>
      <c r="B865" s="99"/>
      <c r="C865" s="99"/>
      <c r="D865" s="99"/>
      <c r="E865" s="99"/>
      <c r="F865" s="99"/>
      <c r="G865" s="99"/>
      <c r="H865" s="99"/>
      <c r="I865" s="99"/>
      <c r="J865" s="99"/>
      <c r="K865" s="99"/>
      <c r="L865" s="99"/>
      <c r="M865" s="99"/>
      <c r="N865" s="99"/>
      <c r="O865" s="99"/>
      <c r="P865" s="99"/>
      <c r="Q865" s="99"/>
      <c r="R865" s="99"/>
      <c r="S865" s="99"/>
      <c r="T865" s="99"/>
      <c r="U865" s="99"/>
      <c r="V865" s="99"/>
      <c r="W865" s="99"/>
      <c r="X865" s="99"/>
      <c r="Y865" s="99"/>
      <c r="Z865" s="99"/>
      <c r="AA865" s="99"/>
      <c r="AB865" s="99"/>
      <c r="AC865" s="99"/>
      <c r="AD865" s="99"/>
    </row>
    <row r="866" spans="1:30" ht="28.5" customHeight="1" x14ac:dyDescent="0.15">
      <c r="A866" s="99"/>
      <c r="B866" s="99"/>
      <c r="C866" s="99"/>
      <c r="D866" s="99"/>
      <c r="E866" s="99"/>
      <c r="F866" s="99"/>
      <c r="G866" s="99"/>
      <c r="H866" s="99"/>
      <c r="I866" s="99"/>
      <c r="J866" s="99"/>
      <c r="K866" s="99"/>
      <c r="L866" s="99"/>
      <c r="M866" s="99"/>
      <c r="N866" s="99"/>
      <c r="O866" s="99"/>
      <c r="P866" s="99"/>
      <c r="Q866" s="99"/>
      <c r="R866" s="99"/>
      <c r="S866" s="99"/>
      <c r="T866" s="99"/>
      <c r="U866" s="99"/>
      <c r="V866" s="99"/>
      <c r="W866" s="99"/>
      <c r="X866" s="99"/>
      <c r="Y866" s="99"/>
      <c r="Z866" s="99"/>
      <c r="AA866" s="99"/>
      <c r="AB866" s="99"/>
      <c r="AC866" s="99"/>
      <c r="AD866" s="99"/>
    </row>
    <row r="867" spans="1:30" ht="28.5" customHeight="1" x14ac:dyDescent="0.15">
      <c r="A867" s="99"/>
      <c r="B867" s="99"/>
      <c r="C867" s="99"/>
      <c r="D867" s="99"/>
      <c r="E867" s="99"/>
      <c r="F867" s="99"/>
      <c r="G867" s="99"/>
      <c r="H867" s="99"/>
      <c r="I867" s="99"/>
      <c r="J867" s="99"/>
      <c r="K867" s="99"/>
      <c r="L867" s="99"/>
      <c r="M867" s="99"/>
      <c r="N867" s="99"/>
      <c r="O867" s="99"/>
      <c r="P867" s="99"/>
      <c r="Q867" s="99"/>
      <c r="R867" s="99"/>
      <c r="S867" s="99"/>
      <c r="T867" s="99"/>
      <c r="U867" s="99"/>
      <c r="V867" s="99"/>
      <c r="W867" s="99"/>
      <c r="X867" s="99"/>
      <c r="Y867" s="99"/>
      <c r="Z867" s="99"/>
      <c r="AA867" s="99"/>
      <c r="AB867" s="99"/>
      <c r="AC867" s="99"/>
      <c r="AD867" s="99"/>
    </row>
    <row r="868" spans="1:30" ht="28.5" customHeight="1" x14ac:dyDescent="0.15">
      <c r="A868" s="99"/>
      <c r="B868" s="99"/>
      <c r="C868" s="99"/>
      <c r="D868" s="99"/>
      <c r="E868" s="99"/>
      <c r="F868" s="99"/>
      <c r="G868" s="99"/>
      <c r="H868" s="99"/>
      <c r="I868" s="99"/>
      <c r="J868" s="99"/>
      <c r="K868" s="99"/>
      <c r="L868" s="99"/>
      <c r="M868" s="99"/>
      <c r="N868" s="99"/>
      <c r="O868" s="99"/>
      <c r="P868" s="99"/>
      <c r="Q868" s="99"/>
      <c r="R868" s="99"/>
      <c r="S868" s="99"/>
      <c r="T868" s="99"/>
      <c r="U868" s="99"/>
      <c r="V868" s="99"/>
      <c r="W868" s="99"/>
      <c r="X868" s="99"/>
      <c r="Y868" s="99"/>
      <c r="Z868" s="99"/>
      <c r="AA868" s="99"/>
      <c r="AB868" s="99"/>
      <c r="AC868" s="99"/>
      <c r="AD868" s="99"/>
    </row>
    <row r="869" spans="1:30" ht="28.5" customHeight="1" x14ac:dyDescent="0.15">
      <c r="A869" s="99"/>
      <c r="B869" s="99"/>
      <c r="C869" s="99"/>
      <c r="D869" s="99"/>
      <c r="E869" s="99"/>
      <c r="F869" s="99"/>
      <c r="G869" s="99"/>
      <c r="H869" s="99"/>
      <c r="I869" s="99"/>
      <c r="J869" s="99"/>
      <c r="K869" s="99"/>
      <c r="L869" s="99"/>
      <c r="M869" s="99"/>
      <c r="N869" s="99"/>
      <c r="O869" s="99"/>
      <c r="P869" s="99"/>
      <c r="Q869" s="99"/>
      <c r="R869" s="99"/>
      <c r="S869" s="99"/>
      <c r="T869" s="99"/>
      <c r="U869" s="99"/>
      <c r="V869" s="99"/>
      <c r="W869" s="99"/>
      <c r="X869" s="99"/>
      <c r="Y869" s="99"/>
      <c r="Z869" s="99"/>
      <c r="AA869" s="99"/>
      <c r="AB869" s="99"/>
      <c r="AC869" s="99"/>
      <c r="AD869" s="99"/>
    </row>
    <row r="870" spans="1:30" ht="28.5" customHeight="1" x14ac:dyDescent="0.15">
      <c r="A870" s="99"/>
      <c r="B870" s="99"/>
      <c r="C870" s="99"/>
      <c r="D870" s="99"/>
      <c r="E870" s="99"/>
      <c r="F870" s="99"/>
      <c r="G870" s="99"/>
      <c r="H870" s="99"/>
      <c r="I870" s="99"/>
      <c r="J870" s="99"/>
      <c r="K870" s="99"/>
      <c r="L870" s="99"/>
      <c r="M870" s="99"/>
      <c r="N870" s="99"/>
      <c r="O870" s="99"/>
      <c r="P870" s="99"/>
      <c r="Q870" s="99"/>
      <c r="R870" s="99"/>
      <c r="S870" s="99"/>
      <c r="T870" s="99"/>
      <c r="U870" s="99"/>
      <c r="V870" s="99"/>
      <c r="W870" s="99"/>
      <c r="X870" s="99"/>
      <c r="Y870" s="99"/>
      <c r="Z870" s="99"/>
      <c r="AA870" s="99"/>
      <c r="AB870" s="99"/>
      <c r="AC870" s="99"/>
      <c r="AD870" s="99"/>
    </row>
    <row r="871" spans="1:30" ht="28.5" customHeight="1" x14ac:dyDescent="0.15">
      <c r="A871" s="99"/>
      <c r="B871" s="99"/>
      <c r="C871" s="99"/>
      <c r="D871" s="99"/>
      <c r="E871" s="99"/>
      <c r="F871" s="99"/>
      <c r="G871" s="99"/>
      <c r="H871" s="99"/>
      <c r="I871" s="99"/>
      <c r="J871" s="99"/>
      <c r="K871" s="99"/>
      <c r="L871" s="99"/>
      <c r="M871" s="99"/>
      <c r="N871" s="99"/>
      <c r="O871" s="99"/>
      <c r="P871" s="99"/>
      <c r="Q871" s="99"/>
      <c r="R871" s="99"/>
      <c r="S871" s="99"/>
      <c r="T871" s="99"/>
      <c r="U871" s="99"/>
      <c r="V871" s="99"/>
      <c r="W871" s="99"/>
      <c r="X871" s="99"/>
      <c r="Y871" s="99"/>
      <c r="Z871" s="99"/>
      <c r="AA871" s="99"/>
      <c r="AB871" s="99"/>
      <c r="AC871" s="99"/>
      <c r="AD871" s="99"/>
    </row>
    <row r="872" spans="1:30" ht="28.5" customHeight="1" x14ac:dyDescent="0.15">
      <c r="A872" s="99"/>
      <c r="B872" s="99"/>
      <c r="C872" s="99"/>
      <c r="D872" s="99"/>
      <c r="E872" s="99"/>
      <c r="F872" s="99"/>
      <c r="G872" s="99"/>
      <c r="H872" s="99"/>
      <c r="I872" s="99"/>
      <c r="J872" s="99"/>
      <c r="K872" s="99"/>
      <c r="L872" s="99"/>
      <c r="M872" s="99"/>
      <c r="N872" s="99"/>
      <c r="O872" s="99"/>
      <c r="P872" s="99"/>
      <c r="Q872" s="99"/>
      <c r="R872" s="99"/>
      <c r="S872" s="99"/>
      <c r="T872" s="99"/>
      <c r="U872" s="99"/>
      <c r="V872" s="99"/>
      <c r="W872" s="99"/>
      <c r="X872" s="99"/>
      <c r="Y872" s="99"/>
      <c r="Z872" s="99"/>
      <c r="AA872" s="99"/>
      <c r="AB872" s="99"/>
      <c r="AC872" s="99"/>
      <c r="AD872" s="99"/>
    </row>
    <row r="873" spans="1:30" ht="28.5" customHeight="1" x14ac:dyDescent="0.15">
      <c r="A873" s="99"/>
      <c r="B873" s="99"/>
      <c r="C873" s="99"/>
      <c r="D873" s="99"/>
      <c r="E873" s="99"/>
      <c r="F873" s="99"/>
      <c r="G873" s="99"/>
      <c r="H873" s="99"/>
      <c r="I873" s="99"/>
      <c r="J873" s="99"/>
      <c r="K873" s="99"/>
      <c r="L873" s="99"/>
      <c r="M873" s="99"/>
      <c r="N873" s="99"/>
      <c r="O873" s="99"/>
      <c r="P873" s="99"/>
      <c r="Q873" s="99"/>
      <c r="R873" s="99"/>
      <c r="S873" s="99"/>
      <c r="T873" s="99"/>
      <c r="U873" s="99"/>
      <c r="V873" s="99"/>
      <c r="W873" s="99"/>
      <c r="X873" s="99"/>
      <c r="Y873" s="99"/>
      <c r="Z873" s="99"/>
      <c r="AA873" s="99"/>
      <c r="AB873" s="99"/>
      <c r="AC873" s="99"/>
      <c r="AD873" s="99"/>
    </row>
    <row r="874" spans="1:30" ht="28.5" customHeight="1" x14ac:dyDescent="0.15">
      <c r="A874" s="99"/>
      <c r="B874" s="99"/>
      <c r="C874" s="99"/>
      <c r="D874" s="99"/>
      <c r="E874" s="99"/>
      <c r="F874" s="99"/>
      <c r="G874" s="99"/>
      <c r="H874" s="99"/>
      <c r="I874" s="99"/>
      <c r="J874" s="99"/>
      <c r="K874" s="99"/>
      <c r="L874" s="99"/>
      <c r="M874" s="99"/>
      <c r="N874" s="99"/>
      <c r="O874" s="99"/>
      <c r="P874" s="99"/>
      <c r="Q874" s="99"/>
      <c r="R874" s="99"/>
      <c r="S874" s="99"/>
      <c r="T874" s="99"/>
      <c r="U874" s="99"/>
      <c r="V874" s="99"/>
      <c r="W874" s="99"/>
      <c r="X874" s="99"/>
      <c r="Y874" s="99"/>
      <c r="Z874" s="99"/>
      <c r="AA874" s="99"/>
      <c r="AB874" s="99"/>
      <c r="AC874" s="99"/>
      <c r="AD874" s="99"/>
    </row>
    <row r="875" spans="1:30" ht="28.5" customHeight="1" x14ac:dyDescent="0.15">
      <c r="A875" s="99"/>
      <c r="B875" s="99"/>
      <c r="C875" s="99"/>
      <c r="D875" s="99"/>
      <c r="E875" s="99"/>
      <c r="F875" s="99"/>
      <c r="G875" s="99"/>
      <c r="H875" s="99"/>
      <c r="I875" s="99"/>
      <c r="J875" s="99"/>
      <c r="K875" s="99"/>
      <c r="L875" s="99"/>
      <c r="M875" s="99"/>
      <c r="N875" s="99"/>
      <c r="O875" s="99"/>
      <c r="P875" s="99"/>
      <c r="Q875" s="99"/>
      <c r="R875" s="99"/>
      <c r="S875" s="99"/>
      <c r="T875" s="99"/>
      <c r="U875" s="99"/>
      <c r="V875" s="99"/>
      <c r="W875" s="99"/>
      <c r="X875" s="99"/>
      <c r="Y875" s="99"/>
      <c r="Z875" s="99"/>
      <c r="AA875" s="99"/>
      <c r="AB875" s="99"/>
      <c r="AC875" s="99"/>
      <c r="AD875" s="99"/>
    </row>
    <row r="876" spans="1:30" ht="28.5" customHeight="1" x14ac:dyDescent="0.15">
      <c r="A876" s="99"/>
      <c r="B876" s="99"/>
      <c r="C876" s="99"/>
      <c r="D876" s="99"/>
      <c r="E876" s="99"/>
      <c r="F876" s="99"/>
      <c r="G876" s="99"/>
      <c r="H876" s="99"/>
      <c r="I876" s="99"/>
      <c r="J876" s="99"/>
      <c r="K876" s="99"/>
      <c r="L876" s="99"/>
      <c r="M876" s="99"/>
      <c r="N876" s="99"/>
      <c r="O876" s="99"/>
      <c r="P876" s="99"/>
      <c r="Q876" s="99"/>
      <c r="R876" s="99"/>
      <c r="S876" s="99"/>
      <c r="T876" s="99"/>
      <c r="U876" s="99"/>
      <c r="V876" s="99"/>
      <c r="W876" s="99"/>
      <c r="X876" s="99"/>
      <c r="Y876" s="99"/>
      <c r="Z876" s="99"/>
      <c r="AA876" s="99"/>
      <c r="AB876" s="99"/>
      <c r="AC876" s="99"/>
      <c r="AD876" s="99"/>
    </row>
    <row r="877" spans="1:30" ht="28.5" customHeight="1" x14ac:dyDescent="0.15">
      <c r="A877" s="99"/>
      <c r="B877" s="99"/>
      <c r="C877" s="99"/>
      <c r="D877" s="99"/>
      <c r="E877" s="99"/>
      <c r="F877" s="99"/>
      <c r="G877" s="99"/>
      <c r="H877" s="99"/>
      <c r="I877" s="99"/>
      <c r="J877" s="99"/>
      <c r="K877" s="99"/>
      <c r="L877" s="99"/>
      <c r="M877" s="99"/>
      <c r="N877" s="99"/>
      <c r="O877" s="99"/>
      <c r="P877" s="99"/>
      <c r="Q877" s="99"/>
      <c r="R877" s="99"/>
      <c r="S877" s="99"/>
      <c r="T877" s="99"/>
      <c r="U877" s="99"/>
      <c r="V877" s="99"/>
      <c r="W877" s="99"/>
      <c r="X877" s="99"/>
      <c r="Y877" s="99"/>
      <c r="Z877" s="99"/>
      <c r="AA877" s="99"/>
      <c r="AB877" s="99"/>
      <c r="AC877" s="99"/>
      <c r="AD877" s="99"/>
    </row>
    <row r="878" spans="1:30" ht="28.5" customHeight="1" x14ac:dyDescent="0.15">
      <c r="A878" s="99"/>
      <c r="B878" s="99"/>
      <c r="C878" s="99"/>
      <c r="D878" s="99"/>
      <c r="E878" s="99"/>
      <c r="F878" s="99"/>
      <c r="G878" s="99"/>
      <c r="H878" s="99"/>
      <c r="I878" s="99"/>
      <c r="J878" s="99"/>
      <c r="K878" s="99"/>
      <c r="L878" s="99"/>
      <c r="M878" s="99"/>
      <c r="N878" s="99"/>
      <c r="O878" s="99"/>
      <c r="P878" s="99"/>
      <c r="Q878" s="99"/>
      <c r="R878" s="99"/>
      <c r="S878" s="99"/>
      <c r="T878" s="99"/>
      <c r="U878" s="99"/>
      <c r="V878" s="99"/>
      <c r="W878" s="99"/>
      <c r="X878" s="99"/>
      <c r="Y878" s="99"/>
      <c r="Z878" s="99"/>
      <c r="AA878" s="99"/>
      <c r="AB878" s="99"/>
      <c r="AC878" s="99"/>
      <c r="AD878" s="99"/>
    </row>
    <row r="879" spans="1:30" ht="28.5" customHeight="1" x14ac:dyDescent="0.15">
      <c r="A879" s="99"/>
      <c r="B879" s="99"/>
      <c r="C879" s="99"/>
      <c r="D879" s="99"/>
      <c r="E879" s="99"/>
      <c r="F879" s="99"/>
      <c r="G879" s="99"/>
      <c r="H879" s="99"/>
      <c r="I879" s="99"/>
      <c r="J879" s="99"/>
      <c r="K879" s="99"/>
      <c r="L879" s="99"/>
      <c r="M879" s="99"/>
      <c r="N879" s="99"/>
      <c r="O879" s="99"/>
      <c r="P879" s="99"/>
      <c r="Q879" s="99"/>
      <c r="R879" s="99"/>
      <c r="S879" s="99"/>
      <c r="T879" s="99"/>
      <c r="U879" s="99"/>
      <c r="V879" s="99"/>
      <c r="W879" s="99"/>
      <c r="X879" s="99"/>
      <c r="Y879" s="99"/>
      <c r="Z879" s="99"/>
      <c r="AA879" s="99"/>
      <c r="AB879" s="99"/>
      <c r="AC879" s="99"/>
      <c r="AD879" s="99"/>
    </row>
    <row r="880" spans="1:30" ht="28.5" customHeight="1" x14ac:dyDescent="0.15">
      <c r="A880" s="99"/>
      <c r="B880" s="99"/>
      <c r="C880" s="99"/>
      <c r="D880" s="99"/>
      <c r="E880" s="99"/>
      <c r="F880" s="99"/>
      <c r="G880" s="99"/>
      <c r="H880" s="99"/>
      <c r="I880" s="99"/>
      <c r="J880" s="99"/>
      <c r="K880" s="99"/>
      <c r="L880" s="99"/>
      <c r="M880" s="99"/>
      <c r="N880" s="99"/>
      <c r="O880" s="99"/>
      <c r="P880" s="99"/>
      <c r="Q880" s="99"/>
      <c r="R880" s="99"/>
      <c r="S880" s="99"/>
      <c r="T880" s="99"/>
      <c r="U880" s="99"/>
      <c r="V880" s="99"/>
      <c r="W880" s="99"/>
      <c r="X880" s="99"/>
      <c r="Y880" s="99"/>
      <c r="Z880" s="99"/>
      <c r="AA880" s="99"/>
      <c r="AB880" s="99"/>
      <c r="AC880" s="99"/>
      <c r="AD880" s="99"/>
    </row>
    <row r="881" spans="1:30" ht="28.5" customHeight="1" x14ac:dyDescent="0.15">
      <c r="A881" s="99"/>
      <c r="B881" s="99"/>
      <c r="C881" s="99"/>
      <c r="D881" s="99"/>
      <c r="E881" s="99"/>
      <c r="F881" s="99"/>
      <c r="G881" s="99"/>
      <c r="H881" s="99"/>
      <c r="I881" s="99"/>
      <c r="J881" s="99"/>
      <c r="K881" s="99"/>
      <c r="L881" s="99"/>
      <c r="M881" s="99"/>
      <c r="N881" s="99"/>
      <c r="O881" s="99"/>
      <c r="P881" s="99"/>
      <c r="Q881" s="99"/>
      <c r="R881" s="99"/>
      <c r="S881" s="99"/>
      <c r="T881" s="99"/>
      <c r="U881" s="99"/>
      <c r="V881" s="99"/>
      <c r="W881" s="99"/>
      <c r="X881" s="99"/>
      <c r="Y881" s="99"/>
      <c r="Z881" s="99"/>
      <c r="AA881" s="99"/>
      <c r="AB881" s="99"/>
      <c r="AC881" s="99"/>
      <c r="AD881" s="99"/>
    </row>
    <row r="882" spans="1:30" ht="28.5" customHeight="1" x14ac:dyDescent="0.15">
      <c r="A882" s="99"/>
      <c r="B882" s="99"/>
      <c r="C882" s="99"/>
      <c r="D882" s="99"/>
      <c r="E882" s="99"/>
      <c r="F882" s="99"/>
      <c r="G882" s="99"/>
      <c r="H882" s="99"/>
      <c r="I882" s="99"/>
      <c r="J882" s="99"/>
      <c r="K882" s="99"/>
      <c r="L882" s="99"/>
      <c r="M882" s="99"/>
      <c r="N882" s="99"/>
      <c r="O882" s="99"/>
      <c r="P882" s="99"/>
      <c r="Q882" s="99"/>
      <c r="R882" s="99"/>
      <c r="S882" s="99"/>
      <c r="T882" s="99"/>
      <c r="U882" s="99"/>
      <c r="V882" s="99"/>
      <c r="W882" s="99"/>
      <c r="X882" s="99"/>
      <c r="Y882" s="99"/>
      <c r="Z882" s="99"/>
      <c r="AA882" s="99"/>
      <c r="AB882" s="99"/>
      <c r="AC882" s="99"/>
      <c r="AD882" s="99"/>
    </row>
    <row r="883" spans="1:30" ht="28.5" customHeight="1" x14ac:dyDescent="0.15">
      <c r="A883" s="99"/>
      <c r="B883" s="99"/>
      <c r="C883" s="99"/>
      <c r="D883" s="99"/>
      <c r="E883" s="99"/>
      <c r="F883" s="99"/>
      <c r="G883" s="99"/>
      <c r="H883" s="99"/>
      <c r="I883" s="99"/>
      <c r="J883" s="99"/>
      <c r="K883" s="99"/>
      <c r="L883" s="99"/>
      <c r="M883" s="99"/>
      <c r="N883" s="99"/>
      <c r="O883" s="99"/>
      <c r="P883" s="99"/>
      <c r="Q883" s="99"/>
      <c r="R883" s="99"/>
      <c r="S883" s="99"/>
      <c r="T883" s="99"/>
      <c r="U883" s="99"/>
      <c r="V883" s="99"/>
      <c r="W883" s="99"/>
      <c r="X883" s="99"/>
      <c r="Y883" s="99"/>
      <c r="Z883" s="99"/>
      <c r="AA883" s="99"/>
      <c r="AB883" s="99"/>
      <c r="AC883" s="99"/>
      <c r="AD883" s="99"/>
    </row>
    <row r="884" spans="1:30" ht="28.5" customHeight="1" x14ac:dyDescent="0.15">
      <c r="A884" s="99"/>
      <c r="B884" s="99"/>
      <c r="C884" s="99"/>
      <c r="D884" s="99"/>
      <c r="E884" s="99"/>
      <c r="F884" s="99"/>
      <c r="G884" s="99"/>
      <c r="H884" s="99"/>
      <c r="I884" s="99"/>
      <c r="J884" s="99"/>
      <c r="K884" s="99"/>
      <c r="L884" s="99"/>
      <c r="M884" s="99"/>
      <c r="N884" s="99"/>
      <c r="O884" s="99"/>
      <c r="P884" s="99"/>
      <c r="Q884" s="99"/>
      <c r="R884" s="99"/>
      <c r="S884" s="99"/>
      <c r="T884" s="99"/>
      <c r="U884" s="99"/>
      <c r="V884" s="99"/>
      <c r="W884" s="99"/>
      <c r="X884" s="99"/>
      <c r="Y884" s="99"/>
      <c r="Z884" s="99"/>
      <c r="AA884" s="99"/>
      <c r="AB884" s="99"/>
      <c r="AC884" s="99"/>
      <c r="AD884" s="99"/>
    </row>
    <row r="885" spans="1:30" ht="28.5" customHeight="1" x14ac:dyDescent="0.15">
      <c r="A885" s="99"/>
      <c r="B885" s="99"/>
      <c r="C885" s="99"/>
      <c r="D885" s="99"/>
      <c r="E885" s="99"/>
      <c r="F885" s="99"/>
      <c r="G885" s="99"/>
      <c r="H885" s="99"/>
      <c r="I885" s="99"/>
      <c r="J885" s="99"/>
      <c r="K885" s="99"/>
      <c r="L885" s="99"/>
      <c r="M885" s="99"/>
      <c r="N885" s="99"/>
      <c r="O885" s="99"/>
      <c r="P885" s="99"/>
      <c r="Q885" s="99"/>
      <c r="R885" s="99"/>
      <c r="S885" s="99"/>
      <c r="T885" s="99"/>
      <c r="U885" s="99"/>
      <c r="V885" s="99"/>
      <c r="W885" s="99"/>
      <c r="X885" s="99"/>
      <c r="Y885" s="99"/>
      <c r="Z885" s="99"/>
      <c r="AA885" s="99"/>
      <c r="AB885" s="99"/>
      <c r="AC885" s="99"/>
      <c r="AD885" s="99"/>
    </row>
    <row r="886" spans="1:30" ht="28.5" customHeight="1" x14ac:dyDescent="0.15">
      <c r="A886" s="99"/>
      <c r="B886" s="99"/>
      <c r="C886" s="99"/>
      <c r="D886" s="99"/>
      <c r="E886" s="99"/>
      <c r="F886" s="99"/>
      <c r="G886" s="99"/>
      <c r="H886" s="99"/>
      <c r="I886" s="99"/>
      <c r="J886" s="99"/>
      <c r="K886" s="99"/>
      <c r="L886" s="99"/>
      <c r="M886" s="99"/>
      <c r="N886" s="99"/>
      <c r="O886" s="99"/>
      <c r="P886" s="99"/>
      <c r="Q886" s="99"/>
      <c r="R886" s="99"/>
      <c r="S886" s="99"/>
      <c r="T886" s="99"/>
      <c r="U886" s="99"/>
      <c r="V886" s="99"/>
      <c r="W886" s="99"/>
      <c r="X886" s="99"/>
      <c r="Y886" s="99"/>
      <c r="Z886" s="99"/>
      <c r="AA886" s="99"/>
      <c r="AB886" s="99"/>
      <c r="AC886" s="99"/>
      <c r="AD886" s="99"/>
    </row>
    <row r="887" spans="1:30" ht="28.5" customHeight="1" x14ac:dyDescent="0.15">
      <c r="A887" s="99"/>
      <c r="B887" s="99"/>
      <c r="C887" s="99"/>
      <c r="D887" s="99"/>
      <c r="E887" s="99"/>
      <c r="F887" s="99"/>
      <c r="G887" s="99"/>
      <c r="H887" s="99"/>
      <c r="I887" s="99"/>
      <c r="J887" s="99"/>
      <c r="K887" s="99"/>
      <c r="L887" s="99"/>
      <c r="M887" s="99"/>
      <c r="N887" s="99"/>
      <c r="O887" s="99"/>
      <c r="P887" s="99"/>
      <c r="Q887" s="99"/>
      <c r="R887" s="99"/>
      <c r="S887" s="99"/>
      <c r="T887" s="99"/>
      <c r="U887" s="99"/>
      <c r="V887" s="99"/>
      <c r="W887" s="99"/>
      <c r="X887" s="99"/>
      <c r="Y887" s="99"/>
      <c r="Z887" s="99"/>
      <c r="AA887" s="99"/>
      <c r="AB887" s="99"/>
      <c r="AC887" s="99"/>
      <c r="AD887" s="99"/>
    </row>
    <row r="888" spans="1:30" ht="28.5" customHeight="1" x14ac:dyDescent="0.15">
      <c r="A888" s="99"/>
      <c r="B888" s="99"/>
      <c r="C888" s="99"/>
      <c r="D888" s="99"/>
      <c r="E888" s="99"/>
      <c r="F888" s="99"/>
      <c r="G888" s="99"/>
      <c r="H888" s="99"/>
      <c r="I888" s="99"/>
      <c r="J888" s="99"/>
      <c r="K888" s="99"/>
      <c r="L888" s="99"/>
      <c r="M888" s="99"/>
      <c r="N888" s="99"/>
      <c r="O888" s="99"/>
      <c r="P888" s="99"/>
      <c r="Q888" s="99"/>
      <c r="R888" s="99"/>
      <c r="S888" s="99"/>
      <c r="T888" s="99"/>
      <c r="U888" s="99"/>
      <c r="V888" s="99"/>
      <c r="W888" s="99"/>
      <c r="X888" s="99"/>
      <c r="Y888" s="99"/>
      <c r="Z888" s="99"/>
      <c r="AA888" s="99"/>
      <c r="AB888" s="99"/>
      <c r="AC888" s="99"/>
      <c r="AD888" s="99"/>
    </row>
    <row r="889" spans="1:30" ht="28.5" customHeight="1" x14ac:dyDescent="0.15">
      <c r="A889" s="99"/>
      <c r="B889" s="99"/>
      <c r="C889" s="99"/>
      <c r="D889" s="99"/>
      <c r="E889" s="99"/>
      <c r="F889" s="99"/>
      <c r="G889" s="99"/>
      <c r="H889" s="99"/>
      <c r="I889" s="99"/>
      <c r="J889" s="99"/>
      <c r="K889" s="99"/>
      <c r="L889" s="99"/>
      <c r="M889" s="99"/>
      <c r="N889" s="99"/>
      <c r="O889" s="99"/>
      <c r="P889" s="99"/>
      <c r="Q889" s="99"/>
      <c r="R889" s="99"/>
      <c r="S889" s="99"/>
      <c r="T889" s="99"/>
      <c r="U889" s="99"/>
      <c r="V889" s="99"/>
      <c r="W889" s="99"/>
      <c r="X889" s="99"/>
      <c r="Y889" s="99"/>
      <c r="Z889" s="99"/>
      <c r="AA889" s="99"/>
      <c r="AB889" s="99"/>
      <c r="AC889" s="99"/>
      <c r="AD889" s="99"/>
    </row>
    <row r="890" spans="1:30" ht="28.5" customHeight="1" x14ac:dyDescent="0.15">
      <c r="A890" s="99"/>
      <c r="B890" s="99"/>
      <c r="C890" s="99"/>
      <c r="D890" s="99"/>
      <c r="E890" s="99"/>
      <c r="F890" s="99"/>
      <c r="G890" s="99"/>
      <c r="H890" s="99"/>
      <c r="I890" s="99"/>
      <c r="J890" s="99"/>
      <c r="K890" s="99"/>
      <c r="L890" s="99"/>
      <c r="M890" s="99"/>
      <c r="N890" s="99"/>
      <c r="O890" s="99"/>
      <c r="P890" s="99"/>
      <c r="Q890" s="99"/>
      <c r="R890" s="99"/>
      <c r="S890" s="99"/>
      <c r="T890" s="99"/>
      <c r="U890" s="99"/>
      <c r="V890" s="99"/>
      <c r="W890" s="99"/>
      <c r="X890" s="99"/>
      <c r="Y890" s="99"/>
      <c r="Z890" s="99"/>
      <c r="AA890" s="99"/>
      <c r="AB890" s="99"/>
      <c r="AC890" s="99"/>
      <c r="AD890" s="99"/>
    </row>
    <row r="891" spans="1:30" ht="28.5" customHeight="1" x14ac:dyDescent="0.15">
      <c r="A891" s="99"/>
      <c r="B891" s="99"/>
      <c r="C891" s="99"/>
      <c r="D891" s="99"/>
      <c r="E891" s="99"/>
      <c r="F891" s="99"/>
      <c r="G891" s="99"/>
      <c r="H891" s="99"/>
      <c r="I891" s="99"/>
      <c r="J891" s="99"/>
      <c r="K891" s="99"/>
      <c r="L891" s="99"/>
      <c r="M891" s="99"/>
      <c r="N891" s="99"/>
      <c r="O891" s="99"/>
      <c r="P891" s="99"/>
      <c r="Q891" s="99"/>
      <c r="R891" s="99"/>
      <c r="S891" s="99"/>
      <c r="T891" s="99"/>
      <c r="U891" s="99"/>
      <c r="V891" s="99"/>
      <c r="W891" s="99"/>
      <c r="X891" s="99"/>
      <c r="Y891" s="99"/>
      <c r="Z891" s="99"/>
      <c r="AA891" s="99"/>
      <c r="AB891" s="99"/>
      <c r="AC891" s="99"/>
      <c r="AD891" s="99"/>
    </row>
    <row r="892" spans="1:30" ht="28.5" customHeight="1" x14ac:dyDescent="0.15">
      <c r="A892" s="99"/>
      <c r="B892" s="99"/>
      <c r="C892" s="99"/>
      <c r="D892" s="99"/>
      <c r="E892" s="99"/>
      <c r="F892" s="99"/>
      <c r="G892" s="99"/>
      <c r="H892" s="99"/>
      <c r="I892" s="99"/>
      <c r="J892" s="99"/>
      <c r="K892" s="99"/>
      <c r="L892" s="99"/>
      <c r="M892" s="99"/>
      <c r="N892" s="99"/>
      <c r="O892" s="99"/>
      <c r="P892" s="99"/>
      <c r="Q892" s="99"/>
      <c r="R892" s="99"/>
      <c r="S892" s="99"/>
      <c r="T892" s="99"/>
      <c r="U892" s="99"/>
      <c r="V892" s="99"/>
      <c r="W892" s="99"/>
      <c r="X892" s="99"/>
      <c r="Y892" s="99"/>
      <c r="Z892" s="99"/>
      <c r="AA892" s="99"/>
      <c r="AB892" s="99"/>
      <c r="AC892" s="99"/>
      <c r="AD892" s="99"/>
    </row>
    <row r="893" spans="1:30" ht="28.5" customHeight="1" x14ac:dyDescent="0.15">
      <c r="A893" s="99"/>
      <c r="B893" s="99"/>
      <c r="C893" s="99"/>
      <c r="D893" s="99"/>
      <c r="E893" s="99"/>
      <c r="F893" s="99"/>
      <c r="G893" s="99"/>
      <c r="H893" s="99"/>
      <c r="I893" s="99"/>
      <c r="J893" s="99"/>
      <c r="K893" s="99"/>
      <c r="L893" s="99"/>
      <c r="M893" s="99"/>
      <c r="N893" s="99"/>
      <c r="O893" s="99"/>
      <c r="P893" s="99"/>
      <c r="Q893" s="99"/>
      <c r="R893" s="99"/>
      <c r="S893" s="99"/>
      <c r="T893" s="99"/>
      <c r="U893" s="99"/>
      <c r="V893" s="99"/>
      <c r="W893" s="99"/>
      <c r="X893" s="99"/>
      <c r="Y893" s="99"/>
      <c r="Z893" s="99"/>
      <c r="AA893" s="99"/>
      <c r="AB893" s="99"/>
      <c r="AC893" s="99"/>
      <c r="AD893" s="99"/>
    </row>
    <row r="894" spans="1:30" ht="28.5" customHeight="1" x14ac:dyDescent="0.15">
      <c r="A894" s="99"/>
      <c r="B894" s="99"/>
      <c r="C894" s="99"/>
      <c r="D894" s="99"/>
      <c r="E894" s="99"/>
      <c r="F894" s="99"/>
      <c r="G894" s="99"/>
      <c r="H894" s="99"/>
      <c r="I894" s="99"/>
      <c r="J894" s="99"/>
      <c r="K894" s="99"/>
      <c r="L894" s="99"/>
      <c r="M894" s="99"/>
      <c r="N894" s="99"/>
      <c r="O894" s="99"/>
      <c r="P894" s="99"/>
      <c r="Q894" s="99"/>
      <c r="R894" s="99"/>
      <c r="S894" s="99"/>
      <c r="T894" s="99"/>
      <c r="U894" s="99"/>
      <c r="V894" s="99"/>
      <c r="W894" s="99"/>
      <c r="X894" s="99"/>
      <c r="Y894" s="99"/>
      <c r="Z894" s="99"/>
      <c r="AA894" s="99"/>
      <c r="AB894" s="99"/>
      <c r="AC894" s="99"/>
      <c r="AD894" s="99"/>
    </row>
    <row r="895" spans="1:30" ht="28.5" customHeight="1" x14ac:dyDescent="0.15">
      <c r="A895" s="99"/>
      <c r="B895" s="99"/>
      <c r="C895" s="99"/>
      <c r="D895" s="99"/>
      <c r="E895" s="99"/>
      <c r="F895" s="99"/>
      <c r="G895" s="99"/>
      <c r="H895" s="99"/>
      <c r="I895" s="99"/>
      <c r="J895" s="99"/>
      <c r="K895" s="99"/>
      <c r="L895" s="99"/>
      <c r="M895" s="99"/>
      <c r="N895" s="99"/>
      <c r="O895" s="99"/>
      <c r="P895" s="99"/>
      <c r="Q895" s="99"/>
      <c r="R895" s="99"/>
      <c r="S895" s="99"/>
      <c r="T895" s="99"/>
      <c r="U895" s="99"/>
      <c r="V895" s="99"/>
      <c r="W895" s="99"/>
      <c r="X895" s="99"/>
      <c r="Y895" s="99"/>
      <c r="Z895" s="99"/>
      <c r="AA895" s="99"/>
      <c r="AB895" s="99"/>
      <c r="AC895" s="99"/>
      <c r="AD895" s="99"/>
    </row>
    <row r="896" spans="1:30" ht="28.5" customHeight="1" x14ac:dyDescent="0.15">
      <c r="A896" s="99"/>
      <c r="B896" s="99"/>
      <c r="C896" s="99"/>
      <c r="D896" s="99"/>
      <c r="E896" s="99"/>
      <c r="F896" s="99"/>
      <c r="G896" s="99"/>
      <c r="H896" s="99"/>
      <c r="I896" s="99"/>
      <c r="J896" s="99"/>
      <c r="K896" s="99"/>
      <c r="L896" s="99"/>
      <c r="M896" s="99"/>
      <c r="N896" s="99"/>
      <c r="O896" s="99"/>
      <c r="P896" s="99"/>
      <c r="Q896" s="99"/>
      <c r="R896" s="99"/>
      <c r="S896" s="99"/>
      <c r="T896" s="99"/>
      <c r="U896" s="99"/>
      <c r="V896" s="99"/>
      <c r="W896" s="99"/>
      <c r="X896" s="99"/>
      <c r="Y896" s="99"/>
      <c r="Z896" s="99"/>
      <c r="AA896" s="99"/>
      <c r="AB896" s="99"/>
      <c r="AC896" s="99"/>
      <c r="AD896" s="99"/>
    </row>
    <row r="897" spans="1:30" ht="28.5" customHeight="1" x14ac:dyDescent="0.15">
      <c r="A897" s="99"/>
      <c r="B897" s="99"/>
      <c r="C897" s="99"/>
      <c r="D897" s="99"/>
      <c r="E897" s="99"/>
      <c r="F897" s="99"/>
      <c r="G897" s="99"/>
      <c r="H897" s="99"/>
      <c r="I897" s="99"/>
      <c r="J897" s="99"/>
      <c r="K897" s="99"/>
      <c r="L897" s="99"/>
      <c r="M897" s="99"/>
      <c r="N897" s="99"/>
      <c r="O897" s="99"/>
      <c r="P897" s="99"/>
      <c r="Q897" s="99"/>
      <c r="R897" s="99"/>
      <c r="S897" s="99"/>
      <c r="T897" s="99"/>
      <c r="U897" s="99"/>
      <c r="V897" s="99"/>
      <c r="W897" s="99"/>
      <c r="X897" s="99"/>
      <c r="Y897" s="99"/>
      <c r="Z897" s="99"/>
      <c r="AA897" s="99"/>
      <c r="AB897" s="99"/>
      <c r="AC897" s="99"/>
      <c r="AD897" s="99"/>
    </row>
    <row r="898" spans="1:30" ht="28.5" customHeight="1" x14ac:dyDescent="0.15">
      <c r="A898" s="99"/>
      <c r="B898" s="99"/>
      <c r="C898" s="99"/>
      <c r="D898" s="99"/>
      <c r="E898" s="99"/>
      <c r="F898" s="99"/>
      <c r="G898" s="99"/>
      <c r="H898" s="99"/>
      <c r="I898" s="99"/>
      <c r="J898" s="99"/>
      <c r="K898" s="99"/>
      <c r="L898" s="99"/>
      <c r="M898" s="99"/>
      <c r="N898" s="99"/>
      <c r="O898" s="99"/>
      <c r="P898" s="99"/>
      <c r="Q898" s="99"/>
      <c r="R898" s="99"/>
      <c r="S898" s="99"/>
      <c r="T898" s="99"/>
      <c r="U898" s="99"/>
      <c r="V898" s="99"/>
      <c r="W898" s="99"/>
      <c r="X898" s="99"/>
      <c r="Y898" s="99"/>
      <c r="Z898" s="99"/>
      <c r="AA898" s="99"/>
      <c r="AB898" s="99"/>
      <c r="AC898" s="99"/>
      <c r="AD898" s="99"/>
    </row>
    <row r="899" spans="1:30" ht="28.5" customHeight="1" x14ac:dyDescent="0.15">
      <c r="A899" s="99"/>
      <c r="B899" s="99"/>
      <c r="C899" s="99"/>
      <c r="D899" s="99"/>
      <c r="E899" s="99"/>
      <c r="F899" s="99"/>
      <c r="G899" s="99"/>
      <c r="H899" s="99"/>
      <c r="I899" s="99"/>
      <c r="J899" s="99"/>
      <c r="K899" s="99"/>
      <c r="L899" s="99"/>
      <c r="M899" s="99"/>
      <c r="N899" s="99"/>
      <c r="O899" s="99"/>
      <c r="P899" s="99"/>
      <c r="Q899" s="99"/>
      <c r="R899" s="99"/>
      <c r="S899" s="99"/>
      <c r="T899" s="99"/>
      <c r="U899" s="99"/>
      <c r="V899" s="99"/>
      <c r="W899" s="99"/>
      <c r="X899" s="99"/>
      <c r="Y899" s="99"/>
      <c r="Z899" s="99"/>
      <c r="AA899" s="99"/>
      <c r="AB899" s="99"/>
      <c r="AC899" s="99"/>
      <c r="AD899" s="99"/>
    </row>
    <row r="900" spans="1:30" ht="28.5" customHeight="1" x14ac:dyDescent="0.15">
      <c r="A900" s="99"/>
      <c r="B900" s="99"/>
      <c r="C900" s="99"/>
      <c r="D900" s="99"/>
      <c r="E900" s="99"/>
      <c r="F900" s="99"/>
      <c r="G900" s="99"/>
      <c r="H900" s="99"/>
      <c r="I900" s="99"/>
      <c r="J900" s="99"/>
      <c r="K900" s="99"/>
      <c r="L900" s="99"/>
      <c r="M900" s="99"/>
      <c r="N900" s="99"/>
      <c r="O900" s="99"/>
      <c r="P900" s="99"/>
      <c r="Q900" s="99"/>
      <c r="R900" s="99"/>
      <c r="S900" s="99"/>
      <c r="T900" s="99"/>
      <c r="U900" s="99"/>
      <c r="V900" s="99"/>
      <c r="W900" s="99"/>
      <c r="X900" s="99"/>
      <c r="Y900" s="99"/>
      <c r="Z900" s="99"/>
      <c r="AA900" s="99"/>
      <c r="AB900" s="99"/>
      <c r="AC900" s="99"/>
      <c r="AD900" s="99"/>
    </row>
    <row r="901" spans="1:30" ht="28.5" customHeight="1" x14ac:dyDescent="0.15">
      <c r="A901" s="99"/>
      <c r="B901" s="99"/>
      <c r="C901" s="99"/>
      <c r="D901" s="99"/>
      <c r="E901" s="99"/>
      <c r="F901" s="99"/>
      <c r="G901" s="99"/>
      <c r="H901" s="99"/>
      <c r="I901" s="99"/>
      <c r="J901" s="99"/>
      <c r="K901" s="99"/>
      <c r="L901" s="99"/>
      <c r="M901" s="99"/>
      <c r="N901" s="99"/>
      <c r="O901" s="99"/>
      <c r="P901" s="99"/>
      <c r="Q901" s="99"/>
      <c r="R901" s="99"/>
      <c r="S901" s="99"/>
      <c r="T901" s="99"/>
      <c r="U901" s="99"/>
      <c r="V901" s="99"/>
      <c r="W901" s="99"/>
      <c r="X901" s="99"/>
      <c r="Y901" s="99"/>
      <c r="Z901" s="99"/>
      <c r="AA901" s="99"/>
      <c r="AB901" s="99"/>
      <c r="AC901" s="99"/>
      <c r="AD901" s="99"/>
    </row>
    <row r="902" spans="1:30" ht="28.5" customHeight="1" x14ac:dyDescent="0.15">
      <c r="A902" s="99"/>
      <c r="B902" s="99"/>
      <c r="C902" s="99"/>
      <c r="D902" s="99"/>
      <c r="E902" s="99"/>
      <c r="F902" s="99"/>
      <c r="G902" s="99"/>
      <c r="H902" s="99"/>
      <c r="I902" s="99"/>
      <c r="J902" s="99"/>
      <c r="K902" s="99"/>
      <c r="L902" s="99"/>
      <c r="M902" s="99"/>
      <c r="N902" s="99"/>
      <c r="O902" s="99"/>
      <c r="P902" s="99"/>
      <c r="Q902" s="99"/>
      <c r="R902" s="99"/>
      <c r="S902" s="99"/>
      <c r="T902" s="99"/>
      <c r="U902" s="99"/>
      <c r="V902" s="99"/>
      <c r="W902" s="99"/>
      <c r="X902" s="99"/>
      <c r="Y902" s="99"/>
      <c r="Z902" s="99"/>
      <c r="AA902" s="99"/>
      <c r="AB902" s="99"/>
      <c r="AC902" s="99"/>
      <c r="AD902" s="99"/>
    </row>
    <row r="903" spans="1:30" ht="28.5" customHeight="1" x14ac:dyDescent="0.15">
      <c r="A903" s="99"/>
      <c r="B903" s="99"/>
      <c r="C903" s="99"/>
      <c r="D903" s="99"/>
      <c r="E903" s="99"/>
      <c r="F903" s="99"/>
      <c r="G903" s="99"/>
      <c r="H903" s="99"/>
      <c r="I903" s="99"/>
      <c r="J903" s="99"/>
      <c r="K903" s="99"/>
      <c r="L903" s="99"/>
      <c r="M903" s="99"/>
      <c r="N903" s="99"/>
      <c r="O903" s="99"/>
      <c r="P903" s="99"/>
      <c r="Q903" s="99"/>
      <c r="R903" s="99"/>
      <c r="S903" s="99"/>
      <c r="T903" s="99"/>
      <c r="U903" s="99"/>
      <c r="V903" s="99"/>
      <c r="W903" s="99"/>
      <c r="X903" s="99"/>
      <c r="Y903" s="99"/>
      <c r="Z903" s="99"/>
      <c r="AA903" s="99"/>
      <c r="AB903" s="99"/>
      <c r="AC903" s="99"/>
      <c r="AD903" s="99"/>
    </row>
    <row r="904" spans="1:30" ht="28.5" customHeight="1" x14ac:dyDescent="0.15">
      <c r="A904" s="99"/>
      <c r="B904" s="99"/>
      <c r="C904" s="99"/>
      <c r="D904" s="99"/>
      <c r="E904" s="99"/>
      <c r="F904" s="99"/>
      <c r="G904" s="99"/>
      <c r="H904" s="99"/>
      <c r="I904" s="99"/>
      <c r="J904" s="99"/>
      <c r="K904" s="99"/>
      <c r="L904" s="99"/>
      <c r="M904" s="99"/>
      <c r="N904" s="99"/>
      <c r="O904" s="99"/>
      <c r="P904" s="99"/>
      <c r="Q904" s="99"/>
      <c r="R904" s="99"/>
      <c r="S904" s="99"/>
      <c r="T904" s="99"/>
      <c r="U904" s="99"/>
      <c r="V904" s="99"/>
      <c r="W904" s="99"/>
      <c r="X904" s="99"/>
      <c r="Y904" s="99"/>
      <c r="Z904" s="99"/>
      <c r="AA904" s="99"/>
      <c r="AB904" s="99"/>
      <c r="AC904" s="99"/>
      <c r="AD904" s="99"/>
    </row>
    <row r="905" spans="1:30" ht="28.5" customHeight="1" x14ac:dyDescent="0.15">
      <c r="A905" s="99"/>
      <c r="B905" s="99"/>
      <c r="C905" s="99"/>
      <c r="D905" s="99"/>
      <c r="E905" s="99"/>
      <c r="F905" s="99"/>
      <c r="G905" s="99"/>
      <c r="H905" s="99"/>
      <c r="I905" s="99"/>
      <c r="J905" s="99"/>
      <c r="K905" s="99"/>
      <c r="L905" s="99"/>
      <c r="M905" s="99"/>
      <c r="N905" s="99"/>
      <c r="O905" s="99"/>
      <c r="P905" s="99"/>
      <c r="Q905" s="99"/>
      <c r="R905" s="99"/>
      <c r="S905" s="99"/>
      <c r="T905" s="99"/>
      <c r="U905" s="99"/>
      <c r="V905" s="99"/>
      <c r="W905" s="99"/>
      <c r="X905" s="99"/>
      <c r="Y905" s="99"/>
      <c r="Z905" s="99"/>
      <c r="AA905" s="99"/>
      <c r="AB905" s="99"/>
      <c r="AC905" s="99"/>
      <c r="AD905" s="99"/>
    </row>
    <row r="906" spans="1:30" ht="28.5" customHeight="1" x14ac:dyDescent="0.15">
      <c r="A906" s="99"/>
      <c r="B906" s="99"/>
      <c r="C906" s="99"/>
      <c r="D906" s="99"/>
      <c r="E906" s="99"/>
      <c r="F906" s="99"/>
      <c r="G906" s="99"/>
      <c r="H906" s="99"/>
      <c r="I906" s="99"/>
      <c r="J906" s="99"/>
      <c r="K906" s="99"/>
      <c r="L906" s="99"/>
      <c r="M906" s="99"/>
      <c r="N906" s="99"/>
      <c r="O906" s="99"/>
      <c r="P906" s="99"/>
      <c r="Q906" s="99"/>
      <c r="R906" s="99"/>
      <c r="S906" s="99"/>
      <c r="T906" s="99"/>
      <c r="U906" s="99"/>
      <c r="V906" s="99"/>
      <c r="W906" s="99"/>
      <c r="X906" s="99"/>
      <c r="Y906" s="99"/>
      <c r="Z906" s="99"/>
      <c r="AA906" s="99"/>
      <c r="AB906" s="99"/>
      <c r="AC906" s="99"/>
      <c r="AD906" s="99"/>
    </row>
    <row r="907" spans="1:30" ht="28.5" customHeight="1" x14ac:dyDescent="0.15">
      <c r="A907" s="99"/>
      <c r="B907" s="99"/>
      <c r="C907" s="99"/>
      <c r="D907" s="99"/>
      <c r="E907" s="99"/>
      <c r="F907" s="99"/>
      <c r="G907" s="99"/>
      <c r="H907" s="99"/>
      <c r="I907" s="99"/>
      <c r="J907" s="99"/>
      <c r="K907" s="99"/>
      <c r="L907" s="99"/>
      <c r="M907" s="99"/>
      <c r="N907" s="99"/>
      <c r="O907" s="99"/>
      <c r="P907" s="99"/>
      <c r="Q907" s="99"/>
      <c r="R907" s="99"/>
      <c r="S907" s="99"/>
      <c r="T907" s="99"/>
      <c r="U907" s="99"/>
      <c r="V907" s="99"/>
      <c r="W907" s="99"/>
      <c r="X907" s="99"/>
      <c r="Y907" s="99"/>
      <c r="Z907" s="99"/>
      <c r="AA907" s="99"/>
      <c r="AB907" s="99"/>
      <c r="AC907" s="99"/>
      <c r="AD907" s="99"/>
    </row>
    <row r="908" spans="1:30" ht="28.5" customHeight="1" x14ac:dyDescent="0.15">
      <c r="A908" s="99"/>
      <c r="B908" s="99"/>
      <c r="C908" s="99"/>
      <c r="D908" s="99"/>
      <c r="E908" s="99"/>
      <c r="F908" s="99"/>
      <c r="G908" s="99"/>
      <c r="H908" s="99"/>
      <c r="I908" s="99"/>
      <c r="J908" s="99"/>
      <c r="K908" s="99"/>
      <c r="L908" s="99"/>
      <c r="M908" s="99"/>
      <c r="N908" s="99"/>
      <c r="O908" s="99"/>
      <c r="P908" s="99"/>
      <c r="Q908" s="99"/>
      <c r="R908" s="99"/>
      <c r="S908" s="99"/>
      <c r="T908" s="99"/>
      <c r="U908" s="99"/>
      <c r="V908" s="99"/>
      <c r="W908" s="99"/>
      <c r="X908" s="99"/>
      <c r="Y908" s="99"/>
      <c r="Z908" s="99"/>
      <c r="AA908" s="99"/>
      <c r="AB908" s="99"/>
      <c r="AC908" s="99"/>
      <c r="AD908" s="99"/>
    </row>
    <row r="909" spans="1:30" ht="28.5" customHeight="1" x14ac:dyDescent="0.15">
      <c r="A909" s="99"/>
      <c r="B909" s="99"/>
      <c r="C909" s="99"/>
      <c r="D909" s="99"/>
      <c r="E909" s="99"/>
      <c r="F909" s="99"/>
      <c r="G909" s="99"/>
      <c r="H909" s="99"/>
      <c r="I909" s="99"/>
      <c r="J909" s="99"/>
      <c r="K909" s="99"/>
      <c r="L909" s="99"/>
      <c r="M909" s="99"/>
      <c r="N909" s="99"/>
      <c r="O909" s="99"/>
      <c r="P909" s="99"/>
      <c r="Q909" s="99"/>
      <c r="R909" s="99"/>
      <c r="S909" s="99"/>
      <c r="T909" s="99"/>
      <c r="U909" s="99"/>
      <c r="V909" s="99"/>
      <c r="W909" s="99"/>
      <c r="X909" s="99"/>
      <c r="Y909" s="99"/>
      <c r="Z909" s="99"/>
      <c r="AA909" s="99"/>
      <c r="AB909" s="99"/>
      <c r="AC909" s="99"/>
      <c r="AD909" s="99"/>
    </row>
    <row r="910" spans="1:30" ht="28.5" customHeight="1" x14ac:dyDescent="0.15">
      <c r="A910" s="99"/>
      <c r="B910" s="99"/>
      <c r="C910" s="99"/>
      <c r="D910" s="99"/>
      <c r="E910" s="99"/>
      <c r="F910" s="99"/>
      <c r="G910" s="99"/>
      <c r="H910" s="99"/>
      <c r="I910" s="99"/>
      <c r="J910" s="99"/>
      <c r="K910" s="99"/>
      <c r="L910" s="99"/>
      <c r="M910" s="99"/>
      <c r="N910" s="99"/>
      <c r="O910" s="99"/>
      <c r="P910" s="99"/>
      <c r="Q910" s="99"/>
      <c r="R910" s="99"/>
      <c r="S910" s="99"/>
      <c r="T910" s="99"/>
      <c r="U910" s="99"/>
      <c r="V910" s="99"/>
      <c r="W910" s="99"/>
      <c r="X910" s="99"/>
      <c r="Y910" s="99"/>
      <c r="Z910" s="99"/>
      <c r="AA910" s="99"/>
      <c r="AB910" s="99"/>
      <c r="AC910" s="99"/>
      <c r="AD910" s="99"/>
    </row>
    <row r="911" spans="1:30" ht="28.5" customHeight="1" x14ac:dyDescent="0.15">
      <c r="A911" s="99"/>
      <c r="B911" s="99"/>
      <c r="C911" s="99"/>
      <c r="D911" s="99"/>
      <c r="E911" s="99"/>
      <c r="F911" s="99"/>
      <c r="G911" s="99"/>
      <c r="H911" s="99"/>
      <c r="I911" s="99"/>
      <c r="J911" s="99"/>
      <c r="K911" s="99"/>
      <c r="L911" s="99"/>
      <c r="M911" s="99"/>
      <c r="N911" s="99"/>
      <c r="O911" s="99"/>
      <c r="P911" s="99"/>
      <c r="Q911" s="99"/>
      <c r="R911" s="99"/>
      <c r="S911" s="99"/>
      <c r="T911" s="99"/>
      <c r="U911" s="99"/>
      <c r="V911" s="99"/>
      <c r="W911" s="99"/>
      <c r="X911" s="99"/>
      <c r="Y911" s="99"/>
      <c r="Z911" s="99"/>
      <c r="AA911" s="99"/>
      <c r="AB911" s="99"/>
      <c r="AC911" s="99"/>
      <c r="AD911" s="99"/>
    </row>
    <row r="912" spans="1:30" ht="28.5" customHeight="1" x14ac:dyDescent="0.15">
      <c r="A912" s="99"/>
      <c r="B912" s="99"/>
      <c r="C912" s="99"/>
      <c r="D912" s="99"/>
      <c r="E912" s="99"/>
      <c r="F912" s="99"/>
      <c r="G912" s="99"/>
      <c r="H912" s="99"/>
      <c r="I912" s="99"/>
      <c r="J912" s="99"/>
      <c r="K912" s="99"/>
      <c r="L912" s="99"/>
      <c r="M912" s="99"/>
      <c r="N912" s="99"/>
      <c r="O912" s="99"/>
      <c r="P912" s="99"/>
      <c r="Q912" s="99"/>
      <c r="R912" s="99"/>
      <c r="S912" s="99"/>
      <c r="T912" s="99"/>
      <c r="U912" s="99"/>
      <c r="V912" s="99"/>
      <c r="W912" s="99"/>
      <c r="X912" s="99"/>
      <c r="Y912" s="99"/>
      <c r="Z912" s="99"/>
      <c r="AA912" s="99"/>
      <c r="AB912" s="99"/>
      <c r="AC912" s="99"/>
      <c r="AD912" s="99"/>
    </row>
    <row r="913" spans="1:30" ht="28.5" customHeight="1" x14ac:dyDescent="0.15">
      <c r="A913" s="99"/>
      <c r="B913" s="99"/>
      <c r="C913" s="99"/>
      <c r="D913" s="99"/>
      <c r="E913" s="99"/>
      <c r="F913" s="99"/>
      <c r="G913" s="99"/>
      <c r="H913" s="99"/>
      <c r="I913" s="99"/>
      <c r="J913" s="99"/>
      <c r="K913" s="99"/>
      <c r="L913" s="99"/>
      <c r="M913" s="99"/>
      <c r="N913" s="99"/>
      <c r="O913" s="99"/>
      <c r="P913" s="99"/>
      <c r="Q913" s="99"/>
      <c r="R913" s="99"/>
      <c r="S913" s="99"/>
      <c r="T913" s="99"/>
      <c r="U913" s="99"/>
      <c r="V913" s="99"/>
      <c r="W913" s="99"/>
      <c r="X913" s="99"/>
      <c r="Y913" s="99"/>
      <c r="Z913" s="99"/>
      <c r="AA913" s="99"/>
      <c r="AB913" s="99"/>
      <c r="AC913" s="99"/>
      <c r="AD913" s="99"/>
    </row>
    <row r="914" spans="1:30" ht="28.5" customHeight="1" x14ac:dyDescent="0.15">
      <c r="A914" s="99"/>
      <c r="B914" s="99"/>
      <c r="C914" s="99"/>
      <c r="D914" s="99"/>
      <c r="E914" s="99"/>
      <c r="F914" s="99"/>
      <c r="G914" s="99"/>
      <c r="H914" s="99"/>
      <c r="I914" s="99"/>
      <c r="J914" s="99"/>
      <c r="K914" s="99"/>
      <c r="L914" s="99"/>
      <c r="M914" s="99"/>
      <c r="N914" s="99"/>
      <c r="O914" s="99"/>
      <c r="P914" s="99"/>
      <c r="Q914" s="99"/>
      <c r="R914" s="99"/>
      <c r="S914" s="99"/>
      <c r="T914" s="99"/>
      <c r="U914" s="99"/>
      <c r="V914" s="99"/>
      <c r="W914" s="99"/>
      <c r="X914" s="99"/>
      <c r="Y914" s="99"/>
      <c r="Z914" s="99"/>
      <c r="AA914" s="99"/>
      <c r="AB914" s="99"/>
      <c r="AC914" s="99"/>
      <c r="AD914" s="99"/>
    </row>
    <row r="915" spans="1:30" ht="28.5" customHeight="1" x14ac:dyDescent="0.15">
      <c r="A915" s="99"/>
      <c r="B915" s="99"/>
      <c r="C915" s="99"/>
      <c r="D915" s="99"/>
      <c r="E915" s="99"/>
      <c r="F915" s="99"/>
      <c r="G915" s="99"/>
      <c r="H915" s="99"/>
      <c r="I915" s="99"/>
      <c r="J915" s="99"/>
      <c r="K915" s="99"/>
      <c r="L915" s="99"/>
      <c r="M915" s="99"/>
      <c r="N915" s="99"/>
      <c r="O915" s="99"/>
      <c r="P915" s="99"/>
      <c r="Q915" s="99"/>
      <c r="R915" s="99"/>
      <c r="S915" s="99"/>
      <c r="T915" s="99"/>
      <c r="U915" s="99"/>
      <c r="V915" s="99"/>
      <c r="W915" s="99"/>
      <c r="X915" s="99"/>
      <c r="Y915" s="99"/>
      <c r="Z915" s="99"/>
      <c r="AA915" s="99"/>
      <c r="AB915" s="99"/>
      <c r="AC915" s="99"/>
      <c r="AD915" s="99"/>
    </row>
    <row r="916" spans="1:30" ht="28.5" customHeight="1" x14ac:dyDescent="0.15">
      <c r="A916" s="99"/>
      <c r="B916" s="99"/>
      <c r="C916" s="99"/>
      <c r="D916" s="99"/>
      <c r="E916" s="99"/>
      <c r="F916" s="99"/>
      <c r="G916" s="99"/>
      <c r="H916" s="99"/>
      <c r="I916" s="99"/>
      <c r="J916" s="99"/>
      <c r="K916" s="99"/>
      <c r="L916" s="99"/>
      <c r="M916" s="99"/>
      <c r="N916" s="99"/>
      <c r="O916" s="99"/>
      <c r="P916" s="99"/>
      <c r="Q916" s="99"/>
      <c r="R916" s="99"/>
      <c r="S916" s="99"/>
      <c r="T916" s="99"/>
      <c r="U916" s="99"/>
      <c r="V916" s="99"/>
      <c r="W916" s="99"/>
      <c r="X916" s="99"/>
      <c r="Y916" s="99"/>
      <c r="Z916" s="99"/>
      <c r="AA916" s="99"/>
      <c r="AB916" s="99"/>
      <c r="AC916" s="99"/>
      <c r="AD916" s="99"/>
    </row>
    <row r="917" spans="1:30" ht="28.5" customHeight="1" x14ac:dyDescent="0.15">
      <c r="A917" s="99"/>
      <c r="B917" s="99"/>
      <c r="C917" s="99"/>
      <c r="D917" s="99"/>
      <c r="E917" s="99"/>
      <c r="F917" s="99"/>
      <c r="G917" s="99"/>
      <c r="H917" s="99"/>
      <c r="I917" s="99"/>
      <c r="J917" s="99"/>
      <c r="K917" s="99"/>
      <c r="L917" s="99"/>
      <c r="M917" s="99"/>
      <c r="N917" s="99"/>
      <c r="O917" s="99"/>
      <c r="P917" s="99"/>
      <c r="Q917" s="99"/>
      <c r="R917" s="99"/>
      <c r="S917" s="99"/>
      <c r="T917" s="99"/>
      <c r="U917" s="99"/>
      <c r="V917" s="99"/>
      <c r="W917" s="99"/>
      <c r="X917" s="99"/>
      <c r="Y917" s="99"/>
      <c r="Z917" s="99"/>
      <c r="AA917" s="99"/>
      <c r="AB917" s="99"/>
      <c r="AC917" s="99"/>
      <c r="AD917" s="99"/>
    </row>
    <row r="918" spans="1:30" ht="28.5" customHeight="1" x14ac:dyDescent="0.15">
      <c r="A918" s="99"/>
      <c r="B918" s="99"/>
      <c r="C918" s="99"/>
      <c r="D918" s="99"/>
      <c r="E918" s="99"/>
      <c r="F918" s="99"/>
      <c r="G918" s="99"/>
      <c r="H918" s="99"/>
      <c r="I918" s="99"/>
      <c r="J918" s="99"/>
      <c r="K918" s="99"/>
      <c r="L918" s="99"/>
      <c r="M918" s="99"/>
      <c r="N918" s="99"/>
      <c r="O918" s="99"/>
      <c r="P918" s="99"/>
      <c r="Q918" s="99"/>
      <c r="R918" s="99"/>
      <c r="S918" s="99"/>
      <c r="T918" s="99"/>
      <c r="U918" s="99"/>
      <c r="V918" s="99"/>
      <c r="W918" s="99"/>
      <c r="X918" s="99"/>
      <c r="Y918" s="99"/>
      <c r="Z918" s="99"/>
      <c r="AA918" s="99"/>
      <c r="AB918" s="99"/>
      <c r="AC918" s="99"/>
      <c r="AD918" s="99"/>
    </row>
    <row r="919" spans="1:30" ht="28.5" customHeight="1" x14ac:dyDescent="0.15">
      <c r="A919" s="99"/>
      <c r="B919" s="99"/>
      <c r="C919" s="99"/>
      <c r="D919" s="99"/>
      <c r="E919" s="99"/>
      <c r="F919" s="99"/>
      <c r="G919" s="99"/>
      <c r="H919" s="99"/>
      <c r="I919" s="99"/>
      <c r="J919" s="99"/>
      <c r="K919" s="99"/>
      <c r="L919" s="99"/>
      <c r="M919" s="99"/>
      <c r="N919" s="99"/>
      <c r="O919" s="99"/>
      <c r="P919" s="99"/>
      <c r="Q919" s="99"/>
      <c r="R919" s="99"/>
      <c r="S919" s="99"/>
      <c r="T919" s="99"/>
      <c r="U919" s="99"/>
      <c r="V919" s="99"/>
      <c r="W919" s="99"/>
      <c r="X919" s="99"/>
      <c r="Y919" s="99"/>
      <c r="Z919" s="99"/>
      <c r="AA919" s="99"/>
      <c r="AB919" s="99"/>
      <c r="AC919" s="99"/>
      <c r="AD919" s="99"/>
    </row>
    <row r="920" spans="1:30" ht="28.5" customHeight="1" x14ac:dyDescent="0.15">
      <c r="A920" s="99"/>
      <c r="B920" s="99"/>
      <c r="C920" s="99"/>
      <c r="D920" s="99"/>
      <c r="E920" s="99"/>
      <c r="F920" s="99"/>
      <c r="G920" s="99"/>
      <c r="H920" s="99"/>
      <c r="I920" s="99"/>
      <c r="J920" s="99"/>
      <c r="K920" s="99"/>
      <c r="L920" s="99"/>
      <c r="M920" s="99"/>
      <c r="N920" s="99"/>
      <c r="O920" s="99"/>
      <c r="P920" s="99"/>
      <c r="Q920" s="99"/>
      <c r="R920" s="99"/>
      <c r="S920" s="99"/>
      <c r="T920" s="99"/>
      <c r="U920" s="99"/>
      <c r="V920" s="99"/>
      <c r="W920" s="99"/>
      <c r="X920" s="99"/>
      <c r="Y920" s="99"/>
      <c r="Z920" s="99"/>
      <c r="AA920" s="99"/>
      <c r="AB920" s="99"/>
      <c r="AC920" s="99"/>
      <c r="AD920" s="99"/>
    </row>
    <row r="921" spans="1:30" ht="28.5" customHeight="1" x14ac:dyDescent="0.15">
      <c r="A921" s="99"/>
      <c r="B921" s="99"/>
      <c r="C921" s="99"/>
      <c r="D921" s="99"/>
      <c r="E921" s="99"/>
      <c r="F921" s="99"/>
      <c r="G921" s="99"/>
      <c r="H921" s="99"/>
      <c r="I921" s="99"/>
      <c r="J921" s="99"/>
      <c r="K921" s="99"/>
      <c r="L921" s="99"/>
      <c r="M921" s="99"/>
      <c r="N921" s="99"/>
      <c r="O921" s="99"/>
      <c r="P921" s="99"/>
      <c r="Q921" s="99"/>
      <c r="R921" s="99"/>
      <c r="S921" s="99"/>
      <c r="T921" s="99"/>
      <c r="U921" s="99"/>
      <c r="V921" s="99"/>
      <c r="W921" s="99"/>
      <c r="X921" s="99"/>
      <c r="Y921" s="99"/>
      <c r="Z921" s="99"/>
      <c r="AA921" s="99"/>
      <c r="AB921" s="99"/>
      <c r="AC921" s="99"/>
      <c r="AD921" s="99"/>
    </row>
    <row r="922" spans="1:30" ht="28.5" customHeight="1" x14ac:dyDescent="0.15">
      <c r="A922" s="99"/>
      <c r="B922" s="99"/>
      <c r="C922" s="99"/>
      <c r="D922" s="99"/>
      <c r="E922" s="99"/>
      <c r="F922" s="99"/>
      <c r="G922" s="99"/>
      <c r="H922" s="99"/>
      <c r="I922" s="99"/>
      <c r="J922" s="99"/>
      <c r="K922" s="99"/>
      <c r="L922" s="99"/>
      <c r="M922" s="99"/>
      <c r="N922" s="99"/>
      <c r="O922" s="99"/>
      <c r="P922" s="99"/>
      <c r="Q922" s="99"/>
      <c r="R922" s="99"/>
      <c r="S922" s="99"/>
      <c r="T922" s="99"/>
      <c r="U922" s="99"/>
      <c r="V922" s="99"/>
      <c r="W922" s="99"/>
      <c r="X922" s="99"/>
      <c r="Y922" s="99"/>
      <c r="Z922" s="99"/>
      <c r="AA922" s="99"/>
      <c r="AB922" s="99"/>
      <c r="AC922" s="99"/>
      <c r="AD922" s="99"/>
    </row>
    <row r="923" spans="1:30" ht="28.5" customHeight="1" x14ac:dyDescent="0.15">
      <c r="A923" s="99"/>
      <c r="B923" s="99"/>
      <c r="C923" s="99"/>
      <c r="D923" s="99"/>
      <c r="E923" s="99"/>
      <c r="F923" s="99"/>
      <c r="G923" s="99"/>
      <c r="H923" s="99"/>
      <c r="I923" s="99"/>
      <c r="J923" s="99"/>
      <c r="K923" s="99"/>
      <c r="L923" s="99"/>
      <c r="M923" s="99"/>
      <c r="N923" s="99"/>
      <c r="O923" s="99"/>
      <c r="P923" s="99"/>
      <c r="Q923" s="99"/>
      <c r="R923" s="99"/>
      <c r="S923" s="99"/>
      <c r="T923" s="99"/>
      <c r="U923" s="99"/>
      <c r="V923" s="99"/>
      <c r="W923" s="99"/>
      <c r="X923" s="99"/>
      <c r="Y923" s="99"/>
      <c r="Z923" s="99"/>
      <c r="AA923" s="99"/>
      <c r="AB923" s="99"/>
      <c r="AC923" s="99"/>
      <c r="AD923" s="99"/>
    </row>
    <row r="924" spans="1:30" ht="28.5" customHeight="1" x14ac:dyDescent="0.15">
      <c r="A924" s="99"/>
      <c r="B924" s="99"/>
      <c r="C924" s="99"/>
      <c r="D924" s="99"/>
      <c r="E924" s="99"/>
      <c r="F924" s="99"/>
      <c r="G924" s="99"/>
      <c r="H924" s="99"/>
      <c r="I924" s="99"/>
      <c r="J924" s="99"/>
      <c r="K924" s="99"/>
      <c r="L924" s="99"/>
      <c r="M924" s="99"/>
      <c r="N924" s="99"/>
      <c r="O924" s="99"/>
      <c r="P924" s="99"/>
      <c r="Q924" s="99"/>
      <c r="R924" s="99"/>
      <c r="S924" s="99"/>
      <c r="T924" s="99"/>
      <c r="U924" s="99"/>
      <c r="V924" s="99"/>
      <c r="W924" s="99"/>
      <c r="X924" s="99"/>
      <c r="Y924" s="99"/>
      <c r="Z924" s="99"/>
      <c r="AA924" s="99"/>
      <c r="AB924" s="99"/>
      <c r="AC924" s="99"/>
      <c r="AD924" s="99"/>
    </row>
    <row r="925" spans="1:30" ht="28.5" customHeight="1" x14ac:dyDescent="0.15">
      <c r="A925" s="99"/>
      <c r="B925" s="99"/>
      <c r="C925" s="99"/>
      <c r="D925" s="99"/>
      <c r="E925" s="99"/>
      <c r="F925" s="99"/>
      <c r="G925" s="99"/>
      <c r="H925" s="99"/>
      <c r="I925" s="99"/>
      <c r="J925" s="99"/>
      <c r="K925" s="99"/>
      <c r="L925" s="99"/>
      <c r="M925" s="99"/>
      <c r="N925" s="99"/>
      <c r="O925" s="99"/>
      <c r="P925" s="99"/>
      <c r="Q925" s="99"/>
      <c r="R925" s="99"/>
      <c r="S925" s="99"/>
      <c r="T925" s="99"/>
      <c r="U925" s="99"/>
      <c r="V925" s="99"/>
      <c r="W925" s="99"/>
      <c r="X925" s="99"/>
      <c r="Y925" s="99"/>
      <c r="Z925" s="99"/>
      <c r="AA925" s="99"/>
      <c r="AB925" s="99"/>
      <c r="AC925" s="99"/>
      <c r="AD925" s="99"/>
    </row>
    <row r="926" spans="1:30" ht="28.5" customHeight="1" x14ac:dyDescent="0.15">
      <c r="A926" s="99"/>
      <c r="B926" s="99"/>
      <c r="C926" s="99"/>
      <c r="D926" s="99"/>
      <c r="E926" s="99"/>
      <c r="F926" s="99"/>
      <c r="G926" s="99"/>
      <c r="H926" s="99"/>
      <c r="I926" s="99"/>
      <c r="J926" s="99"/>
      <c r="K926" s="99"/>
      <c r="L926" s="99"/>
      <c r="M926" s="99"/>
      <c r="N926" s="99"/>
      <c r="O926" s="99"/>
      <c r="P926" s="99"/>
      <c r="Q926" s="99"/>
      <c r="R926" s="99"/>
      <c r="S926" s="99"/>
      <c r="T926" s="99"/>
      <c r="U926" s="99"/>
      <c r="V926" s="99"/>
      <c r="W926" s="99"/>
      <c r="X926" s="99"/>
      <c r="Y926" s="99"/>
      <c r="Z926" s="99"/>
      <c r="AA926" s="99"/>
      <c r="AB926" s="99"/>
      <c r="AC926" s="99"/>
      <c r="AD926" s="99"/>
    </row>
    <row r="927" spans="1:30" ht="28.5" customHeight="1" x14ac:dyDescent="0.15">
      <c r="A927" s="99"/>
      <c r="B927" s="99"/>
      <c r="C927" s="99"/>
      <c r="D927" s="99"/>
      <c r="E927" s="99"/>
      <c r="F927" s="99"/>
      <c r="G927" s="99"/>
      <c r="H927" s="99"/>
      <c r="I927" s="99"/>
      <c r="J927" s="99"/>
      <c r="K927" s="99"/>
      <c r="L927" s="99"/>
      <c r="M927" s="99"/>
      <c r="N927" s="99"/>
      <c r="O927" s="99"/>
      <c r="P927" s="99"/>
      <c r="Q927" s="99"/>
      <c r="R927" s="99"/>
      <c r="S927" s="99"/>
      <c r="T927" s="99"/>
      <c r="U927" s="99"/>
      <c r="V927" s="99"/>
      <c r="W927" s="99"/>
      <c r="X927" s="99"/>
      <c r="Y927" s="99"/>
      <c r="Z927" s="99"/>
      <c r="AA927" s="99"/>
      <c r="AB927" s="99"/>
      <c r="AC927" s="99"/>
      <c r="AD927" s="99"/>
    </row>
    <row r="928" spans="1:30" ht="28.5" customHeight="1" x14ac:dyDescent="0.15">
      <c r="A928" s="99"/>
      <c r="B928" s="99"/>
      <c r="C928" s="99"/>
      <c r="D928" s="99"/>
      <c r="E928" s="99"/>
      <c r="F928" s="99"/>
      <c r="G928" s="99"/>
      <c r="H928" s="99"/>
      <c r="I928" s="99"/>
      <c r="J928" s="99"/>
      <c r="K928" s="99"/>
      <c r="L928" s="99"/>
      <c r="M928" s="99"/>
      <c r="N928" s="99"/>
      <c r="O928" s="99"/>
      <c r="P928" s="99"/>
      <c r="Q928" s="99"/>
      <c r="R928" s="99"/>
      <c r="S928" s="99"/>
      <c r="T928" s="99"/>
      <c r="U928" s="99"/>
      <c r="V928" s="99"/>
      <c r="W928" s="99"/>
      <c r="X928" s="99"/>
      <c r="Y928" s="99"/>
      <c r="Z928" s="99"/>
      <c r="AA928" s="99"/>
      <c r="AB928" s="99"/>
      <c r="AC928" s="99"/>
      <c r="AD928" s="99"/>
    </row>
    <row r="929" spans="1:30" ht="28.5" customHeight="1" x14ac:dyDescent="0.15">
      <c r="A929" s="99"/>
      <c r="B929" s="99"/>
      <c r="C929" s="99"/>
      <c r="D929" s="99"/>
      <c r="E929" s="99"/>
      <c r="F929" s="99"/>
      <c r="G929" s="99"/>
      <c r="H929" s="99"/>
      <c r="I929" s="99"/>
      <c r="J929" s="99"/>
      <c r="K929" s="99"/>
      <c r="L929" s="99"/>
      <c r="M929" s="99"/>
      <c r="N929" s="99"/>
      <c r="O929" s="99"/>
      <c r="P929" s="99"/>
      <c r="Q929" s="99"/>
      <c r="R929" s="99"/>
      <c r="S929" s="99"/>
      <c r="T929" s="99"/>
      <c r="U929" s="99"/>
      <c r="V929" s="99"/>
      <c r="W929" s="99"/>
      <c r="X929" s="99"/>
      <c r="Y929" s="99"/>
      <c r="Z929" s="99"/>
      <c r="AA929" s="99"/>
      <c r="AB929" s="99"/>
      <c r="AC929" s="99"/>
      <c r="AD929" s="99"/>
    </row>
    <row r="930" spans="1:30" ht="28.5" customHeight="1" x14ac:dyDescent="0.15">
      <c r="A930" s="99"/>
      <c r="B930" s="99"/>
      <c r="C930" s="99"/>
      <c r="D930" s="99"/>
      <c r="E930" s="99"/>
      <c r="F930" s="99"/>
      <c r="G930" s="99"/>
      <c r="H930" s="99"/>
      <c r="I930" s="99"/>
      <c r="J930" s="99"/>
      <c r="K930" s="99"/>
      <c r="L930" s="99"/>
      <c r="M930" s="99"/>
      <c r="N930" s="99"/>
      <c r="O930" s="99"/>
      <c r="P930" s="99"/>
      <c r="Q930" s="99"/>
      <c r="R930" s="99"/>
      <c r="S930" s="99"/>
      <c r="T930" s="99"/>
      <c r="U930" s="99"/>
      <c r="V930" s="99"/>
      <c r="W930" s="99"/>
      <c r="X930" s="99"/>
      <c r="Y930" s="99"/>
      <c r="Z930" s="99"/>
      <c r="AA930" s="99"/>
      <c r="AB930" s="99"/>
      <c r="AC930" s="99"/>
      <c r="AD930" s="99"/>
    </row>
    <row r="931" spans="1:30" ht="28.5" customHeight="1" x14ac:dyDescent="0.15">
      <c r="A931" s="99"/>
      <c r="B931" s="99"/>
      <c r="C931" s="99"/>
      <c r="D931" s="99"/>
      <c r="E931" s="99"/>
      <c r="F931" s="99"/>
      <c r="G931" s="99"/>
      <c r="H931" s="99"/>
      <c r="I931" s="99"/>
      <c r="J931" s="99"/>
      <c r="K931" s="99"/>
      <c r="L931" s="99"/>
      <c r="M931" s="99"/>
      <c r="N931" s="99"/>
      <c r="O931" s="99"/>
      <c r="P931" s="99"/>
      <c r="Q931" s="99"/>
      <c r="R931" s="99"/>
      <c r="S931" s="99"/>
      <c r="T931" s="99"/>
      <c r="U931" s="99"/>
      <c r="V931" s="99"/>
      <c r="W931" s="99"/>
      <c r="X931" s="99"/>
      <c r="Y931" s="99"/>
      <c r="Z931" s="99"/>
      <c r="AA931" s="99"/>
      <c r="AB931" s="99"/>
      <c r="AC931" s="99"/>
      <c r="AD931" s="99"/>
    </row>
    <row r="932" spans="1:30" ht="28.5" customHeight="1" x14ac:dyDescent="0.15">
      <c r="A932" s="99"/>
      <c r="B932" s="99"/>
      <c r="C932" s="99"/>
      <c r="D932" s="99"/>
      <c r="E932" s="99"/>
      <c r="F932" s="99"/>
      <c r="G932" s="99"/>
      <c r="H932" s="99"/>
      <c r="I932" s="99"/>
      <c r="J932" s="99"/>
      <c r="K932" s="99"/>
      <c r="L932" s="99"/>
      <c r="M932" s="99"/>
      <c r="N932" s="99"/>
      <c r="O932" s="99"/>
      <c r="P932" s="99"/>
      <c r="Q932" s="99"/>
      <c r="R932" s="99"/>
      <c r="S932" s="99"/>
      <c r="T932" s="99"/>
      <c r="U932" s="99"/>
      <c r="V932" s="99"/>
      <c r="W932" s="99"/>
      <c r="X932" s="99"/>
      <c r="Y932" s="99"/>
      <c r="Z932" s="99"/>
      <c r="AA932" s="99"/>
      <c r="AB932" s="99"/>
      <c r="AC932" s="99"/>
      <c r="AD932" s="99"/>
    </row>
    <row r="933" spans="1:30" ht="28.5" customHeight="1" x14ac:dyDescent="0.15">
      <c r="A933" s="99"/>
      <c r="B933" s="99"/>
      <c r="C933" s="99"/>
      <c r="D933" s="99"/>
      <c r="E933" s="99"/>
      <c r="F933" s="99"/>
      <c r="G933" s="99"/>
      <c r="H933" s="99"/>
      <c r="I933" s="99"/>
      <c r="J933" s="99"/>
      <c r="K933" s="99"/>
      <c r="L933" s="99"/>
      <c r="M933" s="99"/>
      <c r="N933" s="99"/>
      <c r="O933" s="99"/>
      <c r="P933" s="99"/>
      <c r="Q933" s="99"/>
      <c r="R933" s="99"/>
      <c r="S933" s="99"/>
      <c r="T933" s="99"/>
      <c r="U933" s="99"/>
      <c r="V933" s="99"/>
      <c r="W933" s="99"/>
      <c r="X933" s="99"/>
      <c r="Y933" s="99"/>
      <c r="Z933" s="99"/>
      <c r="AA933" s="99"/>
      <c r="AB933" s="99"/>
      <c r="AC933" s="99"/>
      <c r="AD933" s="99"/>
    </row>
    <row r="934" spans="1:30" ht="28.5" customHeight="1" x14ac:dyDescent="0.15">
      <c r="A934" s="99"/>
      <c r="B934" s="99"/>
      <c r="C934" s="99"/>
      <c r="D934" s="99"/>
      <c r="E934" s="99"/>
      <c r="F934" s="99"/>
      <c r="G934" s="99"/>
      <c r="H934" s="99"/>
      <c r="I934" s="99"/>
      <c r="J934" s="99"/>
      <c r="K934" s="99"/>
      <c r="L934" s="99"/>
      <c r="M934" s="99"/>
      <c r="N934" s="99"/>
      <c r="O934" s="99"/>
      <c r="P934" s="99"/>
      <c r="Q934" s="99"/>
      <c r="R934" s="99"/>
      <c r="S934" s="99"/>
      <c r="T934" s="99"/>
      <c r="U934" s="99"/>
      <c r="V934" s="99"/>
      <c r="W934" s="99"/>
      <c r="X934" s="99"/>
      <c r="Y934" s="99"/>
      <c r="Z934" s="99"/>
      <c r="AA934" s="99"/>
      <c r="AB934" s="99"/>
      <c r="AC934" s="99"/>
      <c r="AD934" s="99"/>
    </row>
    <row r="935" spans="1:30" ht="28.5" customHeight="1" x14ac:dyDescent="0.15">
      <c r="A935" s="99"/>
      <c r="B935" s="99"/>
      <c r="C935" s="99"/>
      <c r="D935" s="99"/>
      <c r="E935" s="99"/>
      <c r="F935" s="99"/>
      <c r="G935" s="99"/>
      <c r="H935" s="99"/>
      <c r="I935" s="99"/>
      <c r="J935" s="99"/>
      <c r="K935" s="99"/>
      <c r="L935" s="99"/>
      <c r="M935" s="99"/>
      <c r="N935" s="99"/>
      <c r="O935" s="99"/>
      <c r="P935" s="99"/>
      <c r="Q935" s="99"/>
      <c r="R935" s="99"/>
      <c r="S935" s="99"/>
      <c r="T935" s="99"/>
      <c r="U935" s="99"/>
      <c r="V935" s="99"/>
      <c r="W935" s="99"/>
      <c r="X935" s="99"/>
      <c r="Y935" s="99"/>
      <c r="Z935" s="99"/>
      <c r="AA935" s="99"/>
      <c r="AB935" s="99"/>
      <c r="AC935" s="99"/>
      <c r="AD935" s="99"/>
    </row>
    <row r="936" spans="1:30" ht="28.5" customHeight="1" x14ac:dyDescent="0.15">
      <c r="A936" s="99"/>
      <c r="B936" s="99"/>
      <c r="C936" s="99"/>
      <c r="D936" s="99"/>
      <c r="E936" s="99"/>
      <c r="F936" s="99"/>
      <c r="G936" s="99"/>
      <c r="H936" s="99"/>
      <c r="I936" s="99"/>
      <c r="J936" s="99"/>
      <c r="K936" s="99"/>
      <c r="L936" s="99"/>
      <c r="M936" s="99"/>
      <c r="N936" s="99"/>
      <c r="O936" s="99"/>
      <c r="P936" s="99"/>
      <c r="Q936" s="99"/>
      <c r="R936" s="99"/>
      <c r="S936" s="99"/>
      <c r="T936" s="99"/>
      <c r="U936" s="99"/>
      <c r="V936" s="99"/>
      <c r="W936" s="99"/>
      <c r="X936" s="99"/>
      <c r="Y936" s="99"/>
      <c r="Z936" s="99"/>
      <c r="AA936" s="99"/>
      <c r="AB936" s="99"/>
      <c r="AC936" s="99"/>
      <c r="AD936" s="99"/>
    </row>
    <row r="937" spans="1:30" ht="28.5" customHeight="1" x14ac:dyDescent="0.15">
      <c r="A937" s="99"/>
      <c r="B937" s="99"/>
      <c r="C937" s="99"/>
      <c r="D937" s="99"/>
      <c r="E937" s="99"/>
      <c r="F937" s="99"/>
      <c r="G937" s="99"/>
      <c r="H937" s="99"/>
      <c r="I937" s="99"/>
      <c r="J937" s="99"/>
      <c r="K937" s="99"/>
      <c r="L937" s="99"/>
      <c r="M937" s="99"/>
      <c r="N937" s="99"/>
      <c r="O937" s="99"/>
      <c r="P937" s="99"/>
      <c r="Q937" s="99"/>
      <c r="R937" s="99"/>
      <c r="S937" s="99"/>
      <c r="T937" s="99"/>
      <c r="U937" s="99"/>
      <c r="V937" s="99"/>
      <c r="W937" s="99"/>
      <c r="X937" s="99"/>
      <c r="Y937" s="99"/>
      <c r="Z937" s="99"/>
      <c r="AA937" s="99"/>
      <c r="AB937" s="99"/>
      <c r="AC937" s="99"/>
      <c r="AD937" s="99"/>
    </row>
    <row r="938" spans="1:30" ht="28.5" customHeight="1" x14ac:dyDescent="0.15">
      <c r="A938" s="99"/>
      <c r="B938" s="99"/>
      <c r="C938" s="99"/>
      <c r="D938" s="99"/>
      <c r="E938" s="99"/>
      <c r="F938" s="99"/>
      <c r="G938" s="99"/>
      <c r="H938" s="99"/>
      <c r="I938" s="99"/>
      <c r="J938" s="99"/>
      <c r="K938" s="99"/>
      <c r="L938" s="99"/>
      <c r="M938" s="99"/>
      <c r="N938" s="99"/>
      <c r="O938" s="99"/>
      <c r="P938" s="99"/>
      <c r="Q938" s="99"/>
      <c r="R938" s="99"/>
      <c r="S938" s="99"/>
      <c r="T938" s="99"/>
      <c r="U938" s="99"/>
      <c r="V938" s="99"/>
      <c r="W938" s="99"/>
      <c r="X938" s="99"/>
      <c r="Y938" s="99"/>
      <c r="Z938" s="99"/>
      <c r="AA938" s="99"/>
      <c r="AB938" s="99"/>
      <c r="AC938" s="99"/>
      <c r="AD938" s="99"/>
    </row>
    <row r="939" spans="1:30" ht="28.5" customHeight="1" x14ac:dyDescent="0.15">
      <c r="A939" s="99"/>
      <c r="B939" s="99"/>
      <c r="C939" s="99"/>
      <c r="D939" s="99"/>
      <c r="E939" s="99"/>
      <c r="F939" s="99"/>
      <c r="G939" s="99"/>
      <c r="H939" s="99"/>
      <c r="I939" s="99"/>
      <c r="J939" s="99"/>
      <c r="K939" s="99"/>
      <c r="L939" s="99"/>
      <c r="M939" s="99"/>
      <c r="N939" s="99"/>
      <c r="O939" s="99"/>
      <c r="P939" s="99"/>
      <c r="Q939" s="99"/>
      <c r="R939" s="99"/>
      <c r="S939" s="99"/>
      <c r="T939" s="99"/>
      <c r="U939" s="99"/>
      <c r="V939" s="99"/>
      <c r="W939" s="99"/>
      <c r="X939" s="99"/>
      <c r="Y939" s="99"/>
      <c r="Z939" s="99"/>
      <c r="AA939" s="99"/>
      <c r="AB939" s="99"/>
      <c r="AC939" s="99"/>
      <c r="AD939" s="99"/>
    </row>
    <row r="940" spans="1:30" ht="28.5" customHeight="1" x14ac:dyDescent="0.15">
      <c r="A940" s="99"/>
      <c r="B940" s="99"/>
      <c r="C940" s="99"/>
      <c r="D940" s="99"/>
      <c r="E940" s="99"/>
      <c r="F940" s="99"/>
      <c r="G940" s="99"/>
      <c r="H940" s="99"/>
      <c r="I940" s="99"/>
      <c r="J940" s="99"/>
      <c r="K940" s="99"/>
      <c r="L940" s="99"/>
      <c r="M940" s="99"/>
      <c r="N940" s="99"/>
      <c r="O940" s="99"/>
      <c r="P940" s="99"/>
      <c r="Q940" s="99"/>
      <c r="R940" s="99"/>
      <c r="S940" s="99"/>
      <c r="T940" s="99"/>
      <c r="U940" s="99"/>
      <c r="V940" s="99"/>
      <c r="W940" s="99"/>
      <c r="X940" s="99"/>
      <c r="Y940" s="99"/>
      <c r="Z940" s="99"/>
      <c r="AA940" s="99"/>
      <c r="AB940" s="99"/>
      <c r="AC940" s="99"/>
      <c r="AD940" s="99"/>
    </row>
    <row r="941" spans="1:30" ht="28.5" customHeight="1" x14ac:dyDescent="0.15">
      <c r="A941" s="99"/>
      <c r="B941" s="99"/>
      <c r="C941" s="99"/>
      <c r="D941" s="99"/>
      <c r="E941" s="99"/>
      <c r="F941" s="99"/>
      <c r="G941" s="99"/>
      <c r="H941" s="99"/>
      <c r="I941" s="99"/>
      <c r="J941" s="99"/>
      <c r="K941" s="99"/>
      <c r="L941" s="99"/>
      <c r="M941" s="99"/>
      <c r="N941" s="99"/>
      <c r="O941" s="99"/>
      <c r="P941" s="99"/>
      <c r="Q941" s="99"/>
      <c r="R941" s="99"/>
      <c r="S941" s="99"/>
      <c r="T941" s="99"/>
      <c r="U941" s="99"/>
      <c r="V941" s="99"/>
      <c r="W941" s="99"/>
      <c r="X941" s="99"/>
      <c r="Y941" s="99"/>
      <c r="Z941" s="99"/>
      <c r="AA941" s="99"/>
      <c r="AB941" s="99"/>
      <c r="AC941" s="99"/>
      <c r="AD941" s="99"/>
    </row>
    <row r="942" spans="1:30" ht="28.5" customHeight="1" x14ac:dyDescent="0.15">
      <c r="A942" s="99"/>
      <c r="B942" s="99"/>
      <c r="C942" s="99"/>
      <c r="D942" s="99"/>
      <c r="E942" s="99"/>
      <c r="F942" s="99"/>
      <c r="G942" s="99"/>
      <c r="H942" s="99"/>
      <c r="I942" s="99"/>
      <c r="J942" s="99"/>
      <c r="K942" s="99"/>
      <c r="L942" s="99"/>
      <c r="M942" s="99"/>
      <c r="N942" s="99"/>
      <c r="O942" s="99"/>
      <c r="P942" s="99"/>
      <c r="Q942" s="99"/>
      <c r="R942" s="99"/>
      <c r="S942" s="99"/>
      <c r="T942" s="99"/>
      <c r="U942" s="99"/>
      <c r="V942" s="99"/>
      <c r="W942" s="99"/>
      <c r="X942" s="99"/>
      <c r="Y942" s="99"/>
      <c r="Z942" s="99"/>
      <c r="AA942" s="99"/>
      <c r="AB942" s="99"/>
      <c r="AC942" s="99"/>
      <c r="AD942" s="99"/>
    </row>
    <row r="943" spans="1:30" ht="28.5" customHeight="1" x14ac:dyDescent="0.15">
      <c r="A943" s="99"/>
      <c r="B943" s="99"/>
      <c r="C943" s="99"/>
      <c r="D943" s="99"/>
      <c r="E943" s="99"/>
      <c r="F943" s="99"/>
      <c r="G943" s="99"/>
      <c r="H943" s="99"/>
      <c r="I943" s="99"/>
      <c r="J943" s="99"/>
      <c r="K943" s="99"/>
      <c r="L943" s="99"/>
      <c r="M943" s="99"/>
      <c r="N943" s="99"/>
      <c r="O943" s="99"/>
      <c r="P943" s="99"/>
      <c r="Q943" s="99"/>
      <c r="R943" s="99"/>
      <c r="S943" s="99"/>
      <c r="T943" s="99"/>
      <c r="U943" s="99"/>
      <c r="V943" s="99"/>
      <c r="W943" s="99"/>
      <c r="X943" s="99"/>
      <c r="Y943" s="99"/>
      <c r="Z943" s="99"/>
      <c r="AA943" s="99"/>
      <c r="AB943" s="99"/>
      <c r="AC943" s="99"/>
      <c r="AD943" s="99"/>
    </row>
    <row r="944" spans="1:30" ht="28.5" customHeight="1" x14ac:dyDescent="0.15">
      <c r="A944" s="99"/>
      <c r="B944" s="99"/>
      <c r="C944" s="99"/>
      <c r="D944" s="99"/>
      <c r="E944" s="99"/>
      <c r="F944" s="99"/>
      <c r="G944" s="99"/>
      <c r="H944" s="99"/>
      <c r="I944" s="99"/>
      <c r="J944" s="99"/>
      <c r="K944" s="99"/>
      <c r="L944" s="99"/>
      <c r="M944" s="99"/>
      <c r="N944" s="99"/>
      <c r="O944" s="99"/>
      <c r="P944" s="99"/>
      <c r="Q944" s="99"/>
      <c r="R944" s="99"/>
      <c r="S944" s="99"/>
      <c r="T944" s="99"/>
      <c r="U944" s="99"/>
      <c r="V944" s="99"/>
      <c r="W944" s="99"/>
      <c r="X944" s="99"/>
      <c r="Y944" s="99"/>
      <c r="Z944" s="99"/>
      <c r="AA944" s="99"/>
      <c r="AB944" s="99"/>
      <c r="AC944" s="99"/>
      <c r="AD944" s="99"/>
    </row>
    <row r="945" spans="1:30" ht="28.5" customHeight="1" x14ac:dyDescent="0.15">
      <c r="A945" s="99"/>
      <c r="B945" s="99"/>
      <c r="C945" s="99"/>
      <c r="D945" s="99"/>
      <c r="E945" s="99"/>
      <c r="F945" s="99"/>
      <c r="G945" s="99"/>
      <c r="H945" s="99"/>
      <c r="I945" s="99"/>
      <c r="J945" s="99"/>
      <c r="K945" s="99"/>
      <c r="L945" s="99"/>
      <c r="M945" s="99"/>
      <c r="N945" s="99"/>
      <c r="O945" s="99"/>
      <c r="P945" s="99"/>
      <c r="Q945" s="99"/>
      <c r="R945" s="99"/>
      <c r="S945" s="99"/>
      <c r="T945" s="99"/>
      <c r="U945" s="99"/>
      <c r="V945" s="99"/>
      <c r="W945" s="99"/>
      <c r="X945" s="99"/>
      <c r="Y945" s="99"/>
      <c r="Z945" s="99"/>
      <c r="AA945" s="99"/>
      <c r="AB945" s="99"/>
      <c r="AC945" s="99"/>
      <c r="AD945" s="99"/>
    </row>
    <row r="946" spans="1:30" ht="28.5" customHeight="1" x14ac:dyDescent="0.15">
      <c r="A946" s="99"/>
      <c r="B946" s="99"/>
      <c r="C946" s="99"/>
      <c r="D946" s="99"/>
      <c r="E946" s="99"/>
      <c r="F946" s="99"/>
      <c r="G946" s="99"/>
      <c r="H946" s="99"/>
      <c r="I946" s="99"/>
      <c r="J946" s="99"/>
      <c r="K946" s="99"/>
      <c r="L946" s="99"/>
      <c r="M946" s="99"/>
      <c r="N946" s="99"/>
      <c r="O946" s="99"/>
      <c r="P946" s="99"/>
      <c r="Q946" s="99"/>
      <c r="R946" s="99"/>
      <c r="S946" s="99"/>
      <c r="T946" s="99"/>
      <c r="U946" s="99"/>
      <c r="V946" s="99"/>
      <c r="W946" s="99"/>
      <c r="X946" s="99"/>
      <c r="Y946" s="99"/>
      <c r="Z946" s="99"/>
      <c r="AA946" s="99"/>
      <c r="AB946" s="99"/>
      <c r="AC946" s="99"/>
      <c r="AD946" s="99"/>
    </row>
    <row r="947" spans="1:30" ht="28.5" customHeight="1" x14ac:dyDescent="0.15">
      <c r="A947" s="99"/>
      <c r="B947" s="99"/>
      <c r="C947" s="99"/>
      <c r="D947" s="99"/>
      <c r="E947" s="99"/>
      <c r="F947" s="99"/>
      <c r="G947" s="99"/>
      <c r="H947" s="99"/>
      <c r="I947" s="99"/>
      <c r="J947" s="99"/>
      <c r="K947" s="99"/>
      <c r="L947" s="99"/>
      <c r="M947" s="99"/>
      <c r="N947" s="99"/>
      <c r="O947" s="99"/>
      <c r="P947" s="99"/>
      <c r="Q947" s="99"/>
      <c r="R947" s="99"/>
      <c r="S947" s="99"/>
      <c r="T947" s="99"/>
      <c r="U947" s="99"/>
      <c r="V947" s="99"/>
      <c r="W947" s="99"/>
      <c r="X947" s="99"/>
      <c r="Y947" s="99"/>
      <c r="Z947" s="99"/>
      <c r="AA947" s="99"/>
      <c r="AB947" s="99"/>
      <c r="AC947" s="99"/>
      <c r="AD947" s="99"/>
    </row>
    <row r="948" spans="1:30" ht="28.5" customHeight="1" x14ac:dyDescent="0.15">
      <c r="A948" s="99"/>
      <c r="B948" s="99"/>
      <c r="C948" s="99"/>
      <c r="D948" s="99"/>
      <c r="E948" s="99"/>
      <c r="F948" s="99"/>
      <c r="G948" s="99"/>
      <c r="H948" s="99"/>
      <c r="I948" s="99"/>
      <c r="J948" s="99"/>
      <c r="K948" s="99"/>
      <c r="L948" s="99"/>
      <c r="M948" s="99"/>
      <c r="N948" s="99"/>
      <c r="O948" s="99"/>
      <c r="P948" s="99"/>
      <c r="Q948" s="99"/>
      <c r="R948" s="99"/>
      <c r="S948" s="99"/>
      <c r="T948" s="99"/>
      <c r="U948" s="99"/>
      <c r="V948" s="99"/>
      <c r="W948" s="99"/>
      <c r="X948" s="99"/>
      <c r="Y948" s="99"/>
      <c r="Z948" s="99"/>
      <c r="AA948" s="99"/>
      <c r="AB948" s="99"/>
      <c r="AC948" s="99"/>
      <c r="AD948" s="99"/>
    </row>
    <row r="949" spans="1:30" ht="28.5" customHeight="1" x14ac:dyDescent="0.15">
      <c r="A949" s="99"/>
      <c r="B949" s="99"/>
      <c r="C949" s="99"/>
      <c r="D949" s="99"/>
      <c r="E949" s="99"/>
      <c r="F949" s="99"/>
      <c r="G949" s="99"/>
      <c r="H949" s="99"/>
      <c r="I949" s="99"/>
      <c r="J949" s="99"/>
      <c r="K949" s="99"/>
      <c r="L949" s="99"/>
      <c r="M949" s="99"/>
      <c r="N949" s="99"/>
      <c r="O949" s="99"/>
      <c r="P949" s="99"/>
      <c r="Q949" s="99"/>
      <c r="R949" s="99"/>
      <c r="S949" s="99"/>
      <c r="T949" s="99"/>
      <c r="U949" s="99"/>
      <c r="V949" s="99"/>
      <c r="W949" s="99"/>
      <c r="X949" s="99"/>
      <c r="Y949" s="99"/>
      <c r="Z949" s="99"/>
      <c r="AA949" s="99"/>
      <c r="AB949" s="99"/>
      <c r="AC949" s="99"/>
      <c r="AD949" s="99"/>
    </row>
    <row r="950" spans="1:30" ht="28.5" customHeight="1" x14ac:dyDescent="0.15">
      <c r="A950" s="99"/>
      <c r="B950" s="99"/>
      <c r="C950" s="99"/>
      <c r="D950" s="99"/>
      <c r="E950" s="99"/>
      <c r="F950" s="99"/>
      <c r="G950" s="99"/>
      <c r="H950" s="99"/>
      <c r="I950" s="99"/>
      <c r="J950" s="99"/>
      <c r="K950" s="99"/>
      <c r="L950" s="99"/>
      <c r="M950" s="99"/>
      <c r="N950" s="99"/>
      <c r="O950" s="99"/>
      <c r="P950" s="99"/>
      <c r="Q950" s="99"/>
      <c r="R950" s="99"/>
      <c r="S950" s="99"/>
      <c r="T950" s="99"/>
      <c r="U950" s="99"/>
      <c r="V950" s="99"/>
      <c r="W950" s="99"/>
      <c r="X950" s="99"/>
      <c r="Y950" s="99"/>
      <c r="Z950" s="99"/>
      <c r="AA950" s="99"/>
      <c r="AB950" s="99"/>
      <c r="AC950" s="99"/>
      <c r="AD950" s="99"/>
    </row>
    <row r="951" spans="1:30" ht="28.5" customHeight="1" x14ac:dyDescent="0.15">
      <c r="A951" s="99"/>
      <c r="B951" s="99"/>
      <c r="C951" s="99"/>
      <c r="D951" s="99"/>
      <c r="E951" s="99"/>
      <c r="F951" s="99"/>
      <c r="G951" s="99"/>
      <c r="H951" s="99"/>
      <c r="I951" s="99"/>
      <c r="J951" s="99"/>
      <c r="K951" s="99"/>
      <c r="L951" s="99"/>
      <c r="M951" s="99"/>
      <c r="N951" s="99"/>
      <c r="O951" s="99"/>
      <c r="P951" s="99"/>
      <c r="Q951" s="99"/>
      <c r="R951" s="99"/>
      <c r="S951" s="99"/>
      <c r="T951" s="99"/>
      <c r="U951" s="99"/>
      <c r="V951" s="99"/>
      <c r="W951" s="99"/>
      <c r="X951" s="99"/>
      <c r="Y951" s="99"/>
      <c r="Z951" s="99"/>
      <c r="AA951" s="99"/>
      <c r="AB951" s="99"/>
      <c r="AC951" s="99"/>
      <c r="AD951" s="99"/>
    </row>
    <row r="952" spans="1:30" ht="28.5" customHeight="1" x14ac:dyDescent="0.15">
      <c r="A952" s="99"/>
      <c r="B952" s="99"/>
      <c r="C952" s="99"/>
      <c r="D952" s="99"/>
      <c r="E952" s="99"/>
      <c r="F952" s="99"/>
      <c r="G952" s="99"/>
      <c r="H952" s="99"/>
      <c r="I952" s="99"/>
      <c r="J952" s="99"/>
      <c r="K952" s="99"/>
      <c r="L952" s="99"/>
      <c r="M952" s="99"/>
      <c r="N952" s="99"/>
      <c r="O952" s="99"/>
      <c r="P952" s="99"/>
      <c r="Q952" s="99"/>
      <c r="R952" s="99"/>
      <c r="S952" s="99"/>
      <c r="T952" s="99"/>
      <c r="U952" s="99"/>
      <c r="V952" s="99"/>
      <c r="W952" s="99"/>
      <c r="X952" s="99"/>
      <c r="Y952" s="99"/>
      <c r="Z952" s="99"/>
      <c r="AA952" s="99"/>
      <c r="AB952" s="99"/>
      <c r="AC952" s="99"/>
      <c r="AD952" s="99"/>
    </row>
    <row r="953" spans="1:30" ht="28.5" customHeight="1" x14ac:dyDescent="0.15">
      <c r="A953" s="99"/>
      <c r="B953" s="99"/>
      <c r="C953" s="99"/>
      <c r="D953" s="99"/>
      <c r="E953" s="99"/>
      <c r="F953" s="99"/>
      <c r="G953" s="99"/>
      <c r="H953" s="99"/>
      <c r="I953" s="99"/>
      <c r="J953" s="99"/>
      <c r="K953" s="99"/>
      <c r="L953" s="99"/>
      <c r="M953" s="99"/>
      <c r="N953" s="99"/>
      <c r="O953" s="99"/>
      <c r="P953" s="99"/>
      <c r="Q953" s="99"/>
      <c r="R953" s="99"/>
      <c r="S953" s="99"/>
      <c r="T953" s="99"/>
      <c r="U953" s="99"/>
      <c r="V953" s="99"/>
      <c r="W953" s="99"/>
      <c r="X953" s="99"/>
      <c r="Y953" s="99"/>
      <c r="Z953" s="99"/>
      <c r="AA953" s="99"/>
      <c r="AB953" s="99"/>
      <c r="AC953" s="99"/>
      <c r="AD953" s="99"/>
    </row>
    <row r="954" spans="1:30" ht="28.5" customHeight="1" x14ac:dyDescent="0.15">
      <c r="A954" s="99"/>
      <c r="B954" s="99"/>
      <c r="C954" s="99"/>
      <c r="D954" s="99"/>
      <c r="E954" s="99"/>
      <c r="F954" s="99"/>
      <c r="G954" s="99"/>
      <c r="H954" s="99"/>
      <c r="I954" s="99"/>
      <c r="J954" s="99"/>
      <c r="K954" s="99"/>
      <c r="L954" s="99"/>
      <c r="M954" s="99"/>
      <c r="N954" s="99"/>
      <c r="O954" s="99"/>
      <c r="P954" s="99"/>
      <c r="Q954" s="99"/>
      <c r="R954" s="99"/>
      <c r="S954" s="99"/>
      <c r="T954" s="99"/>
      <c r="U954" s="99"/>
      <c r="V954" s="99"/>
      <c r="W954" s="99"/>
      <c r="X954" s="99"/>
      <c r="Y954" s="99"/>
      <c r="Z954" s="99"/>
      <c r="AA954" s="99"/>
      <c r="AB954" s="99"/>
      <c r="AC954" s="99"/>
      <c r="AD954" s="99"/>
    </row>
    <row r="955" spans="1:30" ht="28.5" customHeight="1" x14ac:dyDescent="0.15">
      <c r="A955" s="99"/>
      <c r="B955" s="99"/>
      <c r="C955" s="99"/>
      <c r="D955" s="99"/>
      <c r="E955" s="99"/>
      <c r="F955" s="99"/>
      <c r="G955" s="99"/>
      <c r="H955" s="99"/>
      <c r="I955" s="99"/>
      <c r="J955" s="99"/>
      <c r="K955" s="99"/>
      <c r="L955" s="99"/>
      <c r="M955" s="99"/>
      <c r="N955" s="99"/>
      <c r="O955" s="99"/>
      <c r="P955" s="99"/>
      <c r="Q955" s="99"/>
      <c r="R955" s="99"/>
      <c r="S955" s="99"/>
      <c r="T955" s="99"/>
      <c r="U955" s="99"/>
      <c r="V955" s="99"/>
      <c r="W955" s="99"/>
      <c r="X955" s="99"/>
      <c r="Y955" s="99"/>
      <c r="Z955" s="99"/>
      <c r="AA955" s="99"/>
      <c r="AB955" s="99"/>
      <c r="AC955" s="99"/>
      <c r="AD955" s="99"/>
    </row>
    <row r="956" spans="1:30" ht="28.5" customHeight="1" x14ac:dyDescent="0.15">
      <c r="A956" s="99"/>
      <c r="B956" s="99"/>
      <c r="C956" s="99"/>
      <c r="D956" s="99"/>
      <c r="E956" s="99"/>
      <c r="F956" s="99"/>
      <c r="G956" s="99"/>
      <c r="H956" s="99"/>
      <c r="I956" s="99"/>
      <c r="J956" s="99"/>
      <c r="K956" s="99"/>
      <c r="L956" s="99"/>
      <c r="M956" s="99"/>
      <c r="N956" s="99"/>
      <c r="O956" s="99"/>
      <c r="P956" s="99"/>
      <c r="Q956" s="99"/>
      <c r="R956" s="99"/>
      <c r="S956" s="99"/>
      <c r="T956" s="99"/>
      <c r="U956" s="99"/>
      <c r="V956" s="99"/>
      <c r="W956" s="99"/>
      <c r="X956" s="99"/>
      <c r="Y956" s="99"/>
      <c r="Z956" s="99"/>
      <c r="AA956" s="99"/>
      <c r="AB956" s="99"/>
      <c r="AC956" s="99"/>
      <c r="AD956" s="99"/>
    </row>
    <row r="957" spans="1:30" ht="28.5" customHeight="1" x14ac:dyDescent="0.15">
      <c r="A957" s="99"/>
      <c r="B957" s="99"/>
      <c r="C957" s="99"/>
      <c r="D957" s="99"/>
      <c r="E957" s="99"/>
      <c r="F957" s="99"/>
      <c r="G957" s="99"/>
      <c r="H957" s="99"/>
      <c r="I957" s="99"/>
      <c r="J957" s="99"/>
      <c r="K957" s="99"/>
      <c r="L957" s="99"/>
      <c r="M957" s="99"/>
      <c r="N957" s="99"/>
      <c r="O957" s="99"/>
      <c r="P957" s="99"/>
      <c r="Q957" s="99"/>
      <c r="R957" s="99"/>
      <c r="S957" s="99"/>
      <c r="T957" s="99"/>
      <c r="U957" s="99"/>
      <c r="V957" s="99"/>
      <c r="W957" s="99"/>
      <c r="X957" s="99"/>
      <c r="Y957" s="99"/>
      <c r="Z957" s="99"/>
      <c r="AA957" s="99"/>
      <c r="AB957" s="99"/>
      <c r="AC957" s="99"/>
      <c r="AD957" s="99"/>
    </row>
    <row r="958" spans="1:30" ht="28.5" customHeight="1" x14ac:dyDescent="0.15">
      <c r="A958" s="99"/>
      <c r="B958" s="99"/>
      <c r="C958" s="99"/>
      <c r="D958" s="99"/>
      <c r="E958" s="99"/>
      <c r="F958" s="99"/>
      <c r="G958" s="99"/>
      <c r="H958" s="99"/>
      <c r="I958" s="99"/>
      <c r="J958" s="99"/>
      <c r="K958" s="99"/>
      <c r="L958" s="99"/>
      <c r="M958" s="99"/>
      <c r="N958" s="99"/>
      <c r="O958" s="99"/>
      <c r="P958" s="99"/>
      <c r="Q958" s="99"/>
      <c r="R958" s="99"/>
      <c r="S958" s="99"/>
      <c r="T958" s="99"/>
      <c r="U958" s="99"/>
      <c r="V958" s="99"/>
      <c r="W958" s="99"/>
      <c r="X958" s="99"/>
      <c r="Y958" s="99"/>
      <c r="Z958" s="99"/>
      <c r="AA958" s="99"/>
      <c r="AB958" s="99"/>
      <c r="AC958" s="99"/>
      <c r="AD958" s="99"/>
    </row>
    <row r="959" spans="1:30" ht="28.5" customHeight="1" x14ac:dyDescent="0.15">
      <c r="A959" s="99"/>
      <c r="B959" s="99"/>
      <c r="C959" s="99"/>
      <c r="D959" s="99"/>
      <c r="E959" s="99"/>
      <c r="F959" s="99"/>
      <c r="G959" s="99"/>
      <c r="H959" s="99"/>
      <c r="I959" s="99"/>
      <c r="J959" s="99"/>
      <c r="K959" s="99"/>
      <c r="L959" s="99"/>
      <c r="M959" s="99"/>
      <c r="N959" s="99"/>
      <c r="O959" s="99"/>
      <c r="P959" s="99"/>
      <c r="Q959" s="99"/>
      <c r="R959" s="99"/>
      <c r="S959" s="99"/>
      <c r="T959" s="99"/>
      <c r="U959" s="99"/>
      <c r="V959" s="99"/>
      <c r="W959" s="99"/>
      <c r="X959" s="99"/>
      <c r="Y959" s="99"/>
      <c r="Z959" s="99"/>
      <c r="AA959" s="99"/>
      <c r="AB959" s="99"/>
      <c r="AC959" s="99"/>
      <c r="AD959" s="99"/>
    </row>
    <row r="960" spans="1:30" ht="28.5" customHeight="1" x14ac:dyDescent="0.15">
      <c r="A960" s="99"/>
      <c r="B960" s="99"/>
      <c r="C960" s="99"/>
      <c r="D960" s="99"/>
      <c r="E960" s="99"/>
      <c r="F960" s="99"/>
      <c r="G960" s="99"/>
      <c r="H960" s="99"/>
      <c r="I960" s="99"/>
      <c r="J960" s="99"/>
      <c r="K960" s="99"/>
      <c r="L960" s="99"/>
      <c r="M960" s="99"/>
      <c r="N960" s="99"/>
      <c r="O960" s="99"/>
      <c r="P960" s="99"/>
      <c r="Q960" s="99"/>
      <c r="R960" s="99"/>
      <c r="S960" s="99"/>
      <c r="T960" s="99"/>
      <c r="U960" s="99"/>
      <c r="V960" s="99"/>
      <c r="W960" s="99"/>
      <c r="X960" s="99"/>
      <c r="Y960" s="99"/>
      <c r="Z960" s="99"/>
      <c r="AA960" s="99"/>
      <c r="AB960" s="99"/>
      <c r="AC960" s="99"/>
      <c r="AD960" s="99"/>
    </row>
    <row r="961" spans="1:30" ht="28.5" customHeight="1" x14ac:dyDescent="0.15">
      <c r="A961" s="99"/>
      <c r="B961" s="99"/>
      <c r="C961" s="99"/>
      <c r="D961" s="99"/>
      <c r="E961" s="99"/>
      <c r="F961" s="99"/>
      <c r="G961" s="99"/>
      <c r="H961" s="99"/>
      <c r="I961" s="99"/>
      <c r="J961" s="99"/>
      <c r="K961" s="99"/>
      <c r="L961" s="99"/>
      <c r="M961" s="99"/>
      <c r="N961" s="99"/>
      <c r="O961" s="99"/>
      <c r="P961" s="99"/>
      <c r="Q961" s="99"/>
      <c r="R961" s="99"/>
      <c r="S961" s="99"/>
      <c r="T961" s="99"/>
      <c r="U961" s="99"/>
      <c r="V961" s="99"/>
      <c r="W961" s="99"/>
      <c r="X961" s="99"/>
      <c r="Y961" s="99"/>
      <c r="Z961" s="99"/>
      <c r="AA961" s="99"/>
      <c r="AB961" s="99"/>
      <c r="AC961" s="99"/>
      <c r="AD961" s="99"/>
    </row>
    <row r="962" spans="1:30" ht="28.5" customHeight="1" x14ac:dyDescent="0.15">
      <c r="A962" s="99"/>
      <c r="B962" s="99"/>
      <c r="C962" s="99"/>
      <c r="D962" s="99"/>
      <c r="E962" s="99"/>
      <c r="F962" s="99"/>
      <c r="G962" s="99"/>
      <c r="H962" s="99"/>
      <c r="I962" s="99"/>
      <c r="J962" s="99"/>
      <c r="K962" s="99"/>
      <c r="L962" s="99"/>
      <c r="M962" s="99"/>
      <c r="N962" s="99"/>
      <c r="O962" s="99"/>
      <c r="P962" s="99"/>
      <c r="Q962" s="99"/>
      <c r="R962" s="99"/>
      <c r="S962" s="99"/>
      <c r="T962" s="99"/>
      <c r="U962" s="99"/>
      <c r="V962" s="99"/>
      <c r="W962" s="99"/>
      <c r="X962" s="99"/>
      <c r="Y962" s="99"/>
      <c r="Z962" s="99"/>
      <c r="AA962" s="99"/>
      <c r="AB962" s="99"/>
      <c r="AC962" s="99"/>
      <c r="AD962" s="99"/>
    </row>
    <row r="963" spans="1:30" ht="28.5" customHeight="1" x14ac:dyDescent="0.15">
      <c r="A963" s="99"/>
      <c r="B963" s="99"/>
      <c r="C963" s="99"/>
      <c r="D963" s="99"/>
      <c r="E963" s="99"/>
      <c r="F963" s="99"/>
      <c r="G963" s="99"/>
      <c r="H963" s="99"/>
      <c r="I963" s="99"/>
      <c r="J963" s="99"/>
      <c r="K963" s="99"/>
      <c r="L963" s="99"/>
      <c r="M963" s="99"/>
      <c r="N963" s="99"/>
      <c r="O963" s="99"/>
      <c r="P963" s="99"/>
      <c r="Q963" s="99"/>
      <c r="R963" s="99"/>
      <c r="S963" s="99"/>
      <c r="T963" s="99"/>
      <c r="U963" s="99"/>
      <c r="V963" s="99"/>
      <c r="W963" s="99"/>
      <c r="X963" s="99"/>
      <c r="Y963" s="99"/>
      <c r="Z963" s="99"/>
      <c r="AA963" s="99"/>
      <c r="AB963" s="99"/>
      <c r="AC963" s="99"/>
      <c r="AD963" s="99"/>
    </row>
    <row r="964" spans="1:30" ht="28.5" customHeight="1" x14ac:dyDescent="0.15">
      <c r="A964" s="99"/>
      <c r="B964" s="99"/>
      <c r="C964" s="99"/>
      <c r="D964" s="99"/>
      <c r="E964" s="99"/>
      <c r="F964" s="99"/>
      <c r="G964" s="99"/>
      <c r="H964" s="99"/>
      <c r="I964" s="99"/>
      <c r="J964" s="99"/>
      <c r="K964" s="99"/>
      <c r="L964" s="99"/>
      <c r="M964" s="99"/>
      <c r="N964" s="99"/>
      <c r="O964" s="99"/>
      <c r="P964" s="99"/>
      <c r="Q964" s="99"/>
      <c r="R964" s="99"/>
      <c r="S964" s="99"/>
      <c r="T964" s="99"/>
      <c r="U964" s="99"/>
      <c r="V964" s="99"/>
      <c r="W964" s="99"/>
      <c r="X964" s="99"/>
      <c r="Y964" s="99"/>
      <c r="Z964" s="99"/>
      <c r="AA964" s="99"/>
      <c r="AB964" s="99"/>
      <c r="AC964" s="99"/>
      <c r="AD964" s="99"/>
    </row>
    <row r="965" spans="1:30" ht="28.5" customHeight="1" x14ac:dyDescent="0.15">
      <c r="A965" s="99"/>
      <c r="B965" s="99"/>
      <c r="C965" s="99"/>
      <c r="D965" s="99"/>
      <c r="E965" s="99"/>
      <c r="F965" s="99"/>
      <c r="G965" s="99"/>
      <c r="H965" s="99"/>
      <c r="I965" s="99"/>
      <c r="J965" s="99"/>
      <c r="K965" s="99"/>
      <c r="L965" s="99"/>
      <c r="M965" s="99"/>
      <c r="N965" s="99"/>
      <c r="O965" s="99"/>
      <c r="P965" s="99"/>
      <c r="Q965" s="99"/>
      <c r="R965" s="99"/>
      <c r="S965" s="99"/>
      <c r="T965" s="99"/>
      <c r="U965" s="99"/>
      <c r="V965" s="99"/>
      <c r="W965" s="99"/>
      <c r="X965" s="99"/>
      <c r="Y965" s="99"/>
      <c r="Z965" s="99"/>
      <c r="AA965" s="99"/>
      <c r="AB965" s="99"/>
      <c r="AC965" s="99"/>
      <c r="AD965" s="99"/>
    </row>
    <row r="966" spans="1:30" ht="28.5" customHeight="1" x14ac:dyDescent="0.15">
      <c r="A966" s="99"/>
      <c r="B966" s="99"/>
      <c r="C966" s="99"/>
      <c r="D966" s="99"/>
      <c r="E966" s="99"/>
      <c r="F966" s="99"/>
      <c r="G966" s="99"/>
      <c r="H966" s="99"/>
      <c r="I966" s="99"/>
      <c r="J966" s="99"/>
      <c r="K966" s="99"/>
      <c r="L966" s="99"/>
      <c r="M966" s="99"/>
      <c r="N966" s="99"/>
      <c r="O966" s="99"/>
      <c r="P966" s="99"/>
      <c r="Q966" s="99"/>
      <c r="R966" s="99"/>
      <c r="S966" s="99"/>
      <c r="T966" s="99"/>
      <c r="U966" s="99"/>
      <c r="V966" s="99"/>
      <c r="W966" s="99"/>
      <c r="X966" s="99"/>
      <c r="Y966" s="99"/>
      <c r="Z966" s="99"/>
      <c r="AA966" s="99"/>
      <c r="AB966" s="99"/>
      <c r="AC966" s="99"/>
      <c r="AD966" s="99"/>
    </row>
    <row r="967" spans="1:30" ht="28.5" customHeight="1" x14ac:dyDescent="0.15">
      <c r="A967" s="99"/>
      <c r="B967" s="99"/>
      <c r="C967" s="99"/>
      <c r="D967" s="99"/>
      <c r="E967" s="99"/>
      <c r="F967" s="99"/>
      <c r="G967" s="99"/>
      <c r="H967" s="99"/>
      <c r="I967" s="99"/>
      <c r="J967" s="99"/>
      <c r="K967" s="99"/>
      <c r="L967" s="99"/>
      <c r="M967" s="99"/>
      <c r="N967" s="99"/>
      <c r="O967" s="99"/>
      <c r="P967" s="99"/>
      <c r="Q967" s="99"/>
      <c r="R967" s="99"/>
      <c r="S967" s="99"/>
      <c r="T967" s="99"/>
      <c r="U967" s="99"/>
      <c r="V967" s="99"/>
      <c r="W967" s="99"/>
      <c r="X967" s="99"/>
      <c r="Y967" s="99"/>
      <c r="Z967" s="99"/>
      <c r="AA967" s="99"/>
      <c r="AB967" s="99"/>
      <c r="AC967" s="99"/>
      <c r="AD967" s="99"/>
    </row>
    <row r="968" spans="1:30" ht="28.5" customHeight="1" x14ac:dyDescent="0.15">
      <c r="A968" s="99"/>
      <c r="B968" s="99"/>
      <c r="C968" s="99"/>
      <c r="D968" s="99"/>
      <c r="E968" s="99"/>
      <c r="F968" s="99"/>
      <c r="G968" s="99"/>
      <c r="H968" s="99"/>
      <c r="I968" s="99"/>
      <c r="J968" s="99"/>
      <c r="K968" s="99"/>
      <c r="L968" s="99"/>
      <c r="M968" s="99"/>
      <c r="N968" s="99"/>
      <c r="O968" s="99"/>
      <c r="P968" s="99"/>
      <c r="Q968" s="99"/>
      <c r="R968" s="99"/>
      <c r="S968" s="99"/>
      <c r="T968" s="99"/>
      <c r="U968" s="99"/>
      <c r="V968" s="99"/>
      <c r="W968" s="99"/>
      <c r="X968" s="99"/>
      <c r="Y968" s="99"/>
      <c r="Z968" s="99"/>
      <c r="AA968" s="99"/>
      <c r="AB968" s="99"/>
      <c r="AC968" s="99"/>
      <c r="AD968" s="99"/>
    </row>
    <row r="969" spans="1:30" ht="28.5" customHeight="1" x14ac:dyDescent="0.15">
      <c r="A969" s="99"/>
      <c r="B969" s="99"/>
      <c r="C969" s="99"/>
      <c r="D969" s="99"/>
      <c r="E969" s="99"/>
      <c r="F969" s="99"/>
      <c r="G969" s="99"/>
      <c r="H969" s="99"/>
      <c r="I969" s="99"/>
      <c r="J969" s="99"/>
      <c r="K969" s="99"/>
      <c r="L969" s="99"/>
      <c r="M969" s="99"/>
      <c r="N969" s="99"/>
      <c r="O969" s="99"/>
      <c r="P969" s="99"/>
      <c r="Q969" s="99"/>
      <c r="R969" s="99"/>
      <c r="S969" s="99"/>
      <c r="T969" s="99"/>
      <c r="U969" s="99"/>
      <c r="V969" s="99"/>
      <c r="W969" s="99"/>
      <c r="X969" s="99"/>
      <c r="Y969" s="99"/>
      <c r="Z969" s="99"/>
      <c r="AA969" s="99"/>
      <c r="AB969" s="99"/>
      <c r="AC969" s="99"/>
      <c r="AD969" s="99"/>
    </row>
    <row r="970" spans="1:30" ht="28.5" customHeight="1" x14ac:dyDescent="0.15">
      <c r="A970" s="99"/>
      <c r="B970" s="99"/>
      <c r="C970" s="99"/>
      <c r="D970" s="99"/>
      <c r="E970" s="99"/>
      <c r="F970" s="99"/>
      <c r="G970" s="99"/>
      <c r="H970" s="99"/>
      <c r="I970" s="99"/>
      <c r="J970" s="99"/>
      <c r="K970" s="99"/>
      <c r="L970" s="99"/>
      <c r="M970" s="99"/>
      <c r="N970" s="99"/>
      <c r="O970" s="99"/>
      <c r="P970" s="99"/>
      <c r="Q970" s="99"/>
      <c r="R970" s="99"/>
      <c r="S970" s="99"/>
      <c r="T970" s="99"/>
      <c r="U970" s="99"/>
      <c r="V970" s="99"/>
      <c r="W970" s="99"/>
      <c r="X970" s="99"/>
      <c r="Y970" s="99"/>
      <c r="Z970" s="99"/>
      <c r="AA970" s="99"/>
      <c r="AB970" s="99"/>
      <c r="AC970" s="99"/>
      <c r="AD970" s="99"/>
    </row>
    <row r="971" spans="1:30" ht="28.5" customHeight="1" x14ac:dyDescent="0.15">
      <c r="A971" s="99"/>
      <c r="B971" s="99"/>
      <c r="C971" s="99"/>
      <c r="D971" s="99"/>
      <c r="E971" s="99"/>
      <c r="F971" s="99"/>
      <c r="G971" s="99"/>
      <c r="H971" s="99"/>
      <c r="I971" s="99"/>
      <c r="J971" s="99"/>
      <c r="K971" s="99"/>
      <c r="L971" s="99"/>
      <c r="M971" s="99"/>
      <c r="N971" s="99"/>
      <c r="O971" s="99"/>
      <c r="P971" s="99"/>
      <c r="Q971" s="99"/>
      <c r="R971" s="99"/>
      <c r="S971" s="99"/>
      <c r="T971" s="99"/>
      <c r="U971" s="99"/>
      <c r="V971" s="99"/>
      <c r="W971" s="99"/>
      <c r="X971" s="99"/>
      <c r="Y971" s="99"/>
      <c r="Z971" s="99"/>
      <c r="AA971" s="99"/>
      <c r="AB971" s="99"/>
      <c r="AC971" s="99"/>
      <c r="AD971" s="99"/>
    </row>
    <row r="972" spans="1:30" ht="28.5" customHeight="1" x14ac:dyDescent="0.15">
      <c r="A972" s="99"/>
      <c r="B972" s="99"/>
      <c r="C972" s="99"/>
      <c r="D972" s="99"/>
      <c r="E972" s="99"/>
      <c r="F972" s="99"/>
      <c r="G972" s="99"/>
      <c r="H972" s="99"/>
      <c r="I972" s="99"/>
      <c r="J972" s="99"/>
      <c r="K972" s="99"/>
      <c r="L972" s="99"/>
      <c r="M972" s="99"/>
      <c r="N972" s="99"/>
      <c r="O972" s="99"/>
      <c r="P972" s="99"/>
      <c r="Q972" s="99"/>
      <c r="R972" s="99"/>
      <c r="S972" s="99"/>
      <c r="T972" s="99"/>
      <c r="U972" s="99"/>
      <c r="V972" s="99"/>
      <c r="W972" s="99"/>
      <c r="X972" s="99"/>
      <c r="Y972" s="99"/>
      <c r="Z972" s="99"/>
      <c r="AA972" s="99"/>
      <c r="AB972" s="99"/>
      <c r="AC972" s="99"/>
      <c r="AD972" s="99"/>
    </row>
    <row r="973" spans="1:30" ht="28.5" customHeight="1" x14ac:dyDescent="0.15">
      <c r="A973" s="99"/>
      <c r="B973" s="99"/>
      <c r="C973" s="99"/>
      <c r="D973" s="99"/>
      <c r="E973" s="99"/>
      <c r="F973" s="99"/>
      <c r="G973" s="99"/>
      <c r="H973" s="99"/>
      <c r="I973" s="99"/>
      <c r="J973" s="99"/>
      <c r="K973" s="99"/>
      <c r="L973" s="99"/>
      <c r="M973" s="99"/>
      <c r="N973" s="99"/>
      <c r="O973" s="99"/>
      <c r="P973" s="99"/>
      <c r="Q973" s="99"/>
      <c r="R973" s="99"/>
      <c r="S973" s="99"/>
      <c r="T973" s="99"/>
      <c r="U973" s="99"/>
      <c r="V973" s="99"/>
      <c r="W973" s="99"/>
      <c r="X973" s="99"/>
      <c r="Y973" s="99"/>
      <c r="Z973" s="99"/>
      <c r="AA973" s="99"/>
      <c r="AB973" s="99"/>
      <c r="AC973" s="99"/>
      <c r="AD973" s="99"/>
    </row>
    <row r="974" spans="1:30" ht="28.5" customHeight="1" x14ac:dyDescent="0.15">
      <c r="A974" s="99"/>
      <c r="B974" s="99"/>
      <c r="C974" s="99"/>
      <c r="D974" s="99"/>
      <c r="E974" s="99"/>
      <c r="F974" s="99"/>
      <c r="G974" s="99"/>
      <c r="H974" s="99"/>
      <c r="I974" s="99"/>
      <c r="J974" s="99"/>
      <c r="K974" s="99"/>
      <c r="L974" s="99"/>
      <c r="M974" s="99"/>
      <c r="N974" s="99"/>
      <c r="O974" s="99"/>
      <c r="P974" s="99"/>
      <c r="Q974" s="99"/>
      <c r="R974" s="99"/>
      <c r="S974" s="99"/>
      <c r="T974" s="99"/>
      <c r="U974" s="99"/>
      <c r="V974" s="99"/>
      <c r="W974" s="99"/>
      <c r="X974" s="99"/>
      <c r="Y974" s="99"/>
      <c r="Z974" s="99"/>
      <c r="AA974" s="99"/>
      <c r="AB974" s="99"/>
      <c r="AC974" s="99"/>
      <c r="AD974" s="99"/>
    </row>
    <row r="975" spans="1:30" ht="28.5" customHeight="1" x14ac:dyDescent="0.15">
      <c r="A975" s="99"/>
      <c r="B975" s="99"/>
      <c r="C975" s="99"/>
      <c r="D975" s="99"/>
      <c r="E975" s="99"/>
      <c r="F975" s="99"/>
      <c r="G975" s="99"/>
      <c r="H975" s="99"/>
      <c r="I975" s="99"/>
      <c r="J975" s="99"/>
      <c r="K975" s="99"/>
      <c r="L975" s="99"/>
      <c r="M975" s="99"/>
      <c r="N975" s="99"/>
      <c r="O975" s="99"/>
      <c r="P975" s="99"/>
      <c r="Q975" s="99"/>
      <c r="R975" s="99"/>
      <c r="S975" s="99"/>
      <c r="T975" s="99"/>
      <c r="U975" s="99"/>
      <c r="V975" s="99"/>
      <c r="W975" s="99"/>
      <c r="X975" s="99"/>
      <c r="Y975" s="99"/>
      <c r="Z975" s="99"/>
      <c r="AA975" s="99"/>
      <c r="AB975" s="99"/>
      <c r="AC975" s="99"/>
      <c r="AD975" s="99"/>
    </row>
    <row r="976" spans="1:30" ht="28.5" customHeight="1" x14ac:dyDescent="0.15">
      <c r="A976" s="99"/>
      <c r="B976" s="99"/>
      <c r="C976" s="99"/>
      <c r="D976" s="99"/>
      <c r="E976" s="99"/>
      <c r="F976" s="99"/>
      <c r="G976" s="99"/>
      <c r="H976" s="99"/>
      <c r="I976" s="99"/>
      <c r="J976" s="99"/>
      <c r="K976" s="99"/>
      <c r="L976" s="99"/>
      <c r="M976" s="99"/>
      <c r="N976" s="99"/>
      <c r="O976" s="99"/>
      <c r="P976" s="99"/>
      <c r="Q976" s="99"/>
      <c r="R976" s="99"/>
      <c r="S976" s="99"/>
      <c r="T976" s="99"/>
      <c r="U976" s="99"/>
      <c r="V976" s="99"/>
      <c r="W976" s="99"/>
      <c r="X976" s="99"/>
      <c r="Y976" s="99"/>
      <c r="Z976" s="99"/>
      <c r="AA976" s="99"/>
      <c r="AB976" s="99"/>
      <c r="AC976" s="99"/>
      <c r="AD976" s="99"/>
    </row>
    <row r="977" spans="1:30" ht="28.5" customHeight="1" x14ac:dyDescent="0.15">
      <c r="A977" s="99"/>
      <c r="B977" s="99"/>
      <c r="C977" s="99"/>
      <c r="D977" s="99"/>
      <c r="E977" s="99"/>
      <c r="F977" s="99"/>
      <c r="G977" s="99"/>
      <c r="H977" s="99"/>
      <c r="I977" s="99"/>
      <c r="J977" s="99"/>
      <c r="K977" s="99"/>
      <c r="L977" s="99"/>
      <c r="M977" s="99"/>
      <c r="N977" s="99"/>
      <c r="O977" s="99"/>
      <c r="P977" s="99"/>
      <c r="Q977" s="99"/>
      <c r="R977" s="99"/>
      <c r="S977" s="99"/>
      <c r="T977" s="99"/>
      <c r="U977" s="99"/>
      <c r="V977" s="99"/>
      <c r="W977" s="99"/>
      <c r="X977" s="99"/>
      <c r="Y977" s="99"/>
      <c r="Z977" s="99"/>
      <c r="AA977" s="99"/>
      <c r="AB977" s="99"/>
      <c r="AC977" s="99"/>
      <c r="AD977" s="99"/>
    </row>
    <row r="978" spans="1:30" ht="28.5" customHeight="1" x14ac:dyDescent="0.15">
      <c r="A978" s="99"/>
      <c r="B978" s="99"/>
      <c r="C978" s="99"/>
      <c r="D978" s="99"/>
      <c r="E978" s="99"/>
      <c r="F978" s="99"/>
      <c r="G978" s="99"/>
      <c r="H978" s="99"/>
      <c r="I978" s="99"/>
      <c r="J978" s="99"/>
      <c r="K978" s="99"/>
      <c r="L978" s="99"/>
      <c r="M978" s="99"/>
      <c r="N978" s="99"/>
      <c r="O978" s="99"/>
      <c r="P978" s="99"/>
      <c r="Q978" s="99"/>
      <c r="R978" s="99"/>
      <c r="S978" s="99"/>
      <c r="T978" s="99"/>
      <c r="U978" s="99"/>
      <c r="V978" s="99"/>
      <c r="W978" s="99"/>
      <c r="X978" s="99"/>
      <c r="Y978" s="99"/>
      <c r="Z978" s="99"/>
      <c r="AA978" s="99"/>
      <c r="AB978" s="99"/>
      <c r="AC978" s="99"/>
      <c r="AD978" s="99"/>
    </row>
    <row r="979" spans="1:30" ht="28.5" customHeight="1" x14ac:dyDescent="0.15">
      <c r="A979" s="99"/>
      <c r="B979" s="99"/>
      <c r="C979" s="99"/>
      <c r="D979" s="99"/>
      <c r="E979" s="99"/>
      <c r="F979" s="99"/>
      <c r="G979" s="99"/>
      <c r="H979" s="99"/>
      <c r="I979" s="99"/>
      <c r="J979" s="99"/>
      <c r="K979" s="99"/>
      <c r="L979" s="99"/>
      <c r="M979" s="99"/>
      <c r="N979" s="99"/>
      <c r="O979" s="99"/>
      <c r="P979" s="99"/>
      <c r="Q979" s="99"/>
      <c r="R979" s="99"/>
      <c r="S979" s="99"/>
      <c r="T979" s="99"/>
      <c r="U979" s="99"/>
      <c r="V979" s="99"/>
      <c r="W979" s="99"/>
      <c r="X979" s="99"/>
      <c r="Y979" s="99"/>
      <c r="Z979" s="99"/>
      <c r="AA979" s="99"/>
      <c r="AB979" s="99"/>
      <c r="AC979" s="99"/>
      <c r="AD979" s="99"/>
    </row>
    <row r="980" spans="1:30" ht="28.5" customHeight="1" x14ac:dyDescent="0.15">
      <c r="A980" s="99"/>
      <c r="B980" s="99"/>
      <c r="C980" s="99"/>
      <c r="D980" s="99"/>
      <c r="E980" s="99"/>
      <c r="F980" s="99"/>
      <c r="G980" s="99"/>
      <c r="H980" s="99"/>
      <c r="I980" s="99"/>
      <c r="J980" s="99"/>
      <c r="K980" s="99"/>
      <c r="L980" s="99"/>
      <c r="M980" s="99"/>
      <c r="N980" s="99"/>
      <c r="O980" s="99"/>
      <c r="P980" s="99"/>
      <c r="Q980" s="99"/>
      <c r="R980" s="99"/>
      <c r="S980" s="99"/>
      <c r="T980" s="99"/>
      <c r="U980" s="99"/>
      <c r="V980" s="99"/>
      <c r="W980" s="99"/>
      <c r="X980" s="99"/>
      <c r="Y980" s="99"/>
      <c r="Z980" s="99"/>
      <c r="AA980" s="99"/>
      <c r="AB980" s="99"/>
      <c r="AC980" s="99"/>
      <c r="AD980" s="99"/>
    </row>
    <row r="981" spans="1:30" ht="28.5" customHeight="1" x14ac:dyDescent="0.15">
      <c r="A981" s="99"/>
      <c r="B981" s="99"/>
      <c r="C981" s="99"/>
      <c r="D981" s="99"/>
      <c r="E981" s="99"/>
      <c r="F981" s="99"/>
      <c r="G981" s="99"/>
      <c r="H981" s="99"/>
      <c r="I981" s="99"/>
      <c r="J981" s="99"/>
      <c r="K981" s="99"/>
      <c r="L981" s="99"/>
      <c r="M981" s="99"/>
      <c r="N981" s="99"/>
      <c r="O981" s="99"/>
      <c r="P981" s="99"/>
      <c r="Q981" s="99"/>
      <c r="R981" s="99"/>
      <c r="S981" s="99"/>
      <c r="T981" s="99"/>
      <c r="U981" s="99"/>
      <c r="V981" s="99"/>
      <c r="W981" s="99"/>
      <c r="X981" s="99"/>
      <c r="Y981" s="99"/>
      <c r="Z981" s="99"/>
      <c r="AA981" s="99"/>
      <c r="AB981" s="99"/>
      <c r="AC981" s="99"/>
      <c r="AD981" s="99"/>
    </row>
    <row r="982" spans="1:30" ht="28.5" customHeight="1" x14ac:dyDescent="0.15">
      <c r="A982" s="99"/>
      <c r="B982" s="99"/>
      <c r="C982" s="99"/>
      <c r="D982" s="99"/>
      <c r="E982" s="99"/>
      <c r="F982" s="99"/>
      <c r="G982" s="99"/>
      <c r="H982" s="99"/>
      <c r="I982" s="99"/>
      <c r="J982" s="99"/>
      <c r="K982" s="99"/>
      <c r="L982" s="99"/>
      <c r="M982" s="99"/>
      <c r="N982" s="99"/>
      <c r="O982" s="99"/>
      <c r="P982" s="99"/>
      <c r="Q982" s="99"/>
      <c r="R982" s="99"/>
      <c r="S982" s="99"/>
      <c r="T982" s="99"/>
      <c r="U982" s="99"/>
      <c r="V982" s="99"/>
      <c r="W982" s="99"/>
      <c r="X982" s="99"/>
      <c r="Y982" s="99"/>
      <c r="Z982" s="99"/>
      <c r="AA982" s="99"/>
      <c r="AB982" s="99"/>
      <c r="AC982" s="99"/>
      <c r="AD982" s="99"/>
    </row>
    <row r="983" spans="1:30" ht="28.5" customHeight="1" x14ac:dyDescent="0.15">
      <c r="A983" s="99"/>
      <c r="B983" s="99"/>
      <c r="C983" s="99"/>
      <c r="D983" s="99"/>
      <c r="E983" s="99"/>
      <c r="F983" s="99"/>
      <c r="G983" s="99"/>
      <c r="H983" s="99"/>
      <c r="I983" s="99"/>
      <c r="J983" s="99"/>
      <c r="K983" s="99"/>
      <c r="L983" s="99"/>
      <c r="M983" s="99"/>
      <c r="N983" s="99"/>
      <c r="O983" s="99"/>
      <c r="P983" s="99"/>
      <c r="Q983" s="99"/>
      <c r="R983" s="99"/>
      <c r="S983" s="99"/>
      <c r="T983" s="99"/>
      <c r="U983" s="99"/>
      <c r="V983" s="99"/>
      <c r="W983" s="99"/>
      <c r="X983" s="99"/>
      <c r="Y983" s="99"/>
      <c r="Z983" s="99"/>
      <c r="AA983" s="99"/>
      <c r="AB983" s="99"/>
      <c r="AC983" s="99"/>
      <c r="AD983" s="99"/>
    </row>
    <row r="984" spans="1:30" ht="28.5" customHeight="1" x14ac:dyDescent="0.15">
      <c r="A984" s="99"/>
      <c r="B984" s="99"/>
      <c r="C984" s="99"/>
      <c r="D984" s="99"/>
      <c r="E984" s="99"/>
      <c r="F984" s="99"/>
      <c r="G984" s="99"/>
      <c r="H984" s="99"/>
      <c r="I984" s="99"/>
      <c r="J984" s="99"/>
      <c r="K984" s="99"/>
      <c r="L984" s="99"/>
      <c r="M984" s="99"/>
      <c r="N984" s="99"/>
      <c r="O984" s="99"/>
      <c r="P984" s="99"/>
      <c r="Q984" s="99"/>
      <c r="R984" s="99"/>
      <c r="S984" s="99"/>
      <c r="T984" s="99"/>
      <c r="U984" s="99"/>
      <c r="V984" s="99"/>
      <c r="W984" s="99"/>
      <c r="X984" s="99"/>
      <c r="Y984" s="99"/>
      <c r="Z984" s="99"/>
      <c r="AA984" s="99"/>
      <c r="AB984" s="99"/>
      <c r="AC984" s="99"/>
      <c r="AD984" s="99"/>
    </row>
    <row r="985" spans="1:30" ht="28.5" customHeight="1" x14ac:dyDescent="0.15">
      <c r="A985" s="99"/>
      <c r="B985" s="99"/>
      <c r="C985" s="99"/>
      <c r="D985" s="99"/>
      <c r="E985" s="99"/>
      <c r="F985" s="99"/>
      <c r="G985" s="99"/>
      <c r="H985" s="99"/>
      <c r="I985" s="99"/>
      <c r="J985" s="99"/>
      <c r="K985" s="99"/>
      <c r="L985" s="99"/>
      <c r="M985" s="99"/>
      <c r="N985" s="99"/>
      <c r="O985" s="99"/>
      <c r="P985" s="99"/>
      <c r="Q985" s="99"/>
      <c r="R985" s="99"/>
      <c r="S985" s="99"/>
      <c r="T985" s="99"/>
      <c r="U985" s="99"/>
      <c r="V985" s="99"/>
      <c r="W985" s="99"/>
      <c r="X985" s="99"/>
      <c r="Y985" s="99"/>
      <c r="Z985" s="99"/>
      <c r="AA985" s="99"/>
      <c r="AB985" s="99"/>
      <c r="AC985" s="99"/>
      <c r="AD985" s="99"/>
    </row>
    <row r="986" spans="1:30" ht="28.5" customHeight="1" x14ac:dyDescent="0.15">
      <c r="A986" s="99"/>
      <c r="B986" s="99"/>
      <c r="C986" s="99"/>
      <c r="D986" s="99"/>
      <c r="E986" s="99"/>
      <c r="F986" s="99"/>
      <c r="G986" s="99"/>
      <c r="H986" s="99"/>
      <c r="I986" s="99"/>
      <c r="J986" s="99"/>
      <c r="K986" s="99"/>
      <c r="L986" s="99"/>
      <c r="M986" s="99"/>
      <c r="N986" s="99"/>
      <c r="O986" s="99"/>
      <c r="P986" s="99"/>
      <c r="Q986" s="99"/>
      <c r="R986" s="99"/>
      <c r="S986" s="99"/>
      <c r="T986" s="99"/>
      <c r="U986" s="99"/>
      <c r="V986" s="99"/>
      <c r="W986" s="99"/>
      <c r="X986" s="99"/>
      <c r="Y986" s="99"/>
      <c r="Z986" s="99"/>
      <c r="AA986" s="99"/>
      <c r="AB986" s="99"/>
      <c r="AC986" s="99"/>
      <c r="AD986" s="99"/>
    </row>
    <row r="987" spans="1:30" ht="28.5" customHeight="1" x14ac:dyDescent="0.15">
      <c r="A987" s="99"/>
      <c r="B987" s="99"/>
      <c r="C987" s="99"/>
      <c r="D987" s="99"/>
      <c r="E987" s="99"/>
      <c r="F987" s="99"/>
      <c r="G987" s="99"/>
      <c r="H987" s="99"/>
      <c r="I987" s="99"/>
      <c r="J987" s="99"/>
      <c r="K987" s="99"/>
      <c r="L987" s="99"/>
      <c r="M987" s="99"/>
      <c r="N987" s="99"/>
      <c r="O987" s="99"/>
      <c r="P987" s="99"/>
      <c r="Q987" s="99"/>
      <c r="R987" s="99"/>
      <c r="S987" s="99"/>
      <c r="T987" s="99"/>
      <c r="U987" s="99"/>
      <c r="V987" s="99"/>
      <c r="W987" s="99"/>
      <c r="X987" s="99"/>
      <c r="Y987" s="99"/>
      <c r="Z987" s="99"/>
      <c r="AA987" s="99"/>
      <c r="AB987" s="99"/>
      <c r="AC987" s="99"/>
      <c r="AD987" s="99"/>
    </row>
    <row r="988" spans="1:30" ht="28.5" customHeight="1" x14ac:dyDescent="0.15">
      <c r="A988" s="99"/>
      <c r="B988" s="99"/>
      <c r="C988" s="99"/>
      <c r="D988" s="99"/>
      <c r="E988" s="99"/>
      <c r="F988" s="99"/>
      <c r="G988" s="99"/>
      <c r="H988" s="99"/>
      <c r="I988" s="99"/>
      <c r="J988" s="99"/>
      <c r="K988" s="99"/>
      <c r="L988" s="99"/>
      <c r="M988" s="99"/>
      <c r="N988" s="99"/>
      <c r="O988" s="99"/>
      <c r="P988" s="99"/>
      <c r="Q988" s="99"/>
      <c r="R988" s="99"/>
      <c r="S988" s="99"/>
      <c r="T988" s="99"/>
      <c r="U988" s="99"/>
      <c r="V988" s="99"/>
      <c r="W988" s="99"/>
      <c r="X988" s="99"/>
      <c r="Y988" s="99"/>
      <c r="Z988" s="99"/>
      <c r="AA988" s="99"/>
      <c r="AB988" s="99"/>
      <c r="AC988" s="99"/>
      <c r="AD988" s="99"/>
    </row>
    <row r="989" spans="1:30" ht="28.5" customHeight="1" x14ac:dyDescent="0.15">
      <c r="A989" s="99"/>
      <c r="B989" s="99"/>
      <c r="C989" s="99"/>
      <c r="D989" s="99"/>
      <c r="E989" s="99"/>
      <c r="F989" s="99"/>
      <c r="G989" s="99"/>
      <c r="H989" s="99"/>
      <c r="I989" s="99"/>
      <c r="J989" s="99"/>
      <c r="K989" s="99"/>
      <c r="L989" s="99"/>
      <c r="M989" s="99"/>
      <c r="N989" s="99"/>
      <c r="O989" s="99"/>
      <c r="P989" s="99"/>
      <c r="Q989" s="99"/>
      <c r="R989" s="99"/>
      <c r="S989" s="99"/>
      <c r="T989" s="99"/>
      <c r="U989" s="99"/>
      <c r="V989" s="99"/>
      <c r="W989" s="99"/>
      <c r="X989" s="99"/>
      <c r="Y989" s="99"/>
      <c r="Z989" s="99"/>
      <c r="AA989" s="99"/>
      <c r="AB989" s="99"/>
      <c r="AC989" s="99"/>
      <c r="AD989" s="99"/>
    </row>
    <row r="990" spans="1:30" ht="28.5" customHeight="1" x14ac:dyDescent="0.15">
      <c r="A990" s="99"/>
      <c r="B990" s="99"/>
      <c r="C990" s="99"/>
      <c r="D990" s="99"/>
      <c r="E990" s="99"/>
      <c r="F990" s="99"/>
      <c r="G990" s="99"/>
      <c r="H990" s="99"/>
      <c r="I990" s="99"/>
      <c r="J990" s="99"/>
      <c r="K990" s="99"/>
      <c r="L990" s="99"/>
      <c r="M990" s="99"/>
      <c r="N990" s="99"/>
      <c r="O990" s="99"/>
      <c r="P990" s="99"/>
      <c r="Q990" s="99"/>
      <c r="R990" s="99"/>
      <c r="S990" s="99"/>
      <c r="T990" s="99"/>
      <c r="U990" s="99"/>
      <c r="V990" s="99"/>
      <c r="W990" s="99"/>
      <c r="X990" s="99"/>
      <c r="Y990" s="99"/>
      <c r="Z990" s="99"/>
      <c r="AA990" s="99"/>
      <c r="AB990" s="99"/>
      <c r="AC990" s="99"/>
      <c r="AD990" s="99"/>
    </row>
    <row r="991" spans="1:30" ht="28.5" customHeight="1" x14ac:dyDescent="0.15">
      <c r="A991" s="99"/>
      <c r="B991" s="99"/>
      <c r="C991" s="99"/>
      <c r="D991" s="99"/>
      <c r="E991" s="99"/>
      <c r="F991" s="99"/>
      <c r="G991" s="99"/>
      <c r="H991" s="99"/>
      <c r="I991" s="99"/>
      <c r="J991" s="99"/>
      <c r="K991" s="99"/>
      <c r="L991" s="99"/>
      <c r="M991" s="99"/>
      <c r="N991" s="99"/>
      <c r="O991" s="99"/>
      <c r="P991" s="99"/>
      <c r="Q991" s="99"/>
      <c r="R991" s="99"/>
      <c r="S991" s="99"/>
      <c r="T991" s="99"/>
      <c r="U991" s="99"/>
      <c r="V991" s="99"/>
      <c r="W991" s="99"/>
      <c r="X991" s="99"/>
      <c r="Y991" s="99"/>
      <c r="Z991" s="99"/>
      <c r="AA991" s="99"/>
      <c r="AB991" s="99"/>
      <c r="AC991" s="99"/>
      <c r="AD991" s="99"/>
    </row>
    <row r="992" spans="1:30" ht="28.5" customHeight="1" x14ac:dyDescent="0.15">
      <c r="A992" s="99"/>
      <c r="B992" s="99"/>
      <c r="C992" s="99"/>
      <c r="D992" s="99"/>
      <c r="E992" s="99"/>
      <c r="F992" s="99"/>
      <c r="G992" s="99"/>
      <c r="H992" s="99"/>
      <c r="I992" s="99"/>
      <c r="J992" s="99"/>
      <c r="K992" s="99"/>
      <c r="L992" s="99"/>
      <c r="M992" s="99"/>
      <c r="N992" s="99"/>
      <c r="O992" s="99"/>
      <c r="P992" s="99"/>
      <c r="Q992" s="99"/>
      <c r="R992" s="99"/>
      <c r="S992" s="99"/>
      <c r="T992" s="99"/>
      <c r="U992" s="99"/>
      <c r="V992" s="99"/>
      <c r="W992" s="99"/>
      <c r="X992" s="99"/>
      <c r="Y992" s="99"/>
      <c r="Z992" s="99"/>
      <c r="AA992" s="99"/>
      <c r="AB992" s="99"/>
      <c r="AC992" s="99"/>
      <c r="AD992" s="99"/>
    </row>
    <row r="993" spans="1:30" ht="28.5" customHeight="1" x14ac:dyDescent="0.15">
      <c r="A993" s="99"/>
      <c r="B993" s="99"/>
      <c r="C993" s="99"/>
      <c r="D993" s="99"/>
      <c r="E993" s="99"/>
      <c r="F993" s="99"/>
      <c r="G993" s="99"/>
      <c r="H993" s="99"/>
      <c r="I993" s="99"/>
      <c r="J993" s="99"/>
      <c r="K993" s="99"/>
      <c r="L993" s="99"/>
      <c r="M993" s="99"/>
      <c r="N993" s="99"/>
      <c r="O993" s="99"/>
      <c r="P993" s="99"/>
      <c r="Q993" s="99"/>
      <c r="R993" s="99"/>
      <c r="S993" s="99"/>
      <c r="T993" s="99"/>
      <c r="U993" s="99"/>
      <c r="V993" s="99"/>
      <c r="W993" s="99"/>
      <c r="X993" s="99"/>
      <c r="Y993" s="99"/>
      <c r="Z993" s="99"/>
      <c r="AA993" s="99"/>
      <c r="AB993" s="99"/>
      <c r="AC993" s="99"/>
      <c r="AD993" s="99"/>
    </row>
    <row r="994" spans="1:30" ht="28.5" customHeight="1" x14ac:dyDescent="0.15">
      <c r="A994" s="99"/>
      <c r="B994" s="99"/>
      <c r="C994" s="99"/>
      <c r="D994" s="99"/>
      <c r="E994" s="99"/>
      <c r="F994" s="99"/>
      <c r="G994" s="99"/>
      <c r="H994" s="99"/>
      <c r="I994" s="99"/>
      <c r="J994" s="99"/>
      <c r="K994" s="99"/>
      <c r="L994" s="99"/>
      <c r="M994" s="99"/>
      <c r="N994" s="99"/>
      <c r="O994" s="99"/>
      <c r="P994" s="99"/>
      <c r="Q994" s="99"/>
      <c r="R994" s="99"/>
      <c r="S994" s="99"/>
      <c r="T994" s="99"/>
      <c r="U994" s="99"/>
      <c r="V994" s="99"/>
      <c r="W994" s="99"/>
      <c r="X994" s="99"/>
      <c r="Y994" s="99"/>
      <c r="Z994" s="99"/>
      <c r="AA994" s="99"/>
      <c r="AB994" s="99"/>
      <c r="AC994" s="99"/>
      <c r="AD994" s="99"/>
    </row>
    <row r="995" spans="1:30" ht="28.5" customHeight="1" x14ac:dyDescent="0.15">
      <c r="A995" s="99"/>
      <c r="B995" s="99"/>
      <c r="C995" s="99"/>
      <c r="D995" s="99"/>
      <c r="E995" s="99"/>
      <c r="F995" s="99"/>
      <c r="G995" s="99"/>
      <c r="H995" s="99"/>
      <c r="I995" s="99"/>
      <c r="J995" s="99"/>
      <c r="K995" s="99"/>
      <c r="L995" s="99"/>
      <c r="M995" s="99"/>
      <c r="N995" s="99"/>
      <c r="O995" s="99"/>
      <c r="P995" s="99"/>
      <c r="Q995" s="99"/>
      <c r="R995" s="99"/>
      <c r="S995" s="99"/>
      <c r="T995" s="99"/>
      <c r="U995" s="99"/>
      <c r="V995" s="99"/>
      <c r="W995" s="99"/>
      <c r="X995" s="99"/>
      <c r="Y995" s="99"/>
      <c r="Z995" s="99"/>
      <c r="AA995" s="99"/>
      <c r="AB995" s="99"/>
      <c r="AC995" s="99"/>
      <c r="AD995" s="99"/>
    </row>
    <row r="996" spans="1:30" ht="28.5" customHeight="1" x14ac:dyDescent="0.15">
      <c r="A996" s="99"/>
      <c r="B996" s="99"/>
      <c r="C996" s="99"/>
      <c r="D996" s="99"/>
      <c r="E996" s="99"/>
      <c r="F996" s="99"/>
      <c r="G996" s="99"/>
      <c r="H996" s="99"/>
      <c r="I996" s="99"/>
      <c r="J996" s="99"/>
      <c r="K996" s="99"/>
      <c r="L996" s="99"/>
      <c r="M996" s="99"/>
      <c r="N996" s="99"/>
      <c r="O996" s="99"/>
      <c r="P996" s="99"/>
      <c r="Q996" s="99"/>
      <c r="R996" s="99"/>
      <c r="S996" s="99"/>
      <c r="T996" s="99"/>
      <c r="U996" s="99"/>
      <c r="V996" s="99"/>
      <c r="W996" s="99"/>
      <c r="X996" s="99"/>
      <c r="Y996" s="99"/>
      <c r="Z996" s="99"/>
      <c r="AA996" s="99"/>
      <c r="AB996" s="99"/>
      <c r="AC996" s="99"/>
      <c r="AD996" s="99"/>
    </row>
    <row r="997" spans="1:30" ht="28.5" customHeight="1" x14ac:dyDescent="0.15">
      <c r="A997" s="99"/>
      <c r="B997" s="99"/>
      <c r="C997" s="99"/>
      <c r="D997" s="99"/>
      <c r="E997" s="99"/>
      <c r="F997" s="99"/>
      <c r="G997" s="99"/>
      <c r="H997" s="99"/>
      <c r="I997" s="99"/>
      <c r="J997" s="99"/>
      <c r="K997" s="99"/>
      <c r="L997" s="99"/>
      <c r="M997" s="99"/>
      <c r="N997" s="99"/>
      <c r="O997" s="99"/>
      <c r="P997" s="99"/>
      <c r="Q997" s="99"/>
      <c r="R997" s="99"/>
      <c r="S997" s="99"/>
      <c r="T997" s="99"/>
      <c r="U997" s="99"/>
      <c r="V997" s="99"/>
      <c r="W997" s="99"/>
      <c r="X997" s="99"/>
      <c r="Y997" s="99"/>
      <c r="Z997" s="99"/>
      <c r="AA997" s="99"/>
      <c r="AB997" s="99"/>
      <c r="AC997" s="99"/>
      <c r="AD997" s="99"/>
    </row>
    <row r="998" spans="1:30" ht="28.5" customHeight="1" x14ac:dyDescent="0.15">
      <c r="A998" s="99"/>
      <c r="B998" s="99"/>
      <c r="C998" s="99"/>
      <c r="D998" s="99"/>
      <c r="E998" s="99"/>
      <c r="F998" s="99"/>
      <c r="G998" s="99"/>
      <c r="H998" s="99"/>
      <c r="I998" s="99"/>
      <c r="J998" s="99"/>
      <c r="K998" s="99"/>
      <c r="L998" s="99"/>
      <c r="M998" s="99"/>
      <c r="N998" s="99"/>
      <c r="O998" s="99"/>
      <c r="P998" s="99"/>
      <c r="Q998" s="99"/>
      <c r="R998" s="99"/>
      <c r="S998" s="99"/>
      <c r="T998" s="99"/>
      <c r="U998" s="99"/>
      <c r="V998" s="99"/>
      <c r="W998" s="99"/>
      <c r="X998" s="99"/>
      <c r="Y998" s="99"/>
      <c r="Z998" s="99"/>
      <c r="AA998" s="99"/>
      <c r="AB998" s="99"/>
      <c r="AC998" s="99"/>
      <c r="AD998" s="99"/>
    </row>
    <row r="999" spans="1:30" ht="28.5" customHeight="1" x14ac:dyDescent="0.15">
      <c r="A999" s="99"/>
      <c r="B999" s="99"/>
      <c r="C999" s="99"/>
      <c r="D999" s="99"/>
      <c r="E999" s="99"/>
      <c r="F999" s="99"/>
      <c r="G999" s="99"/>
      <c r="H999" s="99"/>
      <c r="I999" s="99"/>
      <c r="J999" s="99"/>
      <c r="K999" s="99"/>
      <c r="L999" s="99"/>
      <c r="M999" s="99"/>
      <c r="N999" s="99"/>
      <c r="O999" s="99"/>
      <c r="P999" s="99"/>
      <c r="Q999" s="99"/>
      <c r="R999" s="99"/>
      <c r="S999" s="99"/>
      <c r="T999" s="99"/>
      <c r="U999" s="99"/>
      <c r="V999" s="99"/>
      <c r="W999" s="99"/>
      <c r="X999" s="99"/>
      <c r="Y999" s="99"/>
      <c r="Z999" s="99"/>
      <c r="AA999" s="99"/>
      <c r="AB999" s="99"/>
      <c r="AC999" s="99"/>
      <c r="AD999" s="99"/>
    </row>
    <row r="1000" spans="1:30" ht="28.5" customHeight="1" x14ac:dyDescent="0.15">
      <c r="A1000" s="99"/>
      <c r="B1000" s="99"/>
      <c r="C1000" s="99"/>
      <c r="D1000" s="99"/>
      <c r="E1000" s="99"/>
      <c r="F1000" s="99"/>
      <c r="G1000" s="99"/>
      <c r="H1000" s="99"/>
      <c r="I1000" s="99"/>
      <c r="J1000" s="99"/>
      <c r="K1000" s="99"/>
      <c r="L1000" s="99"/>
      <c r="M1000" s="99"/>
      <c r="N1000" s="99"/>
      <c r="O1000" s="99"/>
      <c r="P1000" s="99"/>
      <c r="Q1000" s="99"/>
      <c r="R1000" s="99"/>
      <c r="S1000" s="99"/>
      <c r="T1000" s="99"/>
      <c r="U1000" s="99"/>
      <c r="V1000" s="99"/>
      <c r="W1000" s="99"/>
      <c r="X1000" s="99"/>
      <c r="Y1000" s="99"/>
      <c r="Z1000" s="99"/>
      <c r="AA1000" s="99"/>
      <c r="AB1000" s="99"/>
      <c r="AC1000" s="99"/>
      <c r="AD1000" s="99"/>
    </row>
  </sheetData>
  <hyperlinks>
    <hyperlink ref="K2" r:id="rId1" display="https://drive.google.com/open?id=1njaOo2FQclLRPfdKvfW1gZpxGn7_94Ih" xr:uid="{00000000-0004-0000-1300-000000000000}"/>
    <hyperlink ref="K3" r:id="rId2" display="https://drive.google.com/open?id=1M75Zuz94mobCB2u7SAfxI6p_Ap3Wqno0" xr:uid="{00000000-0004-0000-1300-000001000000}"/>
    <hyperlink ref="K4" r:id="rId3" display="https://drive.google.com/open?id=14_zULZ6Hd6xjm0n-EZCNgOfM0U3palZz" xr:uid="{00000000-0004-0000-1300-000002000000}"/>
    <hyperlink ref="K5" r:id="rId4" display="https://drive.google.com/open?id=1n27dXeSQi_XbyI0Qxh545-88cmtBtSqd" xr:uid="{00000000-0004-0000-1300-000003000000}"/>
    <hyperlink ref="K6" r:id="rId5" display="https://drive.google.com/open?id=1eqRDfKf6TAFamnY0kDJLrMwUjrnB1G6L" xr:uid="{00000000-0004-0000-1300-000004000000}"/>
    <hyperlink ref="K7" r:id="rId6" display="https://drive.google.com/open?id=1TzKAWwUItopmdVYKWq0Fxz3cBchc2C9s" xr:uid="{00000000-0004-0000-1300-000005000000}"/>
    <hyperlink ref="K8" r:id="rId7" display="https://drive.google.com/open?id=1LCsKkG24i9wmznr03mspYdIeItEzVxqQ" xr:uid="{00000000-0004-0000-1300-000006000000}"/>
    <hyperlink ref="K9" r:id="rId8" display="https://drive.google.com/open?id=1rRH2ZCJXnOgm37WwXkGf_PG02fe6BEU5" xr:uid="{00000000-0004-0000-1300-000007000000}"/>
    <hyperlink ref="K10" r:id="rId9" display="https://drive.google.com/open?id=182CeUHgul8js2A2Xhtd4IrhsNNqCMqVI" xr:uid="{00000000-0004-0000-1300-000008000000}"/>
    <hyperlink ref="K11" r:id="rId10" display="https://drive.google.com/open?id=1R4u3fohaTi7TEZxouCeFMmE0I7vah8Pd" xr:uid="{00000000-0004-0000-1300-000009000000}"/>
    <hyperlink ref="K12" r:id="rId11" display="https://drive.google.com/open?id=1AdnImYkBMQpTsxJI24rJgH5FhywglYup" xr:uid="{00000000-0004-0000-1300-00000A000000}"/>
    <hyperlink ref="K13" r:id="rId12" display="https://drive.google.com/open?id=1oKlHFLgb197iFG06xERQ80MBgMyQFlCO" xr:uid="{00000000-0004-0000-1300-00000B000000}"/>
    <hyperlink ref="K14" r:id="rId13" display="https://drive.google.com/open?id=1SQnF_8DCN91WHC55Or2_3svZTsc2qfWR" xr:uid="{00000000-0004-0000-1300-00000C000000}"/>
    <hyperlink ref="K15" r:id="rId14" display="https://drive.google.com/open?id=1MyYAqkRZDWCeVSdVFKaTl8YKOzJnYgtW" xr:uid="{00000000-0004-0000-1300-00000D000000}"/>
    <hyperlink ref="K16" r:id="rId15" display="https://drive.google.com/open?id=15v-MfMEFmUzEFJ3ZTLKtrm2EVBoDx79w" xr:uid="{00000000-0004-0000-1300-00000E000000}"/>
    <hyperlink ref="K17" r:id="rId16" display="https://drive.google.com/open?id=1rlINLdDNg-MSnn6DBnOVVMwxnH4wwjcj" xr:uid="{00000000-0004-0000-1300-00000F000000}"/>
    <hyperlink ref="K18" r:id="rId17" display="https://drive.google.com/open?id=1oE8-5Rv1pgHd2n7iM2-tekmBSDdmdp1X" xr:uid="{00000000-0004-0000-1300-000010000000}"/>
    <hyperlink ref="K19" r:id="rId18" display="https://drive.google.com/open?id=15n55aEqfKyP6UPUXflhsoxybtRV7Im2Z" xr:uid="{00000000-0004-0000-1300-000011000000}"/>
    <hyperlink ref="K20" r:id="rId19" display="https://drive.google.com/open?id=1dKrpoYYtE0hUM6zbt2JQ32HhCmpAw7eb" xr:uid="{00000000-0004-0000-1300-000012000000}"/>
    <hyperlink ref="K21" r:id="rId20" display="https://drive.google.com/open?id=11I6_ATL91tvllYsQB01c8ZC_aPNM__yt" xr:uid="{00000000-0004-0000-1300-000013000000}"/>
    <hyperlink ref="K22" r:id="rId21" display="https://drive.google.com/open?id=1WPQVCAEf6avo8QyVvfSh5zhD9uLCPNij" xr:uid="{00000000-0004-0000-1300-000014000000}"/>
    <hyperlink ref="K23" r:id="rId22" display="https://drive.google.com/open?id=1WqlqoKN7RCPaHZu3tKUP64aR1eTIIRms" xr:uid="{00000000-0004-0000-1300-000015000000}"/>
    <hyperlink ref="K24" r:id="rId23" display="https://drive.google.com/open?id=1mupstIOV7geibVsKyebzZh5v-A2TfVam" xr:uid="{00000000-0004-0000-1300-000016000000}"/>
    <hyperlink ref="K25" r:id="rId24" display="https://drive.google.com/open?id=1Sc50u7O2yN6wdOggs836WOqMRMciijHi" xr:uid="{00000000-0004-0000-1300-000017000000}"/>
    <hyperlink ref="K26" r:id="rId25" display="https://drive.google.com/open?id=1ygSpxfiwRrg2HFxEQJvY4dUJ1FceX5cU" xr:uid="{00000000-0004-0000-1300-000018000000}"/>
    <hyperlink ref="K27" r:id="rId26" display="https://drive.google.com/open?id=1b_sBzr_AVYvGHgUPUw4RBFGXzGbjNYxw" xr:uid="{00000000-0004-0000-1300-000019000000}"/>
    <hyperlink ref="K28" r:id="rId27" display="https://drive.google.com/open?id=1nZEMt24baX0onTXz2Liyrd92-XxHFnF0" xr:uid="{00000000-0004-0000-1300-00001A000000}"/>
    <hyperlink ref="K29" r:id="rId28" display="https://drive.google.com/open?id=1KuNBmpMZS_uA0_73kYuTsGnKJkSaxJNR" xr:uid="{00000000-0004-0000-1300-00001B000000}"/>
    <hyperlink ref="K30" r:id="rId29" display="https://drive.google.com/open?id=1hBqV4sg4Pw3O_UkYZNPEOc25dVaFCQ2c" xr:uid="{00000000-0004-0000-1300-00001C000000}"/>
    <hyperlink ref="K31" r:id="rId30" display="https://drive.google.com/open?id=12IpAFvbUR9zj0mziUqWU7AgiiGFeWJDn" xr:uid="{00000000-0004-0000-1300-00001D000000}"/>
    <hyperlink ref="K32" r:id="rId31" display="https://drive.google.com/open?id=18CSIBf0DwDGccDZjuZgC5i44VXJQgrE0" xr:uid="{00000000-0004-0000-1300-00001E000000}"/>
    <hyperlink ref="K33" r:id="rId32" display="https://drive.google.com/open?id=1xnS1kpvZ4yuMLZLTiAlOP-A_y-Vyza1i" xr:uid="{00000000-0004-0000-1300-00001F000000}"/>
    <hyperlink ref="K34" r:id="rId33" display="https://drive.google.com/open?id=1kI4PwakFQ2t4yeEjeLQQ1x8M8NSXTHlj" xr:uid="{00000000-0004-0000-1300-000020000000}"/>
    <hyperlink ref="K35" r:id="rId34" display="https://drive.google.com/open?id=1SzwVma1bvQzySAMcnIUyR86UB4_jEDZx" xr:uid="{00000000-0004-0000-1300-000021000000}"/>
    <hyperlink ref="K36" r:id="rId35" display="https://drive.google.com/open?id=1xh-6CUN_jqOL7YsUT-Wu8T20JJbUj-UT" xr:uid="{00000000-0004-0000-1300-000022000000}"/>
    <hyperlink ref="K37" r:id="rId36" display="https://drive.google.com/open?id=1oQTlIUlLTU4l6H3Z8lsz7HxqgYeHhzzs" xr:uid="{00000000-0004-0000-1300-000023000000}"/>
    <hyperlink ref="K38" r:id="rId37" display="https://drive.google.com/open?id=1HxRFFojddfZhy4pNdOKAY6TXBt1DeE3G" xr:uid="{00000000-0004-0000-1300-000024000000}"/>
    <hyperlink ref="K39" r:id="rId38" display="https://drive.google.com/open?id=1v9JLEHywb-uUy8bGNC3GjW6SgkJmpS0c" xr:uid="{00000000-0004-0000-1300-000025000000}"/>
    <hyperlink ref="K40" r:id="rId39" display="https://drive.google.com/open?id=1Gi_5ij4VeUVfCmlwcC-fub9ubQUZaqe2" xr:uid="{00000000-0004-0000-1300-000026000000}"/>
    <hyperlink ref="K41" r:id="rId40" display="https://drive.google.com/open?id=1EDQ4Q2i0hjkmh99LPVKvOHUeTL69iJz-" xr:uid="{00000000-0004-0000-1300-000027000000}"/>
    <hyperlink ref="K42" r:id="rId41" display="https://drive.google.com/open?id=1PRE1qe4Sha5GpZbyDT-TrczxIuR5f2Bv" xr:uid="{00000000-0004-0000-1300-000028000000}"/>
    <hyperlink ref="K43" r:id="rId42" display="https://drive.google.com/open?id=10Ku5E62Gd_X9NlW3SyI23bLo1nHVOOTr" xr:uid="{00000000-0004-0000-1300-000029000000}"/>
    <hyperlink ref="K44" r:id="rId43" display="https://drive.google.com/open?id=1aoUkZBcN2ML6PLKzMhKZOLGvSduWTyzX" xr:uid="{00000000-0004-0000-1300-00002A000000}"/>
    <hyperlink ref="K45" r:id="rId44" display="https://drive.google.com/open?id=1Fq8ntn83IQFZjCmTbG2xuGOFjEVnA7oP" xr:uid="{00000000-0004-0000-1300-00002B000000}"/>
    <hyperlink ref="K46" r:id="rId45" display="https://drive.google.com/open?id=1kDF-MB6lGC-Z5LbMtHfLutR5nCFaEE1X" xr:uid="{00000000-0004-0000-1300-00002C000000}"/>
    <hyperlink ref="K47" r:id="rId46" display="https://drive.google.com/open?id=1E5XqRSmk05zWihTMLgZg6Ql9IoaxNiDl" xr:uid="{00000000-0004-0000-1300-00002D000000}"/>
    <hyperlink ref="K48" r:id="rId47" display="https://drive.google.com/open?id=1sdkBp2g2wlH95wnFfXO8E9JBzRju_s2I" xr:uid="{00000000-0004-0000-1300-00002E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MasterData</vt:lpstr>
      <vt:lpstr>STUDENT ACTIVITY DASHBOARD</vt:lpstr>
      <vt:lpstr>S1 Student Journal Pub</vt:lpstr>
      <vt:lpstr>S2 Student Conference Publicati</vt:lpstr>
      <vt:lpstr>S3 Student Internships</vt:lpstr>
      <vt:lpstr>S4 Student Certifications</vt:lpstr>
      <vt:lpstr>S5 Student WorkshopsConf attend</vt:lpstr>
      <vt:lpstr>S6 Student NPTEL</vt:lpstr>
      <vt:lpstr>S7 Student Workshops Organized</vt:lpstr>
      <vt:lpstr>S8 Student Events Organized</vt:lpstr>
      <vt:lpstr>S9 Student Guest Lectures Organ</vt:lpstr>
      <vt:lpstr>S10 Student Prof. Body</vt:lpstr>
      <vt:lpstr>S11 Student Awards</vt:lpstr>
      <vt:lpstr>S12 Student capabilities enhanc</vt:lpstr>
      <vt:lpstr>S13 Students Higher Edu.</vt:lpstr>
      <vt:lpstr>S14 Students Competitive Exams</vt:lpstr>
      <vt:lpstr>S15 Students Industry Visit</vt:lpstr>
      <vt:lpstr>S16 Students Social Service Pro</vt:lpstr>
      <vt:lpstr>S17 Students Leadership &amp; Volun</vt:lpstr>
      <vt:lpstr>S18 Students Placements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2022-04-22T05:07:25Z</dcterms:modified>
</cp:coreProperties>
</file>